
<file path=[Content_Types].xml><?xml version="1.0" encoding="utf-8"?>
<Types xmlns="http://schemas.openxmlformats.org/package/2006/content-types">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ctrlProps/ctrlProp27.xml" ContentType="application/vnd.ms-excel.controlproperties+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charts/chart49.xml" ContentType="application/vnd.openxmlformats-officedocument.drawingml.chart+xml"/>
  <Override PartName="/xl/ctrlProps/ctrlProp16.xml" ContentType="application/vnd.ms-excel.controlproperties+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56.xml" ContentType="application/vnd.openxmlformats-officedocument.drawingml.chart+xml"/>
  <Override PartName="/xl/drawings/drawing13.xml" ContentType="application/vnd.openxmlformats-officedocument.drawing+xml"/>
  <Override PartName="/xl/ctrlProps/ctrlProp23.xml" ContentType="application/vnd.ms-excel.controlproperties+xml"/>
  <Override PartName="/xl/charts/chart16.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charts/chart63.xml" ContentType="application/vnd.openxmlformats-officedocument.drawingml.chart+xml"/>
  <Override PartName="/xl/ctrlProps/ctrlProp12.xml" ContentType="application/vnd.ms-excel.controlproperties+xml"/>
  <Override PartName="/xl/ctrlProps/ctrlProp6.xml" ContentType="application/vnd.ms-excel.controlproperties+xml"/>
  <Override PartName="/xl/sharedStrings.xml" ContentType="application/vnd.openxmlformats-officedocument.spreadsheetml.sharedStrings+xml"/>
  <Override PartName="/xl/charts/chart23.xml" ContentType="application/vnd.openxmlformats-officedocument.drawingml.chart+xml"/>
  <Override PartName="/xl/charts/chart52.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trlProps/ctrlProp2.xml" ContentType="application/vnd.ms-excel.controlproperties+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Override PartName="/xl/ctrlProps/ctrlProp28.xml" ContentType="application/vnd.ms-excel.controlproperties+xml"/>
  <Override PartName="/xl/ctrlProps/ctrlProp19.xml" ContentType="application/vnd.ms-excel.controlproperti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ml.chartshapes+xml"/>
  <Override PartName="/xl/comments7.xml" ContentType="application/vnd.openxmlformats-officedocument.spreadsheetml.comments+xml"/>
  <Override PartName="/xl/charts/chart59.xml" ContentType="application/vnd.openxmlformats-officedocument.drawingml.chart+xml"/>
  <Override PartName="/xl/ctrlProps/ctrlProp26.xml" ContentType="application/vnd.ms-excel.controlproperties+xml"/>
  <Override PartName="/xl/ctrlProps/ctrlProp17.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xl/comments5.xml" ContentType="application/vnd.openxmlformats-officedocument.spreadsheetml.comments+xml"/>
  <Override PartName="/xl/charts/chart39.xml" ContentType="application/vnd.openxmlformats-officedocument.drawingml.chart+xml"/>
  <Override PartName="/xl/charts/chart48.xml" ContentType="application/vnd.openxmlformats-officedocument.drawingml.chart+xml"/>
  <Override PartName="/xl/charts/chart57.xml" ContentType="application/vnd.openxmlformats-officedocument.drawingml.chart+xml"/>
  <Override PartName="/xl/ctrlProps/ctrlProp15.xml" ContentType="application/vnd.ms-excel.controlproperties+xml"/>
  <Override PartName="/xl/ctrlProps/ctrlProp9.xml" ContentType="application/vnd.ms-excel.controlproperties+xml"/>
  <Override PartName="/xl/ctrlProps/ctrlProp24.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charts/chart28.xml" ContentType="application/vnd.openxmlformats-officedocument.drawingml.chart+xml"/>
  <Override PartName="/xl/charts/chart37.xml" ContentType="application/vnd.openxmlformats-officedocument.drawingml.chart+xml"/>
  <Override PartName="/xl/charts/chart46.xml" ContentType="application/vnd.openxmlformats-officedocument.drawingml.chart+xml"/>
  <Override PartName="/xl/charts/chart55.xml" ContentType="application/vnd.openxmlformats-officedocument.drawingml.chart+xml"/>
  <Override PartName="/xl/ctrlProps/ctrlProp22.xml" ContentType="application/vnd.ms-excel.controlproperties+xml"/>
  <Override PartName="/xl/ctrlProps/ctrlProp13.xml" ContentType="application/vnd.ms-excel.controlproperties+xml"/>
  <Override PartName="/xl/ctrlProps/ctrlProp7.xml" ContentType="application/vnd.ms-excel.controlproperties+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charts/chart26.xml" ContentType="application/vnd.openxmlformats-officedocument.drawingml.chart+xml"/>
  <Override PartName="/xl/charts/chart35.xml" ContentType="application/vnd.openxmlformats-officedocument.drawingml.chart+xml"/>
  <Override PartName="/xl/charts/chart44.xml" ContentType="application/vnd.openxmlformats-officedocument.drawingml.chart+xml"/>
  <Override PartName="/xl/charts/chart53.xml" ContentType="application/vnd.openxmlformats-officedocument.drawingml.chart+xml"/>
  <Override PartName="/xl/charts/chart64.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xl/ctrlProps/ctrlProp20.xml" ContentType="application/vnd.ms-excel.controlproperties+xml"/>
  <Override PartName="/xl/ctrlProps/ctrlProp11.xml" ContentType="application/vnd.ms-excel.controlproperties+xml"/>
  <Override PartName="/xl/ctrlProps/ctrlProp5.xml" ContentType="application/vnd.ms-excel.controlproperties+xml"/>
  <Override PartName="/xl/worksheets/sheet19.xml" ContentType="application/vnd.openxmlformats-officedocument.spreadsheetml.worksheet+xml"/>
  <Override PartName="/xl/drawings/drawing10.xml" ContentType="application/vnd.openxmlformats-officedocument.drawingml.chartshapes+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trlProps/ctrlProp3.xml" ContentType="application/vnd.ms-excel.controlproperties+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xl/charts/chart60.xml" ContentType="application/vnd.openxmlformats-officedocument.drawingml.chart+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ctrlProps/ctrlProp29.xml" ContentType="application/vnd.ms-excel.controlproperties+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Override PartName="/xl/comments6.xml" ContentType="application/vnd.openxmlformats-officedocument.spreadsheetml.comments+xml"/>
  <Override PartName="/xl/ctrlProps/ctrlProp18.xml" ContentType="application/vnd.ms-excel.controlproperties+xml"/>
  <Default Extension="rels" ContentType="application/vnd.openxmlformats-package.relationships+xml"/>
  <Override PartName="/xl/worksheets/sheet5.xml" ContentType="application/vnd.openxmlformats-officedocument.spreadsheetml.worksheet+xml"/>
  <Override PartName="/xl/charts/chart29.xml" ContentType="application/vnd.openxmlformats-officedocument.drawingml.chart+xml"/>
  <Override PartName="/xl/charts/chart58.xml" ContentType="application/vnd.openxmlformats-officedocument.drawingml.chart+xml"/>
  <Override PartName="/xl/ctrlProps/ctrlProp25.xml" ContentType="application/vnd.ms-excel.controlproperties+xml"/>
  <Override PartName="/xl/comments2.xml" ContentType="application/vnd.openxmlformats-officedocument.spreadsheetml.comments+xml"/>
  <Override PartName="/xl/charts/chart18.xml" ContentType="application/vnd.openxmlformats-officedocument.drawingml.chart+xml"/>
  <Override PartName="/xl/charts/chart36.xml" ContentType="application/vnd.openxmlformats-officedocument.drawingml.chart+xml"/>
  <Override PartName="/xl/charts/chart47.xml" ContentType="application/vnd.openxmlformats-officedocument.drawingml.chart+xml"/>
  <Override PartName="/xl/ctrlProps/ctrlProp14.xml" ContentType="application/vnd.ms-excel.controlproperties+xml"/>
  <Override PartName="/xl/ctrlProps/ctrlProp8.xml" ContentType="application/vnd.ms-excel.controlproperties+xml"/>
  <Override PartName="/xl/worksheets/sheet1.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charts/chart54.xml" ContentType="application/vnd.openxmlformats-officedocument.drawingml.chart+xml"/>
  <Override PartName="/xl/ctrlProps/ctrlProp21.xml" ContentType="application/vnd.ms-excel.controlproperties+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trlProps/ctrlProp10.xml" ContentType="application/vnd.ms-excel.controlproperties+xml"/>
  <Override PartName="/xl/ctrlProps/ctrlProp4.xml" ContentType="application/vnd.ms-excel.controlproperties+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7710" yWindow="195" windowWidth="19785" windowHeight="11730" tabRatio="773"/>
  </bookViews>
  <sheets>
    <sheet name="メイン" sheetId="2" r:id="rId1"/>
    <sheet name="結果" sheetId="4" r:id="rId2"/>
    <sheet name="スコア" sheetId="5" r:id="rId3"/>
    <sheet name="配慮" sheetId="7" r:id="rId4"/>
    <sheet name="係数" sheetId="3" r:id="rId5"/>
    <sheet name="採点Q1" sheetId="8" r:id="rId6"/>
    <sheet name="採点Q2" sheetId="9" r:id="rId7"/>
    <sheet name="採点Q3" sheetId="10" r:id="rId8"/>
    <sheet name="採点LR1" sheetId="11" r:id="rId9"/>
    <sheet name="計画書" sheetId="20" r:id="rId10"/>
    <sheet name="境界値" sheetId="21" r:id="rId11"/>
    <sheet name="採点LR2" sheetId="13" r:id="rId12"/>
    <sheet name="採点LR3" sheetId="14" r:id="rId13"/>
    <sheet name="CO2計算" sheetId="6" r:id="rId14"/>
    <sheet name="独自ｼｽﾃﾑ" sheetId="24" r:id="rId15"/>
    <sheet name="高評価資料" sheetId="26" r:id="rId16"/>
    <sheet name="重み" sheetId="18" r:id="rId17"/>
    <sheet name="条件(標準)" sheetId="16" r:id="rId18"/>
    <sheet name="条件(個別)" sheetId="17" r:id="rId19"/>
    <sheet name="CO2データ" sheetId="15" r:id="rId20"/>
    <sheet name="クレジット" sheetId="19" r:id="rId21"/>
  </sheets>
  <definedNames>
    <definedName name="_xlnm._FilterDatabase" localSheetId="5" hidden="1">採点Q1!#REF!</definedName>
    <definedName name="_xlnm.Print_Area" localSheetId="19">CO2データ!$A$1:$R$278</definedName>
    <definedName name="_xlnm.Print_Area" localSheetId="13">CO2計算!$B$1:$Z$178</definedName>
    <definedName name="_xlnm.Print_Area" localSheetId="20">クレジット!$A$1:$S$37</definedName>
    <definedName name="_xlnm.Print_Area" localSheetId="2">スコア!$A$1:$S$181</definedName>
    <definedName name="_xlnm.Print_Area" localSheetId="0">メイン!$A$1:$G$72</definedName>
    <definedName name="_xlnm.Print_Area" localSheetId="4">係数!$A$1:$L$48</definedName>
    <definedName name="_xlnm.Print_Area" localSheetId="9">計画書!$1:$121</definedName>
    <definedName name="_xlnm.Print_Area" localSheetId="1">結果!$A$1:$P$97</definedName>
    <definedName name="_xlnm.Print_Area" localSheetId="15">高評価資料!$B$1:$F$110</definedName>
    <definedName name="_xlnm.Print_Area" localSheetId="8">採点LR1!$C$1:$P$174</definedName>
    <definedName name="_xlnm.Print_Area" localSheetId="11">採点LR2!$C$1:$P$281</definedName>
    <definedName name="_xlnm.Print_Area" localSheetId="12">採点LR3!$D$1:$O$239</definedName>
    <definedName name="_xlnm.Print_Area" localSheetId="5">採点Q1!$D$1:$P$447</definedName>
    <definedName name="_xlnm.Print_Area" localSheetId="6">採点Q2!$C$1:$P$434</definedName>
    <definedName name="_xlnm.Print_Area" localSheetId="16">重み!$A$1:$CD$180</definedName>
    <definedName name="_xlnm.Print_Area" localSheetId="18">'条件(個別)'!$A$1:$F$90</definedName>
    <definedName name="_xlnm.Print_Area" localSheetId="14">独自ｼｽﾃﾑ!$A$1:$O$110</definedName>
    <definedName name="_xlnm.Print_Titles" localSheetId="15">高評価資料!$5:$5</definedName>
    <definedName name="_xlnm.Print_Titles" localSheetId="16">重み!$5:$6</definedName>
    <definedName name="Z_047384A4_E844_4BB4_B522_1CE13C4699E4_.wvu.Cols" localSheetId="19" hidden="1">CO2データ!$G:$H,CO2データ!$S:$IV</definedName>
    <definedName name="Z_047384A4_E844_4BB4_B522_1CE13C4699E4_.wvu.Cols" localSheetId="13" hidden="1">CO2計算!$Q:$IV</definedName>
    <definedName name="Z_047384A4_E844_4BB4_B522_1CE13C4699E4_.wvu.Cols" localSheetId="20" hidden="1">クレジット!$T:$IV</definedName>
    <definedName name="Z_047384A4_E844_4BB4_B522_1CE13C4699E4_.wvu.Cols" localSheetId="2" hidden="1">スコア!$G:$G,スコア!$X:$IY</definedName>
    <definedName name="Z_047384A4_E844_4BB4_B522_1CE13C4699E4_.wvu.Cols" localSheetId="0" hidden="1">メイン!$I:$IV</definedName>
    <definedName name="Z_047384A4_E844_4BB4_B522_1CE13C4699E4_.wvu.Cols" localSheetId="8" hidden="1">採点LR1!$Q:$IV</definedName>
    <definedName name="Z_047384A4_E844_4BB4_B522_1CE13C4699E4_.wvu.Cols" localSheetId="11" hidden="1">採点LR2!$Q:$IV</definedName>
    <definedName name="Z_047384A4_E844_4BB4_B522_1CE13C4699E4_.wvu.Cols" localSheetId="12" hidden="1">採点LR3!$Q:$IV</definedName>
    <definedName name="Z_047384A4_E844_4BB4_B522_1CE13C4699E4_.wvu.Cols" localSheetId="5" hidden="1">採点Q1!$Q:$IV</definedName>
    <definedName name="Z_047384A4_E844_4BB4_B522_1CE13C4699E4_.wvu.Cols" localSheetId="6" hidden="1">採点Q2!$Q:$IV</definedName>
    <definedName name="Z_047384A4_E844_4BB4_B522_1CE13C4699E4_.wvu.Cols" localSheetId="7" hidden="1">採点Q3!$Q:$IV</definedName>
    <definedName name="Z_047384A4_E844_4BB4_B522_1CE13C4699E4_.wvu.Cols" localSheetId="16"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3" hidden="1">配慮!$G:$IV</definedName>
    <definedName name="Z_047384A4_E844_4BB4_B522_1CE13C4699E4_.wvu.PrintArea" localSheetId="19" hidden="1">CO2データ!$A$1:$R$278</definedName>
    <definedName name="Z_047384A4_E844_4BB4_B522_1CE13C4699E4_.wvu.PrintArea" localSheetId="13" hidden="1">CO2計算!$B$1:$Z$178</definedName>
    <definedName name="Z_047384A4_E844_4BB4_B522_1CE13C4699E4_.wvu.PrintArea" localSheetId="20" hidden="1">クレジット!$A$1:$S$37</definedName>
    <definedName name="Z_047384A4_E844_4BB4_B522_1CE13C4699E4_.wvu.PrintArea" localSheetId="2" hidden="1">スコア!$A$1:$T$181</definedName>
    <definedName name="Z_047384A4_E844_4BB4_B522_1CE13C4699E4_.wvu.PrintArea" localSheetId="0" hidden="1">メイン!$A$1:$G$70</definedName>
    <definedName name="Z_047384A4_E844_4BB4_B522_1CE13C4699E4_.wvu.PrintArea" localSheetId="1" hidden="1">結果!$A$1:$P$97</definedName>
    <definedName name="Z_047384A4_E844_4BB4_B522_1CE13C4699E4_.wvu.PrintArea" localSheetId="8" hidden="1">採点LR1!$C$1:$P$173</definedName>
    <definedName name="Z_047384A4_E844_4BB4_B522_1CE13C4699E4_.wvu.PrintArea" localSheetId="11" hidden="1">採点LR2!$C$1:$P$253</definedName>
    <definedName name="Z_047384A4_E844_4BB4_B522_1CE13C4699E4_.wvu.PrintArea" localSheetId="12" hidden="1">採点LR3!$C$1:$P$240</definedName>
    <definedName name="Z_047384A4_E844_4BB4_B522_1CE13C4699E4_.wvu.PrintArea" localSheetId="5" hidden="1">採点Q1!$A$1:$P$448</definedName>
    <definedName name="Z_047384A4_E844_4BB4_B522_1CE13C4699E4_.wvu.PrintArea" localSheetId="6" hidden="1">採点Q2!$C$1:$P$434</definedName>
    <definedName name="Z_047384A4_E844_4BB4_B522_1CE13C4699E4_.wvu.PrintArea" localSheetId="7" hidden="1">採点Q3!$C$1:$P$136</definedName>
    <definedName name="Z_047384A4_E844_4BB4_B522_1CE13C4699E4_.wvu.PrintArea" localSheetId="16" hidden="1">重み!$A$1:$CD$180</definedName>
    <definedName name="Z_047384A4_E844_4BB4_B522_1CE13C4699E4_.wvu.PrintTitles" localSheetId="16" hidden="1">重み!$5:$6</definedName>
    <definedName name="Z_047384A4_E844_4BB4_B522_1CE13C4699E4_.wvu.Rows" localSheetId="19" hidden="1">CO2データ!$280:$65543,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$189:$189,CO2データ!#REF!,CO2データ!#REF!,CO2データ!#REF!,CO2データ!$270:$270,CO2データ!$279:$279</definedName>
    <definedName name="Z_047384A4_E844_4BB4_B522_1CE13C4699E4_.wvu.Rows" localSheetId="13" hidden="1">CO2計算!$174:$65538,CO2計算!$26:$99,CO2計算!$138:$173</definedName>
    <definedName name="Z_047384A4_E844_4BB4_B522_1CE13C4699E4_.wvu.Rows" localSheetId="20" hidden="1">クレジット!$39:$65536,クレジット!$38:$38</definedName>
    <definedName name="Z_047384A4_E844_4BB4_B522_1CE13C4699E4_.wvu.Rows" localSheetId="2" hidden="1">スコア!$182:$65536,スコア!$32:$33,スコア!$74:$74,スコア!$87:$89,スコア!$96:$96,スコア!$115:$115,スコア!$120:$121,スコア!$125:$132</definedName>
    <definedName name="Z_047384A4_E844_4BB4_B522_1CE13C4699E4_.wvu.Rows" localSheetId="0" hidden="1">メイン!$108:$65536,メイン!$89:$107</definedName>
    <definedName name="Z_047384A4_E844_4BB4_B522_1CE13C4699E4_.wvu.Rows" localSheetId="1" hidden="1">結果!$215:$65536,結果!$17:$20,結果!$71:$92,結果!$98:$214</definedName>
    <definedName name="Z_047384A4_E844_4BB4_B522_1CE13C4699E4_.wvu.Rows" localSheetId="8" hidden="1">採点LR1!$335:$65561,採点LR1!#REF!,採点LR1!#REF!,採点LR1!$174:$333</definedName>
    <definedName name="Z_047384A4_E844_4BB4_B522_1CE13C4699E4_.wvu.Rows" localSheetId="11" hidden="1">採点LR2!$576:$65552,採点LR2!$212:$212,採点LR2!$254:$575</definedName>
    <definedName name="Z_047384A4_E844_4BB4_B522_1CE13C4699E4_.wvu.Rows" localSheetId="12" hidden="1">採点LR3!$241:$65535,採点LR3!#REF!,採点LR3!#REF!</definedName>
    <definedName name="Z_047384A4_E844_4BB4_B522_1CE13C4699E4_.wvu.Rows" localSheetId="5" hidden="1">採点Q1!$649:$65542,採点Q1!#REF!,採点Q1!$449:$648</definedName>
    <definedName name="Z_047384A4_E844_4BB4_B522_1CE13C4699E4_.wvu.Rows" localSheetId="6" hidden="1">採点Q2!$439:$65546,採点Q2!$176:$196,採点Q2!$236:$236,採点Q2!#REF!,採点Q2!$402:$426</definedName>
    <definedName name="Z_047384A4_E844_4BB4_B522_1CE13C4699E4_.wvu.Rows" localSheetId="7" hidden="1">採点Q3!$264:$65540,採点Q3!$116:$262</definedName>
    <definedName name="Z_047384A4_E844_4BB4_B522_1CE13C4699E4_.wvu.Rows" localSheetId="16" hidden="1">重み!$219:$65536,重み!$32:$33,重み!$96:$96,重み!$115:$115,重み!$132:$132,重み!$182:$218</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3" hidden="1">配慮!$18:$65536,配慮!$13:$17</definedName>
  </definedNames>
  <calcPr calcId="125725"/>
</workbook>
</file>

<file path=xl/calcChain.xml><?xml version="1.0" encoding="utf-8"?>
<calcChain xmlns="http://schemas.openxmlformats.org/spreadsheetml/2006/main">
  <c r="BK125" i="5"/>
  <c r="BK42"/>
  <c r="L69" i="4" l="1"/>
  <c r="H69"/>
  <c r="B69"/>
  <c r="L67"/>
  <c r="H67"/>
  <c r="B67"/>
  <c r="L65"/>
  <c r="B65"/>
  <c r="N47" i="24" l="1"/>
  <c r="N46"/>
  <c r="N34" l="1"/>
  <c r="Q86" l="1"/>
  <c r="Q85"/>
  <c r="Q82"/>
  <c r="Q79"/>
  <c r="Q71"/>
  <c r="Q70"/>
  <c r="Q66"/>
  <c r="Q61"/>
  <c r="Q56"/>
  <c r="N51" s="1"/>
  <c r="Q55"/>
  <c r="Q54"/>
  <c r="Q53"/>
  <c r="Q52"/>
  <c r="Q48"/>
  <c r="Q47"/>
  <c r="Q46"/>
  <c r="Q42"/>
  <c r="Q41"/>
  <c r="Q40"/>
  <c r="N45" l="1"/>
  <c r="Q34" l="1"/>
  <c r="Q32"/>
  <c r="Q30"/>
  <c r="N86" l="1"/>
  <c r="N85"/>
  <c r="G88" i="11"/>
  <c r="N82" i="24"/>
  <c r="N76"/>
  <c r="N71" l="1"/>
  <c r="N70"/>
  <c r="N66"/>
  <c r="N61" l="1"/>
  <c r="N55"/>
  <c r="N54"/>
  <c r="N53"/>
  <c r="H55"/>
  <c r="H54"/>
  <c r="N48"/>
  <c r="N42"/>
  <c r="N41"/>
  <c r="N40"/>
  <c r="N30" l="1"/>
  <c r="H34"/>
  <c r="H33"/>
  <c r="H32"/>
  <c r="H31"/>
  <c r="H30"/>
  <c r="D11" l="1"/>
  <c r="D9"/>
  <c r="K12" l="1"/>
  <c r="K11"/>
  <c r="Q99" l="1"/>
  <c r="M99" s="1"/>
  <c r="M51"/>
  <c r="M45"/>
  <c r="Q29"/>
  <c r="BL180" i="5" l="1"/>
  <c r="BL179"/>
  <c r="BL177"/>
  <c r="BL176"/>
  <c r="BL175"/>
  <c r="BL173"/>
  <c r="BL172"/>
  <c r="BL171"/>
  <c r="BL168"/>
  <c r="BL167"/>
  <c r="BL166"/>
  <c r="BL165"/>
  <c r="BL163"/>
  <c r="BL162"/>
  <c r="BL160"/>
  <c r="BL158"/>
  <c r="BL157"/>
  <c r="BL156"/>
  <c r="BL154"/>
  <c r="BL152"/>
  <c r="BL151"/>
  <c r="BL150"/>
  <c r="BL149"/>
  <c r="BL148"/>
  <c r="BL147"/>
  <c r="BL145"/>
  <c r="BL144"/>
  <c r="BL142"/>
  <c r="BL139"/>
  <c r="BL138"/>
  <c r="BL136"/>
  <c r="BL135"/>
  <c r="BL132"/>
  <c r="BL131"/>
  <c r="BL130"/>
  <c r="BL129"/>
  <c r="BL128"/>
  <c r="BL127"/>
  <c r="BL126"/>
  <c r="BL125"/>
  <c r="BL119"/>
  <c r="BL118"/>
  <c r="BL114"/>
  <c r="BL113"/>
  <c r="BL111"/>
  <c r="BL110"/>
  <c r="BL108"/>
  <c r="BL107"/>
  <c r="BL106"/>
  <c r="BL105"/>
  <c r="BL104"/>
  <c r="BL103"/>
  <c r="BL101"/>
  <c r="BL100"/>
  <c r="BL99"/>
  <c r="BL95"/>
  <c r="BL94"/>
  <c r="BL93"/>
  <c r="BL92"/>
  <c r="BL91"/>
  <c r="BL89"/>
  <c r="BL88"/>
  <c r="BL87"/>
  <c r="BL85"/>
  <c r="BL84"/>
  <c r="BL83"/>
  <c r="BL82"/>
  <c r="BL81"/>
  <c r="BL80"/>
  <c r="BL78"/>
  <c r="BL77"/>
  <c r="BL74"/>
  <c r="BL73"/>
  <c r="BL72"/>
  <c r="BL70"/>
  <c r="BL69"/>
  <c r="BL68"/>
  <c r="BL66"/>
  <c r="BL65"/>
  <c r="BL64"/>
  <c r="BL60"/>
  <c r="BL59"/>
  <c r="BL56"/>
  <c r="BL55"/>
  <c r="BL54"/>
  <c r="BL50"/>
  <c r="BL49"/>
  <c r="BL46"/>
  <c r="BL45"/>
  <c r="BL44"/>
  <c r="BL43"/>
  <c r="BL42"/>
  <c r="BL41"/>
  <c r="BL38"/>
  <c r="BL37"/>
  <c r="BL36"/>
  <c r="BL33"/>
  <c r="BL32"/>
  <c r="BL30"/>
  <c r="BL29"/>
  <c r="BL28"/>
  <c r="BL27"/>
  <c r="BL26"/>
  <c r="BL25"/>
  <c r="BL24"/>
  <c r="BL23"/>
  <c r="BL22"/>
  <c r="BL19"/>
  <c r="BL18"/>
  <c r="BL17"/>
  <c r="BL16"/>
  <c r="BL15"/>
  <c r="BL11"/>
  <c r="BL123" l="1"/>
  <c r="BL122"/>
  <c r="BL121"/>
  <c r="BL120"/>
  <c r="BL115"/>
  <c r="BL96"/>
  <c r="BL57"/>
  <c r="BL52"/>
  <c r="BL51"/>
  <c r="BL40"/>
  <c r="BL13"/>
  <c r="BL12"/>
  <c r="H47" i="13" l="1"/>
  <c r="F29" s="1"/>
  <c r="F160"/>
  <c r="F159"/>
  <c r="F158"/>
  <c r="F157"/>
  <c r="F156"/>
  <c r="F40" i="10"/>
  <c r="F39"/>
  <c r="F38"/>
  <c r="F37"/>
  <c r="F36"/>
  <c r="G30" l="1"/>
  <c r="N48" i="9"/>
  <c r="M51" s="1"/>
  <c r="K48"/>
  <c r="F51" s="1"/>
  <c r="F43"/>
  <c r="M42"/>
  <c r="F42"/>
  <c r="M41"/>
  <c r="F41"/>
  <c r="M40"/>
  <c r="F40"/>
  <c r="M39"/>
  <c r="F39"/>
  <c r="M37"/>
  <c r="M43" s="1"/>
  <c r="F37"/>
  <c r="F32"/>
  <c r="F31"/>
  <c r="F30"/>
  <c r="F29"/>
  <c r="F28"/>
  <c r="AB3" i="20" l="1"/>
  <c r="Z4"/>
  <c r="Z3"/>
  <c r="V4"/>
  <c r="V3"/>
  <c r="E75" i="17" l="1"/>
  <c r="S102" i="20"/>
  <c r="S103"/>
  <c r="S101"/>
  <c r="S98"/>
  <c r="S99"/>
  <c r="S100"/>
  <c r="Q112" l="1"/>
  <c r="N112"/>
  <c r="H42" i="21" l="1"/>
  <c r="H41"/>
  <c r="H40"/>
  <c r="H39"/>
  <c r="H38"/>
  <c r="H37"/>
  <c r="H36"/>
  <c r="H35"/>
  <c r="H34"/>
  <c r="H33"/>
  <c r="H32"/>
  <c r="H31"/>
  <c r="H29"/>
  <c r="H28"/>
  <c r="I27" i="20" l="1"/>
  <c r="X36"/>
  <c r="Y36" s="1"/>
  <c r="AB36"/>
  <c r="AC36" s="1"/>
  <c r="R9" i="5" l="1"/>
  <c r="Q23"/>
  <c r="Q25"/>
  <c r="O27"/>
  <c r="Q28"/>
  <c r="Q29"/>
  <c r="Q32"/>
  <c r="Q33"/>
  <c r="O37"/>
  <c r="O44"/>
  <c r="Q44"/>
  <c r="O45"/>
  <c r="Q45"/>
  <c r="Q59"/>
  <c r="Q60"/>
  <c r="O61"/>
  <c r="Q61"/>
  <c r="R61"/>
  <c r="Q66"/>
  <c r="Q69"/>
  <c r="Q72"/>
  <c r="Q73"/>
  <c r="Q74"/>
  <c r="Q77"/>
  <c r="Q78"/>
  <c r="Q80"/>
  <c r="Q81"/>
  <c r="Q82"/>
  <c r="Q83"/>
  <c r="Q84"/>
  <c r="Q85"/>
  <c r="Q87"/>
  <c r="Q88"/>
  <c r="Q89"/>
  <c r="Q91"/>
  <c r="Q92"/>
  <c r="Q93"/>
  <c r="Q94"/>
  <c r="Q95"/>
  <c r="O96"/>
  <c r="Q96"/>
  <c r="Q103"/>
  <c r="Q104"/>
  <c r="Q105"/>
  <c r="Q106"/>
  <c r="Q107"/>
  <c r="Q108"/>
  <c r="O109"/>
  <c r="Q109"/>
  <c r="R109"/>
  <c r="Q110"/>
  <c r="Q111"/>
  <c r="Q113"/>
  <c r="Q114"/>
  <c r="O115"/>
  <c r="Q115"/>
  <c r="O116"/>
  <c r="Q116"/>
  <c r="R116"/>
  <c r="O117"/>
  <c r="Q117"/>
  <c r="R117"/>
  <c r="Q118"/>
  <c r="Q120"/>
  <c r="O122"/>
  <c r="Q122"/>
  <c r="O123"/>
  <c r="Q123"/>
  <c r="Q125"/>
  <c r="Q126"/>
  <c r="Q127"/>
  <c r="O128"/>
  <c r="Q128"/>
  <c r="Q129"/>
  <c r="O130"/>
  <c r="Q130"/>
  <c r="O131"/>
  <c r="Q131"/>
  <c r="Q132"/>
  <c r="Q135"/>
  <c r="Q136"/>
  <c r="Q138"/>
  <c r="Q139"/>
  <c r="O140"/>
  <c r="Q140"/>
  <c r="R140"/>
  <c r="Q142"/>
  <c r="Q144"/>
  <c r="Q145"/>
  <c r="Q147"/>
  <c r="Q148"/>
  <c r="Q149"/>
  <c r="Q150"/>
  <c r="Q151"/>
  <c r="Q152"/>
  <c r="Q154"/>
  <c r="Q156"/>
  <c r="Q157"/>
  <c r="Q158"/>
  <c r="O159"/>
  <c r="Q159"/>
  <c r="R159"/>
  <c r="Q160"/>
  <c r="Q162"/>
  <c r="Q163"/>
  <c r="Q165"/>
  <c r="Q166"/>
  <c r="Q167"/>
  <c r="Q168"/>
  <c r="Q171"/>
  <c r="Q172"/>
  <c r="Q173"/>
  <c r="U32" l="1"/>
  <c r="O32" s="1"/>
  <c r="U33"/>
  <c r="O33" s="1"/>
  <c r="U31" l="1"/>
  <c r="I88" i="15" l="1"/>
  <c r="I18" i="21" l="1"/>
  <c r="I17"/>
  <c r="I16"/>
  <c r="I15"/>
  <c r="J20"/>
  <c r="N74" i="20" s="1"/>
  <c r="I125" i="6" s="1"/>
  <c r="Q180" i="18"/>
  <c r="P180"/>
  <c r="Q179"/>
  <c r="P179"/>
  <c r="Q178"/>
  <c r="P178"/>
  <c r="Q177"/>
  <c r="P177"/>
  <c r="Q176"/>
  <c r="P176"/>
  <c r="Q175"/>
  <c r="P175"/>
  <c r="Q174"/>
  <c r="P174"/>
  <c r="Q173"/>
  <c r="P173"/>
  <c r="Q172"/>
  <c r="P172"/>
  <c r="Q171"/>
  <c r="P171"/>
  <c r="Q170"/>
  <c r="P170"/>
  <c r="Q169"/>
  <c r="P169"/>
  <c r="Q168"/>
  <c r="P168"/>
  <c r="Q167"/>
  <c r="P167"/>
  <c r="Q166"/>
  <c r="P166"/>
  <c r="Q165"/>
  <c r="P165"/>
  <c r="Q164"/>
  <c r="P164"/>
  <c r="Q163"/>
  <c r="P163"/>
  <c r="Q162"/>
  <c r="P162"/>
  <c r="Q161"/>
  <c r="P161"/>
  <c r="Q160"/>
  <c r="P160"/>
  <c r="Q159"/>
  <c r="P159"/>
  <c r="Q158"/>
  <c r="P158"/>
  <c r="Q157"/>
  <c r="P157"/>
  <c r="Q156"/>
  <c r="P156"/>
  <c r="Q155"/>
  <c r="P155"/>
  <c r="Q154"/>
  <c r="P154"/>
  <c r="Q153"/>
  <c r="P153"/>
  <c r="Q152"/>
  <c r="P152"/>
  <c r="Q151"/>
  <c r="P151"/>
  <c r="Q150"/>
  <c r="P150"/>
  <c r="Q149"/>
  <c r="P149"/>
  <c r="Q148"/>
  <c r="P148"/>
  <c r="Q147"/>
  <c r="P147"/>
  <c r="Q146"/>
  <c r="P146"/>
  <c r="Q145"/>
  <c r="P145"/>
  <c r="Q144"/>
  <c r="P144"/>
  <c r="Q143"/>
  <c r="P143"/>
  <c r="Q142"/>
  <c r="P142"/>
  <c r="Q141"/>
  <c r="P141"/>
  <c r="Q140"/>
  <c r="P140"/>
  <c r="Q139"/>
  <c r="P139"/>
  <c r="Q138"/>
  <c r="P138"/>
  <c r="Q137"/>
  <c r="P137"/>
  <c r="Q136"/>
  <c r="P136"/>
  <c r="Q135"/>
  <c r="P135"/>
  <c r="Q134"/>
  <c r="P134"/>
  <c r="Q133"/>
  <c r="P133"/>
  <c r="Q132"/>
  <c r="P132"/>
  <c r="Q131"/>
  <c r="P131"/>
  <c r="Q130"/>
  <c r="P130"/>
  <c r="Q129"/>
  <c r="P129"/>
  <c r="Q128"/>
  <c r="P128"/>
  <c r="Q127"/>
  <c r="P127"/>
  <c r="Q126"/>
  <c r="P126"/>
  <c r="Q125"/>
  <c r="P125"/>
  <c r="Q124"/>
  <c r="P124"/>
  <c r="Q123"/>
  <c r="P123"/>
  <c r="Q122"/>
  <c r="P122"/>
  <c r="Q121"/>
  <c r="P121"/>
  <c r="Q120"/>
  <c r="P120"/>
  <c r="Q119"/>
  <c r="P119"/>
  <c r="Q118"/>
  <c r="P118"/>
  <c r="Q117"/>
  <c r="P117"/>
  <c r="Q116"/>
  <c r="P116"/>
  <c r="Q115"/>
  <c r="P115"/>
  <c r="Q114"/>
  <c r="P114"/>
  <c r="Q113"/>
  <c r="P113"/>
  <c r="Q112"/>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Q93"/>
  <c r="P93"/>
  <c r="Q92"/>
  <c r="P92"/>
  <c r="Q91"/>
  <c r="P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F74" i="20" l="1"/>
  <c r="O170" i="15" l="1"/>
  <c r="P170"/>
  <c r="N170"/>
  <c r="T75" i="20" s="1"/>
  <c r="E42" i="21"/>
  <c r="R62" i="2"/>
  <c r="R48"/>
  <c r="E28" i="21" s="1"/>
  <c r="R47" i="2"/>
  <c r="E26" i="21" s="1"/>
  <c r="C126" i="18" l="1"/>
  <c r="H116" i="14" l="1"/>
  <c r="F101"/>
  <c r="K190" i="13"/>
  <c r="G196" i="9"/>
  <c r="F186"/>
  <c r="F114"/>
  <c r="G166"/>
  <c r="F154" s="1"/>
  <c r="G112"/>
  <c r="F104" s="1"/>
  <c r="G121"/>
  <c r="M1" i="21" l="1"/>
  <c r="K25"/>
  <c r="L32" l="1"/>
  <c r="L35"/>
  <c r="M41"/>
  <c r="L36"/>
  <c r="M28"/>
  <c r="M38"/>
  <c r="M35"/>
  <c r="L30"/>
  <c r="L40"/>
  <c r="M26"/>
  <c r="L27"/>
  <c r="M30"/>
  <c r="M32"/>
  <c r="L34"/>
  <c r="L37"/>
  <c r="L39"/>
  <c r="M40"/>
  <c r="L42"/>
  <c r="M27"/>
  <c r="L29"/>
  <c r="L31"/>
  <c r="L33"/>
  <c r="M34"/>
  <c r="M37"/>
  <c r="M39"/>
  <c r="L41"/>
  <c r="M42"/>
  <c r="L26"/>
  <c r="L28"/>
  <c r="M29"/>
  <c r="M31"/>
  <c r="M33"/>
  <c r="M36"/>
  <c r="L38"/>
  <c r="Q3" i="18"/>
  <c r="AR3" i="5" l="1"/>
  <c r="AR2"/>
  <c r="AY75"/>
  <c r="AR168"/>
  <c r="AR167"/>
  <c r="AR166"/>
  <c r="AR165"/>
  <c r="AR164"/>
  <c r="AR163"/>
  <c r="AR162"/>
  <c r="AR152"/>
  <c r="AR151"/>
  <c r="AR150"/>
  <c r="AR149"/>
  <c r="AR148"/>
  <c r="AR147"/>
  <c r="AR145"/>
  <c r="AR144"/>
  <c r="AR143"/>
  <c r="AR142"/>
  <c r="AR132"/>
  <c r="AR131"/>
  <c r="AR130"/>
  <c r="AR129"/>
  <c r="AR128"/>
  <c r="AR127"/>
  <c r="AR126"/>
  <c r="AR125"/>
  <c r="AR123"/>
  <c r="AR122"/>
  <c r="AR121"/>
  <c r="AR120"/>
  <c r="AR96"/>
  <c r="AR95"/>
  <c r="AR94"/>
  <c r="AR93"/>
  <c r="AR92"/>
  <c r="AR91"/>
  <c r="AR90"/>
  <c r="AR89"/>
  <c r="AR88"/>
  <c r="AR87"/>
  <c r="AR86"/>
  <c r="AR85"/>
  <c r="AR84"/>
  <c r="AR83"/>
  <c r="AR82"/>
  <c r="AR81"/>
  <c r="AR80"/>
  <c r="AR79"/>
  <c r="AR78"/>
  <c r="AR77"/>
  <c r="AR76"/>
  <c r="AR74"/>
  <c r="AR73"/>
  <c r="AR72"/>
  <c r="AR71"/>
  <c r="AR70"/>
  <c r="AR69"/>
  <c r="AR68"/>
  <c r="AR67"/>
  <c r="AR66"/>
  <c r="AR65"/>
  <c r="AR64"/>
  <c r="AR63"/>
  <c r="AR46"/>
  <c r="AR45"/>
  <c r="AR44"/>
  <c r="AR43"/>
  <c r="AR42"/>
  <c r="AR41"/>
  <c r="AR40"/>
  <c r="AR39"/>
  <c r="AR38"/>
  <c r="AR37"/>
  <c r="AR36"/>
  <c r="AR35"/>
  <c r="AR33"/>
  <c r="AR32"/>
  <c r="AR31"/>
  <c r="AR30"/>
  <c r="AR29"/>
  <c r="AR28"/>
  <c r="AR27"/>
  <c r="AR26"/>
  <c r="AR25"/>
  <c r="AR24"/>
  <c r="AR23"/>
  <c r="AR22"/>
  <c r="AR21"/>
  <c r="BH169" l="1"/>
  <c r="BG169"/>
  <c r="BF169"/>
  <c r="BE169"/>
  <c r="BD169"/>
  <c r="BC169"/>
  <c r="BB169"/>
  <c r="BA169"/>
  <c r="AZ169"/>
  <c r="AY169"/>
  <c r="BH161"/>
  <c r="BG161"/>
  <c r="BF161"/>
  <c r="BE161"/>
  <c r="BD161"/>
  <c r="BC161"/>
  <c r="BB161"/>
  <c r="BA161"/>
  <c r="AZ161"/>
  <c r="AY161"/>
  <c r="BH160"/>
  <c r="BG160"/>
  <c r="BF160"/>
  <c r="BE160"/>
  <c r="BD160"/>
  <c r="BC160"/>
  <c r="BB160"/>
  <c r="BA160"/>
  <c r="AZ160"/>
  <c r="AY160"/>
  <c r="BH153"/>
  <c r="BG153"/>
  <c r="BF153"/>
  <c r="BE153"/>
  <c r="BD153"/>
  <c r="BC153"/>
  <c r="BB153"/>
  <c r="BA153"/>
  <c r="AZ153"/>
  <c r="AY153"/>
  <c r="BH146"/>
  <c r="BG146"/>
  <c r="BF146"/>
  <c r="BE146"/>
  <c r="BD146"/>
  <c r="BC146"/>
  <c r="BB146"/>
  <c r="BA146"/>
  <c r="AZ146"/>
  <c r="AY146"/>
  <c r="BH141"/>
  <c r="BG141"/>
  <c r="BF141"/>
  <c r="BE141"/>
  <c r="BD141"/>
  <c r="BC141"/>
  <c r="BB141"/>
  <c r="BA141"/>
  <c r="AZ141"/>
  <c r="AY141"/>
  <c r="BH133"/>
  <c r="BG133"/>
  <c r="BF133"/>
  <c r="BE133"/>
  <c r="BD133"/>
  <c r="BC133"/>
  <c r="BB133"/>
  <c r="BA133"/>
  <c r="AZ133"/>
  <c r="AY133"/>
  <c r="BH124"/>
  <c r="BG124"/>
  <c r="BF124"/>
  <c r="BE124"/>
  <c r="BD124"/>
  <c r="BC124"/>
  <c r="BB124"/>
  <c r="BA124"/>
  <c r="AZ124"/>
  <c r="AY124"/>
  <c r="BH119"/>
  <c r="BG119"/>
  <c r="BF119"/>
  <c r="BE119"/>
  <c r="BD119"/>
  <c r="BC119"/>
  <c r="BB119"/>
  <c r="BA119"/>
  <c r="AZ119"/>
  <c r="AY119"/>
  <c r="BH118"/>
  <c r="BG118"/>
  <c r="BF118"/>
  <c r="BE118"/>
  <c r="BD118"/>
  <c r="BC118"/>
  <c r="BB118"/>
  <c r="BA118"/>
  <c r="AZ118"/>
  <c r="AY118"/>
  <c r="BH112"/>
  <c r="BG112"/>
  <c r="BF112"/>
  <c r="BE112"/>
  <c r="BD112"/>
  <c r="BC112"/>
  <c r="BB112"/>
  <c r="BA112"/>
  <c r="AZ112"/>
  <c r="AY112"/>
  <c r="BH111"/>
  <c r="BG111"/>
  <c r="BF111"/>
  <c r="BE111"/>
  <c r="BD111"/>
  <c r="BC111"/>
  <c r="BB111"/>
  <c r="BA111"/>
  <c r="AZ111"/>
  <c r="AY111"/>
  <c r="BH110"/>
  <c r="BG110"/>
  <c r="BF110"/>
  <c r="BE110"/>
  <c r="BD110"/>
  <c r="BC110"/>
  <c r="BB110"/>
  <c r="BA110"/>
  <c r="AZ110"/>
  <c r="AY110"/>
  <c r="BH97"/>
  <c r="BG97"/>
  <c r="BF97"/>
  <c r="BE97"/>
  <c r="BD97"/>
  <c r="BC97"/>
  <c r="BB97"/>
  <c r="BA97"/>
  <c r="AZ97"/>
  <c r="AY97"/>
  <c r="BH75"/>
  <c r="BG75"/>
  <c r="BF75"/>
  <c r="BE75"/>
  <c r="BD75"/>
  <c r="BC75"/>
  <c r="BB75"/>
  <c r="BA75"/>
  <c r="AZ75"/>
  <c r="BH62"/>
  <c r="BG62"/>
  <c r="BF62"/>
  <c r="BE62"/>
  <c r="BD62"/>
  <c r="BC62"/>
  <c r="BB62"/>
  <c r="BA62"/>
  <c r="AZ62"/>
  <c r="AY62"/>
  <c r="BH61"/>
  <c r="BG61"/>
  <c r="BF61"/>
  <c r="BE61"/>
  <c r="BD61"/>
  <c r="BC61"/>
  <c r="BB61"/>
  <c r="BA61"/>
  <c r="AZ61"/>
  <c r="AY61"/>
  <c r="BH47"/>
  <c r="BG47"/>
  <c r="BF47"/>
  <c r="BE47"/>
  <c r="BD47"/>
  <c r="BC47"/>
  <c r="BB47"/>
  <c r="BA47"/>
  <c r="AZ47"/>
  <c r="AY47"/>
  <c r="BH34"/>
  <c r="BG34"/>
  <c r="BF34"/>
  <c r="BE34"/>
  <c r="BD34"/>
  <c r="BC34"/>
  <c r="BB34"/>
  <c r="BA34"/>
  <c r="AZ34"/>
  <c r="AY34"/>
  <c r="BH20"/>
  <c r="BG20"/>
  <c r="BF20"/>
  <c r="BE20"/>
  <c r="BD20"/>
  <c r="BC20"/>
  <c r="BB20"/>
  <c r="BA20"/>
  <c r="AZ20"/>
  <c r="AY20"/>
  <c r="BH10"/>
  <c r="AZ10"/>
  <c r="BA10"/>
  <c r="BB10"/>
  <c r="BC10"/>
  <c r="BD10"/>
  <c r="BE10"/>
  <c r="BF10"/>
  <c r="BG10"/>
  <c r="AY10"/>
  <c r="AZ6"/>
  <c r="BA6"/>
  <c r="BB6"/>
  <c r="BC6"/>
  <c r="BD6"/>
  <c r="BE6"/>
  <c r="BF6"/>
  <c r="BG6"/>
  <c r="BH6"/>
  <c r="AY6"/>
  <c r="I53" i="20" l="1"/>
  <c r="I54"/>
  <c r="I55"/>
  <c r="I56"/>
  <c r="I52"/>
  <c r="M12" l="1"/>
  <c r="M44" l="1"/>
  <c r="M25" s="1"/>
  <c r="C64" i="2"/>
  <c r="M14" i="20" s="1"/>
  <c r="I45"/>
  <c r="V42" l="1"/>
  <c r="I44"/>
  <c r="I31" s="1"/>
  <c r="I32" s="1"/>
  <c r="F99" i="11" s="1"/>
  <c r="V27" i="20" l="1"/>
  <c r="I36"/>
  <c r="AA179" i="15" l="1"/>
  <c r="Z179"/>
  <c r="Y179"/>
  <c r="X179"/>
  <c r="W179"/>
  <c r="V179"/>
  <c r="U179"/>
  <c r="T179"/>
  <c r="AA178"/>
  <c r="Z178"/>
  <c r="Y178"/>
  <c r="X178"/>
  <c r="W178"/>
  <c r="V178"/>
  <c r="U178"/>
  <c r="T178"/>
  <c r="H57" i="20"/>
  <c r="K15" i="2" l="1"/>
  <c r="I177" i="15" s="1"/>
  <c r="E196"/>
  <c r="D196"/>
  <c r="F196"/>
  <c r="G196" l="1"/>
  <c r="H196" s="1"/>
  <c r="G197"/>
  <c r="H197" s="1"/>
  <c r="I178"/>
  <c r="I195"/>
  <c r="I182"/>
  <c r="I186"/>
  <c r="I190"/>
  <c r="I194"/>
  <c r="I179"/>
  <c r="I183"/>
  <c r="I187"/>
  <c r="I191"/>
  <c r="I181"/>
  <c r="I185"/>
  <c r="I189"/>
  <c r="I193"/>
  <c r="I180"/>
  <c r="I184"/>
  <c r="I188"/>
  <c r="I192"/>
  <c r="I197" l="1"/>
  <c r="L110" i="20" s="1"/>
  <c r="I196" i="15"/>
  <c r="E76" i="17" l="1"/>
  <c r="U55" i="5"/>
  <c r="V55"/>
  <c r="Q55" s="1"/>
  <c r="U68"/>
  <c r="O68" s="1"/>
  <c r="V68"/>
  <c r="Q68" s="1"/>
  <c r="U99"/>
  <c r="O99" s="1"/>
  <c r="K174" i="13"/>
  <c r="H125" i="6"/>
  <c r="I119" s="1"/>
  <c r="I121"/>
  <c r="H127"/>
  <c r="H126"/>
  <c r="S79" i="20"/>
  <c r="S80"/>
  <c r="S81"/>
  <c r="S82"/>
  <c r="S83"/>
  <c r="S84"/>
  <c r="S85"/>
  <c r="S86"/>
  <c r="S87"/>
  <c r="S88"/>
  <c r="S89"/>
  <c r="S90"/>
  <c r="S91"/>
  <c r="S92"/>
  <c r="S93"/>
  <c r="S78"/>
  <c r="X39"/>
  <c r="Y39" s="1"/>
  <c r="L124" i="5"/>
  <c r="H78" i="20"/>
  <c r="H79"/>
  <c r="R49" i="2"/>
  <c r="E29" i="21" s="1"/>
  <c r="H80" i="20"/>
  <c r="R50" i="2"/>
  <c r="R51"/>
  <c r="G155" i="15" s="1"/>
  <c r="H155" s="1"/>
  <c r="J82" i="20" s="1"/>
  <c r="R52" i="2"/>
  <c r="E31" i="21" s="1"/>
  <c r="H83" i="20"/>
  <c r="R53" i="2"/>
  <c r="R54"/>
  <c r="E34" i="21" s="1"/>
  <c r="R55" i="2"/>
  <c r="E35" i="21" s="1"/>
  <c r="H86" i="20"/>
  <c r="R56" i="2"/>
  <c r="R57"/>
  <c r="R58"/>
  <c r="H89" i="20"/>
  <c r="R59" i="2"/>
  <c r="R60"/>
  <c r="H14" i="21" s="1"/>
  <c r="R61" i="2"/>
  <c r="E40" i="21" s="1"/>
  <c r="H92" i="20"/>
  <c r="H93"/>
  <c r="N98"/>
  <c r="M100"/>
  <c r="N100" s="1"/>
  <c r="G47" i="11"/>
  <c r="M101" i="20" s="1"/>
  <c r="L101"/>
  <c r="C49" i="2"/>
  <c r="J49" s="1"/>
  <c r="C47"/>
  <c r="C54"/>
  <c r="J54" s="1"/>
  <c r="J56"/>
  <c r="C57"/>
  <c r="J57" s="1"/>
  <c r="J60"/>
  <c r="J61"/>
  <c r="J62"/>
  <c r="K25" i="11"/>
  <c r="J64" i="2"/>
  <c r="N48"/>
  <c r="O48" s="1"/>
  <c r="N50"/>
  <c r="N51"/>
  <c r="O51" s="1"/>
  <c r="N52"/>
  <c r="O52" s="1"/>
  <c r="N53"/>
  <c r="O53" s="1"/>
  <c r="N55"/>
  <c r="O55" s="1"/>
  <c r="N58"/>
  <c r="N59"/>
  <c r="O59" s="1"/>
  <c r="N63"/>
  <c r="O50"/>
  <c r="O58"/>
  <c r="AB39" i="20"/>
  <c r="AC39" s="1"/>
  <c r="M36"/>
  <c r="G12"/>
  <c r="V19"/>
  <c r="V22" s="1"/>
  <c r="AB49"/>
  <c r="AC49" s="1"/>
  <c r="V44"/>
  <c r="X49"/>
  <c r="Y49" s="1"/>
  <c r="M45"/>
  <c r="G65" i="11"/>
  <c r="D64" i="16"/>
  <c r="H121" i="6"/>
  <c r="L126" i="18"/>
  <c r="M52" i="20"/>
  <c r="M53"/>
  <c r="M54"/>
  <c r="M55"/>
  <c r="M56"/>
  <c r="L125" i="18"/>
  <c r="L122"/>
  <c r="L123"/>
  <c r="K123"/>
  <c r="L120"/>
  <c r="AA5" i="20"/>
  <c r="J8" s="1"/>
  <c r="AB10"/>
  <c r="AC10" s="1"/>
  <c r="X10"/>
  <c r="Y10" s="1"/>
  <c r="G25" i="11"/>
  <c r="G29" s="1"/>
  <c r="U136" i="5"/>
  <c r="O136" s="1"/>
  <c r="U135"/>
  <c r="O135" s="1"/>
  <c r="U139"/>
  <c r="O139" s="1"/>
  <c r="U138"/>
  <c r="O138" s="1"/>
  <c r="U129"/>
  <c r="X130"/>
  <c r="X131"/>
  <c r="K128" i="18"/>
  <c r="U127" i="5"/>
  <c r="O127" s="1"/>
  <c r="F37" i="11"/>
  <c r="F42" s="1"/>
  <c r="K52"/>
  <c r="K51"/>
  <c r="K50"/>
  <c r="K49"/>
  <c r="K48"/>
  <c r="L64" i="2"/>
  <c r="K57" i="8" s="1"/>
  <c r="X48" i="20"/>
  <c r="Y48" s="1"/>
  <c r="X38"/>
  <c r="Y38" s="1"/>
  <c r="AB48"/>
  <c r="AC48" s="1"/>
  <c r="AB47"/>
  <c r="AC47" s="1"/>
  <c r="AB46"/>
  <c r="AC46" s="1"/>
  <c r="X47"/>
  <c r="Y47" s="1"/>
  <c r="X46"/>
  <c r="Y46" s="1"/>
  <c r="J10"/>
  <c r="I10"/>
  <c r="AB38"/>
  <c r="AC38" s="1"/>
  <c r="AB37"/>
  <c r="AC37" s="1"/>
  <c r="X37"/>
  <c r="Y37" s="1"/>
  <c r="X27"/>
  <c r="AB24"/>
  <c r="AC24" s="1"/>
  <c r="AB21"/>
  <c r="AC21" s="1"/>
  <c r="AB23"/>
  <c r="AC23" s="1"/>
  <c r="AB22"/>
  <c r="AC22" s="1"/>
  <c r="AA12"/>
  <c r="R64" i="2"/>
  <c r="F239" i="14"/>
  <c r="F238"/>
  <c r="F237"/>
  <c r="F236"/>
  <c r="F235"/>
  <c r="R65" i="2"/>
  <c r="G152" i="15"/>
  <c r="H152" s="1"/>
  <c r="J79" i="20" s="1"/>
  <c r="G153" i="15"/>
  <c r="H153" s="1"/>
  <c r="J80" i="20" s="1"/>
  <c r="G156" i="15"/>
  <c r="H156" s="1"/>
  <c r="J83" i="20" s="1"/>
  <c r="G159" i="15"/>
  <c r="H159" s="1"/>
  <c r="J86" i="20" s="1"/>
  <c r="G164" i="15"/>
  <c r="H164" s="1"/>
  <c r="J91" i="20" s="1"/>
  <c r="G166" i="15"/>
  <c r="H166" s="1"/>
  <c r="J93" i="20" s="1"/>
  <c r="G167" i="15"/>
  <c r="H167" s="1"/>
  <c r="D43" i="2"/>
  <c r="H168" i="15"/>
  <c r="H169"/>
  <c r="D83" i="3"/>
  <c r="D16" s="1"/>
  <c r="P7" s="1"/>
  <c r="D5" s="1"/>
  <c r="O167" i="15"/>
  <c r="P167"/>
  <c r="Q167"/>
  <c r="O149"/>
  <c r="I101"/>
  <c r="P149" s="1"/>
  <c r="O73" i="11"/>
  <c r="I67" i="15"/>
  <c r="J67"/>
  <c r="K67"/>
  <c r="L67"/>
  <c r="M67"/>
  <c r="N67"/>
  <c r="O67"/>
  <c r="P67"/>
  <c r="Q67"/>
  <c r="I70"/>
  <c r="J70"/>
  <c r="K70"/>
  <c r="L70"/>
  <c r="M70"/>
  <c r="N70"/>
  <c r="O70"/>
  <c r="P70"/>
  <c r="Q70"/>
  <c r="I73"/>
  <c r="J73"/>
  <c r="K73"/>
  <c r="O73"/>
  <c r="P73"/>
  <c r="Q73"/>
  <c r="O3" i="11"/>
  <c r="U3"/>
  <c r="F70" i="2"/>
  <c r="AE8" i="18" s="1"/>
  <c r="AB7" i="20"/>
  <c r="AC7" s="1"/>
  <c r="AB9"/>
  <c r="AC9" s="1"/>
  <c r="AB8"/>
  <c r="AC8" s="1"/>
  <c r="X8"/>
  <c r="Y8" s="1"/>
  <c r="X9"/>
  <c r="Y9" s="1"/>
  <c r="X7"/>
  <c r="Y7" s="1"/>
  <c r="I8"/>
  <c r="H6"/>
  <c r="F20" i="6"/>
  <c r="V15" i="5"/>
  <c r="V16"/>
  <c r="Q16" s="1"/>
  <c r="V17"/>
  <c r="V18"/>
  <c r="Q18" s="1"/>
  <c r="L139" i="18"/>
  <c r="L138"/>
  <c r="L136"/>
  <c r="L135"/>
  <c r="K143" i="11"/>
  <c r="K142"/>
  <c r="K141"/>
  <c r="K140"/>
  <c r="K139"/>
  <c r="K173"/>
  <c r="K172"/>
  <c r="K171"/>
  <c r="K170"/>
  <c r="K169"/>
  <c r="N2" i="20"/>
  <c r="D88" i="3"/>
  <c r="F327" i="9"/>
  <c r="K308"/>
  <c r="G308"/>
  <c r="G295"/>
  <c r="G287" s="1"/>
  <c r="O7" i="3"/>
  <c r="C5" s="1"/>
  <c r="J95" i="15" s="1"/>
  <c r="F88" i="3"/>
  <c r="F83"/>
  <c r="I7"/>
  <c r="J7"/>
  <c r="I8"/>
  <c r="J8"/>
  <c r="I9"/>
  <c r="J9"/>
  <c r="I10"/>
  <c r="J10"/>
  <c r="I11"/>
  <c r="J11"/>
  <c r="I12"/>
  <c r="J12"/>
  <c r="I13"/>
  <c r="J13"/>
  <c r="I14"/>
  <c r="J14"/>
  <c r="I15"/>
  <c r="J15"/>
  <c r="I16"/>
  <c r="J16"/>
  <c r="I17"/>
  <c r="J17"/>
  <c r="I18"/>
  <c r="J18"/>
  <c r="I19"/>
  <c r="J19"/>
  <c r="I20"/>
  <c r="J20"/>
  <c r="I21"/>
  <c r="J21"/>
  <c r="I22"/>
  <c r="J22"/>
  <c r="I23"/>
  <c r="J23"/>
  <c r="I24"/>
  <c r="J24"/>
  <c r="I25"/>
  <c r="J25"/>
  <c r="I26"/>
  <c r="J26"/>
  <c r="I27"/>
  <c r="J27"/>
  <c r="I28"/>
  <c r="J28"/>
  <c r="I29"/>
  <c r="J29"/>
  <c r="I30"/>
  <c r="J30"/>
  <c r="I31"/>
  <c r="J31"/>
  <c r="I32"/>
  <c r="J32"/>
  <c r="I33"/>
  <c r="J33"/>
  <c r="I34"/>
  <c r="J34"/>
  <c r="I35"/>
  <c r="J35"/>
  <c r="I36"/>
  <c r="J36"/>
  <c r="I37"/>
  <c r="J37"/>
  <c r="I38"/>
  <c r="J38"/>
  <c r="I39"/>
  <c r="J39"/>
  <c r="I40"/>
  <c r="J40"/>
  <c r="I41"/>
  <c r="J41"/>
  <c r="I42"/>
  <c r="J42"/>
  <c r="I43"/>
  <c r="J43"/>
  <c r="I44"/>
  <c r="J44"/>
  <c r="D84"/>
  <c r="F84"/>
  <c r="D81"/>
  <c r="F81"/>
  <c r="D71"/>
  <c r="F71"/>
  <c r="D80"/>
  <c r="F80"/>
  <c r="D74"/>
  <c r="F74"/>
  <c r="D73"/>
  <c r="F73"/>
  <c r="D65"/>
  <c r="F65"/>
  <c r="D52"/>
  <c r="F52"/>
  <c r="D76"/>
  <c r="F76"/>
  <c r="D62"/>
  <c r="F62"/>
  <c r="D53"/>
  <c r="F53"/>
  <c r="D63"/>
  <c r="F63"/>
  <c r="D64"/>
  <c r="F64"/>
  <c r="D54"/>
  <c r="F54"/>
  <c r="D68"/>
  <c r="F68"/>
  <c r="D69"/>
  <c r="F69"/>
  <c r="D66"/>
  <c r="F66"/>
  <c r="D67"/>
  <c r="F67"/>
  <c r="D70"/>
  <c r="F70"/>
  <c r="D55"/>
  <c r="F55"/>
  <c r="D51"/>
  <c r="F51"/>
  <c r="D50"/>
  <c r="F50"/>
  <c r="D75"/>
  <c r="F75"/>
  <c r="D77"/>
  <c r="F77"/>
  <c r="D78"/>
  <c r="F78"/>
  <c r="D79"/>
  <c r="F79"/>
  <c r="D56"/>
  <c r="F56"/>
  <c r="D57"/>
  <c r="F57"/>
  <c r="D82"/>
  <c r="F82"/>
  <c r="D85"/>
  <c r="F85"/>
  <c r="D86"/>
  <c r="F86"/>
  <c r="D58"/>
  <c r="F58"/>
  <c r="D59"/>
  <c r="F59"/>
  <c r="D72"/>
  <c r="F72"/>
  <c r="D60"/>
  <c r="F60"/>
  <c r="D61"/>
  <c r="F61"/>
  <c r="F87"/>
  <c r="D87"/>
  <c r="U142" i="5"/>
  <c r="D24" i="3"/>
  <c r="U147" i="5"/>
  <c r="O147" s="1"/>
  <c r="AA124"/>
  <c r="R124" s="1"/>
  <c r="U40"/>
  <c r="V40"/>
  <c r="Q40" s="1"/>
  <c r="V41"/>
  <c r="L42" i="18"/>
  <c r="N91" i="15"/>
  <c r="M91"/>
  <c r="L91"/>
  <c r="N88"/>
  <c r="M88"/>
  <c r="L88"/>
  <c r="N85"/>
  <c r="M85"/>
  <c r="L85"/>
  <c r="N82"/>
  <c r="M82"/>
  <c r="L82"/>
  <c r="N79"/>
  <c r="M79"/>
  <c r="L79"/>
  <c r="N76"/>
  <c r="M76"/>
  <c r="L76"/>
  <c r="J91" i="6"/>
  <c r="H87"/>
  <c r="H81"/>
  <c r="O81" s="1"/>
  <c r="I75"/>
  <c r="H69"/>
  <c r="O69" s="1"/>
  <c r="J64"/>
  <c r="I58"/>
  <c r="I53"/>
  <c r="I49"/>
  <c r="I44"/>
  <c r="H41"/>
  <c r="O41" s="1"/>
  <c r="H34"/>
  <c r="H29"/>
  <c r="F21"/>
  <c r="H58" i="15" s="1"/>
  <c r="F22" i="6"/>
  <c r="I24" i="2"/>
  <c r="I6" i="3"/>
  <c r="J6"/>
  <c r="I46"/>
  <c r="J46"/>
  <c r="D49"/>
  <c r="F49"/>
  <c r="K5" i="4"/>
  <c r="N5"/>
  <c r="D8"/>
  <c r="J8"/>
  <c r="D9"/>
  <c r="J9"/>
  <c r="D10"/>
  <c r="J10"/>
  <c r="H28" i="10"/>
  <c r="F7" s="1"/>
  <c r="D11" i="4"/>
  <c r="J11"/>
  <c r="J12"/>
  <c r="D13"/>
  <c r="F13"/>
  <c r="J13"/>
  <c r="D14"/>
  <c r="J14"/>
  <c r="D15"/>
  <c r="J15"/>
  <c r="J16"/>
  <c r="U35"/>
  <c r="U28"/>
  <c r="U31"/>
  <c r="Z32"/>
  <c r="Z33"/>
  <c r="Z40"/>
  <c r="C41"/>
  <c r="H41"/>
  <c r="L41"/>
  <c r="Z41"/>
  <c r="Z42"/>
  <c r="H87" i="10"/>
  <c r="C52" i="4"/>
  <c r="H52"/>
  <c r="L52"/>
  <c r="B66"/>
  <c r="H66"/>
  <c r="L66"/>
  <c r="B68"/>
  <c r="H68"/>
  <c r="L68"/>
  <c r="B2" i="5"/>
  <c r="P2"/>
  <c r="B3"/>
  <c r="P3"/>
  <c r="E5"/>
  <c r="AC8" i="18"/>
  <c r="AD8"/>
  <c r="AD8" i="5"/>
  <c r="AF8"/>
  <c r="U12"/>
  <c r="O12" s="1"/>
  <c r="V12"/>
  <c r="Q12" s="1"/>
  <c r="U15"/>
  <c r="O15" s="1"/>
  <c r="U16"/>
  <c r="U17"/>
  <c r="U18"/>
  <c r="U19"/>
  <c r="O19" s="1"/>
  <c r="V19"/>
  <c r="U22"/>
  <c r="O22" s="1"/>
  <c r="V22"/>
  <c r="Q22" s="1"/>
  <c r="L23" i="18"/>
  <c r="V24" i="5"/>
  <c r="Q24" s="1"/>
  <c r="L25" i="18"/>
  <c r="V26" i="5"/>
  <c r="Q26" s="1"/>
  <c r="V27"/>
  <c r="Q27" s="1"/>
  <c r="L28" i="18"/>
  <c r="L29"/>
  <c r="U23" i="5"/>
  <c r="U24"/>
  <c r="U25"/>
  <c r="O25" s="1"/>
  <c r="U26"/>
  <c r="O26" s="1"/>
  <c r="K27" i="18"/>
  <c r="U28" i="5"/>
  <c r="O28" s="1"/>
  <c r="U29"/>
  <c r="U30"/>
  <c r="V30"/>
  <c r="Q30" s="1"/>
  <c r="V31"/>
  <c r="L32" i="18"/>
  <c r="L33"/>
  <c r="U36" i="5"/>
  <c r="V36"/>
  <c r="V37"/>
  <c r="V38"/>
  <c r="U38"/>
  <c r="U41"/>
  <c r="U42"/>
  <c r="O42" s="1"/>
  <c r="Z42"/>
  <c r="U43"/>
  <c r="V43"/>
  <c r="Q43" s="1"/>
  <c r="K44" i="18"/>
  <c r="L44"/>
  <c r="K45"/>
  <c r="L45"/>
  <c r="U46" i="5"/>
  <c r="V46"/>
  <c r="U49"/>
  <c r="V49"/>
  <c r="Q49" s="1"/>
  <c r="V50"/>
  <c r="Q50" s="1"/>
  <c r="V51"/>
  <c r="V52"/>
  <c r="Q52" s="1"/>
  <c r="U50"/>
  <c r="O50" s="1"/>
  <c r="U51"/>
  <c r="U52"/>
  <c r="U54"/>
  <c r="O54" s="1"/>
  <c r="V54"/>
  <c r="Q54" s="1"/>
  <c r="V56"/>
  <c r="Q56" s="1"/>
  <c r="V57"/>
  <c r="Q57" s="1"/>
  <c r="U56"/>
  <c r="O56" s="1"/>
  <c r="U57"/>
  <c r="U59"/>
  <c r="O59" s="1"/>
  <c r="L59" i="18"/>
  <c r="U60" i="5"/>
  <c r="O60" s="1"/>
  <c r="L60" i="18"/>
  <c r="L61"/>
  <c r="U64" i="5"/>
  <c r="O64" s="1"/>
  <c r="V64"/>
  <c r="Q64" s="1"/>
  <c r="V65"/>
  <c r="U65"/>
  <c r="O65" s="1"/>
  <c r="U66"/>
  <c r="L66" i="18"/>
  <c r="U69" i="5"/>
  <c r="L69" i="18"/>
  <c r="U77" i="5"/>
  <c r="O77" s="1"/>
  <c r="L77" i="18"/>
  <c r="U78" i="5"/>
  <c r="L78" i="18"/>
  <c r="U80" i="5"/>
  <c r="L80" i="18"/>
  <c r="U81" i="5"/>
  <c r="O81" s="1"/>
  <c r="L81" i="18"/>
  <c r="U82" i="5"/>
  <c r="O82" s="1"/>
  <c r="L82" i="18"/>
  <c r="U83" i="5"/>
  <c r="L83" i="18"/>
  <c r="U84" i="5"/>
  <c r="U85"/>
  <c r="L85" i="18"/>
  <c r="U87" i="5"/>
  <c r="O87" s="1"/>
  <c r="U88"/>
  <c r="U89"/>
  <c r="O89" s="1"/>
  <c r="G269" i="9"/>
  <c r="I269"/>
  <c r="L88" i="18"/>
  <c r="L93"/>
  <c r="U94" i="5"/>
  <c r="O94" s="1"/>
  <c r="L94" i="18"/>
  <c r="U95" i="5"/>
  <c r="L95" i="18"/>
  <c r="Y96" i="5"/>
  <c r="P96" s="1"/>
  <c r="AA96"/>
  <c r="R96" s="1"/>
  <c r="AF96"/>
  <c r="V99"/>
  <c r="Q99" s="1"/>
  <c r="V100"/>
  <c r="Q100" s="1"/>
  <c r="U100"/>
  <c r="U101"/>
  <c r="V101"/>
  <c r="Q101" s="1"/>
  <c r="U103"/>
  <c r="L103" i="18"/>
  <c r="U104" i="5"/>
  <c r="O104" s="1"/>
  <c r="L104" i="18"/>
  <c r="U105" i="5"/>
  <c r="O105" s="1"/>
  <c r="L105" i="18"/>
  <c r="U106" i="5"/>
  <c r="O106" s="1"/>
  <c r="L106" i="18"/>
  <c r="U107" i="5"/>
  <c r="O107" s="1"/>
  <c r="L107" i="18"/>
  <c r="U108" i="5"/>
  <c r="O108" s="1"/>
  <c r="L108" i="18"/>
  <c r="L109"/>
  <c r="L110"/>
  <c r="L111"/>
  <c r="L113"/>
  <c r="H114" i="10"/>
  <c r="F91" s="1"/>
  <c r="L114" i="18"/>
  <c r="Y115" i="5"/>
  <c r="P115" s="1"/>
  <c r="AA115"/>
  <c r="R115" s="1"/>
  <c r="AF115"/>
  <c r="Y116"/>
  <c r="P116" s="1"/>
  <c r="L117" i="18"/>
  <c r="L118"/>
  <c r="AA125" i="5"/>
  <c r="AA126"/>
  <c r="R126" s="1"/>
  <c r="L127" i="18"/>
  <c r="L128"/>
  <c r="L129"/>
  <c r="L130"/>
  <c r="L131"/>
  <c r="L132"/>
  <c r="L140"/>
  <c r="L142"/>
  <c r="U144" i="5"/>
  <c r="L144" i="18"/>
  <c r="U145" i="5"/>
  <c r="O145" s="1"/>
  <c r="L145" i="18"/>
  <c r="L147"/>
  <c r="U148" i="5"/>
  <c r="O148" s="1"/>
  <c r="L148" i="18"/>
  <c r="J149" i="5"/>
  <c r="U149"/>
  <c r="L149" i="18"/>
  <c r="J150" i="5"/>
  <c r="U150"/>
  <c r="L150" i="18"/>
  <c r="U151" i="5"/>
  <c r="L151" i="18"/>
  <c r="F168" i="13"/>
  <c r="L152" i="18"/>
  <c r="F184" i="13"/>
  <c r="F185" s="1"/>
  <c r="L154" i="18"/>
  <c r="U156" i="5"/>
  <c r="O156" s="1"/>
  <c r="L156" i="18"/>
  <c r="U157" i="5"/>
  <c r="O157" s="1"/>
  <c r="L157" i="18"/>
  <c r="U158" i="5"/>
  <c r="O158" s="1"/>
  <c r="L158" i="18"/>
  <c r="L160"/>
  <c r="U162" i="5"/>
  <c r="L162" i="18"/>
  <c r="H58" i="14"/>
  <c r="F30" s="1"/>
  <c r="L163" i="18"/>
  <c r="U165" i="5"/>
  <c r="L165" i="18"/>
  <c r="U166" i="5"/>
  <c r="L166" i="18"/>
  <c r="L179"/>
  <c r="L180"/>
  <c r="H97" i="14"/>
  <c r="F81" s="1"/>
  <c r="L167" i="18"/>
  <c r="U168" i="5"/>
  <c r="O168" s="1"/>
  <c r="L168" i="18"/>
  <c r="AA168" i="5"/>
  <c r="R168" s="1"/>
  <c r="AF168"/>
  <c r="U171"/>
  <c r="O171" s="1"/>
  <c r="L171" i="18"/>
  <c r="U172" i="5"/>
  <c r="O172" s="1"/>
  <c r="L172" i="18"/>
  <c r="U173" i="5"/>
  <c r="O173" s="1"/>
  <c r="L173" i="18"/>
  <c r="L175"/>
  <c r="L176"/>
  <c r="L177"/>
  <c r="U175" i="5"/>
  <c r="O175" s="1"/>
  <c r="H200" i="14"/>
  <c r="F186" s="1"/>
  <c r="F188" s="1"/>
  <c r="U177" i="5"/>
  <c r="H230" i="14"/>
  <c r="F216" s="1"/>
  <c r="F220" s="1"/>
  <c r="U180" i="5"/>
  <c r="B2" i="6"/>
  <c r="N2"/>
  <c r="B3"/>
  <c r="N3"/>
  <c r="N11"/>
  <c r="AA11"/>
  <c r="N12"/>
  <c r="N13"/>
  <c r="N14"/>
  <c r="N15"/>
  <c r="N16"/>
  <c r="N17"/>
  <c r="N18"/>
  <c r="E1" i="7"/>
  <c r="N1" i="8"/>
  <c r="O3"/>
  <c r="M156" s="1"/>
  <c r="U3"/>
  <c r="U4"/>
  <c r="U5"/>
  <c r="U6"/>
  <c r="F10"/>
  <c r="L10"/>
  <c r="F11"/>
  <c r="L11"/>
  <c r="F12"/>
  <c r="L12"/>
  <c r="F13"/>
  <c r="L13"/>
  <c r="F14"/>
  <c r="L14"/>
  <c r="F54"/>
  <c r="G54"/>
  <c r="G64"/>
  <c r="G57" s="1"/>
  <c r="F134"/>
  <c r="K134"/>
  <c r="F135"/>
  <c r="K135"/>
  <c r="F136"/>
  <c r="K136"/>
  <c r="F137"/>
  <c r="K137"/>
  <c r="F138"/>
  <c r="K138"/>
  <c r="F161"/>
  <c r="F162"/>
  <c r="F163"/>
  <c r="F164"/>
  <c r="F165"/>
  <c r="F186"/>
  <c r="F187"/>
  <c r="F188"/>
  <c r="F189"/>
  <c r="F190"/>
  <c r="F195"/>
  <c r="K195"/>
  <c r="F196"/>
  <c r="K196"/>
  <c r="F197"/>
  <c r="K197"/>
  <c r="F198"/>
  <c r="K198"/>
  <c r="F199"/>
  <c r="K199"/>
  <c r="F204"/>
  <c r="F205"/>
  <c r="F206"/>
  <c r="F207"/>
  <c r="F208"/>
  <c r="F213"/>
  <c r="K213"/>
  <c r="F214"/>
  <c r="K214"/>
  <c r="F215"/>
  <c r="K215"/>
  <c r="F216"/>
  <c r="K216"/>
  <c r="F217"/>
  <c r="K217"/>
  <c r="F256"/>
  <c r="K256"/>
  <c r="F257"/>
  <c r="K257"/>
  <c r="F258"/>
  <c r="K258"/>
  <c r="F259"/>
  <c r="K259"/>
  <c r="F260"/>
  <c r="K260"/>
  <c r="F267"/>
  <c r="K267"/>
  <c r="F268"/>
  <c r="K268"/>
  <c r="F269"/>
  <c r="K269"/>
  <c r="F270"/>
  <c r="K270"/>
  <c r="F271"/>
  <c r="K271"/>
  <c r="F276"/>
  <c r="F277"/>
  <c r="F278"/>
  <c r="F279"/>
  <c r="F280"/>
  <c r="F285"/>
  <c r="K285"/>
  <c r="F286"/>
  <c r="K286"/>
  <c r="F287"/>
  <c r="K287"/>
  <c r="F288"/>
  <c r="K288"/>
  <c r="F289"/>
  <c r="K289"/>
  <c r="F298"/>
  <c r="K298"/>
  <c r="F299"/>
  <c r="K299"/>
  <c r="F300"/>
  <c r="K300"/>
  <c r="F301"/>
  <c r="K301"/>
  <c r="F302"/>
  <c r="K302"/>
  <c r="F307"/>
  <c r="K307"/>
  <c r="F308"/>
  <c r="K308"/>
  <c r="F309"/>
  <c r="K309"/>
  <c r="F310"/>
  <c r="K310"/>
  <c r="F311"/>
  <c r="K311"/>
  <c r="F319"/>
  <c r="F320"/>
  <c r="F321"/>
  <c r="F322"/>
  <c r="F323"/>
  <c r="F333"/>
  <c r="M333"/>
  <c r="F334"/>
  <c r="M334"/>
  <c r="F335"/>
  <c r="M335"/>
  <c r="F336"/>
  <c r="M336"/>
  <c r="F337"/>
  <c r="M337"/>
  <c r="F342"/>
  <c r="K342"/>
  <c r="F343"/>
  <c r="K343"/>
  <c r="F344"/>
  <c r="K344"/>
  <c r="F345"/>
  <c r="K345"/>
  <c r="F346"/>
  <c r="K346"/>
  <c r="F369"/>
  <c r="K369"/>
  <c r="F370"/>
  <c r="K370"/>
  <c r="F371"/>
  <c r="K371"/>
  <c r="F372"/>
  <c r="K372"/>
  <c r="F373"/>
  <c r="K373"/>
  <c r="F378"/>
  <c r="K378"/>
  <c r="F379"/>
  <c r="K379"/>
  <c r="F380"/>
  <c r="K380"/>
  <c r="F381"/>
  <c r="K381"/>
  <c r="F382"/>
  <c r="K382"/>
  <c r="F387"/>
  <c r="K387"/>
  <c r="F388"/>
  <c r="K388"/>
  <c r="F389"/>
  <c r="K389"/>
  <c r="F390"/>
  <c r="K390"/>
  <c r="F391"/>
  <c r="K391"/>
  <c r="F396"/>
  <c r="K396"/>
  <c r="F397"/>
  <c r="K397"/>
  <c r="F398"/>
  <c r="K398"/>
  <c r="F399"/>
  <c r="K399"/>
  <c r="F400"/>
  <c r="K400"/>
  <c r="F406"/>
  <c r="K406"/>
  <c r="F407"/>
  <c r="K407"/>
  <c r="F408"/>
  <c r="K408"/>
  <c r="F409"/>
  <c r="K409"/>
  <c r="F410"/>
  <c r="K410"/>
  <c r="F415"/>
  <c r="K415"/>
  <c r="F416"/>
  <c r="K416"/>
  <c r="F417"/>
  <c r="K417"/>
  <c r="F418"/>
  <c r="K418"/>
  <c r="F419"/>
  <c r="K419"/>
  <c r="F424"/>
  <c r="K424"/>
  <c r="F425"/>
  <c r="K425"/>
  <c r="F426"/>
  <c r="K426"/>
  <c r="F427"/>
  <c r="K427"/>
  <c r="F428"/>
  <c r="K428"/>
  <c r="F433"/>
  <c r="K433"/>
  <c r="F434"/>
  <c r="K434"/>
  <c r="F435"/>
  <c r="K435"/>
  <c r="F436"/>
  <c r="K436"/>
  <c r="F437"/>
  <c r="K437"/>
  <c r="F443"/>
  <c r="K443"/>
  <c r="F444"/>
  <c r="K444"/>
  <c r="F445"/>
  <c r="K445"/>
  <c r="F446"/>
  <c r="K446"/>
  <c r="F447"/>
  <c r="K447"/>
  <c r="N1" i="9"/>
  <c r="O3"/>
  <c r="U3"/>
  <c r="U4"/>
  <c r="U5"/>
  <c r="U6"/>
  <c r="F10"/>
  <c r="K10"/>
  <c r="F11"/>
  <c r="K11"/>
  <c r="F12"/>
  <c r="K12"/>
  <c r="F13"/>
  <c r="K13"/>
  <c r="F14"/>
  <c r="K14"/>
  <c r="F19"/>
  <c r="K19"/>
  <c r="F20"/>
  <c r="K20"/>
  <c r="F21"/>
  <c r="K21"/>
  <c r="F22"/>
  <c r="K22"/>
  <c r="F23"/>
  <c r="K23"/>
  <c r="F56"/>
  <c r="F57"/>
  <c r="F58"/>
  <c r="F59"/>
  <c r="F60"/>
  <c r="F72"/>
  <c r="K72"/>
  <c r="F89"/>
  <c r="G102"/>
  <c r="G147"/>
  <c r="F133" s="1"/>
  <c r="F203"/>
  <c r="K203"/>
  <c r="F204"/>
  <c r="K204"/>
  <c r="F205"/>
  <c r="K205"/>
  <c r="F206"/>
  <c r="K206"/>
  <c r="F207"/>
  <c r="K207"/>
  <c r="F213"/>
  <c r="K213"/>
  <c r="F214"/>
  <c r="K214"/>
  <c r="F215"/>
  <c r="K215"/>
  <c r="F216"/>
  <c r="K216"/>
  <c r="F217"/>
  <c r="K217"/>
  <c r="F222"/>
  <c r="K222"/>
  <c r="F223"/>
  <c r="K223"/>
  <c r="F224"/>
  <c r="K224"/>
  <c r="F225"/>
  <c r="K225"/>
  <c r="F226"/>
  <c r="K226"/>
  <c r="F231"/>
  <c r="K231"/>
  <c r="F232"/>
  <c r="K232"/>
  <c r="F233"/>
  <c r="K233"/>
  <c r="F234"/>
  <c r="K234"/>
  <c r="F235"/>
  <c r="K235"/>
  <c r="F241"/>
  <c r="K241"/>
  <c r="F242"/>
  <c r="K242"/>
  <c r="F243"/>
  <c r="K243"/>
  <c r="F244"/>
  <c r="K244"/>
  <c r="F245"/>
  <c r="K245"/>
  <c r="F250"/>
  <c r="F251"/>
  <c r="F252"/>
  <c r="F253"/>
  <c r="F254"/>
  <c r="K269"/>
  <c r="F319"/>
  <c r="F320"/>
  <c r="F321"/>
  <c r="F322"/>
  <c r="F323"/>
  <c r="F328"/>
  <c r="F329"/>
  <c r="F330"/>
  <c r="F331"/>
  <c r="F332"/>
  <c r="F348"/>
  <c r="K348"/>
  <c r="F349"/>
  <c r="K349"/>
  <c r="F350"/>
  <c r="K350"/>
  <c r="F351"/>
  <c r="K351"/>
  <c r="F352"/>
  <c r="K352"/>
  <c r="F357"/>
  <c r="K357"/>
  <c r="F358"/>
  <c r="K358"/>
  <c r="F359"/>
  <c r="K359"/>
  <c r="F360"/>
  <c r="K360"/>
  <c r="F361"/>
  <c r="K361"/>
  <c r="F368"/>
  <c r="M368"/>
  <c r="F369"/>
  <c r="M369"/>
  <c r="F370"/>
  <c r="M370"/>
  <c r="F371"/>
  <c r="M371"/>
  <c r="F372"/>
  <c r="M372"/>
  <c r="F378"/>
  <c r="K378"/>
  <c r="F379"/>
  <c r="K379"/>
  <c r="F380"/>
  <c r="K380"/>
  <c r="F381"/>
  <c r="K381"/>
  <c r="F382"/>
  <c r="K382"/>
  <c r="F387"/>
  <c r="K387"/>
  <c r="F388"/>
  <c r="K388"/>
  <c r="F389"/>
  <c r="K389"/>
  <c r="F390"/>
  <c r="K390"/>
  <c r="F391"/>
  <c r="K391"/>
  <c r="E396"/>
  <c r="F396"/>
  <c r="K396"/>
  <c r="F397"/>
  <c r="K397"/>
  <c r="F398"/>
  <c r="K398"/>
  <c r="F399"/>
  <c r="K399"/>
  <c r="F400"/>
  <c r="K400"/>
  <c r="N1" i="10"/>
  <c r="O3"/>
  <c r="U3"/>
  <c r="U4"/>
  <c r="U5"/>
  <c r="N1" i="11"/>
  <c r="U4"/>
  <c r="U5"/>
  <c r="F10"/>
  <c r="F11"/>
  <c r="F12"/>
  <c r="F13"/>
  <c r="F14"/>
  <c r="F114"/>
  <c r="F115"/>
  <c r="F116"/>
  <c r="F117"/>
  <c r="F118"/>
  <c r="F125"/>
  <c r="F126"/>
  <c r="F127"/>
  <c r="F128"/>
  <c r="F129"/>
  <c r="F139"/>
  <c r="F140"/>
  <c r="F141"/>
  <c r="F142"/>
  <c r="F143"/>
  <c r="M1" i="13"/>
  <c r="O3"/>
  <c r="T3"/>
  <c r="T4"/>
  <c r="T5"/>
  <c r="F9"/>
  <c r="F10"/>
  <c r="F11"/>
  <c r="F12"/>
  <c r="F13"/>
  <c r="F19"/>
  <c r="K19"/>
  <c r="F20"/>
  <c r="K20"/>
  <c r="F21"/>
  <c r="K21"/>
  <c r="F22"/>
  <c r="K22"/>
  <c r="F23"/>
  <c r="K23"/>
  <c r="M30"/>
  <c r="M31"/>
  <c r="M32"/>
  <c r="M33"/>
  <c r="M34"/>
  <c r="F56"/>
  <c r="F57"/>
  <c r="F58"/>
  <c r="F59"/>
  <c r="F60"/>
  <c r="F65"/>
  <c r="F66"/>
  <c r="F67"/>
  <c r="F68"/>
  <c r="F69"/>
  <c r="F94"/>
  <c r="F95"/>
  <c r="F96"/>
  <c r="F97"/>
  <c r="F98"/>
  <c r="F171"/>
  <c r="F218"/>
  <c r="K218"/>
  <c r="F219"/>
  <c r="K219"/>
  <c r="F220"/>
  <c r="K220"/>
  <c r="F221"/>
  <c r="K221"/>
  <c r="F222"/>
  <c r="K222"/>
  <c r="F227"/>
  <c r="F228"/>
  <c r="F229"/>
  <c r="F230"/>
  <c r="F231"/>
  <c r="N1" i="14"/>
  <c r="O3"/>
  <c r="U3"/>
  <c r="U4"/>
  <c r="U5"/>
  <c r="F22"/>
  <c r="F23"/>
  <c r="F24"/>
  <c r="F25"/>
  <c r="F26"/>
  <c r="F64"/>
  <c r="F65"/>
  <c r="F66"/>
  <c r="F67"/>
  <c r="F68"/>
  <c r="F73"/>
  <c r="F74"/>
  <c r="F75"/>
  <c r="F76"/>
  <c r="F77"/>
  <c r="F103"/>
  <c r="F104"/>
  <c r="F105"/>
  <c r="F123"/>
  <c r="F124"/>
  <c r="F125"/>
  <c r="F126"/>
  <c r="F127"/>
  <c r="F149"/>
  <c r="F150"/>
  <c r="F151"/>
  <c r="F152"/>
  <c r="F153"/>
  <c r="F168"/>
  <c r="F169"/>
  <c r="F170"/>
  <c r="F171"/>
  <c r="F172"/>
  <c r="F178"/>
  <c r="F179"/>
  <c r="F180"/>
  <c r="F181"/>
  <c r="F182"/>
  <c r="F206"/>
  <c r="F207"/>
  <c r="F208"/>
  <c r="F209"/>
  <c r="F210"/>
  <c r="F221"/>
  <c r="G13" i="15"/>
  <c r="G19" s="1"/>
  <c r="G25" s="1"/>
  <c r="G31" s="1"/>
  <c r="G37" s="1"/>
  <c r="G43" s="1"/>
  <c r="G49" s="1"/>
  <c r="G55" s="1"/>
  <c r="G14"/>
  <c r="G20" s="1"/>
  <c r="G26" s="1"/>
  <c r="G32" s="1"/>
  <c r="G38" s="1"/>
  <c r="G44" s="1"/>
  <c r="G50" s="1"/>
  <c r="G56" s="1"/>
  <c r="G15"/>
  <c r="G21" s="1"/>
  <c r="G16"/>
  <c r="G22" s="1"/>
  <c r="G28" s="1"/>
  <c r="G34" s="1"/>
  <c r="G40" s="1"/>
  <c r="G46" s="1"/>
  <c r="G52" s="1"/>
  <c r="G58" s="1"/>
  <c r="G17"/>
  <c r="G23" s="1"/>
  <c r="G29" s="1"/>
  <c r="G35" s="1"/>
  <c r="G41" s="1"/>
  <c r="G47" s="1"/>
  <c r="G53" s="1"/>
  <c r="G59" s="1"/>
  <c r="G18"/>
  <c r="G24" s="1"/>
  <c r="G30" s="1"/>
  <c r="G36" s="1"/>
  <c r="G42" s="1"/>
  <c r="G48" s="1"/>
  <c r="G54" s="1"/>
  <c r="G60" s="1"/>
  <c r="G27"/>
  <c r="G33" s="1"/>
  <c r="G39" s="1"/>
  <c r="G45" s="1"/>
  <c r="G51" s="1"/>
  <c r="G57" s="1"/>
  <c r="I76"/>
  <c r="J76"/>
  <c r="K76"/>
  <c r="O76"/>
  <c r="P76"/>
  <c r="Q76"/>
  <c r="I79"/>
  <c r="J79"/>
  <c r="K79"/>
  <c r="O79"/>
  <c r="P79"/>
  <c r="Q79"/>
  <c r="I82"/>
  <c r="J82"/>
  <c r="K82"/>
  <c r="O82"/>
  <c r="P82"/>
  <c r="Q82"/>
  <c r="I85"/>
  <c r="J85"/>
  <c r="K85"/>
  <c r="O85"/>
  <c r="P85"/>
  <c r="Q85"/>
  <c r="J88"/>
  <c r="K88"/>
  <c r="O88"/>
  <c r="P88"/>
  <c r="Q88"/>
  <c r="I91"/>
  <c r="J91"/>
  <c r="K91"/>
  <c r="O91"/>
  <c r="P91"/>
  <c r="Q91"/>
  <c r="F2" i="16"/>
  <c r="F3"/>
  <c r="D7"/>
  <c r="E7" s="1"/>
  <c r="D36"/>
  <c r="E36"/>
  <c r="D38"/>
  <c r="E38"/>
  <c r="D39"/>
  <c r="E39"/>
  <c r="D41"/>
  <c r="E41"/>
  <c r="D42"/>
  <c r="E42"/>
  <c r="D43"/>
  <c r="E43"/>
  <c r="F2" i="17"/>
  <c r="F3"/>
  <c r="D7"/>
  <c r="E7"/>
  <c r="L9" i="18"/>
  <c r="W8"/>
  <c r="X8"/>
  <c r="K37"/>
  <c r="H96"/>
  <c r="H115"/>
  <c r="L116"/>
  <c r="L159"/>
  <c r="CF127"/>
  <c r="CF128"/>
  <c r="CF129"/>
  <c r="CF130"/>
  <c r="CF131"/>
  <c r="CF132"/>
  <c r="CF133"/>
  <c r="CF134"/>
  <c r="BA160"/>
  <c r="BB160"/>
  <c r="BC160"/>
  <c r="BD160"/>
  <c r="BE160"/>
  <c r="BF160"/>
  <c r="BG160"/>
  <c r="BH160"/>
  <c r="BI160"/>
  <c r="BJ160"/>
  <c r="BR160"/>
  <c r="BS160"/>
  <c r="BT160"/>
  <c r="BU160"/>
  <c r="BV160"/>
  <c r="BW160"/>
  <c r="BX160"/>
  <c r="BY160"/>
  <c r="BZ160"/>
  <c r="CA160"/>
  <c r="BA161"/>
  <c r="BB161"/>
  <c r="BC161"/>
  <c r="BD161"/>
  <c r="BE161"/>
  <c r="BF161"/>
  <c r="BG161"/>
  <c r="BH161"/>
  <c r="BI161"/>
  <c r="BJ161"/>
  <c r="BR161"/>
  <c r="BS161"/>
  <c r="BT161"/>
  <c r="BU161"/>
  <c r="BV161"/>
  <c r="BW161"/>
  <c r="BX161"/>
  <c r="BY161"/>
  <c r="BZ161"/>
  <c r="CA161"/>
  <c r="BA169"/>
  <c r="BB169"/>
  <c r="BC169"/>
  <c r="BD169"/>
  <c r="BE169"/>
  <c r="BF169"/>
  <c r="BG169"/>
  <c r="BH169"/>
  <c r="BI169"/>
  <c r="BJ169"/>
  <c r="BR169"/>
  <c r="BS169"/>
  <c r="BT169"/>
  <c r="BU169"/>
  <c r="BV169"/>
  <c r="BW169"/>
  <c r="BX169"/>
  <c r="BY169"/>
  <c r="BZ169"/>
  <c r="CA169"/>
  <c r="N39" i="24" l="1"/>
  <c r="I95" i="15"/>
  <c r="I96" s="1"/>
  <c r="N167" s="1"/>
  <c r="R168" s="1"/>
  <c r="E86" i="17"/>
  <c r="E30" i="21"/>
  <c r="H30" s="1"/>
  <c r="F34" i="13"/>
  <c r="F30"/>
  <c r="F94" i="10"/>
  <c r="F93"/>
  <c r="F189" i="14"/>
  <c r="O180" i="5"/>
  <c r="X180" s="1"/>
  <c r="O150"/>
  <c r="X150" s="1"/>
  <c r="O80"/>
  <c r="X80" s="1"/>
  <c r="Q51"/>
  <c r="Z51" s="1"/>
  <c r="Q36"/>
  <c r="L36" i="18" s="1"/>
  <c r="O24" i="5"/>
  <c r="X24" s="1"/>
  <c r="Q41"/>
  <c r="L41" i="18" s="1"/>
  <c r="X162" i="5"/>
  <c r="O162"/>
  <c r="K162" i="18" s="1"/>
  <c r="R125" i="5"/>
  <c r="Z124"/>
  <c r="Q124" s="1"/>
  <c r="O100"/>
  <c r="X100" s="1"/>
  <c r="O23"/>
  <c r="X23" s="1"/>
  <c r="O55"/>
  <c r="X55" s="1"/>
  <c r="O166"/>
  <c r="X166" s="1"/>
  <c r="O149"/>
  <c r="K149" i="18" s="1"/>
  <c r="O144" i="5"/>
  <c r="K144" i="18" s="1"/>
  <c r="O85" i="5"/>
  <c r="X85" s="1"/>
  <c r="O49"/>
  <c r="K49" i="18" s="1"/>
  <c r="O43" i="5"/>
  <c r="K43" i="18" s="1"/>
  <c r="O38" i="5"/>
  <c r="X38" s="1"/>
  <c r="Q37"/>
  <c r="Z37" s="1"/>
  <c r="O29"/>
  <c r="X29" s="1"/>
  <c r="Q19"/>
  <c r="L19" i="18" s="1"/>
  <c r="O16" i="5"/>
  <c r="X16" s="1"/>
  <c r="Q15"/>
  <c r="Z15" s="1"/>
  <c r="O101"/>
  <c r="X101" s="1"/>
  <c r="O95"/>
  <c r="X95" s="1"/>
  <c r="O88"/>
  <c r="X88" s="1"/>
  <c r="X84"/>
  <c r="O84"/>
  <c r="O66"/>
  <c r="X66" s="1"/>
  <c r="O52"/>
  <c r="K52" i="18" s="1"/>
  <c r="Q46" i="5"/>
  <c r="Z46" s="1"/>
  <c r="O165"/>
  <c r="X165" s="1"/>
  <c r="O51"/>
  <c r="X51" s="1"/>
  <c r="O46"/>
  <c r="X46" s="1"/>
  <c r="O36"/>
  <c r="X36" s="1"/>
  <c r="O18"/>
  <c r="X18" s="1"/>
  <c r="Q17"/>
  <c r="Z17" s="1"/>
  <c r="O129"/>
  <c r="X129" s="1"/>
  <c r="O177"/>
  <c r="X177" s="1"/>
  <c r="O151"/>
  <c r="X151" s="1"/>
  <c r="O103"/>
  <c r="X103" s="1"/>
  <c r="O83"/>
  <c r="X83" s="1"/>
  <c r="O78"/>
  <c r="X78" s="1"/>
  <c r="O69"/>
  <c r="X69" s="1"/>
  <c r="Q65"/>
  <c r="L65" i="18" s="1"/>
  <c r="O57" i="5"/>
  <c r="X57" s="1"/>
  <c r="O41"/>
  <c r="X41" s="1"/>
  <c r="Q38"/>
  <c r="Z38" s="1"/>
  <c r="O30"/>
  <c r="X30" s="1"/>
  <c r="O17"/>
  <c r="X17" s="1"/>
  <c r="O40"/>
  <c r="K40" i="18" s="1"/>
  <c r="O142" i="5"/>
  <c r="K142" i="18" s="1"/>
  <c r="I58" i="15"/>
  <c r="N58"/>
  <c r="J58"/>
  <c r="Q58"/>
  <c r="M58"/>
  <c r="P58"/>
  <c r="L58"/>
  <c r="O58"/>
  <c r="K58"/>
  <c r="K33" i="18"/>
  <c r="X33" i="5"/>
  <c r="K32" i="18"/>
  <c r="X32" i="5"/>
  <c r="J109" i="6"/>
  <c r="U120" i="5"/>
  <c r="G165" i="15"/>
  <c r="H165" s="1"/>
  <c r="J92" i="20" s="1"/>
  <c r="H91"/>
  <c r="C63" i="2"/>
  <c r="L14" i="21" s="1"/>
  <c r="I14" s="1"/>
  <c r="J97" i="11" s="1"/>
  <c r="J30" i="6"/>
  <c r="J41"/>
  <c r="I54"/>
  <c r="J65"/>
  <c r="H71"/>
  <c r="O71" s="1"/>
  <c r="I82"/>
  <c r="J87"/>
  <c r="J106"/>
  <c r="O14"/>
  <c r="J28"/>
  <c r="H32"/>
  <c r="H40"/>
  <c r="O40" s="1"/>
  <c r="H44"/>
  <c r="O44" s="1"/>
  <c r="H48"/>
  <c r="O48" s="1"/>
  <c r="H53"/>
  <c r="O53" s="1"/>
  <c r="J56"/>
  <c r="H62"/>
  <c r="O62" s="1"/>
  <c r="J68"/>
  <c r="H74"/>
  <c r="O74" s="1"/>
  <c r="H79"/>
  <c r="O79" s="1"/>
  <c r="H85"/>
  <c r="O85" s="1"/>
  <c r="I90"/>
  <c r="I107"/>
  <c r="I108"/>
  <c r="O13"/>
  <c r="I26"/>
  <c r="I34"/>
  <c r="I46"/>
  <c r="J50"/>
  <c r="J59"/>
  <c r="J77"/>
  <c r="O104"/>
  <c r="J111"/>
  <c r="O17"/>
  <c r="I27"/>
  <c r="J31"/>
  <c r="J38"/>
  <c r="J43"/>
  <c r="H47"/>
  <c r="O47" s="1"/>
  <c r="H51"/>
  <c r="O51" s="1"/>
  <c r="I56"/>
  <c r="J61"/>
  <c r="I66"/>
  <c r="J72"/>
  <c r="H78"/>
  <c r="O78" s="1"/>
  <c r="I83"/>
  <c r="H90"/>
  <c r="O90" s="1"/>
  <c r="J105"/>
  <c r="O15"/>
  <c r="J26"/>
  <c r="H30"/>
  <c r="I33"/>
  <c r="H39"/>
  <c r="O39" s="1"/>
  <c r="I42"/>
  <c r="J45"/>
  <c r="H49"/>
  <c r="J51"/>
  <c r="H55"/>
  <c r="O55" s="1"/>
  <c r="I59"/>
  <c r="I63"/>
  <c r="I68"/>
  <c r="J71"/>
  <c r="J75"/>
  <c r="J80"/>
  <c r="J84"/>
  <c r="I88"/>
  <c r="O103"/>
  <c r="I106"/>
  <c r="J108"/>
  <c r="O109"/>
  <c r="O110"/>
  <c r="O111"/>
  <c r="H10" i="15"/>
  <c r="H28" i="6"/>
  <c r="I30"/>
  <c r="J32"/>
  <c r="I38"/>
  <c r="I40"/>
  <c r="J42"/>
  <c r="I45"/>
  <c r="J47"/>
  <c r="J49"/>
  <c r="I52"/>
  <c r="J54"/>
  <c r="J57"/>
  <c r="H61"/>
  <c r="O61" s="1"/>
  <c r="J63"/>
  <c r="H67"/>
  <c r="O67" s="1"/>
  <c r="I70"/>
  <c r="J73"/>
  <c r="I76"/>
  <c r="J79"/>
  <c r="H83"/>
  <c r="O83" s="1"/>
  <c r="H86"/>
  <c r="O86" s="1"/>
  <c r="J89"/>
  <c r="I103"/>
  <c r="O105"/>
  <c r="I109"/>
  <c r="H111"/>
  <c r="H46" i="15"/>
  <c r="H22"/>
  <c r="H40"/>
  <c r="H16"/>
  <c r="H34"/>
  <c r="F32" i="13"/>
  <c r="F33"/>
  <c r="F31"/>
  <c r="J47" i="2"/>
  <c r="G286" i="9" s="1"/>
  <c r="L62" i="2"/>
  <c r="L61"/>
  <c r="H90" i="20"/>
  <c r="E39" i="21"/>
  <c r="G162" i="15"/>
  <c r="H162" s="1"/>
  <c r="J89" i="20" s="1"/>
  <c r="E38" i="21"/>
  <c r="G161" i="15"/>
  <c r="H161" s="1"/>
  <c r="J88" i="20" s="1"/>
  <c r="E37" i="21"/>
  <c r="G160" i="15"/>
  <c r="H160" s="1"/>
  <c r="J87" i="20" s="1"/>
  <c r="E36" i="21"/>
  <c r="G158" i="15"/>
  <c r="H158" s="1"/>
  <c r="J85" i="20" s="1"/>
  <c r="H85"/>
  <c r="G157" i="15"/>
  <c r="H157" s="1"/>
  <c r="J84" i="20" s="1"/>
  <c r="E32" i="21"/>
  <c r="H84" i="20"/>
  <c r="G154" i="15"/>
  <c r="H154" s="1"/>
  <c r="J81" i="20" s="1"/>
  <c r="F58" i="10"/>
  <c r="J295" i="9"/>
  <c r="J287" s="1"/>
  <c r="L74" i="18"/>
  <c r="X123" i="5"/>
  <c r="K130" i="18"/>
  <c r="L73"/>
  <c r="K88"/>
  <c r="L89"/>
  <c r="K83"/>
  <c r="L68"/>
  <c r="Z68" i="5"/>
  <c r="L100" i="18"/>
  <c r="Z100" i="5"/>
  <c r="K16" i="18"/>
  <c r="K177"/>
  <c r="K100"/>
  <c r="K10" i="6"/>
  <c r="K14" s="1"/>
  <c r="K30" s="1"/>
  <c r="K168" i="18"/>
  <c r="X168" i="5"/>
  <c r="X56"/>
  <c r="K56" i="18"/>
  <c r="Z64" i="5"/>
  <c r="L64" i="18"/>
  <c r="K78"/>
  <c r="K66"/>
  <c r="K46"/>
  <c r="K131"/>
  <c r="L17"/>
  <c r="X128" i="5"/>
  <c r="K95" i="18"/>
  <c r="K103"/>
  <c r="L84"/>
  <c r="G151" i="15"/>
  <c r="H151" s="1"/>
  <c r="J78" i="20" s="1"/>
  <c r="Y27"/>
  <c r="X42"/>
  <c r="G163" i="15"/>
  <c r="H163" s="1"/>
  <c r="J90" i="20" s="1"/>
  <c r="H88"/>
  <c r="H82"/>
  <c r="H81"/>
  <c r="H87"/>
  <c r="Y3"/>
  <c r="N52"/>
  <c r="N40" s="1"/>
  <c r="N25" s="1"/>
  <c r="V21"/>
  <c r="W21"/>
  <c r="F72" i="8"/>
  <c r="K354"/>
  <c r="F171" i="11"/>
  <c r="O11" i="6"/>
  <c r="O12"/>
  <c r="H26"/>
  <c r="J27"/>
  <c r="I29"/>
  <c r="I31"/>
  <c r="H33"/>
  <c r="J34"/>
  <c r="J39"/>
  <c r="I41"/>
  <c r="L41" s="1"/>
  <c r="H43"/>
  <c r="O43" s="1"/>
  <c r="H45"/>
  <c r="O45" s="1"/>
  <c r="J46"/>
  <c r="I48"/>
  <c r="I50"/>
  <c r="H52"/>
  <c r="O52" s="1"/>
  <c r="J53"/>
  <c r="L53" s="1"/>
  <c r="J55"/>
  <c r="H58"/>
  <c r="O58" s="1"/>
  <c r="I60"/>
  <c r="H63"/>
  <c r="O63" s="1"/>
  <c r="H65"/>
  <c r="O65" s="1"/>
  <c r="I67"/>
  <c r="H70"/>
  <c r="O70" s="1"/>
  <c r="I72"/>
  <c r="I74"/>
  <c r="H77"/>
  <c r="O77" s="1"/>
  <c r="I79"/>
  <c r="J81"/>
  <c r="I84"/>
  <c r="I86"/>
  <c r="J88"/>
  <c r="I91"/>
  <c r="I104"/>
  <c r="H106"/>
  <c r="O106"/>
  <c r="J107"/>
  <c r="H109"/>
  <c r="I110"/>
  <c r="J104"/>
  <c r="V23" i="20"/>
  <c r="V24"/>
  <c r="V25" s="1"/>
  <c r="I19" s="1"/>
  <c r="Z19" s="1"/>
  <c r="Y8" i="18"/>
  <c r="K110" i="20"/>
  <c r="F39" i="11"/>
  <c r="X127" i="5"/>
  <c r="K127" i="18"/>
  <c r="K136"/>
  <c r="X136" i="5"/>
  <c r="F170" i="11"/>
  <c r="N101" i="20"/>
  <c r="F41" i="11"/>
  <c r="F172"/>
  <c r="W23" i="20"/>
  <c r="W22"/>
  <c r="W24"/>
  <c r="G48" i="11"/>
  <c r="G52"/>
  <c r="G49"/>
  <c r="G50"/>
  <c r="G51"/>
  <c r="L91" i="18"/>
  <c r="L87"/>
  <c r="X59" i="5"/>
  <c r="K59" i="18"/>
  <c r="H27" i="4"/>
  <c r="V36"/>
  <c r="H36"/>
  <c r="H17" i="15"/>
  <c r="H29"/>
  <c r="O87" i="6"/>
  <c r="X68" i="5"/>
  <c r="K68" i="18"/>
  <c r="K99"/>
  <c r="X99" i="5"/>
  <c r="K22" i="18"/>
  <c r="X22" i="5"/>
  <c r="U110"/>
  <c r="O110" s="1"/>
  <c r="F11" i="10"/>
  <c r="F10"/>
  <c r="F12"/>
  <c r="F8"/>
  <c r="K120" i="8"/>
  <c r="M147"/>
  <c r="K129"/>
  <c r="F81"/>
  <c r="F34" i="14"/>
  <c r="U163" i="5"/>
  <c r="F32" i="14"/>
  <c r="F33"/>
  <c r="F31"/>
  <c r="F35"/>
  <c r="K145" i="18"/>
  <c r="X145" i="5"/>
  <c r="X64"/>
  <c r="K64" i="18"/>
  <c r="K166"/>
  <c r="F9" i="10"/>
  <c r="K94" i="18"/>
  <c r="X94" i="5"/>
  <c r="X50"/>
  <c r="K50" i="18"/>
  <c r="Z30" i="5"/>
  <c r="L30" i="18"/>
  <c r="X25" i="5"/>
  <c r="K25" i="18"/>
  <c r="X19" i="5"/>
  <c r="K19" i="18"/>
  <c r="K156"/>
  <c r="X156" i="5"/>
  <c r="X65"/>
  <c r="K65" i="18"/>
  <c r="K24"/>
  <c r="X173" i="5"/>
  <c r="K173" i="18"/>
  <c r="K54"/>
  <c r="X54" i="5"/>
  <c r="Z40"/>
  <c r="L40" i="18"/>
  <c r="X175" i="5"/>
  <c r="K175" i="18"/>
  <c r="F102" i="14"/>
  <c r="F106"/>
  <c r="X148" i="5"/>
  <c r="K148" i="18"/>
  <c r="U114" i="5"/>
  <c r="F92" i="10"/>
  <c r="F96"/>
  <c r="F95"/>
  <c r="G28" i="11"/>
  <c r="K122" i="18"/>
  <c r="X122" i="5"/>
  <c r="O63" i="2"/>
  <c r="F33" i="6"/>
  <c r="U33" s="1"/>
  <c r="Z52" i="5"/>
  <c r="L52" i="18"/>
  <c r="Z24" i="5"/>
  <c r="L24" i="18"/>
  <c r="L57"/>
  <c r="Z57" i="5"/>
  <c r="L66" i="2"/>
  <c r="O45" i="8" s="1"/>
  <c r="X44" i="20"/>
  <c r="Y44"/>
  <c r="I127" i="6"/>
  <c r="U32" i="4"/>
  <c r="V28"/>
  <c r="U33"/>
  <c r="F169" i="11"/>
  <c r="F173"/>
  <c r="F40"/>
  <c r="F38"/>
  <c r="P3" i="18"/>
  <c r="G45" i="8"/>
  <c r="H52" i="15"/>
  <c r="H28"/>
  <c r="H110" i="6"/>
  <c r="O108"/>
  <c r="O107"/>
  <c r="I105"/>
  <c r="H104"/>
  <c r="H103"/>
  <c r="J90"/>
  <c r="I89"/>
  <c r="H88"/>
  <c r="J86"/>
  <c r="I85"/>
  <c r="H84"/>
  <c r="J82"/>
  <c r="I81"/>
  <c r="H80"/>
  <c r="J78"/>
  <c r="I77"/>
  <c r="H76"/>
  <c r="J74"/>
  <c r="I73"/>
  <c r="H72"/>
  <c r="J70"/>
  <c r="I69"/>
  <c r="H68"/>
  <c r="J66"/>
  <c r="I65"/>
  <c r="H64"/>
  <c r="J62"/>
  <c r="I61"/>
  <c r="H60"/>
  <c r="J58"/>
  <c r="I57"/>
  <c r="H56"/>
  <c r="I111"/>
  <c r="J110"/>
  <c r="H105"/>
  <c r="J103"/>
  <c r="H91"/>
  <c r="H89"/>
  <c r="I87"/>
  <c r="L87" s="1"/>
  <c r="J85"/>
  <c r="J83"/>
  <c r="H82"/>
  <c r="I80"/>
  <c r="I78"/>
  <c r="J76"/>
  <c r="H75"/>
  <c r="H73"/>
  <c r="I71"/>
  <c r="J69"/>
  <c r="J67"/>
  <c r="H66"/>
  <c r="I64"/>
  <c r="I62"/>
  <c r="J60"/>
  <c r="H59"/>
  <c r="H57"/>
  <c r="I55"/>
  <c r="H54"/>
  <c r="J52"/>
  <c r="I51"/>
  <c r="H50"/>
  <c r="J48"/>
  <c r="I47"/>
  <c r="H46"/>
  <c r="J44"/>
  <c r="L44" s="1"/>
  <c r="I43"/>
  <c r="H42"/>
  <c r="J40"/>
  <c r="I39"/>
  <c r="H38"/>
  <c r="J33"/>
  <c r="I32"/>
  <c r="H31"/>
  <c r="J29"/>
  <c r="I28"/>
  <c r="H27"/>
  <c r="O18"/>
  <c r="O16"/>
  <c r="O10"/>
  <c r="X3" i="20"/>
  <c r="H108" i="6"/>
  <c r="K139" i="18"/>
  <c r="X139" i="5"/>
  <c r="H107" i="6"/>
  <c r="J50" i="3"/>
  <c r="E87" i="17" s="1"/>
  <c r="K78" i="8"/>
  <c r="F91"/>
  <c r="K104"/>
  <c r="K113"/>
  <c r="F127"/>
  <c r="F147"/>
  <c r="F156"/>
  <c r="F173"/>
  <c r="F226"/>
  <c r="K240"/>
  <c r="K249"/>
  <c r="F352"/>
  <c r="F361"/>
  <c r="U152" i="5"/>
  <c r="O152" s="1"/>
  <c r="F169" i="13"/>
  <c r="F173"/>
  <c r="F172"/>
  <c r="F170"/>
  <c r="K77" i="18"/>
  <c r="X77" i="5"/>
  <c r="X82"/>
  <c r="K82" i="18"/>
  <c r="F243" i="8"/>
  <c r="K175"/>
  <c r="F107"/>
  <c r="Z43" i="5"/>
  <c r="L43" i="18"/>
  <c r="F84" i="14"/>
  <c r="U167" i="5"/>
  <c r="O167" s="1"/>
  <c r="F83" i="14"/>
  <c r="F86"/>
  <c r="F82"/>
  <c r="F85"/>
  <c r="Z54" i="5"/>
  <c r="L54" i="18"/>
  <c r="L55"/>
  <c r="Z55" i="5"/>
  <c r="K229" i="8"/>
  <c r="K94"/>
  <c r="X87" i="5"/>
  <c r="K87" i="18"/>
  <c r="X15" i="5"/>
  <c r="K15" i="18"/>
  <c r="F71" i="8"/>
  <c r="F73"/>
  <c r="F75"/>
  <c r="F78"/>
  <c r="F80"/>
  <c r="K88"/>
  <c r="K90"/>
  <c r="K93"/>
  <c r="K95"/>
  <c r="K97"/>
  <c r="F104"/>
  <c r="F106"/>
  <c r="F109"/>
  <c r="F111"/>
  <c r="F113"/>
  <c r="K119"/>
  <c r="K121"/>
  <c r="K123"/>
  <c r="K126"/>
  <c r="K128"/>
  <c r="M146"/>
  <c r="M148"/>
  <c r="M150"/>
  <c r="M153"/>
  <c r="M155"/>
  <c r="K172"/>
  <c r="K174"/>
  <c r="K177"/>
  <c r="K179"/>
  <c r="K181"/>
  <c r="K223"/>
  <c r="K225"/>
  <c r="K227"/>
  <c r="K230"/>
  <c r="K232"/>
  <c r="F240"/>
  <c r="F242"/>
  <c r="F244"/>
  <c r="F247"/>
  <c r="F249"/>
  <c r="K353"/>
  <c r="K355"/>
  <c r="K358"/>
  <c r="K360"/>
  <c r="K362"/>
  <c r="K72"/>
  <c r="K74"/>
  <c r="K77"/>
  <c r="K79"/>
  <c r="K81"/>
  <c r="F88"/>
  <c r="F90"/>
  <c r="F93"/>
  <c r="F95"/>
  <c r="F97"/>
  <c r="K103"/>
  <c r="K105"/>
  <c r="K107"/>
  <c r="K110"/>
  <c r="K112"/>
  <c r="F119"/>
  <c r="F121"/>
  <c r="F123"/>
  <c r="F126"/>
  <c r="F128"/>
  <c r="F146"/>
  <c r="F148"/>
  <c r="F150"/>
  <c r="F153"/>
  <c r="F155"/>
  <c r="F172"/>
  <c r="F174"/>
  <c r="F177"/>
  <c r="F179"/>
  <c r="F181"/>
  <c r="F223"/>
  <c r="F225"/>
  <c r="F227"/>
  <c r="F230"/>
  <c r="F232"/>
  <c r="K241"/>
  <c r="K243"/>
  <c r="K246"/>
  <c r="K248"/>
  <c r="K250"/>
  <c r="F353"/>
  <c r="F355"/>
  <c r="F358"/>
  <c r="F360"/>
  <c r="F362"/>
  <c r="K71"/>
  <c r="K75"/>
  <c r="K80"/>
  <c r="F89"/>
  <c r="F94"/>
  <c r="K106"/>
  <c r="K111"/>
  <c r="F120"/>
  <c r="F125"/>
  <c r="F129"/>
  <c r="M149"/>
  <c r="M154"/>
  <c r="F171"/>
  <c r="F175"/>
  <c r="F180"/>
  <c r="F224"/>
  <c r="F229"/>
  <c r="F233"/>
  <c r="K242"/>
  <c r="K247"/>
  <c r="F354"/>
  <c r="F359"/>
  <c r="F74"/>
  <c r="F79"/>
  <c r="K87"/>
  <c r="K91"/>
  <c r="K96"/>
  <c r="F105"/>
  <c r="F110"/>
  <c r="K122"/>
  <c r="K127"/>
  <c r="F149"/>
  <c r="F154"/>
  <c r="K173"/>
  <c r="K178"/>
  <c r="K226"/>
  <c r="K231"/>
  <c r="F241"/>
  <c r="F246"/>
  <c r="F250"/>
  <c r="K352"/>
  <c r="K356"/>
  <c r="K361"/>
  <c r="X157" i="5"/>
  <c r="K157" i="18"/>
  <c r="F356" i="8"/>
  <c r="K244"/>
  <c r="F231"/>
  <c r="F178"/>
  <c r="F152"/>
  <c r="F122"/>
  <c r="K109"/>
  <c r="F96"/>
  <c r="F87"/>
  <c r="K73"/>
  <c r="U179" i="5"/>
  <c r="O179" s="1"/>
  <c r="F219" i="14"/>
  <c r="F218"/>
  <c r="F217"/>
  <c r="K108" i="18"/>
  <c r="X108" i="5"/>
  <c r="K104" i="18"/>
  <c r="X104" i="5"/>
  <c r="Z101"/>
  <c r="L101" i="18"/>
  <c r="X89" i="5"/>
  <c r="K89" i="18"/>
  <c r="X81" i="5"/>
  <c r="K81" i="18"/>
  <c r="X28" i="5"/>
  <c r="K28" i="18"/>
  <c r="X147" i="5"/>
  <c r="K147" i="18"/>
  <c r="U154" i="5"/>
  <c r="O154" s="1"/>
  <c r="F188" i="13"/>
  <c r="F187"/>
  <c r="F189"/>
  <c r="F186"/>
  <c r="K106" i="18"/>
  <c r="X106" i="5"/>
  <c r="K359" i="8"/>
  <c r="F248"/>
  <c r="K233"/>
  <c r="K224"/>
  <c r="K180"/>
  <c r="K171"/>
  <c r="M152"/>
  <c r="K125"/>
  <c r="F112"/>
  <c r="F103"/>
  <c r="K89"/>
  <c r="F77"/>
  <c r="X172" i="5"/>
  <c r="K172" i="18"/>
  <c r="X158" i="5"/>
  <c r="K158" i="18"/>
  <c r="Z99" i="5"/>
  <c r="L99" i="18"/>
  <c r="L50"/>
  <c r="Z50" i="5"/>
  <c r="X26"/>
  <c r="K26" i="18"/>
  <c r="L27"/>
  <c r="Z27" i="5"/>
  <c r="U176"/>
  <c r="O176" s="1"/>
  <c r="F187" i="14"/>
  <c r="F191"/>
  <c r="F190"/>
  <c r="K171" i="18"/>
  <c r="X171" i="5"/>
  <c r="Z49"/>
  <c r="L49" i="18"/>
  <c r="L22"/>
  <c r="Z22" i="5"/>
  <c r="V30" i="4"/>
  <c r="V33"/>
  <c r="V31"/>
  <c r="V32"/>
  <c r="K107" i="18"/>
  <c r="X107" i="5"/>
  <c r="K105" i="18"/>
  <c r="X105" i="5"/>
  <c r="L92" i="18"/>
  <c r="X60" i="5"/>
  <c r="K60" i="18"/>
  <c r="X42" i="5"/>
  <c r="K42" i="18"/>
  <c r="L56"/>
  <c r="Z56" i="5"/>
  <c r="K12" i="18"/>
  <c r="X12" i="5"/>
  <c r="AC3" i="20"/>
  <c r="L26" i="18"/>
  <c r="Z26" i="5"/>
  <c r="H59" i="15"/>
  <c r="H47"/>
  <c r="H35"/>
  <c r="H23"/>
  <c r="H11"/>
  <c r="H41"/>
  <c r="H53"/>
  <c r="Z18" i="5"/>
  <c r="L18" i="18"/>
  <c r="K138"/>
  <c r="X138" i="5"/>
  <c r="W28" i="4"/>
  <c r="X28"/>
  <c r="Y28"/>
  <c r="U30"/>
  <c r="Z44" i="20"/>
  <c r="Z12" i="5"/>
  <c r="L12" i="18"/>
  <c r="Z16" i="5"/>
  <c r="L16" i="18"/>
  <c r="K135"/>
  <c r="X135" i="5"/>
  <c r="W121" i="18"/>
  <c r="W134"/>
  <c r="AE22"/>
  <c r="J286" i="9"/>
  <c r="E77" i="17"/>
  <c r="G26" i="11"/>
  <c r="G27"/>
  <c r="G30"/>
  <c r="M38" i="24" l="1"/>
  <c r="Q39"/>
  <c r="N38" s="1"/>
  <c r="T94" i="20"/>
  <c r="E82" i="17"/>
  <c r="N149" i="15"/>
  <c r="R169" s="1"/>
  <c r="J121" i="6" s="1"/>
  <c r="J127" s="1"/>
  <c r="E81" i="17"/>
  <c r="D63" i="16"/>
  <c r="K129" i="18"/>
  <c r="X40" i="5"/>
  <c r="K165" i="18"/>
  <c r="K150"/>
  <c r="X142" i="5"/>
  <c r="X149"/>
  <c r="K151" i="18"/>
  <c r="F63" i="10"/>
  <c r="K180" i="18"/>
  <c r="Z65" i="5"/>
  <c r="K85" i="18"/>
  <c r="K84"/>
  <c r="K69"/>
  <c r="X43" i="5"/>
  <c r="K18" i="18"/>
  <c r="K17"/>
  <c r="Z36" i="5"/>
  <c r="K55" i="18"/>
  <c r="L37"/>
  <c r="L51"/>
  <c r="K57"/>
  <c r="L38"/>
  <c r="L15"/>
  <c r="K51"/>
  <c r="X52" i="5"/>
  <c r="Z19"/>
  <c r="X49"/>
  <c r="K29" i="18"/>
  <c r="K101"/>
  <c r="L46"/>
  <c r="K41"/>
  <c r="Z41" i="5"/>
  <c r="O120"/>
  <c r="X120" s="1"/>
  <c r="O163"/>
  <c r="X163" s="1"/>
  <c r="K80" i="18"/>
  <c r="O114" i="5"/>
  <c r="X114" s="1"/>
  <c r="K23" i="18"/>
  <c r="X144" i="5"/>
  <c r="K103" i="6"/>
  <c r="K111" s="1"/>
  <c r="L111" s="1"/>
  <c r="K38" i="18"/>
  <c r="K30"/>
  <c r="K36"/>
  <c r="N52" i="15"/>
  <c r="J52"/>
  <c r="Q52"/>
  <c r="M52"/>
  <c r="I52"/>
  <c r="P52"/>
  <c r="L52"/>
  <c r="O52"/>
  <c r="K52"/>
  <c r="P40"/>
  <c r="L40"/>
  <c r="O40"/>
  <c r="K40"/>
  <c r="N40"/>
  <c r="J40"/>
  <c r="Q40"/>
  <c r="M40"/>
  <c r="I40"/>
  <c r="Q34"/>
  <c r="M34"/>
  <c r="I34"/>
  <c r="P34"/>
  <c r="L34"/>
  <c r="O34"/>
  <c r="K34"/>
  <c r="N34"/>
  <c r="J34"/>
  <c r="O46"/>
  <c r="K46"/>
  <c r="N46"/>
  <c r="J46"/>
  <c r="Q46"/>
  <c r="M46"/>
  <c r="I46"/>
  <c r="P46"/>
  <c r="L46"/>
  <c r="N28"/>
  <c r="J28"/>
  <c r="Q28"/>
  <c r="M28"/>
  <c r="I28"/>
  <c r="P28"/>
  <c r="L28"/>
  <c r="O28"/>
  <c r="K28"/>
  <c r="P16"/>
  <c r="L16"/>
  <c r="O16"/>
  <c r="K16"/>
  <c r="N16"/>
  <c r="J16"/>
  <c r="Q16"/>
  <c r="M16"/>
  <c r="I16"/>
  <c r="O22"/>
  <c r="K22"/>
  <c r="N22"/>
  <c r="J22"/>
  <c r="Q22"/>
  <c r="M22"/>
  <c r="I22"/>
  <c r="P22"/>
  <c r="L22"/>
  <c r="O35"/>
  <c r="O36" s="1"/>
  <c r="K35"/>
  <c r="K36" s="1"/>
  <c r="N35"/>
  <c r="N36" s="1"/>
  <c r="J14" i="6" s="1"/>
  <c r="J35" i="15"/>
  <c r="J36" s="1"/>
  <c r="Q35"/>
  <c r="Q36" s="1"/>
  <c r="M35"/>
  <c r="I35"/>
  <c r="I36" s="1"/>
  <c r="P35"/>
  <c r="L35"/>
  <c r="L36" s="1"/>
  <c r="H14" i="6" s="1"/>
  <c r="Q59" i="15"/>
  <c r="Q60" s="1"/>
  <c r="M59"/>
  <c r="M60" s="1"/>
  <c r="I18" i="6" s="1"/>
  <c r="P59" i="15"/>
  <c r="P60" s="1"/>
  <c r="L59"/>
  <c r="L60" s="1"/>
  <c r="H18" i="6" s="1"/>
  <c r="I59" i="15"/>
  <c r="I60" s="1"/>
  <c r="O59"/>
  <c r="O60" s="1"/>
  <c r="K59"/>
  <c r="K60" s="1"/>
  <c r="N59"/>
  <c r="N60" s="1"/>
  <c r="J18" i="6" s="1"/>
  <c r="J59" i="15"/>
  <c r="J60" s="1"/>
  <c r="O23"/>
  <c r="O24" s="1"/>
  <c r="K23"/>
  <c r="N23"/>
  <c r="N24" s="1"/>
  <c r="J12" i="6" s="1"/>
  <c r="J23" i="15"/>
  <c r="Q23"/>
  <c r="Q24" s="1"/>
  <c r="M23"/>
  <c r="I23"/>
  <c r="I24" s="1"/>
  <c r="L23"/>
  <c r="L24" s="1"/>
  <c r="H12" i="6" s="1"/>
  <c r="P23" i="15"/>
  <c r="P24" s="1"/>
  <c r="Q53"/>
  <c r="Q54" s="1"/>
  <c r="M53"/>
  <c r="M54" s="1"/>
  <c r="I17" i="6" s="1"/>
  <c r="I53" i="15"/>
  <c r="I54" s="1"/>
  <c r="P53"/>
  <c r="P54" s="1"/>
  <c r="L53"/>
  <c r="L54" s="1"/>
  <c r="H17" i="6" s="1"/>
  <c r="O53" i="15"/>
  <c r="O54" s="1"/>
  <c r="K53"/>
  <c r="K54" s="1"/>
  <c r="N53"/>
  <c r="N54" s="1"/>
  <c r="J17" i="6" s="1"/>
  <c r="J53" i="15"/>
  <c r="Q29"/>
  <c r="Q30" s="1"/>
  <c r="M29"/>
  <c r="I29"/>
  <c r="I30" s="1"/>
  <c r="P29"/>
  <c r="L29"/>
  <c r="L30" s="1"/>
  <c r="H13" i="6" s="1"/>
  <c r="O29" i="15"/>
  <c r="K29"/>
  <c r="K30" s="1"/>
  <c r="N29"/>
  <c r="J29"/>
  <c r="J30" s="1"/>
  <c r="Q41"/>
  <c r="M41"/>
  <c r="M42" s="1"/>
  <c r="I15" i="6" s="1"/>
  <c r="I41" i="15"/>
  <c r="P41"/>
  <c r="P42" s="1"/>
  <c r="L41"/>
  <c r="L42" s="1"/>
  <c r="H15" i="6" s="1"/>
  <c r="O41" i="15"/>
  <c r="O42" s="1"/>
  <c r="K41"/>
  <c r="N41"/>
  <c r="N42" s="1"/>
  <c r="J15" i="6" s="1"/>
  <c r="J41" i="15"/>
  <c r="J42" s="1"/>
  <c r="O47"/>
  <c r="O48" s="1"/>
  <c r="K47"/>
  <c r="N47"/>
  <c r="N48" s="1"/>
  <c r="J16" i="6" s="1"/>
  <c r="J47" i="15"/>
  <c r="J48" s="1"/>
  <c r="Q47"/>
  <c r="Q48" s="1"/>
  <c r="M47"/>
  <c r="I47"/>
  <c r="I48" s="1"/>
  <c r="P47"/>
  <c r="P48" s="1"/>
  <c r="L47"/>
  <c r="L48" s="1"/>
  <c r="H16" i="6" s="1"/>
  <c r="Q17" i="15"/>
  <c r="M17"/>
  <c r="M18" s="1"/>
  <c r="I11" i="6" s="1"/>
  <c r="I17" i="15"/>
  <c r="P17"/>
  <c r="P18" s="1"/>
  <c r="L17"/>
  <c r="L18" s="1"/>
  <c r="H11" i="6" s="1"/>
  <c r="O17" i="15"/>
  <c r="O18" s="1"/>
  <c r="K17"/>
  <c r="K18" s="1"/>
  <c r="N17"/>
  <c r="N18" s="1"/>
  <c r="J11" i="6" s="1"/>
  <c r="J17" i="15"/>
  <c r="J18" s="1"/>
  <c r="C19" i="2"/>
  <c r="AB7" i="18" s="1"/>
  <c r="BH3" i="5" s="1"/>
  <c r="BE7" s="1"/>
  <c r="AN7" s="1"/>
  <c r="L49" i="6"/>
  <c r="R165" i="15"/>
  <c r="L92" i="20" s="1"/>
  <c r="R170" i="15"/>
  <c r="J125" i="6" s="1"/>
  <c r="K120" i="18"/>
  <c r="P10" i="15"/>
  <c r="L10"/>
  <c r="O10"/>
  <c r="K10"/>
  <c r="N10"/>
  <c r="J10"/>
  <c r="Q10"/>
  <c r="M10"/>
  <c r="I10"/>
  <c r="O11"/>
  <c r="K11"/>
  <c r="M11"/>
  <c r="P11"/>
  <c r="P12" s="1"/>
  <c r="N11"/>
  <c r="J11"/>
  <c r="Q11"/>
  <c r="I11"/>
  <c r="I12" s="1"/>
  <c r="L11"/>
  <c r="L12" s="1"/>
  <c r="H10" i="6" s="1"/>
  <c r="L10" s="1"/>
  <c r="L90"/>
  <c r="O49"/>
  <c r="L63"/>
  <c r="L40"/>
  <c r="L51"/>
  <c r="L71"/>
  <c r="L61"/>
  <c r="L43"/>
  <c r="L58"/>
  <c r="N54" i="2"/>
  <c r="O54" s="1"/>
  <c r="N49"/>
  <c r="F27" i="6" s="1"/>
  <c r="N57" i="2"/>
  <c r="O57" s="1"/>
  <c r="J66"/>
  <c r="K54" s="1"/>
  <c r="F12" i="6" s="1"/>
  <c r="L47"/>
  <c r="L83"/>
  <c r="L79"/>
  <c r="L67"/>
  <c r="L86"/>
  <c r="L14"/>
  <c r="L77"/>
  <c r="L52"/>
  <c r="L45"/>
  <c r="N47" i="2"/>
  <c r="F26" i="6" s="1"/>
  <c r="L26" s="1"/>
  <c r="R26" s="1"/>
  <c r="N56" i="2"/>
  <c r="O56" s="1"/>
  <c r="N60"/>
  <c r="O60" s="1"/>
  <c r="N61"/>
  <c r="O61" s="1"/>
  <c r="N64"/>
  <c r="O64" s="1"/>
  <c r="N62"/>
  <c r="E44" i="21"/>
  <c r="F60" i="10"/>
  <c r="F59"/>
  <c r="F61"/>
  <c r="F62"/>
  <c r="U113" i="5"/>
  <c r="Z160" i="18"/>
  <c r="AA9"/>
  <c r="AA62"/>
  <c r="S122"/>
  <c r="K110" i="6"/>
  <c r="L110" s="1"/>
  <c r="K12"/>
  <c r="K13"/>
  <c r="K18"/>
  <c r="L18" s="1"/>
  <c r="K11"/>
  <c r="K27" s="1"/>
  <c r="K26"/>
  <c r="K17"/>
  <c r="L17" s="1"/>
  <c r="K15"/>
  <c r="K31" s="1"/>
  <c r="K16"/>
  <c r="L16" s="1"/>
  <c r="L103"/>
  <c r="Y42" i="20"/>
  <c r="M27" s="1"/>
  <c r="J94"/>
  <c r="H94"/>
  <c r="H101" s="1"/>
  <c r="J47" i="11" s="1"/>
  <c r="I9" i="20"/>
  <c r="I12" s="1"/>
  <c r="I37"/>
  <c r="L48" i="6"/>
  <c r="L74"/>
  <c r="AC82" i="18"/>
  <c r="AE120"/>
  <c r="L39" i="6"/>
  <c r="L55"/>
  <c r="L62"/>
  <c r="L65"/>
  <c r="L70"/>
  <c r="L81"/>
  <c r="AE54" i="18"/>
  <c r="X134"/>
  <c r="AE148"/>
  <c r="W25" i="20"/>
  <c r="L69" i="6"/>
  <c r="L85"/>
  <c r="L78"/>
  <c r="AD53" i="18"/>
  <c r="AC33"/>
  <c r="T135"/>
  <c r="X136"/>
  <c r="Y126"/>
  <c r="AD92"/>
  <c r="AE63"/>
  <c r="AE26"/>
  <c r="Y134"/>
  <c r="AB120"/>
  <c r="U131"/>
  <c r="V121"/>
  <c r="AA134"/>
  <c r="T129"/>
  <c r="AC118"/>
  <c r="T160"/>
  <c r="AC74"/>
  <c r="AD42"/>
  <c r="AC134"/>
  <c r="AE11"/>
  <c r="AD147"/>
  <c r="AE73"/>
  <c r="AC43"/>
  <c r="X129"/>
  <c r="AD18"/>
  <c r="AE154"/>
  <c r="B138"/>
  <c r="AD40"/>
  <c r="AE137"/>
  <c r="AE135"/>
  <c r="X121"/>
  <c r="AC99"/>
  <c r="AC80"/>
  <c r="AC70"/>
  <c r="AC49"/>
  <c r="AE35"/>
  <c r="AC13"/>
  <c r="V127"/>
  <c r="W138"/>
  <c r="AD16"/>
  <c r="AE37"/>
  <c r="AE41"/>
  <c r="AB139"/>
  <c r="T131"/>
  <c r="AE23"/>
  <c r="R174"/>
  <c r="C174" s="1"/>
  <c r="AB138"/>
  <c r="B136"/>
  <c r="X123"/>
  <c r="Y121"/>
  <c r="U121"/>
  <c r="AB121"/>
  <c r="AD94"/>
  <c r="AC78"/>
  <c r="AD64"/>
  <c r="AC58"/>
  <c r="AC32"/>
  <c r="AC9"/>
  <c r="U127"/>
  <c r="AB137"/>
  <c r="AC152"/>
  <c r="AD35"/>
  <c r="AC40"/>
  <c r="U137"/>
  <c r="AE139"/>
  <c r="AD31"/>
  <c r="V128"/>
  <c r="V137"/>
  <c r="B135"/>
  <c r="AD119"/>
  <c r="W126"/>
  <c r="Z121"/>
  <c r="T126"/>
  <c r="V169"/>
  <c r="AC122"/>
  <c r="AB126"/>
  <c r="V125"/>
  <c r="V123"/>
  <c r="T121"/>
  <c r="AE123"/>
  <c r="X125"/>
  <c r="U123"/>
  <c r="Y120"/>
  <c r="AD135"/>
  <c r="AE150"/>
  <c r="AC120"/>
  <c r="AB125"/>
  <c r="W123"/>
  <c r="X120"/>
  <c r="AC136"/>
  <c r="AC123"/>
  <c r="Y125"/>
  <c r="W120"/>
  <c r="S128"/>
  <c r="AE145"/>
  <c r="R138"/>
  <c r="C138" s="1"/>
  <c r="V135"/>
  <c r="AB136"/>
  <c r="X138"/>
  <c r="U133"/>
  <c r="Z127"/>
  <c r="X128"/>
  <c r="AD114"/>
  <c r="AC19"/>
  <c r="AD22"/>
  <c r="AE122"/>
  <c r="T125"/>
  <c r="AC135"/>
  <c r="S131"/>
  <c r="AC18"/>
  <c r="U136"/>
  <c r="V138"/>
  <c r="S155"/>
  <c r="W127"/>
  <c r="AC42"/>
  <c r="AE21"/>
  <c r="AE28"/>
  <c r="AE46"/>
  <c r="AC121"/>
  <c r="Y123"/>
  <c r="AC150"/>
  <c r="S127"/>
  <c r="AD144"/>
  <c r="U135"/>
  <c r="W137"/>
  <c r="X139"/>
  <c r="T133"/>
  <c r="Z128"/>
  <c r="AE40"/>
  <c r="AC14"/>
  <c r="AD24"/>
  <c r="AC29"/>
  <c r="AD39"/>
  <c r="AE48"/>
  <c r="AC50"/>
  <c r="AD60"/>
  <c r="AD65"/>
  <c r="AC72"/>
  <c r="AD90"/>
  <c r="AE81"/>
  <c r="AE85"/>
  <c r="AC101"/>
  <c r="Z161"/>
  <c r="AD123"/>
  <c r="X126"/>
  <c r="T122"/>
  <c r="Z123"/>
  <c r="Z120"/>
  <c r="AD121"/>
  <c r="S125"/>
  <c r="AA123"/>
  <c r="T120"/>
  <c r="AC147"/>
  <c r="AC151"/>
  <c r="AE121"/>
  <c r="W125"/>
  <c r="AB123"/>
  <c r="AC119"/>
  <c r="X122"/>
  <c r="V120"/>
  <c r="U122"/>
  <c r="AE138"/>
  <c r="AE152"/>
  <c r="V122"/>
  <c r="S120"/>
  <c r="AD149"/>
  <c r="Z126"/>
  <c r="AD150"/>
  <c r="Y131"/>
  <c r="B137"/>
  <c r="Z135"/>
  <c r="Z137"/>
  <c r="Z139"/>
  <c r="Y133"/>
  <c r="AA130"/>
  <c r="AD41"/>
  <c r="AC12"/>
  <c r="AE24"/>
  <c r="V126"/>
  <c r="AC148"/>
  <c r="AC16"/>
  <c r="Y135"/>
  <c r="AA138"/>
  <c r="S133"/>
  <c r="AA127"/>
  <c r="AE113"/>
  <c r="AC24"/>
  <c r="AC39"/>
  <c r="AE118"/>
  <c r="AC138"/>
  <c r="T127"/>
  <c r="AC145"/>
  <c r="V136"/>
  <c r="S139"/>
  <c r="Z133"/>
  <c r="W128"/>
  <c r="AC11"/>
  <c r="AC25"/>
  <c r="AD33"/>
  <c r="AC45"/>
  <c r="AC51"/>
  <c r="AD67"/>
  <c r="AE71"/>
  <c r="AE77"/>
  <c r="AE83"/>
  <c r="AD98"/>
  <c r="AD124"/>
  <c r="AB122"/>
  <c r="R137"/>
  <c r="C137" s="1"/>
  <c r="Z122"/>
  <c r="AC139"/>
  <c r="AD122"/>
  <c r="AA122"/>
  <c r="AD139"/>
  <c r="AD151"/>
  <c r="W122"/>
  <c r="AC142"/>
  <c r="AC144"/>
  <c r="R139"/>
  <c r="C139" s="1"/>
  <c r="T136"/>
  <c r="T138"/>
  <c r="S134"/>
  <c r="U129"/>
  <c r="W129"/>
  <c r="AC154"/>
  <c r="AE30"/>
  <c r="AC28"/>
  <c r="T123"/>
  <c r="AE151"/>
  <c r="AE17"/>
  <c r="Z136"/>
  <c r="W139"/>
  <c r="X133"/>
  <c r="X127"/>
  <c r="AE114"/>
  <c r="AD26"/>
  <c r="AE36"/>
  <c r="U126"/>
  <c r="AD148"/>
  <c r="Y128"/>
  <c r="R136"/>
  <c r="C136" s="1"/>
  <c r="AA136"/>
  <c r="X169"/>
  <c r="V161"/>
  <c r="AC100"/>
  <c r="AC84"/>
  <c r="AE79"/>
  <c r="AD69"/>
  <c r="AC52"/>
  <c r="AE44"/>
  <c r="AC27"/>
  <c r="AD19"/>
  <c r="AA128"/>
  <c r="T134"/>
  <c r="AA135"/>
  <c r="AD142"/>
  <c r="AE38"/>
  <c r="AC22"/>
  <c r="V131"/>
  <c r="AA137"/>
  <c r="AE15"/>
  <c r="AD118"/>
  <c r="AD14"/>
  <c r="Z131"/>
  <c r="V139"/>
  <c r="AE134"/>
  <c r="Y127"/>
  <c r="AC124"/>
  <c r="S121"/>
  <c r="AC149"/>
  <c r="S126"/>
  <c r="Z125"/>
  <c r="S161"/>
  <c r="AA169"/>
  <c r="W160"/>
  <c r="AA161"/>
  <c r="Y160"/>
  <c r="L33" i="6"/>
  <c r="F277" i="9"/>
  <c r="F278" s="1"/>
  <c r="O33" i="6"/>
  <c r="L50"/>
  <c r="O50"/>
  <c r="O91"/>
  <c r="L91"/>
  <c r="L60"/>
  <c r="O60"/>
  <c r="L76"/>
  <c r="O76"/>
  <c r="AB160" i="18"/>
  <c r="T169"/>
  <c r="Y161"/>
  <c r="T161"/>
  <c r="X110" i="5"/>
  <c r="AB110" s="1"/>
  <c r="K110" i="18"/>
  <c r="R33" i="6"/>
  <c r="J51" i="3"/>
  <c r="O95" i="15"/>
  <c r="U96" s="1"/>
  <c r="L46" i="6"/>
  <c r="O46"/>
  <c r="O57"/>
  <c r="L57"/>
  <c r="L56"/>
  <c r="O56"/>
  <c r="L72"/>
  <c r="O72"/>
  <c r="L88"/>
  <c r="O88"/>
  <c r="U169" i="18"/>
  <c r="S169"/>
  <c r="X161"/>
  <c r="O42" i="6"/>
  <c r="L42"/>
  <c r="O59"/>
  <c r="L59"/>
  <c r="O66"/>
  <c r="L66"/>
  <c r="O73"/>
  <c r="L73"/>
  <c r="O68"/>
  <c r="L68"/>
  <c r="O84"/>
  <c r="L84"/>
  <c r="AE124" i="18"/>
  <c r="AD120"/>
  <c r="AA125"/>
  <c r="S123"/>
  <c r="U120"/>
  <c r="AD136"/>
  <c r="AD152"/>
  <c r="S129"/>
  <c r="AC15"/>
  <c r="AD17"/>
  <c r="AE18"/>
  <c r="AC137"/>
  <c r="X135"/>
  <c r="Y136"/>
  <c r="Y137"/>
  <c r="Z138"/>
  <c r="AA139"/>
  <c r="V134"/>
  <c r="W133"/>
  <c r="U130"/>
  <c r="Z130"/>
  <c r="W131"/>
  <c r="AE42"/>
  <c r="U125"/>
  <c r="Y122"/>
  <c r="AD138"/>
  <c r="AE149"/>
  <c r="S130"/>
  <c r="AE144"/>
  <c r="B139"/>
  <c r="AB135"/>
  <c r="T137"/>
  <c r="Y138"/>
  <c r="AB134"/>
  <c r="V129"/>
  <c r="AA131"/>
  <c r="AD113"/>
  <c r="AE9"/>
  <c r="AE12"/>
  <c r="AD30"/>
  <c r="AC23"/>
  <c r="AE27"/>
  <c r="AC35"/>
  <c r="AC46"/>
  <c r="AC37"/>
  <c r="AD38"/>
  <c r="AD44"/>
  <c r="AC53"/>
  <c r="AE49"/>
  <c r="AE52"/>
  <c r="AC54"/>
  <c r="AE55"/>
  <c r="AD56"/>
  <c r="AD57"/>
  <c r="AD59"/>
  <c r="AE60"/>
  <c r="AE61"/>
  <c r="AE67"/>
  <c r="AE64"/>
  <c r="AE65"/>
  <c r="AE68"/>
  <c r="AD70"/>
  <c r="AD71"/>
  <c r="AD74"/>
  <c r="AE76"/>
  <c r="AE90"/>
  <c r="AD78"/>
  <c r="AE80"/>
  <c r="AD82"/>
  <c r="AD83"/>
  <c r="AD86"/>
  <c r="AC87"/>
  <c r="AE89"/>
  <c r="AC91"/>
  <c r="AE92"/>
  <c r="AC94"/>
  <c r="AE95"/>
  <c r="AC98"/>
  <c r="AC102"/>
  <c r="AC104"/>
  <c r="AC105"/>
  <c r="AD106"/>
  <c r="AD107"/>
  <c r="AE108"/>
  <c r="AC111"/>
  <c r="AD112"/>
  <c r="AD116"/>
  <c r="AE119"/>
  <c r="AA126"/>
  <c r="AA121"/>
  <c r="AE142"/>
  <c r="Y130"/>
  <c r="AD145"/>
  <c r="AD134"/>
  <c r="S137"/>
  <c r="T139"/>
  <c r="U134"/>
  <c r="AB133"/>
  <c r="V130"/>
  <c r="X130"/>
  <c r="AC113"/>
  <c r="AE19"/>
  <c r="AD12"/>
  <c r="AC21"/>
  <c r="AE31"/>
  <c r="AD29"/>
  <c r="AD32"/>
  <c r="AE33"/>
  <c r="AE43"/>
  <c r="AD37"/>
  <c r="AC44"/>
  <c r="AE53"/>
  <c r="AD50"/>
  <c r="AD51"/>
  <c r="AC55"/>
  <c r="AC56"/>
  <c r="AE57"/>
  <c r="AC59"/>
  <c r="AD63"/>
  <c r="AC64"/>
  <c r="AC66"/>
  <c r="AD68"/>
  <c r="AE70"/>
  <c r="AE72"/>
  <c r="AC79"/>
  <c r="AD81"/>
  <c r="AC83"/>
  <c r="AC85"/>
  <c r="AE91"/>
  <c r="AE93"/>
  <c r="AD102"/>
  <c r="AD103"/>
  <c r="AE106"/>
  <c r="AC108"/>
  <c r="AD111"/>
  <c r="AE116"/>
  <c r="AC117"/>
  <c r="AC133"/>
  <c r="AC125"/>
  <c r="AC126"/>
  <c r="AB130"/>
  <c r="AC127"/>
  <c r="AE130"/>
  <c r="AE131"/>
  <c r="AD140"/>
  <c r="AC141"/>
  <c r="AC143"/>
  <c r="AD146"/>
  <c r="AD153"/>
  <c r="AD155"/>
  <c r="AE156"/>
  <c r="AE157"/>
  <c r="AE159"/>
  <c r="AD160"/>
  <c r="AE161"/>
  <c r="AE162"/>
  <c r="AE163"/>
  <c r="AE164"/>
  <c r="AC165"/>
  <c r="AC166"/>
  <c r="AD167"/>
  <c r="AD168"/>
  <c r="AD179"/>
  <c r="AD180"/>
  <c r="AC170"/>
  <c r="AE171"/>
  <c r="AC174"/>
  <c r="U9"/>
  <c r="Y9"/>
  <c r="B10"/>
  <c r="AD10"/>
  <c r="T10"/>
  <c r="X10"/>
  <c r="AB10"/>
  <c r="U11"/>
  <c r="Y11"/>
  <c r="B12"/>
  <c r="S12"/>
  <c r="W12"/>
  <c r="AA12"/>
  <c r="C13"/>
  <c r="T13"/>
  <c r="X13"/>
  <c r="AB13"/>
  <c r="V14"/>
  <c r="Z14"/>
  <c r="S15"/>
  <c r="W15"/>
  <c r="AA15"/>
  <c r="C16"/>
  <c r="T16"/>
  <c r="X16"/>
  <c r="AB16"/>
  <c r="U17"/>
  <c r="Y17"/>
  <c r="B18"/>
  <c r="V18"/>
  <c r="Z18"/>
  <c r="V19"/>
  <c r="Z19"/>
  <c r="C20"/>
  <c r="AE20"/>
  <c r="U20"/>
  <c r="Y20"/>
  <c r="B21"/>
  <c r="S21"/>
  <c r="W21"/>
  <c r="AA21"/>
  <c r="C22"/>
  <c r="U22"/>
  <c r="Y22"/>
  <c r="B23"/>
  <c r="V23"/>
  <c r="Z23"/>
  <c r="S24"/>
  <c r="W24"/>
  <c r="AA24"/>
  <c r="C25"/>
  <c r="T25"/>
  <c r="X25"/>
  <c r="AB25"/>
  <c r="V26"/>
  <c r="Z26"/>
  <c r="S27"/>
  <c r="W27"/>
  <c r="AA27"/>
  <c r="C28"/>
  <c r="T28"/>
  <c r="X28"/>
  <c r="AB28"/>
  <c r="U29"/>
  <c r="Y29"/>
  <c r="B30"/>
  <c r="U30"/>
  <c r="Y30"/>
  <c r="B31"/>
  <c r="U31"/>
  <c r="Y31"/>
  <c r="B32"/>
  <c r="V32"/>
  <c r="Z32"/>
  <c r="C33"/>
  <c r="T33"/>
  <c r="X33"/>
  <c r="AB33"/>
  <c r="AC34"/>
  <c r="S34"/>
  <c r="W34"/>
  <c r="AA34"/>
  <c r="C35"/>
  <c r="T35"/>
  <c r="X35"/>
  <c r="AB35"/>
  <c r="V36"/>
  <c r="Z36"/>
  <c r="S37"/>
  <c r="W37"/>
  <c r="AA37"/>
  <c r="C38"/>
  <c r="T38"/>
  <c r="X38"/>
  <c r="AB38"/>
  <c r="V39"/>
  <c r="Z39"/>
  <c r="C40"/>
  <c r="T40"/>
  <c r="X40"/>
  <c r="AB40"/>
  <c r="T41"/>
  <c r="X41"/>
  <c r="AB41"/>
  <c r="V42"/>
  <c r="Z42"/>
  <c r="S43"/>
  <c r="W43"/>
  <c r="AA43"/>
  <c r="U44"/>
  <c r="Y44"/>
  <c r="B45"/>
  <c r="V45"/>
  <c r="Z45"/>
  <c r="C46"/>
  <c r="V46"/>
  <c r="Z46"/>
  <c r="AD47"/>
  <c r="T47"/>
  <c r="X47"/>
  <c r="AB47"/>
  <c r="V48"/>
  <c r="Z48"/>
  <c r="S49"/>
  <c r="W49"/>
  <c r="AA49"/>
  <c r="C50"/>
  <c r="T50"/>
  <c r="X50"/>
  <c r="AB50"/>
  <c r="U51"/>
  <c r="Y51"/>
  <c r="B52"/>
  <c r="V52"/>
  <c r="Z52"/>
  <c r="T53"/>
  <c r="X53"/>
  <c r="AB53"/>
  <c r="U54"/>
  <c r="Y54"/>
  <c r="B55"/>
  <c r="V55"/>
  <c r="Z55"/>
  <c r="C56"/>
  <c r="S56"/>
  <c r="AE147"/>
  <c r="AE16"/>
  <c r="R135"/>
  <c r="C135" s="1"/>
  <c r="W136"/>
  <c r="U139"/>
  <c r="V133"/>
  <c r="Z129"/>
  <c r="AD154"/>
  <c r="AD9"/>
  <c r="AD21"/>
  <c r="AD23"/>
  <c r="AE25"/>
  <c r="AD27"/>
  <c r="AE32"/>
  <c r="AE39"/>
  <c r="AE45"/>
  <c r="AD48"/>
  <c r="AE50"/>
  <c r="AD54"/>
  <c r="AE56"/>
  <c r="AC67"/>
  <c r="AC65"/>
  <c r="AC69"/>
  <c r="AE74"/>
  <c r="AC90"/>
  <c r="AD77"/>
  <c r="AD84"/>
  <c r="AE88"/>
  <c r="AD89"/>
  <c r="AD91"/>
  <c r="AE94"/>
  <c r="AD101"/>
  <c r="AC103"/>
  <c r="AD105"/>
  <c r="AC107"/>
  <c r="AE111"/>
  <c r="AD133"/>
  <c r="AE125"/>
  <c r="AB127"/>
  <c r="AB129"/>
  <c r="AD127"/>
  <c r="AD128"/>
  <c r="AD129"/>
  <c r="AC130"/>
  <c r="AD131"/>
  <c r="AE140"/>
  <c r="AE141"/>
  <c r="AE153"/>
  <c r="AD156"/>
  <c r="AC158"/>
  <c r="AC159"/>
  <c r="AC160"/>
  <c r="AC163"/>
  <c r="AE165"/>
  <c r="AC167"/>
  <c r="AE168"/>
  <c r="AC180"/>
  <c r="AD170"/>
  <c r="AD172"/>
  <c r="AE173"/>
  <c r="AE175"/>
  <c r="AE176"/>
  <c r="AE177"/>
  <c r="AD178"/>
  <c r="W9"/>
  <c r="AB9"/>
  <c r="AE10"/>
  <c r="V10"/>
  <c r="AA10"/>
  <c r="W11"/>
  <c r="AB11"/>
  <c r="T12"/>
  <c r="Y12"/>
  <c r="U13"/>
  <c r="Z13"/>
  <c r="W14"/>
  <c r="AB14"/>
  <c r="X15"/>
  <c r="B16"/>
  <c r="S16"/>
  <c r="Y16"/>
  <c r="S17"/>
  <c r="X17"/>
  <c r="T18"/>
  <c r="Y18"/>
  <c r="C19"/>
  <c r="T19"/>
  <c r="Y19"/>
  <c r="S20"/>
  <c r="X20"/>
  <c r="C21"/>
  <c r="U21"/>
  <c r="Z21"/>
  <c r="W22"/>
  <c r="AB22"/>
  <c r="S23"/>
  <c r="X23"/>
  <c r="B24"/>
  <c r="T24"/>
  <c r="Y24"/>
  <c r="U25"/>
  <c r="Z25"/>
  <c r="C26"/>
  <c r="W26"/>
  <c r="AB26"/>
  <c r="X27"/>
  <c r="B28"/>
  <c r="S28"/>
  <c r="Y28"/>
  <c r="S29"/>
  <c r="X29"/>
  <c r="S30"/>
  <c r="X30"/>
  <c r="C31"/>
  <c r="W31"/>
  <c r="AB31"/>
  <c r="S32"/>
  <c r="X32"/>
  <c r="B33"/>
  <c r="U33"/>
  <c r="Z33"/>
  <c r="T34"/>
  <c r="Y34"/>
  <c r="U35"/>
  <c r="Z35"/>
  <c r="C36"/>
  <c r="W36"/>
  <c r="AB36"/>
  <c r="X37"/>
  <c r="B38"/>
  <c r="S38"/>
  <c r="Y38"/>
  <c r="U39"/>
  <c r="AA39"/>
  <c r="W40"/>
  <c r="B41"/>
  <c r="W41"/>
  <c r="C42"/>
  <c r="T42"/>
  <c r="Y42"/>
  <c r="C43"/>
  <c r="U43"/>
  <c r="Z43"/>
  <c r="W44"/>
  <c r="AB44"/>
  <c r="S45"/>
  <c r="X45"/>
  <c r="B46"/>
  <c r="S46"/>
  <c r="X46"/>
  <c r="B47"/>
  <c r="AE47"/>
  <c r="V47"/>
  <c r="AA47"/>
  <c r="S48"/>
  <c r="X48"/>
  <c r="B49"/>
  <c r="T49"/>
  <c r="Y49"/>
  <c r="U50"/>
  <c r="Z50"/>
  <c r="C51"/>
  <c r="T51"/>
  <c r="Z51"/>
  <c r="C52"/>
  <c r="U52"/>
  <c r="AA52"/>
  <c r="W53"/>
  <c r="B54"/>
  <c r="S54"/>
  <c r="X54"/>
  <c r="C55"/>
  <c r="T55"/>
  <c r="Y55"/>
  <c r="U56"/>
  <c r="Y56"/>
  <c r="B57"/>
  <c r="V57"/>
  <c r="Z57"/>
  <c r="C58"/>
  <c r="T58"/>
  <c r="X58"/>
  <c r="AB58"/>
  <c r="U59"/>
  <c r="Y59"/>
  <c r="B60"/>
  <c r="S60"/>
  <c r="W60"/>
  <c r="AA60"/>
  <c r="C61"/>
  <c r="U61"/>
  <c r="Y61"/>
  <c r="B62"/>
  <c r="AD62"/>
  <c r="T62"/>
  <c r="X62"/>
  <c r="AB62"/>
  <c r="V63"/>
  <c r="Z63"/>
  <c r="R64"/>
  <c r="C64" s="1"/>
  <c r="T64"/>
  <c r="X64"/>
  <c r="AB64"/>
  <c r="U65"/>
  <c r="Y65"/>
  <c r="B66"/>
  <c r="V66"/>
  <c r="Z66"/>
  <c r="R67"/>
  <c r="C67" s="1"/>
  <c r="T67"/>
  <c r="X67"/>
  <c r="AB67"/>
  <c r="V68"/>
  <c r="Z68"/>
  <c r="V69"/>
  <c r="Z69"/>
  <c r="S70"/>
  <c r="W70"/>
  <c r="AA70"/>
  <c r="U71"/>
  <c r="Y71"/>
  <c r="B72"/>
  <c r="V72"/>
  <c r="Z72"/>
  <c r="S73"/>
  <c r="W73"/>
  <c r="AA73"/>
  <c r="T74"/>
  <c r="X74"/>
  <c r="AB74"/>
  <c r="AC75"/>
  <c r="S75"/>
  <c r="W75"/>
  <c r="AA75"/>
  <c r="R76"/>
  <c r="C76" s="1"/>
  <c r="T76"/>
  <c r="X76"/>
  <c r="AB76"/>
  <c r="V77"/>
  <c r="Z77"/>
  <c r="V78"/>
  <c r="Z78"/>
  <c r="S79"/>
  <c r="W79"/>
  <c r="AA79"/>
  <c r="U80"/>
  <c r="Y80"/>
  <c r="B81"/>
  <c r="V81"/>
  <c r="Z81"/>
  <c r="S82"/>
  <c r="W82"/>
  <c r="AA82"/>
  <c r="R83"/>
  <c r="C83" s="1"/>
  <c r="S83"/>
  <c r="W83"/>
  <c r="AA83"/>
  <c r="R84"/>
  <c r="C84" s="1"/>
  <c r="T84"/>
  <c r="X84"/>
  <c r="AB84"/>
  <c r="U85"/>
  <c r="Y85"/>
  <c r="B86"/>
  <c r="U86"/>
  <c r="Y86"/>
  <c r="B87"/>
  <c r="V87"/>
  <c r="Z87"/>
  <c r="R88"/>
  <c r="C88" s="1"/>
  <c r="S88"/>
  <c r="W88"/>
  <c r="AA88"/>
  <c r="U89"/>
  <c r="Y89"/>
  <c r="B90"/>
  <c r="S90"/>
  <c r="W90"/>
  <c r="AA90"/>
  <c r="U91"/>
  <c r="Y91"/>
  <c r="B92"/>
  <c r="S92"/>
  <c r="W92"/>
  <c r="AA92"/>
  <c r="R93"/>
  <c r="C93" s="1"/>
  <c r="U93"/>
  <c r="Y93"/>
  <c r="B94"/>
  <c r="S94"/>
  <c r="W94"/>
  <c r="AA94"/>
  <c r="R95"/>
  <c r="C95" s="1"/>
  <c r="T95"/>
  <c r="X95"/>
  <c r="AB95"/>
  <c r="U96"/>
  <c r="Y96"/>
  <c r="AC96"/>
  <c r="AE97"/>
  <c r="U97"/>
  <c r="Y97"/>
  <c r="B98"/>
  <c r="S98"/>
  <c r="W98"/>
  <c r="AA98"/>
  <c r="R99"/>
  <c r="C99" s="1"/>
  <c r="T99"/>
  <c r="X99"/>
  <c r="AB99"/>
  <c r="U100"/>
  <c r="Y100"/>
  <c r="B101"/>
  <c r="V101"/>
  <c r="Z101"/>
  <c r="R102"/>
  <c r="C102" s="1"/>
  <c r="T102"/>
  <c r="X102"/>
  <c r="AB102"/>
  <c r="V103"/>
  <c r="Z103"/>
  <c r="T104"/>
  <c r="X104"/>
  <c r="AB104"/>
  <c r="V105"/>
  <c r="Z105"/>
  <c r="T106"/>
  <c r="X106"/>
  <c r="AB106"/>
  <c r="V107"/>
  <c r="Z107"/>
  <c r="T108"/>
  <c r="X108"/>
  <c r="AB108"/>
  <c r="V109"/>
  <c r="Z109"/>
  <c r="T110"/>
  <c r="X110"/>
  <c r="AB110"/>
  <c r="U111"/>
  <c r="Y111"/>
  <c r="B112"/>
  <c r="S112"/>
  <c r="W112"/>
  <c r="AA112"/>
  <c r="U113"/>
  <c r="Y113"/>
  <c r="B114"/>
  <c r="V114"/>
  <c r="Z114"/>
  <c r="V115"/>
  <c r="Z115"/>
  <c r="AD115"/>
  <c r="R116"/>
  <c r="C116" s="1"/>
  <c r="U116"/>
  <c r="Y116"/>
  <c r="B117"/>
  <c r="S117"/>
  <c r="W117"/>
  <c r="AA117"/>
  <c r="R118"/>
  <c r="C118" s="1"/>
  <c r="U118"/>
  <c r="Y118"/>
  <c r="B119"/>
  <c r="V119"/>
  <c r="Z119"/>
  <c r="R120"/>
  <c r="C120" s="1"/>
  <c r="R121"/>
  <c r="C121" s="1"/>
  <c r="R122"/>
  <c r="C122" s="1"/>
  <c r="R123"/>
  <c r="C123" s="1"/>
  <c r="R124"/>
  <c r="C124" s="1"/>
  <c r="V124"/>
  <c r="Z124"/>
  <c r="R125"/>
  <c r="C125" s="1"/>
  <c r="R126"/>
  <c r="B129"/>
  <c r="V132"/>
  <c r="Z132"/>
  <c r="B133"/>
  <c r="R134"/>
  <c r="C134" s="1"/>
  <c r="B140"/>
  <c r="V140"/>
  <c r="Z140"/>
  <c r="T141"/>
  <c r="X141"/>
  <c r="AB141"/>
  <c r="V142"/>
  <c r="Z142"/>
  <c r="S143"/>
  <c r="W143"/>
  <c r="AA143"/>
  <c r="R144"/>
  <c r="C144" s="1"/>
  <c r="U144"/>
  <c r="Y144"/>
  <c r="B145"/>
  <c r="U145"/>
  <c r="Y145"/>
  <c r="B146"/>
  <c r="V146"/>
  <c r="Z146"/>
  <c r="R147"/>
  <c r="C147" s="1"/>
  <c r="T147"/>
  <c r="X147"/>
  <c r="AB147"/>
  <c r="U148"/>
  <c r="Y148"/>
  <c r="B149"/>
  <c r="V149"/>
  <c r="Z149"/>
  <c r="R150"/>
  <c r="C150" s="1"/>
  <c r="S150"/>
  <c r="W150"/>
  <c r="AA150"/>
  <c r="T151"/>
  <c r="X151"/>
  <c r="AB151"/>
  <c r="V152"/>
  <c r="Z152"/>
  <c r="R153"/>
  <c r="C153" s="1"/>
  <c r="T153"/>
  <c r="X153"/>
  <c r="AB153"/>
  <c r="V154"/>
  <c r="Z154"/>
  <c r="T155"/>
  <c r="X155"/>
  <c r="AB155"/>
  <c r="U156"/>
  <c r="Y156"/>
  <c r="B157"/>
  <c r="S157"/>
  <c r="W157"/>
  <c r="AA157"/>
  <c r="R158"/>
  <c r="C158" s="1"/>
  <c r="U158"/>
  <c r="Y158"/>
  <c r="B159"/>
  <c r="S159"/>
  <c r="W159"/>
  <c r="AA159"/>
  <c r="R160"/>
  <c r="C160" s="1"/>
  <c r="AA160"/>
  <c r="U162"/>
  <c r="Y162"/>
  <c r="B163"/>
  <c r="V163"/>
  <c r="Z163"/>
  <c r="S164"/>
  <c r="W164"/>
  <c r="AA164"/>
  <c r="R165"/>
  <c r="C165" s="1"/>
  <c r="U165"/>
  <c r="Y165"/>
  <c r="B166"/>
  <c r="V166"/>
  <c r="Z166"/>
  <c r="S167"/>
  <c r="W167"/>
  <c r="AA167"/>
  <c r="U168"/>
  <c r="Y168"/>
  <c r="B169"/>
  <c r="Y169"/>
  <c r="U170"/>
  <c r="Y170"/>
  <c r="B171"/>
  <c r="S171"/>
  <c r="W171"/>
  <c r="AA171"/>
  <c r="R172"/>
  <c r="C172" s="1"/>
  <c r="T172"/>
  <c r="X172"/>
  <c r="AB172"/>
  <c r="U173"/>
  <c r="Y173"/>
  <c r="B174"/>
  <c r="U174"/>
  <c r="Y174"/>
  <c r="B175"/>
  <c r="S175"/>
  <c r="W175"/>
  <c r="AA175"/>
  <c r="R176"/>
  <c r="C176" s="1"/>
  <c r="U176"/>
  <c r="Y176"/>
  <c r="B177"/>
  <c r="V177"/>
  <c r="Z177"/>
  <c r="R178"/>
  <c r="C178" s="1"/>
  <c r="T178"/>
  <c r="X178"/>
  <c r="AB178"/>
  <c r="V179"/>
  <c r="Z179"/>
  <c r="S180"/>
  <c r="W180"/>
  <c r="AA180"/>
  <c r="S135"/>
  <c r="T128"/>
  <c r="AD137"/>
  <c r="X137"/>
  <c r="Y139"/>
  <c r="AA133"/>
  <c r="AA129"/>
  <c r="AD43"/>
  <c r="AD58"/>
  <c r="AC61"/>
  <c r="AE69"/>
  <c r="AC71"/>
  <c r="AC73"/>
  <c r="AC114"/>
  <c r="AD11"/>
  <c r="AC30"/>
  <c r="AE29"/>
  <c r="AD55"/>
  <c r="AE59"/>
  <c r="AD66"/>
  <c r="AA120"/>
  <c r="T130"/>
  <c r="AD15"/>
  <c r="AC17"/>
  <c r="W135"/>
  <c r="S138"/>
  <c r="W130"/>
  <c r="AE136"/>
  <c r="Y129"/>
  <c r="S136"/>
  <c r="U138"/>
  <c r="Z134"/>
  <c r="U128"/>
  <c r="X131"/>
  <c r="AE13"/>
  <c r="AC48"/>
  <c r="AD52"/>
  <c r="AD61"/>
  <c r="AD80"/>
  <c r="AD93"/>
  <c r="AE101"/>
  <c r="AD104"/>
  <c r="AC109"/>
  <c r="AC110"/>
  <c r="AE112"/>
  <c r="AE117"/>
  <c r="AD125"/>
  <c r="AB131"/>
  <c r="AC128"/>
  <c r="AE129"/>
  <c r="AE132"/>
  <c r="AC140"/>
  <c r="AC155"/>
  <c r="AD157"/>
  <c r="AD161"/>
  <c r="AD166"/>
  <c r="AC168"/>
  <c r="AE180"/>
  <c r="AC169"/>
  <c r="AD171"/>
  <c r="AD173"/>
  <c r="AC177"/>
  <c r="AE178"/>
  <c r="B9"/>
  <c r="V9"/>
  <c r="C10"/>
  <c r="S10"/>
  <c r="Z10"/>
  <c r="S11"/>
  <c r="Z11"/>
  <c r="Z12"/>
  <c r="Y13"/>
  <c r="S14"/>
  <c r="Y14"/>
  <c r="Y15"/>
  <c r="W16"/>
  <c r="C17"/>
  <c r="V17"/>
  <c r="AB17"/>
  <c r="U18"/>
  <c r="AB18"/>
  <c r="S19"/>
  <c r="AA19"/>
  <c r="AD20"/>
  <c r="W20"/>
  <c r="X21"/>
  <c r="AE14"/>
  <c r="AD13"/>
  <c r="AE58"/>
  <c r="AD49"/>
  <c r="AE51"/>
  <c r="AE66"/>
  <c r="AD72"/>
  <c r="AC76"/>
  <c r="AE82"/>
  <c r="AD85"/>
  <c r="AC86"/>
  <c r="AD87"/>
  <c r="AC88"/>
  <c r="AC89"/>
  <c r="AC92"/>
  <c r="AE98"/>
  <c r="AE104"/>
  <c r="AD108"/>
  <c r="AE133"/>
  <c r="AE126"/>
  <c r="AE128"/>
  <c r="AC132"/>
  <c r="AC146"/>
  <c r="AD159"/>
  <c r="AC161"/>
  <c r="AD163"/>
  <c r="AC164"/>
  <c r="AE167"/>
  <c r="AD169"/>
  <c r="AE172"/>
  <c r="AD175"/>
  <c r="S9"/>
  <c r="U10"/>
  <c r="X11"/>
  <c r="U12"/>
  <c r="B13"/>
  <c r="W13"/>
  <c r="T14"/>
  <c r="B15"/>
  <c r="V15"/>
  <c r="Z16"/>
  <c r="AA17"/>
  <c r="W18"/>
  <c r="X19"/>
  <c r="AA20"/>
  <c r="V21"/>
  <c r="S22"/>
  <c r="Z22"/>
  <c r="Y23"/>
  <c r="X24"/>
  <c r="W25"/>
  <c r="X26"/>
  <c r="C27"/>
  <c r="V27"/>
  <c r="V28"/>
  <c r="B29"/>
  <c r="T29"/>
  <c r="AA29"/>
  <c r="Z30"/>
  <c r="V31"/>
  <c r="U32"/>
  <c r="AB32"/>
  <c r="V33"/>
  <c r="B34"/>
  <c r="Z34"/>
  <c r="Y35"/>
  <c r="S36"/>
  <c r="Y36"/>
  <c r="Y37"/>
  <c r="W38"/>
  <c r="C39"/>
  <c r="X39"/>
  <c r="Y40"/>
  <c r="C41"/>
  <c r="V41"/>
  <c r="W42"/>
  <c r="B43"/>
  <c r="V43"/>
  <c r="B44"/>
  <c r="V44"/>
  <c r="C45"/>
  <c r="U45"/>
  <c r="AB45"/>
  <c r="T46"/>
  <c r="AA46"/>
  <c r="AC47"/>
  <c r="W47"/>
  <c r="C48"/>
  <c r="W48"/>
  <c r="C49"/>
  <c r="V49"/>
  <c r="B50"/>
  <c r="V50"/>
  <c r="B51"/>
  <c r="S51"/>
  <c r="AA51"/>
  <c r="S52"/>
  <c r="Y52"/>
  <c r="S53"/>
  <c r="Z53"/>
  <c r="Z54"/>
  <c r="X55"/>
  <c r="W56"/>
  <c r="AB56"/>
  <c r="S57"/>
  <c r="X57"/>
  <c r="B58"/>
  <c r="U58"/>
  <c r="Z58"/>
  <c r="C59"/>
  <c r="V59"/>
  <c r="AA59"/>
  <c r="X60"/>
  <c r="B61"/>
  <c r="T61"/>
  <c r="Z61"/>
  <c r="R62"/>
  <c r="C62" s="1"/>
  <c r="S62"/>
  <c r="Y62"/>
  <c r="U63"/>
  <c r="AA63"/>
  <c r="W64"/>
  <c r="B65"/>
  <c r="S65"/>
  <c r="X65"/>
  <c r="R66"/>
  <c r="C66" s="1"/>
  <c r="T66"/>
  <c r="Y66"/>
  <c r="V67"/>
  <c r="AA67"/>
  <c r="S68"/>
  <c r="X68"/>
  <c r="B69"/>
  <c r="S69"/>
  <c r="X69"/>
  <c r="B70"/>
  <c r="T70"/>
  <c r="Y70"/>
  <c r="R71"/>
  <c r="C71" s="1"/>
  <c r="V71"/>
  <c r="AA71"/>
  <c r="W72"/>
  <c r="AB72"/>
  <c r="X73"/>
  <c r="B74"/>
  <c r="S74"/>
  <c r="Y74"/>
  <c r="R75"/>
  <c r="C75" s="1"/>
  <c r="X75"/>
  <c r="B76"/>
  <c r="S76"/>
  <c r="Y76"/>
  <c r="U77"/>
  <c r="AA77"/>
  <c r="U78"/>
  <c r="AA78"/>
  <c r="V79"/>
  <c r="AB79"/>
  <c r="S80"/>
  <c r="X80"/>
  <c r="T81"/>
  <c r="Y81"/>
  <c r="R82"/>
  <c r="C82" s="1"/>
  <c r="U82"/>
  <c r="Z82"/>
  <c r="U83"/>
  <c r="Z83"/>
  <c r="V84"/>
  <c r="AA84"/>
  <c r="V85"/>
  <c r="AA85"/>
  <c r="T86"/>
  <c r="Z86"/>
  <c r="R87"/>
  <c r="C87" s="1"/>
  <c r="U87"/>
  <c r="AA87"/>
  <c r="V88"/>
  <c r="AB88"/>
  <c r="S89"/>
  <c r="X89"/>
  <c r="R90"/>
  <c r="C90" s="1"/>
  <c r="U90"/>
  <c r="Z90"/>
  <c r="W91"/>
  <c r="AB91"/>
  <c r="T92"/>
  <c r="Y92"/>
  <c r="V93"/>
  <c r="AA93"/>
  <c r="X94"/>
  <c r="B95"/>
  <c r="S95"/>
  <c r="Y95"/>
  <c r="S96"/>
  <c r="X96"/>
  <c r="AD96"/>
  <c r="AC97"/>
  <c r="T97"/>
  <c r="Z97"/>
  <c r="V98"/>
  <c r="AB98"/>
  <c r="W99"/>
  <c r="B100"/>
  <c r="W100"/>
  <c r="AB100"/>
  <c r="S101"/>
  <c r="X101"/>
  <c r="B102"/>
  <c r="U102"/>
  <c r="Z102"/>
  <c r="W103"/>
  <c r="AB103"/>
  <c r="S104"/>
  <c r="Y104"/>
  <c r="U105"/>
  <c r="AA105"/>
  <c r="W106"/>
  <c r="B107"/>
  <c r="T107"/>
  <c r="Y107"/>
  <c r="R108"/>
  <c r="C108" s="1"/>
  <c r="V108"/>
  <c r="AA108"/>
  <c r="S109"/>
  <c r="X109"/>
  <c r="B110"/>
  <c r="U110"/>
  <c r="Z110"/>
  <c r="R111"/>
  <c r="C111" s="1"/>
  <c r="V111"/>
  <c r="AA111"/>
  <c r="X112"/>
  <c r="B113"/>
  <c r="T113"/>
  <c r="Z113"/>
  <c r="R114"/>
  <c r="C114" s="1"/>
  <c r="U114"/>
  <c r="AA114"/>
  <c r="U115"/>
  <c r="AA115"/>
  <c r="B116"/>
  <c r="T116"/>
  <c r="Z116"/>
  <c r="R117"/>
  <c r="C117" s="1"/>
  <c r="V117"/>
  <c r="AB117"/>
  <c r="S118"/>
  <c r="X118"/>
  <c r="T119"/>
  <c r="Y119"/>
  <c r="B122"/>
  <c r="T124"/>
  <c r="Y124"/>
  <c r="B127"/>
  <c r="B128"/>
  <c r="R129"/>
  <c r="C129" s="1"/>
  <c r="B130"/>
  <c r="B131"/>
  <c r="B132"/>
  <c r="S132"/>
  <c r="X132"/>
  <c r="W140"/>
  <c r="AB140"/>
  <c r="S141"/>
  <c r="Y141"/>
  <c r="R142"/>
  <c r="C142" s="1"/>
  <c r="U142"/>
  <c r="AA142"/>
  <c r="V143"/>
  <c r="AB143"/>
  <c r="S144"/>
  <c r="X144"/>
  <c r="S145"/>
  <c r="X145"/>
  <c r="T146"/>
  <c r="Y146"/>
  <c r="V147"/>
  <c r="AA147"/>
  <c r="W148"/>
  <c r="AB148"/>
  <c r="S149"/>
  <c r="X149"/>
  <c r="B150"/>
  <c r="T150"/>
  <c r="Y150"/>
  <c r="R151"/>
  <c r="C151" s="1"/>
  <c r="U151"/>
  <c r="Z151"/>
  <c r="W152"/>
  <c r="AB152"/>
  <c r="S153"/>
  <c r="Y153"/>
  <c r="U154"/>
  <c r="AA154"/>
  <c r="W155"/>
  <c r="B156"/>
  <c r="S156"/>
  <c r="X156"/>
  <c r="U157"/>
  <c r="Z157"/>
  <c r="W158"/>
  <c r="AB158"/>
  <c r="T159"/>
  <c r="Y159"/>
  <c r="B161"/>
  <c r="B162"/>
  <c r="T162"/>
  <c r="Z162"/>
  <c r="R163"/>
  <c r="C163" s="1"/>
  <c r="U163"/>
  <c r="AA163"/>
  <c r="V164"/>
  <c r="AB164"/>
  <c r="S165"/>
  <c r="X165"/>
  <c r="T166"/>
  <c r="Y166"/>
  <c r="R167"/>
  <c r="C167" s="1"/>
  <c r="U167"/>
  <c r="Z167"/>
  <c r="W168"/>
  <c r="AB168"/>
  <c r="B170"/>
  <c r="S170"/>
  <c r="X170"/>
  <c r="U171"/>
  <c r="Z171"/>
  <c r="V172"/>
  <c r="AA172"/>
  <c r="W173"/>
  <c r="AB173"/>
  <c r="V174"/>
  <c r="AA174"/>
  <c r="X175"/>
  <c r="B176"/>
  <c r="T176"/>
  <c r="Z176"/>
  <c r="U177"/>
  <c r="AA177"/>
  <c r="W178"/>
  <c r="B179"/>
  <c r="T179"/>
  <c r="Y179"/>
  <c r="R180"/>
  <c r="C180" s="1"/>
  <c r="U180"/>
  <c r="Z180"/>
  <c r="T9"/>
  <c r="W10"/>
  <c r="C11"/>
  <c r="AA11"/>
  <c r="U14"/>
  <c r="Z15"/>
  <c r="AA16"/>
  <c r="C18"/>
  <c r="T22"/>
  <c r="T23"/>
  <c r="S26"/>
  <c r="Y27"/>
  <c r="C29"/>
  <c r="AB29"/>
  <c r="AA30"/>
  <c r="C32"/>
  <c r="U34"/>
  <c r="S35"/>
  <c r="T36"/>
  <c r="T37"/>
  <c r="S39"/>
  <c r="S40"/>
  <c r="X43"/>
  <c r="C44"/>
  <c r="X44"/>
  <c r="W45"/>
  <c r="AB46"/>
  <c r="Y47"/>
  <c r="Y48"/>
  <c r="X49"/>
  <c r="V51"/>
  <c r="T52"/>
  <c r="U53"/>
  <c r="T54"/>
  <c r="S55"/>
  <c r="C57"/>
  <c r="Y57"/>
  <c r="V58"/>
  <c r="AB59"/>
  <c r="Y60"/>
  <c r="V61"/>
  <c r="AA61"/>
  <c r="U62"/>
  <c r="R63"/>
  <c r="C63" s="1"/>
  <c r="AB63"/>
  <c r="Y64"/>
  <c r="T65"/>
  <c r="B68"/>
  <c r="Y68"/>
  <c r="T69"/>
  <c r="R70"/>
  <c r="C70" s="1"/>
  <c r="Z70"/>
  <c r="W71"/>
  <c r="S72"/>
  <c r="T73"/>
  <c r="R74"/>
  <c r="C74" s="1"/>
  <c r="Z74"/>
  <c r="T75"/>
  <c r="Y75"/>
  <c r="U76"/>
  <c r="Z76"/>
  <c r="W77"/>
  <c r="T80"/>
  <c r="R81"/>
  <c r="C81" s="1"/>
  <c r="AA81"/>
  <c r="V82"/>
  <c r="W84"/>
  <c r="B85"/>
  <c r="AB85"/>
  <c r="AA86"/>
  <c r="W87"/>
  <c r="AB87"/>
  <c r="B89"/>
  <c r="Z89"/>
  <c r="V90"/>
  <c r="AB90"/>
  <c r="X91"/>
  <c r="U92"/>
  <c r="AB93"/>
  <c r="Y94"/>
  <c r="U95"/>
  <c r="Z95"/>
  <c r="T96"/>
  <c r="AE96"/>
  <c r="V97"/>
  <c r="B99"/>
  <c r="Y99"/>
  <c r="S100"/>
  <c r="X100"/>
  <c r="T101"/>
  <c r="Y101"/>
  <c r="V102"/>
  <c r="AA102"/>
  <c r="X103"/>
  <c r="U104"/>
  <c r="R105"/>
  <c r="C105" s="1"/>
  <c r="AB105"/>
  <c r="Y106"/>
  <c r="U107"/>
  <c r="AA107"/>
  <c r="W108"/>
  <c r="T109"/>
  <c r="R110"/>
  <c r="C110" s="1"/>
  <c r="AA110"/>
  <c r="W111"/>
  <c r="T112"/>
  <c r="R113"/>
  <c r="C113" s="1"/>
  <c r="AA113"/>
  <c r="W114"/>
  <c r="AB114"/>
  <c r="W115"/>
  <c r="AB115"/>
  <c r="AA116"/>
  <c r="X117"/>
  <c r="T118"/>
  <c r="AC31"/>
  <c r="AD25"/>
  <c r="AC36"/>
  <c r="AC38"/>
  <c r="AC57"/>
  <c r="AC63"/>
  <c r="AD76"/>
  <c r="AC77"/>
  <c r="AE86"/>
  <c r="AE87"/>
  <c r="AD88"/>
  <c r="AC93"/>
  <c r="AE102"/>
  <c r="AD99"/>
  <c r="AD100"/>
  <c r="AE105"/>
  <c r="AD110"/>
  <c r="AD130"/>
  <c r="AD132"/>
  <c r="AD143"/>
  <c r="AE146"/>
  <c r="AC153"/>
  <c r="AC157"/>
  <c r="AD164"/>
  <c r="AD165"/>
  <c r="AE169"/>
  <c r="AC173"/>
  <c r="AD177"/>
  <c r="V12"/>
  <c r="AA13"/>
  <c r="C15"/>
  <c r="T17"/>
  <c r="X18"/>
  <c r="AB19"/>
  <c r="T20"/>
  <c r="AB20"/>
  <c r="Y21"/>
  <c r="AA22"/>
  <c r="AA23"/>
  <c r="Z24"/>
  <c r="Y25"/>
  <c r="Y26"/>
  <c r="W28"/>
  <c r="V29"/>
  <c r="T30"/>
  <c r="X31"/>
  <c r="W32"/>
  <c r="W33"/>
  <c r="C34"/>
  <c r="AB34"/>
  <c r="AA35"/>
  <c r="AA36"/>
  <c r="Z37"/>
  <c r="Z38"/>
  <c r="Y39"/>
  <c r="Z40"/>
  <c r="Y41"/>
  <c r="X42"/>
  <c r="U46"/>
  <c r="W50"/>
  <c r="AB51"/>
  <c r="AB52"/>
  <c r="AA53"/>
  <c r="AA54"/>
  <c r="AA55"/>
  <c r="X56"/>
  <c r="T57"/>
  <c r="AA58"/>
  <c r="W59"/>
  <c r="T60"/>
  <c r="AC62"/>
  <c r="Z62"/>
  <c r="W63"/>
  <c r="S64"/>
  <c r="R65"/>
  <c r="C65" s="1"/>
  <c r="Z65"/>
  <c r="U66"/>
  <c r="AA66"/>
  <c r="W67"/>
  <c r="T68"/>
  <c r="R69"/>
  <c r="C69" s="1"/>
  <c r="Y69"/>
  <c r="U70"/>
  <c r="AB71"/>
  <c r="X72"/>
  <c r="B73"/>
  <c r="Y73"/>
  <c r="U74"/>
  <c r="R77"/>
  <c r="C77" s="1"/>
  <c r="AB77"/>
  <c r="W78"/>
  <c r="AB78"/>
  <c r="X79"/>
  <c r="B80"/>
  <c r="Z80"/>
  <c r="U81"/>
  <c r="AB82"/>
  <c r="V83"/>
  <c r="AB83"/>
  <c r="W85"/>
  <c r="V86"/>
  <c r="X88"/>
  <c r="T89"/>
  <c r="S91"/>
  <c r="Z92"/>
  <c r="W93"/>
  <c r="T94"/>
  <c r="R96"/>
  <c r="C96" s="1"/>
  <c r="Z96"/>
  <c r="AD97"/>
  <c r="AA97"/>
  <c r="X98"/>
  <c r="S99"/>
  <c r="S103"/>
  <c r="B104"/>
  <c r="Z104"/>
  <c r="W105"/>
  <c r="S106"/>
  <c r="B109"/>
  <c r="Y109"/>
  <c r="V110"/>
  <c r="AB111"/>
  <c r="Y112"/>
  <c r="V113"/>
  <c r="V116"/>
  <c r="B118"/>
  <c r="AD46"/>
  <c r="AD79"/>
  <c r="AC81"/>
  <c r="AC95"/>
  <c r="AE100"/>
  <c r="AE110"/>
  <c r="AC116"/>
  <c r="AD117"/>
  <c r="AD126"/>
  <c r="AD162"/>
  <c r="AC172"/>
  <c r="AC176"/>
  <c r="AE174"/>
  <c r="AC178"/>
  <c r="Z9"/>
  <c r="B11"/>
  <c r="C12"/>
  <c r="V13"/>
  <c r="AA14"/>
  <c r="B17"/>
  <c r="AC20"/>
  <c r="T21"/>
  <c r="X22"/>
  <c r="U23"/>
  <c r="U24"/>
  <c r="S25"/>
  <c r="T26"/>
  <c r="T27"/>
  <c r="C30"/>
  <c r="AB30"/>
  <c r="S31"/>
  <c r="AD34"/>
  <c r="B35"/>
  <c r="B36"/>
  <c r="B37"/>
  <c r="V37"/>
  <c r="U38"/>
  <c r="T39"/>
  <c r="U40"/>
  <c r="AA41"/>
  <c r="AB42"/>
  <c r="Y43"/>
  <c r="Z44"/>
  <c r="Y45"/>
  <c r="W46"/>
  <c r="S47"/>
  <c r="T48"/>
  <c r="B53"/>
  <c r="AB54"/>
  <c r="W55"/>
  <c r="T56"/>
  <c r="AA57"/>
  <c r="W58"/>
  <c r="S59"/>
  <c r="Z60"/>
  <c r="W61"/>
  <c r="AE62"/>
  <c r="X63"/>
  <c r="U64"/>
  <c r="AA65"/>
  <c r="W66"/>
  <c r="S67"/>
  <c r="AA68"/>
  <c r="U69"/>
  <c r="AB70"/>
  <c r="X71"/>
  <c r="T72"/>
  <c r="R73"/>
  <c r="C73" s="1"/>
  <c r="Z73"/>
  <c r="V74"/>
  <c r="AD75"/>
  <c r="Z75"/>
  <c r="V76"/>
  <c r="S77"/>
  <c r="B78"/>
  <c r="T78"/>
  <c r="R79"/>
  <c r="C79" s="1"/>
  <c r="Z79"/>
  <c r="W80"/>
  <c r="S81"/>
  <c r="B82"/>
  <c r="Y82"/>
  <c r="B84"/>
  <c r="U84"/>
  <c r="R85"/>
  <c r="C85" s="1"/>
  <c r="X85"/>
  <c r="X86"/>
  <c r="T87"/>
  <c r="Y88"/>
  <c r="V89"/>
  <c r="B91"/>
  <c r="Z91"/>
  <c r="V92"/>
  <c r="S93"/>
  <c r="Z94"/>
  <c r="V95"/>
  <c r="AA96"/>
  <c r="AB97"/>
  <c r="Y98"/>
  <c r="U99"/>
  <c r="R100"/>
  <c r="C100" s="1"/>
  <c r="Z100"/>
  <c r="U101"/>
  <c r="B103"/>
  <c r="Y103"/>
  <c r="V104"/>
  <c r="S105"/>
  <c r="B106"/>
  <c r="Z106"/>
  <c r="W107"/>
  <c r="S108"/>
  <c r="AA109"/>
  <c r="W110"/>
  <c r="S111"/>
  <c r="Z112"/>
  <c r="W113"/>
  <c r="S114"/>
  <c r="B115"/>
  <c r="T115"/>
  <c r="AE115"/>
  <c r="AB116"/>
  <c r="Y117"/>
  <c r="V118"/>
  <c r="AB118"/>
  <c r="U119"/>
  <c r="AB119"/>
  <c r="X124"/>
  <c r="Y132"/>
  <c r="B134"/>
  <c r="U140"/>
  <c r="B141"/>
  <c r="V141"/>
  <c r="B142"/>
  <c r="W142"/>
  <c r="B143"/>
  <c r="U143"/>
  <c r="B144"/>
  <c r="V144"/>
  <c r="AB144"/>
  <c r="T145"/>
  <c r="AA145"/>
  <c r="S146"/>
  <c r="AA146"/>
  <c r="S147"/>
  <c r="Z147"/>
  <c r="S148"/>
  <c r="Z148"/>
  <c r="Y149"/>
  <c r="X150"/>
  <c r="W151"/>
  <c r="R152"/>
  <c r="C152" s="1"/>
  <c r="X152"/>
  <c r="W153"/>
  <c r="R154"/>
  <c r="C154" s="1"/>
  <c r="X154"/>
  <c r="R155"/>
  <c r="C155" s="1"/>
  <c r="Y155"/>
  <c r="R156"/>
  <c r="C156" s="1"/>
  <c r="W156"/>
  <c r="R157"/>
  <c r="C157" s="1"/>
  <c r="X157"/>
  <c r="X158"/>
  <c r="R159"/>
  <c r="C159" s="1"/>
  <c r="X159"/>
  <c r="R161"/>
  <c r="C161" s="1"/>
  <c r="S162"/>
  <c r="AA162"/>
  <c r="S163"/>
  <c r="Y163"/>
  <c r="Y164"/>
  <c r="Z165"/>
  <c r="X166"/>
  <c r="X167"/>
  <c r="R168"/>
  <c r="C168" s="1"/>
  <c r="X168"/>
  <c r="Z170"/>
  <c r="Y171"/>
  <c r="Y172"/>
  <c r="R173"/>
  <c r="C173" s="1"/>
  <c r="X173"/>
  <c r="S174"/>
  <c r="Z174"/>
  <c r="T175"/>
  <c r="Z175"/>
  <c r="S176"/>
  <c r="AA176"/>
  <c r="S177"/>
  <c r="Y177"/>
  <c r="S178"/>
  <c r="Z178"/>
  <c r="S179"/>
  <c r="AA179"/>
  <c r="Y180"/>
  <c r="AD95"/>
  <c r="AE99"/>
  <c r="AE103"/>
  <c r="AD109"/>
  <c r="AC112"/>
  <c r="AC129"/>
  <c r="AC131"/>
  <c r="AE143"/>
  <c r="AD158"/>
  <c r="AE160"/>
  <c r="AC179"/>
  <c r="AD176"/>
  <c r="AC10"/>
  <c r="T11"/>
  <c r="X12"/>
  <c r="B14"/>
  <c r="T15"/>
  <c r="S18"/>
  <c r="U19"/>
  <c r="V20"/>
  <c r="AB21"/>
  <c r="W23"/>
  <c r="V24"/>
  <c r="V25"/>
  <c r="U26"/>
  <c r="U27"/>
  <c r="U28"/>
  <c r="T31"/>
  <c r="T32"/>
  <c r="S33"/>
  <c r="AE34"/>
  <c r="C37"/>
  <c r="AB37"/>
  <c r="V38"/>
  <c r="W39"/>
  <c r="V40"/>
  <c r="S41"/>
  <c r="S42"/>
  <c r="AB43"/>
  <c r="AA44"/>
  <c r="AA45"/>
  <c r="Y46"/>
  <c r="U47"/>
  <c r="U48"/>
  <c r="U49"/>
  <c r="S50"/>
  <c r="C53"/>
  <c r="C54"/>
  <c r="AB55"/>
  <c r="V56"/>
  <c r="AB57"/>
  <c r="Y58"/>
  <c r="T59"/>
  <c r="C60"/>
  <c r="AB60"/>
  <c r="X61"/>
  <c r="B63"/>
  <c r="Y63"/>
  <c r="V64"/>
  <c r="AB65"/>
  <c r="X66"/>
  <c r="U67"/>
  <c r="R68"/>
  <c r="C68" s="1"/>
  <c r="AB68"/>
  <c r="W69"/>
  <c r="B71"/>
  <c r="Z71"/>
  <c r="U72"/>
  <c r="AB73"/>
  <c r="W74"/>
  <c r="AE75"/>
  <c r="AB75"/>
  <c r="W76"/>
  <c r="T77"/>
  <c r="R78"/>
  <c r="C78" s="1"/>
  <c r="X78"/>
  <c r="T79"/>
  <c r="R80"/>
  <c r="C80" s="1"/>
  <c r="AA80"/>
  <c r="W81"/>
  <c r="B83"/>
  <c r="T83"/>
  <c r="Y84"/>
  <c r="Z85"/>
  <c r="AB86"/>
  <c r="X87"/>
  <c r="Z88"/>
  <c r="W89"/>
  <c r="T90"/>
  <c r="R91"/>
  <c r="C91" s="1"/>
  <c r="AA91"/>
  <c r="X92"/>
  <c r="T93"/>
  <c r="R94"/>
  <c r="C94" s="1"/>
  <c r="AB94"/>
  <c r="W95"/>
  <c r="AB96"/>
  <c r="S97"/>
  <c r="R98"/>
  <c r="C98" s="1"/>
  <c r="Z98"/>
  <c r="V99"/>
  <c r="AA100"/>
  <c r="W101"/>
  <c r="S102"/>
  <c r="R103"/>
  <c r="C103" s="1"/>
  <c r="AA103"/>
  <c r="W104"/>
  <c r="T105"/>
  <c r="R106"/>
  <c r="C106" s="1"/>
  <c r="AA106"/>
  <c r="X107"/>
  <c r="U108"/>
  <c r="R109"/>
  <c r="C109" s="1"/>
  <c r="AB109"/>
  <c r="Y110"/>
  <c r="T111"/>
  <c r="R112"/>
  <c r="C112" s="1"/>
  <c r="AB112"/>
  <c r="X113"/>
  <c r="T114"/>
  <c r="R115"/>
  <c r="C115" s="1"/>
  <c r="X115"/>
  <c r="S116"/>
  <c r="Z117"/>
  <c r="W118"/>
  <c r="R119"/>
  <c r="C119" s="1"/>
  <c r="W119"/>
  <c r="B120"/>
  <c r="S124"/>
  <c r="AA124"/>
  <c r="B126"/>
  <c r="R130"/>
  <c r="C130" s="1"/>
  <c r="T132"/>
  <c r="AA132"/>
  <c r="R133"/>
  <c r="C133" s="1"/>
  <c r="R140"/>
  <c r="C140" s="1"/>
  <c r="X140"/>
  <c r="R141"/>
  <c r="C141" s="1"/>
  <c r="W141"/>
  <c r="X142"/>
  <c r="R143"/>
  <c r="C143" s="1"/>
  <c r="X143"/>
  <c r="W144"/>
  <c r="R145"/>
  <c r="C145" s="1"/>
  <c r="V145"/>
  <c r="AB145"/>
  <c r="U146"/>
  <c r="AB146"/>
  <c r="U147"/>
  <c r="B148"/>
  <c r="T148"/>
  <c r="AA148"/>
  <c r="T149"/>
  <c r="AA149"/>
  <c r="Z150"/>
  <c r="Y151"/>
  <c r="S152"/>
  <c r="Y152"/>
  <c r="Z153"/>
  <c r="S154"/>
  <c r="Y154"/>
  <c r="Z155"/>
  <c r="Z156"/>
  <c r="Y157"/>
  <c r="S158"/>
  <c r="Z158"/>
  <c r="Z159"/>
  <c r="S160"/>
  <c r="U161"/>
  <c r="V162"/>
  <c r="AB162"/>
  <c r="T163"/>
  <c r="AB163"/>
  <c r="T164"/>
  <c r="Z164"/>
  <c r="T165"/>
  <c r="AA165"/>
  <c r="S166"/>
  <c r="AA166"/>
  <c r="Y167"/>
  <c r="S168"/>
  <c r="Z168"/>
  <c r="T170"/>
  <c r="AA170"/>
  <c r="T171"/>
  <c r="AB171"/>
  <c r="S172"/>
  <c r="Z172"/>
  <c r="S173"/>
  <c r="Z173"/>
  <c r="T174"/>
  <c r="AB174"/>
  <c r="U175"/>
  <c r="AB175"/>
  <c r="V176"/>
  <c r="AB176"/>
  <c r="T177"/>
  <c r="AB177"/>
  <c r="U178"/>
  <c r="AA178"/>
  <c r="U179"/>
  <c r="AB179"/>
  <c r="T180"/>
  <c r="AB180"/>
  <c r="C9"/>
  <c r="V11"/>
  <c r="AB12"/>
  <c r="U15"/>
  <c r="U16"/>
  <c r="AA18"/>
  <c r="Z20"/>
  <c r="C23"/>
  <c r="AB24"/>
  <c r="AA25"/>
  <c r="Z27"/>
  <c r="Z28"/>
  <c r="W29"/>
  <c r="Z31"/>
  <c r="Y32"/>
  <c r="V34"/>
  <c r="V35"/>
  <c r="U36"/>
  <c r="AB39"/>
  <c r="U41"/>
  <c r="U42"/>
  <c r="S44"/>
  <c r="C47"/>
  <c r="AA48"/>
  <c r="Z49"/>
  <c r="W51"/>
  <c r="W52"/>
  <c r="V54"/>
  <c r="B56"/>
  <c r="Z56"/>
  <c r="B59"/>
  <c r="X59"/>
  <c r="U60"/>
  <c r="AB61"/>
  <c r="V62"/>
  <c r="B64"/>
  <c r="Z64"/>
  <c r="U68"/>
  <c r="AA69"/>
  <c r="V70"/>
  <c r="S71"/>
  <c r="U73"/>
  <c r="AA74"/>
  <c r="U75"/>
  <c r="X77"/>
  <c r="Y78"/>
  <c r="X81"/>
  <c r="Z84"/>
  <c r="S86"/>
  <c r="Y87"/>
  <c r="T88"/>
  <c r="R89"/>
  <c r="C89" s="1"/>
  <c r="X90"/>
  <c r="T91"/>
  <c r="R92"/>
  <c r="C92" s="1"/>
  <c r="X93"/>
  <c r="U94"/>
  <c r="AA95"/>
  <c r="V96"/>
  <c r="B97"/>
  <c r="W97"/>
  <c r="T100"/>
  <c r="R101"/>
  <c r="C101" s="1"/>
  <c r="W102"/>
  <c r="T103"/>
  <c r="AA104"/>
  <c r="X105"/>
  <c r="R107"/>
  <c r="C107" s="1"/>
  <c r="AB107"/>
  <c r="U109"/>
  <c r="B111"/>
  <c r="X111"/>
  <c r="AB113"/>
  <c r="Y115"/>
  <c r="Z118"/>
  <c r="B121"/>
  <c r="B124"/>
  <c r="U124"/>
  <c r="S140"/>
  <c r="S142"/>
  <c r="Y142"/>
  <c r="Y143"/>
  <c r="Z144"/>
  <c r="R146"/>
  <c r="C146" s="1"/>
  <c r="B147"/>
  <c r="R148"/>
  <c r="C148" s="1"/>
  <c r="R149"/>
  <c r="C149" s="1"/>
  <c r="U149"/>
  <c r="U150"/>
  <c r="AB150"/>
  <c r="AA151"/>
  <c r="AA152"/>
  <c r="U153"/>
  <c r="T154"/>
  <c r="AC26"/>
  <c r="AD28"/>
  <c r="AD45"/>
  <c r="AC60"/>
  <c r="AD73"/>
  <c r="AC106"/>
  <c r="AE109"/>
  <c r="AB128"/>
  <c r="AE127"/>
  <c r="AE158"/>
  <c r="AE179"/>
  <c r="AC175"/>
  <c r="C14"/>
  <c r="W17"/>
  <c r="W19"/>
  <c r="B22"/>
  <c r="AB23"/>
  <c r="AA26"/>
  <c r="V30"/>
  <c r="Y33"/>
  <c r="AA38"/>
  <c r="AA40"/>
  <c r="Z47"/>
  <c r="Y50"/>
  <c r="V53"/>
  <c r="U57"/>
  <c r="S63"/>
  <c r="V65"/>
  <c r="AB66"/>
  <c r="Y67"/>
  <c r="Y72"/>
  <c r="AA76"/>
  <c r="U79"/>
  <c r="AB80"/>
  <c r="T82"/>
  <c r="X83"/>
  <c r="S85"/>
  <c r="AA89"/>
  <c r="AB92"/>
  <c r="T98"/>
  <c r="Z99"/>
  <c r="AA101"/>
  <c r="R104"/>
  <c r="C104" s="1"/>
  <c r="U106"/>
  <c r="Y108"/>
  <c r="U112"/>
  <c r="X114"/>
  <c r="W116"/>
  <c r="T117"/>
  <c r="X119"/>
  <c r="AB124"/>
  <c r="R128"/>
  <c r="C128" s="1"/>
  <c r="R132"/>
  <c r="C132" s="1"/>
  <c r="U132"/>
  <c r="AB132"/>
  <c r="Y140"/>
  <c r="Z141"/>
  <c r="W145"/>
  <c r="W146"/>
  <c r="W147"/>
  <c r="V148"/>
  <c r="AB149"/>
  <c r="S151"/>
  <c r="T152"/>
  <c r="AA153"/>
  <c r="AC41"/>
  <c r="AD36"/>
  <c r="AC68"/>
  <c r="AE78"/>
  <c r="AE84"/>
  <c r="AE107"/>
  <c r="AD141"/>
  <c r="AE155"/>
  <c r="AC156"/>
  <c r="AC162"/>
  <c r="AE166"/>
  <c r="AE170"/>
  <c r="AC171"/>
  <c r="AD174"/>
  <c r="Y10"/>
  <c r="AB15"/>
  <c r="Z17"/>
  <c r="B20"/>
  <c r="C24"/>
  <c r="AB27"/>
  <c r="AA31"/>
  <c r="W35"/>
  <c r="T43"/>
  <c r="AB48"/>
  <c r="X51"/>
  <c r="W54"/>
  <c r="AA56"/>
  <c r="AA64"/>
  <c r="B67"/>
  <c r="AB69"/>
  <c r="AA72"/>
  <c r="B77"/>
  <c r="B79"/>
  <c r="AB81"/>
  <c r="T85"/>
  <c r="S87"/>
  <c r="W96"/>
  <c r="S107"/>
  <c r="S110"/>
  <c r="S113"/>
  <c r="S115"/>
  <c r="AA118"/>
  <c r="B123"/>
  <c r="B125"/>
  <c r="AA140"/>
  <c r="AB142"/>
  <c r="AA144"/>
  <c r="X146"/>
  <c r="X148"/>
  <c r="B153"/>
  <c r="AB154"/>
  <c r="AA155"/>
  <c r="AA156"/>
  <c r="AB157"/>
  <c r="AA158"/>
  <c r="AB159"/>
  <c r="R162"/>
  <c r="C162" s="1"/>
  <c r="B164"/>
  <c r="B165"/>
  <c r="AB165"/>
  <c r="AB166"/>
  <c r="AB167"/>
  <c r="AA168"/>
  <c r="V170"/>
  <c r="V171"/>
  <c r="U172"/>
  <c r="T173"/>
  <c r="W174"/>
  <c r="V175"/>
  <c r="W176"/>
  <c r="W177"/>
  <c r="V178"/>
  <c r="W179"/>
  <c r="V180"/>
  <c r="B25"/>
  <c r="W30"/>
  <c r="X36"/>
  <c r="Z41"/>
  <c r="W62"/>
  <c r="Y77"/>
  <c r="X82"/>
  <c r="R86"/>
  <c r="C86" s="1"/>
  <c r="AB89"/>
  <c r="AA99"/>
  <c r="B108"/>
  <c r="S119"/>
  <c r="B155"/>
  <c r="AB156"/>
  <c r="R164"/>
  <c r="C164" s="1"/>
  <c r="B167"/>
  <c r="X171"/>
  <c r="V173"/>
  <c r="Y175"/>
  <c r="Y178"/>
  <c r="X180"/>
  <c r="AA28"/>
  <c r="AA32"/>
  <c r="B39"/>
  <c r="T44"/>
  <c r="AB49"/>
  <c r="Z59"/>
  <c r="W65"/>
  <c r="Z67"/>
  <c r="B75"/>
  <c r="Y79"/>
  <c r="S84"/>
  <c r="B88"/>
  <c r="B93"/>
  <c r="AB101"/>
  <c r="V151"/>
  <c r="B158"/>
  <c r="R166"/>
  <c r="C166" s="1"/>
  <c r="B168"/>
  <c r="W172"/>
  <c r="X177"/>
  <c r="S13"/>
  <c r="V16"/>
  <c r="B19"/>
  <c r="V22"/>
  <c r="B26"/>
  <c r="AA33"/>
  <c r="B40"/>
  <c r="AA42"/>
  <c r="AA50"/>
  <c r="X52"/>
  <c r="U55"/>
  <c r="W57"/>
  <c r="V60"/>
  <c r="T63"/>
  <c r="W68"/>
  <c r="T71"/>
  <c r="V73"/>
  <c r="V75"/>
  <c r="V80"/>
  <c r="Y90"/>
  <c r="Z93"/>
  <c r="B96"/>
  <c r="X97"/>
  <c r="Y102"/>
  <c r="Y105"/>
  <c r="Z108"/>
  <c r="Z111"/>
  <c r="Y114"/>
  <c r="U117"/>
  <c r="AA119"/>
  <c r="AA141"/>
  <c r="Z143"/>
  <c r="Z145"/>
  <c r="Y147"/>
  <c r="V150"/>
  <c r="B152"/>
  <c r="B154"/>
  <c r="U155"/>
  <c r="T156"/>
  <c r="T157"/>
  <c r="T158"/>
  <c r="U159"/>
  <c r="X160"/>
  <c r="W162"/>
  <c r="W163"/>
  <c r="U164"/>
  <c r="V165"/>
  <c r="U166"/>
  <c r="T167"/>
  <c r="T168"/>
  <c r="AB170"/>
  <c r="B172"/>
  <c r="B173"/>
  <c r="AA173"/>
  <c r="R175"/>
  <c r="C175" s="1"/>
  <c r="R177"/>
  <c r="C177" s="1"/>
  <c r="B178"/>
  <c r="B180"/>
  <c r="R170"/>
  <c r="C170" s="1"/>
  <c r="R171"/>
  <c r="C171" s="1"/>
  <c r="R179"/>
  <c r="C179" s="1"/>
  <c r="X70"/>
  <c r="R97"/>
  <c r="C97" s="1"/>
  <c r="B105"/>
  <c r="AC115"/>
  <c r="X116"/>
  <c r="R127"/>
  <c r="C127" s="1"/>
  <c r="U141"/>
  <c r="T143"/>
  <c r="V153"/>
  <c r="B160"/>
  <c r="R169"/>
  <c r="C169" s="1"/>
  <c r="W170"/>
  <c r="X174"/>
  <c r="X176"/>
  <c r="X179"/>
  <c r="X9"/>
  <c r="X14"/>
  <c r="B27"/>
  <c r="Z29"/>
  <c r="X34"/>
  <c r="U37"/>
  <c r="T45"/>
  <c r="B48"/>
  <c r="Y53"/>
  <c r="S58"/>
  <c r="S61"/>
  <c r="S66"/>
  <c r="R72"/>
  <c r="C72" s="1"/>
  <c r="S78"/>
  <c r="Y83"/>
  <c r="W86"/>
  <c r="U88"/>
  <c r="V91"/>
  <c r="V94"/>
  <c r="U98"/>
  <c r="V100"/>
  <c r="U103"/>
  <c r="V106"/>
  <c r="W109"/>
  <c r="V112"/>
  <c r="W124"/>
  <c r="R131"/>
  <c r="C131" s="1"/>
  <c r="W132"/>
  <c r="T140"/>
  <c r="T142"/>
  <c r="T144"/>
  <c r="W149"/>
  <c r="B151"/>
  <c r="U152"/>
  <c r="W154"/>
  <c r="V155"/>
  <c r="V156"/>
  <c r="V157"/>
  <c r="V158"/>
  <c r="V159"/>
  <c r="X162"/>
  <c r="X163"/>
  <c r="X164"/>
  <c r="W165"/>
  <c r="W166"/>
  <c r="V167"/>
  <c r="V168"/>
  <c r="W161"/>
  <c r="AB169"/>
  <c r="U160"/>
  <c r="V160"/>
  <c r="W169"/>
  <c r="AB161"/>
  <c r="Z169"/>
  <c r="O38" i="6"/>
  <c r="L38"/>
  <c r="L54"/>
  <c r="O54"/>
  <c r="O75"/>
  <c r="L75"/>
  <c r="O82"/>
  <c r="L82"/>
  <c r="O89"/>
  <c r="L89"/>
  <c r="L64"/>
  <c r="O64"/>
  <c r="O80"/>
  <c r="L80"/>
  <c r="Y32" i="4"/>
  <c r="Y33"/>
  <c r="X167" i="5"/>
  <c r="K167" i="18"/>
  <c r="X179" i="5"/>
  <c r="K179" i="18"/>
  <c r="H98" i="20"/>
  <c r="L124" i="18"/>
  <c r="X152" i="5"/>
  <c r="K152" i="18"/>
  <c r="AC44" i="20"/>
  <c r="AC19"/>
  <c r="AB19"/>
  <c r="AB44"/>
  <c r="J120" i="6"/>
  <c r="D62" i="16" s="1"/>
  <c r="X31" i="4"/>
  <c r="X32"/>
  <c r="X33"/>
  <c r="R152" i="15"/>
  <c r="L79" i="20" s="1"/>
  <c r="R166" i="15"/>
  <c r="L93" i="20" s="1"/>
  <c r="R160" i="15"/>
  <c r="L87" i="20" s="1"/>
  <c r="R158" i="15"/>
  <c r="L85" i="20" s="1"/>
  <c r="R163" i="15"/>
  <c r="L90" i="20" s="1"/>
  <c r="R159" i="15"/>
  <c r="L86" i="20" s="1"/>
  <c r="R153" i="15"/>
  <c r="L80" i="20" s="1"/>
  <c r="R161" i="15"/>
  <c r="L88" i="20" s="1"/>
  <c r="W32" i="4"/>
  <c r="W33"/>
  <c r="W31"/>
  <c r="J9" i="20"/>
  <c r="K176" i="18"/>
  <c r="X176" i="5"/>
  <c r="K154" i="18"/>
  <c r="X154" i="5"/>
  <c r="M45" i="8" l="1"/>
  <c r="F45" s="1"/>
  <c r="D10" i="24"/>
  <c r="T7" i="18"/>
  <c r="AZ3" i="5" s="1"/>
  <c r="AZ7" s="1"/>
  <c r="AI7" s="1"/>
  <c r="S7" i="18"/>
  <c r="R157" i="15"/>
  <c r="L84" i="20" s="1"/>
  <c r="R155" i="15"/>
  <c r="L82" i="20" s="1"/>
  <c r="R156" i="15"/>
  <c r="L83" i="20" s="1"/>
  <c r="R164" i="15"/>
  <c r="L91" i="20" s="1"/>
  <c r="R151" i="15"/>
  <c r="L78" i="20" s="1"/>
  <c r="R154" i="15"/>
  <c r="L81" i="20" s="1"/>
  <c r="R162" i="15"/>
  <c r="L89" i="20" s="1"/>
  <c r="Y7" i="18"/>
  <c r="BE3" i="5" s="1"/>
  <c r="BH7" s="1"/>
  <c r="AQ7" s="1"/>
  <c r="D6" i="16"/>
  <c r="E6" s="1"/>
  <c r="AA7" i="18"/>
  <c r="BG3" i="5" s="1"/>
  <c r="BD7" s="1"/>
  <c r="AM7" s="1"/>
  <c r="I48" i="21"/>
  <c r="H26"/>
  <c r="V7" i="18"/>
  <c r="BB3" i="5" s="1"/>
  <c r="BB7" s="1"/>
  <c r="AK7" s="1"/>
  <c r="Z7" i="18"/>
  <c r="BF3" i="5" s="1"/>
  <c r="BC7" s="1"/>
  <c r="AL7" s="1"/>
  <c r="U7" i="18"/>
  <c r="BA3" i="5" s="1"/>
  <c r="BA7" s="1"/>
  <c r="AJ7" s="1"/>
  <c r="D6" i="17"/>
  <c r="E6" s="1"/>
  <c r="E78" s="1"/>
  <c r="X7" i="18"/>
  <c r="BD3" i="5" s="1"/>
  <c r="BG7" s="1"/>
  <c r="AP7" s="1"/>
  <c r="W7" i="18"/>
  <c r="BC3" i="5" s="1"/>
  <c r="BF7" s="1"/>
  <c r="AO7" s="1"/>
  <c r="K114" i="18"/>
  <c r="K109" i="6"/>
  <c r="L109" s="1"/>
  <c r="K104"/>
  <c r="L104" s="1"/>
  <c r="K108"/>
  <c r="L108" s="1"/>
  <c r="K106"/>
  <c r="L106" s="1"/>
  <c r="K107"/>
  <c r="L107" s="1"/>
  <c r="K105"/>
  <c r="L105" s="1"/>
  <c r="O113" i="5"/>
  <c r="K113" i="18" s="1"/>
  <c r="K163"/>
  <c r="L13" i="6"/>
  <c r="Q18" i="15"/>
  <c r="M48"/>
  <c r="I16" i="6" s="1"/>
  <c r="K48" i="15"/>
  <c r="K42"/>
  <c r="I42"/>
  <c r="N30"/>
  <c r="J13" i="6" s="1"/>
  <c r="P30" i="15"/>
  <c r="J54"/>
  <c r="M24"/>
  <c r="I12" i="6" s="1"/>
  <c r="K24" i="15"/>
  <c r="P36"/>
  <c r="I18"/>
  <c r="Q42"/>
  <c r="O30"/>
  <c r="M30"/>
  <c r="I13" i="6" s="1"/>
  <c r="J24" i="15"/>
  <c r="M36"/>
  <c r="I14" i="6" s="1"/>
  <c r="L12"/>
  <c r="S110" i="5"/>
  <c r="Y48" i="4" s="1"/>
  <c r="Z48" s="1"/>
  <c r="Q12" i="15"/>
  <c r="J12"/>
  <c r="M12"/>
  <c r="I10" i="6" s="1"/>
  <c r="K12" i="15"/>
  <c r="N12"/>
  <c r="J10" i="6" s="1"/>
  <c r="O12" i="15"/>
  <c r="K66" i="2"/>
  <c r="O49"/>
  <c r="F30" i="6"/>
  <c r="L30" s="1"/>
  <c r="R30" s="1"/>
  <c r="O26"/>
  <c r="U26" s="1"/>
  <c r="F31"/>
  <c r="U31" s="1"/>
  <c r="K56" i="2"/>
  <c r="F13" i="6" s="1"/>
  <c r="F106" s="1"/>
  <c r="K47" i="2"/>
  <c r="F10" i="6" s="1"/>
  <c r="F103" s="1"/>
  <c r="G268" i="9"/>
  <c r="O47" i="2"/>
  <c r="F28" i="6"/>
  <c r="U28" s="1"/>
  <c r="F299" i="9"/>
  <c r="U93" i="5" s="1"/>
  <c r="O93" s="1"/>
  <c r="M124" i="9"/>
  <c r="K61" i="2"/>
  <c r="F16" i="6" s="1"/>
  <c r="F109" s="1"/>
  <c r="F34"/>
  <c r="O34" s="1"/>
  <c r="U34" s="1"/>
  <c r="K60" i="2"/>
  <c r="F15" i="6" s="1"/>
  <c r="F68" s="1"/>
  <c r="M80" i="9"/>
  <c r="M65" i="11"/>
  <c r="F105" i="6"/>
  <c r="F50"/>
  <c r="F51" s="1"/>
  <c r="M177" i="9"/>
  <c r="D16" i="4"/>
  <c r="K57" i="2"/>
  <c r="F14" i="6" s="1"/>
  <c r="F107" s="1"/>
  <c r="K62" i="2"/>
  <c r="F17" i="6" s="1"/>
  <c r="F110" s="1"/>
  <c r="K49" i="2"/>
  <c r="F11" i="6" s="1"/>
  <c r="F104" s="1"/>
  <c r="F29"/>
  <c r="L29" s="1"/>
  <c r="K64" i="2"/>
  <c r="F18" i="6" s="1"/>
  <c r="F111" s="1"/>
  <c r="K268" i="9"/>
  <c r="I268"/>
  <c r="O16" i="11"/>
  <c r="K29" i="6"/>
  <c r="O66" i="2"/>
  <c r="I49" i="21"/>
  <c r="O62" i="2"/>
  <c r="F32" i="6"/>
  <c r="G74" i="11"/>
  <c r="G75" s="1"/>
  <c r="M29" i="20"/>
  <c r="I14"/>
  <c r="M15" s="1"/>
  <c r="K28" i="6"/>
  <c r="K34"/>
  <c r="AA12"/>
  <c r="L15"/>
  <c r="L11"/>
  <c r="K33"/>
  <c r="K32"/>
  <c r="I29" i="20"/>
  <c r="F118" i="6" s="1"/>
  <c r="G16" i="11"/>
  <c r="G19" s="1"/>
  <c r="F281" i="9"/>
  <c r="Z27" i="20"/>
  <c r="AB27" s="1"/>
  <c r="F282" i="9"/>
  <c r="F279"/>
  <c r="N124" i="5"/>
  <c r="F280" i="9"/>
  <c r="U92" i="5"/>
  <c r="I21" i="20"/>
  <c r="M84" i="18"/>
  <c r="AD84" i="5" s="1"/>
  <c r="M37" i="20"/>
  <c r="L27" i="6"/>
  <c r="U27"/>
  <c r="R27"/>
  <c r="O27"/>
  <c r="J126"/>
  <c r="O37" i="11"/>
  <c r="U125" i="5"/>
  <c r="O125" s="1"/>
  <c r="G67" i="11"/>
  <c r="G69"/>
  <c r="G71"/>
  <c r="G68"/>
  <c r="G70"/>
  <c r="M61" i="18" l="1"/>
  <c r="AD61" i="5" s="1"/>
  <c r="M69" i="18"/>
  <c r="G69" s="1"/>
  <c r="M111"/>
  <c r="M162"/>
  <c r="AD162" i="5" s="1"/>
  <c r="E80" i="17"/>
  <c r="E57" s="1"/>
  <c r="M9" i="18"/>
  <c r="AD9" i="5" s="1"/>
  <c r="M119" i="18"/>
  <c r="AD119" i="5" s="1"/>
  <c r="M122" i="18"/>
  <c r="AD122" i="5" s="1"/>
  <c r="AE7" i="18"/>
  <c r="AY3" i="5"/>
  <c r="AY7" s="1"/>
  <c r="AX20" s="1"/>
  <c r="AV20" s="1"/>
  <c r="AR20" s="1"/>
  <c r="M128" i="18"/>
  <c r="AD128" i="5" s="1"/>
  <c r="M87" i="18"/>
  <c r="J239" i="9" s="1"/>
  <c r="J238" s="1"/>
  <c r="M104" i="18"/>
  <c r="O376" i="9" s="1"/>
  <c r="L94" i="20"/>
  <c r="J118" i="6" s="1"/>
  <c r="D61" i="16" s="1"/>
  <c r="M121" i="18"/>
  <c r="J46" i="11" s="1"/>
  <c r="M15" i="18"/>
  <c r="G15" s="1"/>
  <c r="M167"/>
  <c r="G167" s="1"/>
  <c r="M50"/>
  <c r="G50" s="1"/>
  <c r="M78"/>
  <c r="AD78" i="5" s="1"/>
  <c r="M113" i="18"/>
  <c r="AD113" i="5" s="1"/>
  <c r="M81" i="18"/>
  <c r="G81" s="1"/>
  <c r="M26"/>
  <c r="G26" s="1"/>
  <c r="M180"/>
  <c r="AD180" i="5" s="1"/>
  <c r="M147" i="18"/>
  <c r="G147" s="1"/>
  <c r="M54"/>
  <c r="AD54" i="5" s="1"/>
  <c r="M91" i="18"/>
  <c r="AD91" i="5" s="1"/>
  <c r="M33" i="18"/>
  <c r="O254" i="8" s="1"/>
  <c r="O253" s="1"/>
  <c r="M64" i="18"/>
  <c r="G64" s="1"/>
  <c r="M44"/>
  <c r="AD44" i="5" s="1"/>
  <c r="AC7" i="18"/>
  <c r="M102"/>
  <c r="AD102" i="5" s="1"/>
  <c r="M94" i="18"/>
  <c r="G94" s="1"/>
  <c r="M116"/>
  <c r="AD116" i="5" s="1"/>
  <c r="M138" i="18"/>
  <c r="G138" s="1"/>
  <c r="M55"/>
  <c r="AD55" i="5" s="1"/>
  <c r="M131" i="18"/>
  <c r="AD131" i="5" s="1"/>
  <c r="M12" i="18"/>
  <c r="G12" s="1"/>
  <c r="M66"/>
  <c r="J26" i="9" s="1"/>
  <c r="J25" s="1"/>
  <c r="M65" i="18"/>
  <c r="J17" i="9" s="1"/>
  <c r="M62" i="18"/>
  <c r="AD62" i="5" s="1"/>
  <c r="M144" i="18"/>
  <c r="G144" s="1"/>
  <c r="M165"/>
  <c r="J62" i="14" s="1"/>
  <c r="M93" i="18"/>
  <c r="AD93" i="5" s="1"/>
  <c r="M108" i="18"/>
  <c r="G108" s="1"/>
  <c r="E7"/>
  <c r="D7" s="1"/>
  <c r="R28" i="6"/>
  <c r="M80" i="18"/>
  <c r="G80" s="1"/>
  <c r="M145"/>
  <c r="G145" s="1"/>
  <c r="M71"/>
  <c r="AD71" i="5" s="1"/>
  <c r="M34" i="18"/>
  <c r="AD34" i="5" s="1"/>
  <c r="M151" i="18"/>
  <c r="M176"/>
  <c r="J185" i="14" s="1"/>
  <c r="M46" i="18"/>
  <c r="AD46" i="5" s="1"/>
  <c r="M21" i="18"/>
  <c r="AD21" i="5" s="1"/>
  <c r="M20" i="18"/>
  <c r="AD20" i="5" s="1"/>
  <c r="M150" i="18"/>
  <c r="AD150" i="5" s="1"/>
  <c r="M10" i="18"/>
  <c r="AD10" i="5" s="1"/>
  <c r="M86" i="18"/>
  <c r="AD86" i="5" s="1"/>
  <c r="M103" i="18"/>
  <c r="AD103" i="5" s="1"/>
  <c r="M171" i="18"/>
  <c r="G171" s="1"/>
  <c r="M149"/>
  <c r="J63" i="13" s="1"/>
  <c r="M35" i="18"/>
  <c r="AD35" i="5" s="1"/>
  <c r="M168" i="18"/>
  <c r="AD168" i="5" s="1"/>
  <c r="M100" i="18"/>
  <c r="AD100" i="5" s="1"/>
  <c r="M70" i="18"/>
  <c r="J63" i="9" s="1"/>
  <c r="F64" s="1"/>
  <c r="F66" s="1"/>
  <c r="M148" i="18"/>
  <c r="AD148" i="5" s="1"/>
  <c r="M129" i="18"/>
  <c r="G129" s="1"/>
  <c r="M77"/>
  <c r="G77" s="1"/>
  <c r="M175"/>
  <c r="J176" i="14" s="1"/>
  <c r="M130" i="18"/>
  <c r="AD130" i="5" s="1"/>
  <c r="M43" i="18"/>
  <c r="G43" s="1"/>
  <c r="M19"/>
  <c r="AD19" i="5" s="1"/>
  <c r="M146" i="18"/>
  <c r="AD146" i="5" s="1"/>
  <c r="M123" i="18"/>
  <c r="AD123" i="5" s="1"/>
  <c r="M29" i="18"/>
  <c r="G29" s="1"/>
  <c r="M164"/>
  <c r="AD164" i="5" s="1"/>
  <c r="M134" i="18"/>
  <c r="AD134" i="5" s="1"/>
  <c r="M161" i="18"/>
  <c r="AD161" i="5" s="1"/>
  <c r="M120" i="18"/>
  <c r="AD120" i="5" s="1"/>
  <c r="M58" i="18"/>
  <c r="AD58" i="5" s="1"/>
  <c r="M97" i="18"/>
  <c r="AD97" i="5" s="1"/>
  <c r="M22" i="18"/>
  <c r="G22" s="1"/>
  <c r="M74"/>
  <c r="J177" i="9" s="1"/>
  <c r="F178" s="1"/>
  <c r="F183" s="1"/>
  <c r="M177" i="18"/>
  <c r="J204" i="14" s="1"/>
  <c r="M57" i="18"/>
  <c r="G57" s="1"/>
  <c r="M172"/>
  <c r="G172" s="1"/>
  <c r="M52"/>
  <c r="AD52" i="5" s="1"/>
  <c r="M90" i="18"/>
  <c r="AD90" i="5" s="1"/>
  <c r="M53" i="18"/>
  <c r="AD53" i="5" s="1"/>
  <c r="M106" i="18"/>
  <c r="AD106" i="5" s="1"/>
  <c r="M110" i="18"/>
  <c r="J7" i="11" s="1"/>
  <c r="M158" i="18"/>
  <c r="G158" s="1"/>
  <c r="M142"/>
  <c r="J7" i="13" s="1"/>
  <c r="M109" i="18"/>
  <c r="AD109" i="5" s="1"/>
  <c r="M40" i="18"/>
  <c r="G40" s="1"/>
  <c r="M89"/>
  <c r="G89" s="1"/>
  <c r="M49"/>
  <c r="G49" s="1"/>
  <c r="M143"/>
  <c r="AD143" i="5" s="1"/>
  <c r="M82" i="18"/>
  <c r="G82" s="1"/>
  <c r="M166"/>
  <c r="G166" s="1"/>
  <c r="M117"/>
  <c r="AD117" i="5" s="1"/>
  <c r="M39" i="18"/>
  <c r="AD39" i="5" s="1"/>
  <c r="M25" i="18"/>
  <c r="G25" s="1"/>
  <c r="M51"/>
  <c r="AD51" i="5" s="1"/>
  <c r="M114" i="18"/>
  <c r="O90" i="10" s="1"/>
  <c r="M28" i="18"/>
  <c r="G28" s="1"/>
  <c r="M127"/>
  <c r="AD127" i="5" s="1"/>
  <c r="M14" i="18"/>
  <c r="AD14" i="5" s="1"/>
  <c r="M47" i="18"/>
  <c r="AD47" i="5" s="1"/>
  <c r="M11" i="18"/>
  <c r="AD11" i="5" s="1"/>
  <c r="M169" i="18"/>
  <c r="AD169" i="5" s="1"/>
  <c r="M137" i="18"/>
  <c r="AD137" i="5" s="1"/>
  <c r="AD7" i="18"/>
  <c r="N72" s="1"/>
  <c r="AF72" i="5" s="1"/>
  <c r="AD111"/>
  <c r="O33" i="10"/>
  <c r="M31" i="18"/>
  <c r="AD31" i="5" s="1"/>
  <c r="M18" i="18"/>
  <c r="G18" s="1"/>
  <c r="M153"/>
  <c r="AD153" i="5" s="1"/>
  <c r="M36" i="18"/>
  <c r="J265" i="8" s="1"/>
  <c r="M27" i="18"/>
  <c r="G27" s="1"/>
  <c r="M60"/>
  <c r="G60" s="1"/>
  <c r="M107"/>
  <c r="G107" s="1"/>
  <c r="M99"/>
  <c r="J346" i="9" s="1"/>
  <c r="M68" i="18"/>
  <c r="J36" i="9" s="1"/>
  <c r="M76" i="18"/>
  <c r="AD76" i="5" s="1"/>
  <c r="M79" i="18"/>
  <c r="AD79" i="5" s="1"/>
  <c r="M75" i="18"/>
  <c r="AD75" i="5" s="1"/>
  <c r="M178" i="18"/>
  <c r="AD178" i="5" s="1"/>
  <c r="M115" i="18"/>
  <c r="G115" s="1"/>
  <c r="M118"/>
  <c r="AD118" i="5" s="1"/>
  <c r="M159" i="18"/>
  <c r="AD159" i="5" s="1"/>
  <c r="M152" i="18"/>
  <c r="AD152" i="5" s="1"/>
  <c r="M139" i="18"/>
  <c r="O167" i="11" s="1"/>
  <c r="M133" i="18"/>
  <c r="AD133" i="5" s="1"/>
  <c r="M59" i="18"/>
  <c r="J441" i="8" s="1"/>
  <c r="J440" s="1"/>
  <c r="M179" i="18"/>
  <c r="J215" i="14" s="1"/>
  <c r="M124" i="18"/>
  <c r="AD124" i="5" s="1"/>
  <c r="M92" i="18"/>
  <c r="AD92" i="5" s="1"/>
  <c r="M63" i="18"/>
  <c r="AD63" i="5" s="1"/>
  <c r="M155" i="18"/>
  <c r="AD155" i="5" s="1"/>
  <c r="M112" i="18"/>
  <c r="AD112" i="5" s="1"/>
  <c r="M101" i="18"/>
  <c r="AD101" i="5" s="1"/>
  <c r="M38" i="18"/>
  <c r="AD38" i="5" s="1"/>
  <c r="M156" i="18"/>
  <c r="G156" s="1"/>
  <c r="M13"/>
  <c r="AD13" i="5" s="1"/>
  <c r="M37" i="18"/>
  <c r="AD37" i="5" s="1"/>
  <c r="M95" i="18"/>
  <c r="J326" i="9" s="1"/>
  <c r="M85" i="18"/>
  <c r="G85" s="1"/>
  <c r="M67"/>
  <c r="AD67" i="5" s="1"/>
  <c r="M163" i="18"/>
  <c r="J29" i="14" s="1"/>
  <c r="M48" i="18"/>
  <c r="AD48" i="5" s="1"/>
  <c r="M170" i="18"/>
  <c r="AD170" i="5" s="1"/>
  <c r="M32" i="18"/>
  <c r="G32" s="1"/>
  <c r="M73"/>
  <c r="AD73" i="5" s="1"/>
  <c r="M17" i="18"/>
  <c r="J100" i="8" s="1"/>
  <c r="M83" i="18"/>
  <c r="G83" s="1"/>
  <c r="M56"/>
  <c r="J422" i="8" s="1"/>
  <c r="M105" i="18"/>
  <c r="G105" s="1"/>
  <c r="M98"/>
  <c r="AD98" i="5" s="1"/>
  <c r="M96" i="18"/>
  <c r="G96" s="1"/>
  <c r="M24"/>
  <c r="AD24" i="5" s="1"/>
  <c r="M42" i="18"/>
  <c r="G42" s="1"/>
  <c r="M16"/>
  <c r="AD16" i="5" s="1"/>
  <c r="M141" i="18"/>
  <c r="AD141" i="5" s="1"/>
  <c r="M72" i="18"/>
  <c r="J80" i="9" s="1"/>
  <c r="F81" s="1"/>
  <c r="M154" i="18"/>
  <c r="AD154" i="5" s="1"/>
  <c r="M88" i="18"/>
  <c r="O239" i="9" s="1"/>
  <c r="O238" s="1"/>
  <c r="M160" i="18"/>
  <c r="AD160" i="5" s="1"/>
  <c r="M23" i="18"/>
  <c r="AD23" i="5" s="1"/>
  <c r="M30" i="18"/>
  <c r="AD30" i="5" s="1"/>
  <c r="M135" i="18"/>
  <c r="G135" s="1"/>
  <c r="M157"/>
  <c r="G157" s="1"/>
  <c r="M136"/>
  <c r="G136" s="1"/>
  <c r="M45"/>
  <c r="G45" s="1"/>
  <c r="M174"/>
  <c r="AD174" i="5" s="1"/>
  <c r="M173" i="18"/>
  <c r="G173" s="1"/>
  <c r="M140"/>
  <c r="AD140" i="5" s="1"/>
  <c r="M41" i="18"/>
  <c r="AD41" i="5" s="1"/>
  <c r="M126" i="18"/>
  <c r="AD126" i="5" s="1"/>
  <c r="M125" i="18"/>
  <c r="AD125" i="5" s="1"/>
  <c r="M132" i="18"/>
  <c r="AD132" i="5" s="1"/>
  <c r="H44" i="21"/>
  <c r="L44"/>
  <c r="I50" s="1"/>
  <c r="M44"/>
  <c r="L50" s="1"/>
  <c r="I51" s="1"/>
  <c r="I33" i="20" s="1"/>
  <c r="F103" i="11" s="1"/>
  <c r="G163" i="18"/>
  <c r="X113" i="5"/>
  <c r="F86" i="6"/>
  <c r="F88" s="1"/>
  <c r="F304" i="9"/>
  <c r="F121" i="6"/>
  <c r="L121" s="1"/>
  <c r="O92" i="5"/>
  <c r="L24" i="6"/>
  <c r="L133" s="1"/>
  <c r="E9" i="16" s="1"/>
  <c r="J74" i="11"/>
  <c r="F38" i="6"/>
  <c r="F40" s="1"/>
  <c r="F80"/>
  <c r="F85" s="1"/>
  <c r="F303" i="9"/>
  <c r="U30" i="6"/>
  <c r="F56"/>
  <c r="F61" s="1"/>
  <c r="O30"/>
  <c r="L34"/>
  <c r="R34" s="1"/>
  <c r="R31"/>
  <c r="L31"/>
  <c r="R29"/>
  <c r="O31"/>
  <c r="U29"/>
  <c r="F301" i="9"/>
  <c r="F300"/>
  <c r="F53" i="6"/>
  <c r="F302" i="9"/>
  <c r="O28" i="6"/>
  <c r="L28"/>
  <c r="O24"/>
  <c r="O133" s="1"/>
  <c r="H15" i="14" s="1"/>
  <c r="F74" i="6"/>
  <c r="F75" s="1"/>
  <c r="O29"/>
  <c r="O67" i="2"/>
  <c r="C21" s="1"/>
  <c r="F259" i="9"/>
  <c r="F260" s="1"/>
  <c r="F44" i="6"/>
  <c r="F45" s="1"/>
  <c r="F62"/>
  <c r="F63" s="1"/>
  <c r="F108"/>
  <c r="O113" s="1"/>
  <c r="O134" s="1"/>
  <c r="F54"/>
  <c r="F55"/>
  <c r="F52"/>
  <c r="U35"/>
  <c r="R35"/>
  <c r="F125"/>
  <c r="L125" s="1"/>
  <c r="R32"/>
  <c r="O32"/>
  <c r="L32"/>
  <c r="U32"/>
  <c r="G79" i="11"/>
  <c r="G77"/>
  <c r="G78"/>
  <c r="G76"/>
  <c r="AX110" i="5"/>
  <c r="AV110" s="1"/>
  <c r="AR110" s="1"/>
  <c r="AX119"/>
  <c r="AV119" s="1"/>
  <c r="AR119" s="1"/>
  <c r="AX97"/>
  <c r="AV97" s="1"/>
  <c r="AR97" s="1"/>
  <c r="AX47"/>
  <c r="AV47" s="1"/>
  <c r="AR47" s="1"/>
  <c r="AX111"/>
  <c r="AV111" s="1"/>
  <c r="AR111" s="1"/>
  <c r="AX10"/>
  <c r="AV10" s="1"/>
  <c r="AR10" s="1"/>
  <c r="I15" i="20"/>
  <c r="AX161" i="5"/>
  <c r="AV161" s="1"/>
  <c r="AR161" s="1"/>
  <c r="G23" i="11"/>
  <c r="N82" i="18"/>
  <c r="H82" s="1"/>
  <c r="N62"/>
  <c r="N144"/>
  <c r="H144" s="1"/>
  <c r="N108"/>
  <c r="AF108" i="5" s="1"/>
  <c r="N145" i="18"/>
  <c r="AF145" i="5" s="1"/>
  <c r="N129" i="18"/>
  <c r="H129" s="1"/>
  <c r="N111"/>
  <c r="AF111" i="5" s="1"/>
  <c r="N128" i="18"/>
  <c r="AF128" i="5" s="1"/>
  <c r="N127" i="18"/>
  <c r="AF127" i="5" s="1"/>
  <c r="N149" i="18"/>
  <c r="AF149" i="5" s="1"/>
  <c r="G21" i="11"/>
  <c r="G22"/>
  <c r="G20"/>
  <c r="E50" i="16"/>
  <c r="E79" i="17"/>
  <c r="AC27" i="20"/>
  <c r="N27" s="1"/>
  <c r="AD36" i="5"/>
  <c r="J305" i="8"/>
  <c r="G19" i="18"/>
  <c r="G176"/>
  <c r="G130"/>
  <c r="J54" i="9"/>
  <c r="J53" s="1"/>
  <c r="J298"/>
  <c r="J413" i="8"/>
  <c r="G402" s="1"/>
  <c r="AD108" i="5"/>
  <c r="G78" i="18"/>
  <c r="I76" s="1"/>
  <c r="D77" s="1"/>
  <c r="Y77" i="5" s="1"/>
  <c r="P77" s="1"/>
  <c r="G44" i="18"/>
  <c r="G123"/>
  <c r="G177"/>
  <c r="J355" i="9"/>
  <c r="G104" i="18"/>
  <c r="AD87" i="5"/>
  <c r="G51" i="18"/>
  <c r="AD45" i="5"/>
  <c r="AD173"/>
  <c r="J68" i="8"/>
  <c r="AD43" i="5"/>
  <c r="J92" i="13"/>
  <c r="G33" i="18"/>
  <c r="AD81" i="5"/>
  <c r="G114" i="18"/>
  <c r="AD104" i="5"/>
  <c r="AD147"/>
  <c r="G150" i="18"/>
  <c r="AD26" i="5"/>
  <c r="AD77"/>
  <c r="J211" i="8"/>
  <c r="J210" s="1"/>
  <c r="AD33" i="5"/>
  <c r="AD166"/>
  <c r="J225" i="13"/>
  <c r="AD94" i="5"/>
  <c r="J229" i="9"/>
  <c r="J228" s="1"/>
  <c r="G131" i="18"/>
  <c r="J283" i="8"/>
  <c r="O17" i="13"/>
  <c r="O57" i="10"/>
  <c r="J385" i="9"/>
  <c r="J15" i="11"/>
  <c r="AD121" i="5"/>
  <c r="J64" i="11"/>
  <c r="AD171" i="5"/>
  <c r="O211" i="9"/>
  <c r="O210" s="1"/>
  <c r="G84" i="18"/>
  <c r="I155"/>
  <c r="D156" s="1"/>
  <c r="Y156" i="5" s="1"/>
  <c r="P156" s="1"/>
  <c r="F72" i="6"/>
  <c r="F69"/>
  <c r="F73"/>
  <c r="F70"/>
  <c r="F71"/>
  <c r="K125" i="18"/>
  <c r="X125" i="5"/>
  <c r="X93"/>
  <c r="K93" i="18"/>
  <c r="G93" s="1"/>
  <c r="N147" l="1"/>
  <c r="AF147" i="5" s="1"/>
  <c r="G179" i="18"/>
  <c r="F89" i="6"/>
  <c r="F68" i="9"/>
  <c r="AD163" i="5"/>
  <c r="AD138"/>
  <c r="O137" i="11"/>
  <c r="AD165" i="5"/>
  <c r="AD83"/>
  <c r="G87" i="18"/>
  <c r="I43"/>
  <c r="D45" s="1"/>
  <c r="Y45" i="5" s="1"/>
  <c r="P45" s="1"/>
  <c r="G122" i="18"/>
  <c r="G162"/>
  <c r="J339" i="8"/>
  <c r="J20" i="14"/>
  <c r="N125" i="18"/>
  <c r="H125" s="1"/>
  <c r="N41"/>
  <c r="AF41" i="5" s="1"/>
  <c r="N104" i="18"/>
  <c r="H104" s="1"/>
  <c r="N37"/>
  <c r="H37" s="1"/>
  <c r="N110"/>
  <c r="AF110" i="5" s="1"/>
  <c r="AX61"/>
  <c r="L119" i="6"/>
  <c r="G113" i="18"/>
  <c r="AD66" i="5"/>
  <c r="N166" i="18"/>
  <c r="H166" s="1"/>
  <c r="J317" i="8"/>
  <c r="J316" s="1"/>
  <c r="G66" i="18"/>
  <c r="J258" i="9"/>
  <c r="AD114" i="5"/>
  <c r="G154" i="18"/>
  <c r="AD96" i="5"/>
  <c r="AD69"/>
  <c r="N93" i="18"/>
  <c r="AF93" i="5" s="1"/>
  <c r="N27" i="18"/>
  <c r="J202" i="8" s="1"/>
  <c r="J201" s="1"/>
  <c r="N113" i="18"/>
  <c r="H113" s="1"/>
  <c r="J112" s="1"/>
  <c r="E114" s="1"/>
  <c r="AA114" i="5" s="1"/>
  <c r="R114" s="1"/>
  <c r="N53" i="18"/>
  <c r="AF53" i="5" s="1"/>
  <c r="N94" i="18"/>
  <c r="H94" s="1"/>
  <c r="N61"/>
  <c r="H61" s="1"/>
  <c r="AX133" i="5"/>
  <c r="AV133" s="1"/>
  <c r="AR133" s="1"/>
  <c r="AX146"/>
  <c r="AV146" s="1"/>
  <c r="AR146" s="1"/>
  <c r="AX34"/>
  <c r="AV34" s="1"/>
  <c r="AR34" s="1"/>
  <c r="I143" i="18"/>
  <c r="F67" i="9"/>
  <c r="AD88" i="5"/>
  <c r="N43" i="18"/>
  <c r="AF43" i="5" s="1"/>
  <c r="N98" i="18"/>
  <c r="AF98" i="5" s="1"/>
  <c r="N168" i="18"/>
  <c r="H168" s="1"/>
  <c r="N117"/>
  <c r="H117" s="1"/>
  <c r="N153"/>
  <c r="AF153" i="5" s="1"/>
  <c r="N40" i="18"/>
  <c r="AF40" i="5" s="1"/>
  <c r="N14" i="18"/>
  <c r="AF14" i="5" s="1"/>
  <c r="N49" i="18"/>
  <c r="O367" i="8" s="1"/>
  <c r="N34" i="18"/>
  <c r="N12"/>
  <c r="H12" s="1"/>
  <c r="G55"/>
  <c r="J366" i="9"/>
  <c r="J124"/>
  <c r="F125" s="1"/>
  <c r="F126" s="1"/>
  <c r="AD177" i="5"/>
  <c r="G37" i="18"/>
  <c r="G30"/>
  <c r="J193" i="8"/>
  <c r="AD142" i="5"/>
  <c r="J233" i="14"/>
  <c r="G165" i="18"/>
  <c r="AD175" i="5"/>
  <c r="G99" i="18"/>
  <c r="AD158" i="5"/>
  <c r="AD50"/>
  <c r="J121" i="14"/>
  <c r="O201" i="9"/>
  <c r="O200" s="1"/>
  <c r="AD145" i="5"/>
  <c r="J183" i="13"/>
  <c r="AD57" i="5"/>
  <c r="J220" i="8"/>
  <c r="J394" i="9"/>
  <c r="G128" i="18"/>
  <c r="G101"/>
  <c r="AD176" i="5"/>
  <c r="N150" i="18"/>
  <c r="H150" s="1"/>
  <c r="N36"/>
  <c r="O265" i="8" s="1"/>
  <c r="J264" s="1"/>
  <c r="N19" i="18"/>
  <c r="AF19" i="5" s="1"/>
  <c r="N126" i="18"/>
  <c r="H126" s="1"/>
  <c r="N81"/>
  <c r="AF81" i="5" s="1"/>
  <c r="N119" i="18"/>
  <c r="AF119" i="5" s="1"/>
  <c r="N76" i="18"/>
  <c r="AF76" i="5" s="1"/>
  <c r="AF75" s="1"/>
  <c r="N180" i="18"/>
  <c r="AF180" i="5" s="1"/>
  <c r="N67" i="18"/>
  <c r="AF67" i="5" s="1"/>
  <c r="N165" i="18"/>
  <c r="H165" s="1"/>
  <c r="N28"/>
  <c r="AF28" i="5" s="1"/>
  <c r="N39" i="18"/>
  <c r="AF39" i="5" s="1"/>
  <c r="N162" i="18"/>
  <c r="AF162" i="5" s="1"/>
  <c r="N79" i="18"/>
  <c r="AF79" i="5" s="1"/>
  <c r="N78" i="18"/>
  <c r="AF78" i="5" s="1"/>
  <c r="N120" i="18"/>
  <c r="H120" s="1"/>
  <c r="N65"/>
  <c r="O17" i="9" s="1"/>
  <c r="J16" s="1"/>
  <c r="N18" i="18"/>
  <c r="H18" s="1"/>
  <c r="N121"/>
  <c r="AF121" i="5" s="1"/>
  <c r="N176" i="18"/>
  <c r="AF176" i="5" s="1"/>
  <c r="N88" i="18"/>
  <c r="AF88" i="5" s="1"/>
  <c r="AX169"/>
  <c r="AV169" s="1"/>
  <c r="AR169" s="1"/>
  <c r="AH7"/>
  <c r="AX141"/>
  <c r="AV141" s="1"/>
  <c r="AR141" s="1"/>
  <c r="AX75"/>
  <c r="AV75" s="1"/>
  <c r="AR75" s="1"/>
  <c r="AX124"/>
  <c r="I134" i="18"/>
  <c r="D135" s="1"/>
  <c r="Y135" i="5" s="1"/>
  <c r="P135" s="1"/>
  <c r="G149" i="18"/>
  <c r="AD65" i="5"/>
  <c r="AD99"/>
  <c r="N60" i="18"/>
  <c r="H60" s="1"/>
  <c r="N73"/>
  <c r="H73" s="1"/>
  <c r="N135"/>
  <c r="H135" s="1"/>
  <c r="J134" s="1"/>
  <c r="E135" s="1"/>
  <c r="AA135" i="5" s="1"/>
  <c r="R135" s="1"/>
  <c r="N95" i="18"/>
  <c r="AF95" i="5" s="1"/>
  <c r="N30" i="18"/>
  <c r="H30" s="1"/>
  <c r="N58"/>
  <c r="AF58" i="5" s="1"/>
  <c r="N84" i="18"/>
  <c r="AF84" i="5" s="1"/>
  <c r="N163" i="18"/>
  <c r="AF163" i="5" s="1"/>
  <c r="N10" i="18"/>
  <c r="N80"/>
  <c r="AF80" i="5" s="1"/>
  <c r="N32" i="18"/>
  <c r="AF32" i="5" s="1"/>
  <c r="F84" i="6"/>
  <c r="U70" i="5"/>
  <c r="O70" s="1"/>
  <c r="J201" i="9"/>
  <c r="J200" s="1"/>
  <c r="AD17" i="5"/>
  <c r="AD95"/>
  <c r="J84" i="8"/>
  <c r="J137" i="11"/>
  <c r="G100" i="18"/>
  <c r="AD89" i="5"/>
  <c r="G180" i="18"/>
  <c r="I178" s="1"/>
  <c r="D180" s="1"/>
  <c r="Y180" i="5" s="1"/>
  <c r="P180" s="1"/>
  <c r="J276" i="9"/>
  <c r="AD107" i="5"/>
  <c r="J376" i="8"/>
  <c r="J385"/>
  <c r="J132"/>
  <c r="J248" i="9"/>
  <c r="J247" s="1"/>
  <c r="J71" i="14"/>
  <c r="G41" i="18"/>
  <c r="I39" s="1"/>
  <c r="G17"/>
  <c r="G16"/>
  <c r="AD42" i="5"/>
  <c r="AD105"/>
  <c r="AD59"/>
  <c r="AD135"/>
  <c r="G65" i="18"/>
  <c r="N42"/>
  <c r="H42" s="1"/>
  <c r="N66"/>
  <c r="AF66" i="5" s="1"/>
  <c r="N33" i="18"/>
  <c r="H33" s="1"/>
  <c r="N178"/>
  <c r="AF178" i="5" s="1"/>
  <c r="N97" i="18"/>
  <c r="N16"/>
  <c r="AF16" i="5" s="1"/>
  <c r="N69" i="18"/>
  <c r="AF69" i="5" s="1"/>
  <c r="N17" i="18"/>
  <c r="O100" i="8" s="1"/>
  <c r="J99" s="1"/>
  <c r="N85" i="18"/>
  <c r="H85" s="1"/>
  <c r="N138"/>
  <c r="H138" s="1"/>
  <c r="N68"/>
  <c r="O36" i="9" s="1"/>
  <c r="J35" s="1"/>
  <c r="N146" i="18"/>
  <c r="AF146" i="5" s="1"/>
  <c r="N175" i="18"/>
  <c r="AF175" i="5" s="1"/>
  <c r="N24" i="18"/>
  <c r="O168" i="8" s="1"/>
  <c r="N107" i="18"/>
  <c r="H107" s="1"/>
  <c r="N13"/>
  <c r="O33" i="8" s="1"/>
  <c r="K34" s="1"/>
  <c r="N155" i="18"/>
  <c r="AF155" i="5" s="1"/>
  <c r="N102" i="18"/>
  <c r="AF102" i="5" s="1"/>
  <c r="N38" i="18"/>
  <c r="AF38" i="5" s="1"/>
  <c r="N106" i="18"/>
  <c r="AF106" i="5" s="1"/>
  <c r="AX160"/>
  <c r="AX118"/>
  <c r="AX153"/>
  <c r="AV153" s="1"/>
  <c r="AR153" s="1"/>
  <c r="AX112"/>
  <c r="AV112" s="1"/>
  <c r="AR112" s="1"/>
  <c r="AX62"/>
  <c r="AV62" s="1"/>
  <c r="AR62" s="1"/>
  <c r="J167" i="11"/>
  <c r="J166" s="1"/>
  <c r="AD12" i="5"/>
  <c r="J8" i="8"/>
  <c r="J404"/>
  <c r="AD144" i="5"/>
  <c r="J80" i="14"/>
  <c r="J8" i="9"/>
  <c r="F91" i="6"/>
  <c r="AD15" i="5"/>
  <c r="AD28"/>
  <c r="AD27"/>
  <c r="O441" i="8"/>
  <c r="O440" s="1"/>
  <c r="I31" i="18"/>
  <c r="D32" s="1"/>
  <c r="Y32" i="5" s="1"/>
  <c r="P32" s="1"/>
  <c r="AD68"/>
  <c r="J317" i="9"/>
  <c r="J316" s="1"/>
  <c r="AD22" i="5"/>
  <c r="O385" i="9"/>
  <c r="J17" i="13"/>
  <c r="J54"/>
  <c r="AD167" i="5"/>
  <c r="G54" i="18"/>
  <c r="I170"/>
  <c r="D171" s="1"/>
  <c r="Y171" i="5" s="1"/>
  <c r="P171" s="1"/>
  <c r="J176" i="9"/>
  <c r="G125" i="18"/>
  <c r="AD172" i="5"/>
  <c r="O28" i="13"/>
  <c r="O394" i="9"/>
  <c r="G106" i="18"/>
  <c r="G52"/>
  <c r="G148"/>
  <c r="AD179" i="5"/>
  <c r="AD64"/>
  <c r="AF6"/>
  <c r="F83" i="6"/>
  <c r="F65" i="9"/>
  <c r="G38" i="18"/>
  <c r="G142"/>
  <c r="AD49" i="5"/>
  <c r="G95" i="18"/>
  <c r="AD149" i="5"/>
  <c r="G59" i="18"/>
  <c r="I58" s="1"/>
  <c r="D59" s="1"/>
  <c r="Y59" i="5" s="1"/>
  <c r="P59" s="1"/>
  <c r="N15" i="18"/>
  <c r="AF15" i="5" s="1"/>
  <c r="N31" i="18"/>
  <c r="O237" i="8" s="1"/>
  <c r="N56" i="18"/>
  <c r="AF56" i="5" s="1"/>
  <c r="N22" i="18"/>
  <c r="AF22" i="5" s="1"/>
  <c r="N52" i="18"/>
  <c r="O394" i="8" s="1"/>
  <c r="N156" i="18"/>
  <c r="AF156" i="5" s="1"/>
  <c r="N167" i="18"/>
  <c r="H167" s="1"/>
  <c r="J164" s="1"/>
  <c r="E168" s="1"/>
  <c r="AA165" i="5" s="1"/>
  <c r="R165" s="1"/>
  <c r="N179" i="18"/>
  <c r="AF166" i="5" s="1"/>
  <c r="N133" i="18"/>
  <c r="AF133" i="5" s="1"/>
  <c r="N50" i="18"/>
  <c r="O376" i="8" s="1"/>
  <c r="J375" s="1"/>
  <c r="N148" i="18"/>
  <c r="H148" s="1"/>
  <c r="N23"/>
  <c r="AF23" i="5" s="1"/>
  <c r="N91" i="18"/>
  <c r="AF91" i="5" s="1"/>
  <c r="N109" i="18"/>
  <c r="AF109" i="5" s="1"/>
  <c r="N157" i="18"/>
  <c r="AF157" i="5" s="1"/>
  <c r="N59" i="18"/>
  <c r="H59" s="1"/>
  <c r="N131"/>
  <c r="AF131" i="5" s="1"/>
  <c r="N143" i="18"/>
  <c r="AF143" i="5" s="1"/>
  <c r="N122" i="18"/>
  <c r="AF122" i="5" s="1"/>
  <c r="N26" i="18"/>
  <c r="AF26" i="5" s="1"/>
  <c r="N55" i="18"/>
  <c r="H55" s="1"/>
  <c r="N64"/>
  <c r="O8" i="9" s="1"/>
  <c r="N83" i="18"/>
  <c r="AF83" i="5" s="1"/>
  <c r="N164" i="18"/>
  <c r="AF164" i="5" s="1"/>
  <c r="N105" i="18"/>
  <c r="AF105" i="5" s="1"/>
  <c r="N75" i="18"/>
  <c r="N46"/>
  <c r="O349" i="8" s="1"/>
  <c r="N158" i="18"/>
  <c r="AF158" i="5" s="1"/>
  <c r="N169" i="18"/>
  <c r="AF169" i="5" s="1"/>
  <c r="N99" i="18"/>
  <c r="AF99" i="5" s="1"/>
  <c r="N152" i="18"/>
  <c r="H152" s="1"/>
  <c r="N86"/>
  <c r="AF86" i="5" s="1"/>
  <c r="N45" i="18"/>
  <c r="H45" s="1"/>
  <c r="N101"/>
  <c r="H101" s="1"/>
  <c r="N154"/>
  <c r="AF154" i="5" s="1"/>
  <c r="N141" i="18"/>
  <c r="AF141" i="5" s="1"/>
  <c r="N25" i="18"/>
  <c r="AF25" i="5" s="1"/>
  <c r="N160" i="18"/>
  <c r="AF160" i="5" s="1"/>
  <c r="N44" i="18"/>
  <c r="AF44" i="5" s="1"/>
  <c r="N124" i="18"/>
  <c r="AF124" i="5" s="1"/>
  <c r="N177" i="18"/>
  <c r="H177" s="1"/>
  <c r="N132"/>
  <c r="H132" s="1"/>
  <c r="D12" i="4"/>
  <c r="D12" i="24"/>
  <c r="K92" i="18"/>
  <c r="G92" s="1"/>
  <c r="F181" i="9"/>
  <c r="F69"/>
  <c r="I79" i="18"/>
  <c r="D89" s="1"/>
  <c r="Y89" i="5" s="1"/>
  <c r="P89" s="1"/>
  <c r="G175" i="18"/>
  <c r="J100" i="14"/>
  <c r="G46" i="18"/>
  <c r="J367" i="8"/>
  <c r="J366" s="1"/>
  <c r="J349"/>
  <c r="G88" i="18"/>
  <c r="I86" s="1"/>
  <c r="AD29" i="5"/>
  <c r="AD70"/>
  <c r="G36" i="18"/>
  <c r="J431" i="8"/>
  <c r="F49" i="6"/>
  <c r="N136" i="18"/>
  <c r="H136" s="1"/>
  <c r="N21"/>
  <c r="AF21" i="5" s="1"/>
  <c r="N114" i="18"/>
  <c r="H114" s="1"/>
  <c r="N87"/>
  <c r="H87" s="1"/>
  <c r="N74"/>
  <c r="H74" s="1"/>
  <c r="N71"/>
  <c r="AF71" i="5" s="1"/>
  <c r="N92" i="18"/>
  <c r="AF92" i="5" s="1"/>
  <c r="N103" i="18"/>
  <c r="H103" s="1"/>
  <c r="N159"/>
  <c r="AF159" i="5" s="1"/>
  <c r="N20" i="18"/>
  <c r="N54"/>
  <c r="AF54" i="5" s="1"/>
  <c r="N9" i="18"/>
  <c r="H9" s="1"/>
  <c r="N57"/>
  <c r="O431" i="8" s="1"/>
  <c r="N63" i="18"/>
  <c r="AF63" i="5" s="1"/>
  <c r="N134" i="18"/>
  <c r="AF134" i="5" s="1"/>
  <c r="N137" i="18"/>
  <c r="AF137" i="5" s="1"/>
  <c r="N70" i="18"/>
  <c r="AF70" i="5" s="1"/>
  <c r="N172" i="18"/>
  <c r="AF172" i="5" s="1"/>
  <c r="N171" i="18"/>
  <c r="H171" s="1"/>
  <c r="N151"/>
  <c r="AF151" i="5" s="1"/>
  <c r="N139" i="18"/>
  <c r="H139" s="1"/>
  <c r="N89"/>
  <c r="AF89" i="5" s="1"/>
  <c r="N48" i="18"/>
  <c r="AF48" i="5" s="1"/>
  <c r="N90" i="18"/>
  <c r="AF90" i="5" s="1"/>
  <c r="N116" i="18"/>
  <c r="AF116" i="5" s="1"/>
  <c r="N112" i="18"/>
  <c r="AF112" i="5" s="1"/>
  <c r="N174" i="18"/>
  <c r="AF174" i="5" s="1"/>
  <c r="N11" i="18"/>
  <c r="AF11" i="5" s="1"/>
  <c r="N170" i="18"/>
  <c r="AF170" i="5" s="1"/>
  <c r="N130" i="18"/>
  <c r="AF130" i="5" s="1"/>
  <c r="N118" i="18"/>
  <c r="H118" s="1"/>
  <c r="N29"/>
  <c r="H29" s="1"/>
  <c r="N35"/>
  <c r="AF35" i="5" s="1"/>
  <c r="N100" i="18"/>
  <c r="H100" s="1"/>
  <c r="N140"/>
  <c r="AF140" i="5" s="1"/>
  <c r="N142" i="18"/>
  <c r="H142" s="1"/>
  <c r="N173"/>
  <c r="AF173" i="5" s="1"/>
  <c r="N51" i="18"/>
  <c r="H51" s="1"/>
  <c r="N47"/>
  <c r="N161"/>
  <c r="AF161" i="5" s="1"/>
  <c r="N77" i="18"/>
  <c r="H77" s="1"/>
  <c r="N123"/>
  <c r="H123" s="1"/>
  <c r="AD6" i="5"/>
  <c r="N84" i="24"/>
  <c r="Q84" s="1"/>
  <c r="H78"/>
  <c r="Q77" s="1"/>
  <c r="N83"/>
  <c r="H77"/>
  <c r="Q76" s="1"/>
  <c r="H76"/>
  <c r="Q75" s="1"/>
  <c r="H75"/>
  <c r="H53"/>
  <c r="N65"/>
  <c r="N35"/>
  <c r="N69"/>
  <c r="AF68" i="5"/>
  <c r="G151" i="18"/>
  <c r="J154" i="13"/>
  <c r="F182" i="9"/>
  <c r="J394" i="8"/>
  <c r="O211"/>
  <c r="O210" s="1"/>
  <c r="J159"/>
  <c r="J158" s="1"/>
  <c r="J331"/>
  <c r="G168" i="18"/>
  <c r="I164" s="1"/>
  <c r="D166" s="1"/>
  <c r="Y166" i="5" s="1"/>
  <c r="P166" s="1"/>
  <c r="G139" i="18"/>
  <c r="I137" s="1"/>
  <c r="D138" s="1"/>
  <c r="Y138" i="5" s="1"/>
  <c r="P138" s="1"/>
  <c r="AD56"/>
  <c r="G24" i="18"/>
  <c r="J184" i="8"/>
  <c r="J183" s="1"/>
  <c r="F82" i="6"/>
  <c r="F180" i="9"/>
  <c r="U74" i="5"/>
  <c r="O74" s="1"/>
  <c r="F90" i="6"/>
  <c r="J254" i="8"/>
  <c r="J253" s="1"/>
  <c r="AD85" i="5"/>
  <c r="O220" i="9"/>
  <c r="O219" s="1"/>
  <c r="AD156" i="5"/>
  <c r="G110" i="18"/>
  <c r="AD40" i="5"/>
  <c r="AD60"/>
  <c r="G127" i="18"/>
  <c r="I126" s="1"/>
  <c r="D128" s="1"/>
  <c r="Y128" i="5" s="1"/>
  <c r="P128" s="1"/>
  <c r="AD151"/>
  <c r="AD72"/>
  <c r="J376" i="9"/>
  <c r="J6" i="14"/>
  <c r="J211" i="9"/>
  <c r="J210" s="1"/>
  <c r="AD74" i="5"/>
  <c r="G23" i="18"/>
  <c r="J36" i="11"/>
  <c r="J35" s="1"/>
  <c r="G152" i="18"/>
  <c r="J147" i="14"/>
  <c r="F179" i="9"/>
  <c r="AD32" i="5"/>
  <c r="G56" i="18"/>
  <c r="J296" i="8"/>
  <c r="AD136" i="5"/>
  <c r="AD110"/>
  <c r="G120" i="18"/>
  <c r="AD129" i="5"/>
  <c r="O6" i="10"/>
  <c r="C81" i="9"/>
  <c r="F87" i="6"/>
  <c r="J116" i="8"/>
  <c r="AD80" i="5"/>
  <c r="J168" i="8"/>
  <c r="J167" s="1"/>
  <c r="G103" i="18"/>
  <c r="J33" i="8"/>
  <c r="F34" s="1"/>
  <c r="F38" s="1"/>
  <c r="AD82" i="5"/>
  <c r="AD18"/>
  <c r="J220" i="9"/>
  <c r="J219" s="1"/>
  <c r="I112" i="18"/>
  <c r="D113" s="1"/>
  <c r="Y113" i="5" s="1"/>
  <c r="P113" s="1"/>
  <c r="AD25"/>
  <c r="G68" i="18"/>
  <c r="O229" i="9"/>
  <c r="O228" s="1"/>
  <c r="AD139" i="5"/>
  <c r="J143" i="8"/>
  <c r="J237"/>
  <c r="O216" i="13"/>
  <c r="J167"/>
  <c r="AD115" i="5"/>
  <c r="J216" i="13"/>
  <c r="AD157" i="5"/>
  <c r="X92"/>
  <c r="J166" i="14"/>
  <c r="G74" i="20"/>
  <c r="H74" s="1"/>
  <c r="G47" i="10"/>
  <c r="Q88" i="24" s="1"/>
  <c r="G48" i="10"/>
  <c r="G52"/>
  <c r="Q93" i="24" s="1"/>
  <c r="G50" i="10"/>
  <c r="Q91" i="24" s="1"/>
  <c r="G49" i="10"/>
  <c r="Q90" i="24" s="1"/>
  <c r="G51" i="10"/>
  <c r="Q92" i="24" s="1"/>
  <c r="G43" i="10"/>
  <c r="O121" i="6"/>
  <c r="F127"/>
  <c r="L127" s="1"/>
  <c r="F43"/>
  <c r="F41"/>
  <c r="F42"/>
  <c r="F39"/>
  <c r="F81"/>
  <c r="F60"/>
  <c r="AF12" i="5"/>
  <c r="D9" i="16"/>
  <c r="S39" i="4" s="1"/>
  <c r="F261" i="9"/>
  <c r="F263"/>
  <c r="F57" i="6"/>
  <c r="F58"/>
  <c r="F59"/>
  <c r="F65"/>
  <c r="F64"/>
  <c r="F78"/>
  <c r="O93"/>
  <c r="D14" i="16" s="1"/>
  <c r="F66" i="6"/>
  <c r="F77"/>
  <c r="F67"/>
  <c r="F46"/>
  <c r="F264" i="9"/>
  <c r="U91" i="5"/>
  <c r="F262" i="9"/>
  <c r="F79" i="6"/>
  <c r="F76"/>
  <c r="F47"/>
  <c r="L93"/>
  <c r="E14" i="16" s="1"/>
  <c r="D5" i="17"/>
  <c r="E5" s="1"/>
  <c r="F48" i="6"/>
  <c r="L35"/>
  <c r="E8" i="16" s="1"/>
  <c r="O35" i="6"/>
  <c r="D8" i="16" s="1"/>
  <c r="L113" i="6"/>
  <c r="L134" s="1"/>
  <c r="E34" i="16" s="1"/>
  <c r="T40" i="4" s="1"/>
  <c r="D5" i="16"/>
  <c r="E5" s="1"/>
  <c r="AF82" i="5"/>
  <c r="I102" i="11"/>
  <c r="J51" i="21"/>
  <c r="J102" i="11" s="1"/>
  <c r="H110" i="18"/>
  <c r="H147"/>
  <c r="H106"/>
  <c r="O296" i="8"/>
  <c r="AF17" i="5"/>
  <c r="AF113"/>
  <c r="H160" i="18"/>
  <c r="AF18" i="5"/>
  <c r="H93" i="18"/>
  <c r="H88"/>
  <c r="AF107" i="5"/>
  <c r="J137" i="18"/>
  <c r="E138" s="1"/>
  <c r="AA138" i="5" s="1"/>
  <c r="R138" s="1"/>
  <c r="AF49"/>
  <c r="AF13"/>
  <c r="H95" i="18"/>
  <c r="H49"/>
  <c r="H68"/>
  <c r="H40"/>
  <c r="AF117" i="5"/>
  <c r="O116" i="8"/>
  <c r="H108" i="18"/>
  <c r="H130"/>
  <c r="AF61" i="5"/>
  <c r="H154" i="18"/>
  <c r="AF171" i="5"/>
  <c r="H80" i="18"/>
  <c r="O283" i="8"/>
  <c r="J282" s="1"/>
  <c r="AF27" i="5"/>
  <c r="H127" i="18"/>
  <c r="O366" i="9"/>
  <c r="J365" s="1"/>
  <c r="H17" i="18"/>
  <c r="AF42" i="5"/>
  <c r="H52" i="18"/>
  <c r="H163"/>
  <c r="O331" i="8"/>
  <c r="H66" i="18"/>
  <c r="AF47" i="5"/>
  <c r="H111" i="18"/>
  <c r="H65"/>
  <c r="H16" i="14"/>
  <c r="H25" i="18"/>
  <c r="H131"/>
  <c r="AF59" i="5"/>
  <c r="AF104"/>
  <c r="H36" i="18"/>
  <c r="AF129" i="5"/>
  <c r="H162" i="18"/>
  <c r="H128"/>
  <c r="H78"/>
  <c r="AF125" i="5"/>
  <c r="H122" i="18"/>
  <c r="H27"/>
  <c r="O305" i="8"/>
  <c r="J304" s="1"/>
  <c r="AF65" i="5"/>
  <c r="AF144"/>
  <c r="H56" i="18"/>
  <c r="O143" i="8"/>
  <c r="H145" i="18"/>
  <c r="J143" s="1"/>
  <c r="E144" s="1"/>
  <c r="AA144" i="5" s="1"/>
  <c r="R144" s="1"/>
  <c r="H41" i="18"/>
  <c r="H149"/>
  <c r="AF36" i="5"/>
  <c r="H81" i="18"/>
  <c r="H43"/>
  <c r="I63"/>
  <c r="D66" s="1"/>
  <c r="Y66" i="5" s="1"/>
  <c r="P66" s="1"/>
  <c r="I121" i="18"/>
  <c r="D122" s="1"/>
  <c r="Y122" i="5" s="1"/>
  <c r="P122" s="1"/>
  <c r="I48" i="18"/>
  <c r="D49" s="1"/>
  <c r="Y49" i="5" s="1"/>
  <c r="P49" s="1"/>
  <c r="I174" i="18"/>
  <c r="D177" s="1"/>
  <c r="Y177" i="5" s="1"/>
  <c r="P177" s="1"/>
  <c r="I14" i="18"/>
  <c r="D15" s="1"/>
  <c r="Y15" i="5" s="1"/>
  <c r="P15" s="1"/>
  <c r="J123" i="9"/>
  <c r="D78" i="18"/>
  <c r="Y78" i="5" s="1"/>
  <c r="P78" s="1"/>
  <c r="F129" i="9"/>
  <c r="D84" i="18"/>
  <c r="Y84" i="5" s="1"/>
  <c r="P84" s="1"/>
  <c r="D158" i="18"/>
  <c r="Y158" i="5" s="1"/>
  <c r="P158" s="1"/>
  <c r="D157" i="18"/>
  <c r="Y157" i="5" s="1"/>
  <c r="P157" s="1"/>
  <c r="J124" i="18"/>
  <c r="E132" s="1"/>
  <c r="AA132" i="5" s="1"/>
  <c r="R132" s="1"/>
  <c r="D33" i="18"/>
  <c r="Y33" i="5" s="1"/>
  <c r="P33" s="1"/>
  <c r="F84" i="9"/>
  <c r="J79"/>
  <c r="U72" i="5"/>
  <c r="O72" s="1"/>
  <c r="F85" i="9"/>
  <c r="F83"/>
  <c r="F86"/>
  <c r="F82"/>
  <c r="I15" i="14"/>
  <c r="D34" i="16"/>
  <c r="T39" i="4" s="1"/>
  <c r="V13" i="5"/>
  <c r="Q13" s="1"/>
  <c r="K38" i="8"/>
  <c r="K37"/>
  <c r="K39"/>
  <c r="K35"/>
  <c r="K36"/>
  <c r="S40" i="4"/>
  <c r="D44" i="18"/>
  <c r="Y44" i="5" s="1"/>
  <c r="P44" s="1"/>
  <c r="D144" i="18"/>
  <c r="Y144" i="5" s="1"/>
  <c r="P144" s="1"/>
  <c r="BK144" s="1"/>
  <c r="D145" i="18"/>
  <c r="Y145" i="5" s="1"/>
  <c r="P145" s="1"/>
  <c r="K74" i="18" l="1"/>
  <c r="G74" s="1"/>
  <c r="BK138" i="5"/>
  <c r="K70" i="18"/>
  <c r="G70" s="1"/>
  <c r="I102"/>
  <c r="D108" s="1"/>
  <c r="Y108" i="5" s="1"/>
  <c r="P108" s="1"/>
  <c r="BK135"/>
  <c r="AF62"/>
  <c r="D42" i="18"/>
  <c r="Y42" i="5" s="1"/>
  <c r="D40" i="18"/>
  <c r="Y40" i="5" s="1"/>
  <c r="P40" s="1"/>
  <c r="F39" i="8"/>
  <c r="F130" i="9"/>
  <c r="D114" i="18"/>
  <c r="Y114" i="5" s="1"/>
  <c r="P114" s="1"/>
  <c r="BK114" s="1"/>
  <c r="D136" i="18"/>
  <c r="Y136" i="5" s="1"/>
  <c r="P136" s="1"/>
  <c r="H19" i="18"/>
  <c r="O132" i="8"/>
  <c r="J131" s="1"/>
  <c r="AF37" i="5"/>
  <c r="H46" i="18"/>
  <c r="H28"/>
  <c r="H105"/>
  <c r="AF33" i="5"/>
  <c r="AF148"/>
  <c r="H69" i="18"/>
  <c r="H38"/>
  <c r="AF165" i="5"/>
  <c r="AF94"/>
  <c r="H44" i="18"/>
  <c r="I21"/>
  <c r="D23" s="1"/>
  <c r="Y23" i="5" s="1"/>
  <c r="P23" s="1"/>
  <c r="J393" i="8"/>
  <c r="N60" i="24"/>
  <c r="Q60" s="1"/>
  <c r="N58" s="1"/>
  <c r="I35" i="18"/>
  <c r="D37" s="1"/>
  <c r="Y37" i="5" s="1"/>
  <c r="P37" s="1"/>
  <c r="J32" i="8"/>
  <c r="D83" i="18"/>
  <c r="Y83" i="5" s="1"/>
  <c r="P83" s="1"/>
  <c r="AF52"/>
  <c r="J274" i="8"/>
  <c r="J273" s="1"/>
  <c r="O422"/>
  <c r="J421" s="1"/>
  <c r="AF150" i="5"/>
  <c r="J115" i="8"/>
  <c r="H84" i="18"/>
  <c r="H32"/>
  <c r="J31" s="1"/>
  <c r="E32" s="1"/>
  <c r="AF10" i="5"/>
  <c r="J58" i="18"/>
  <c r="E59" s="1"/>
  <c r="AA59" i="5" s="1"/>
  <c r="R59" s="1"/>
  <c r="BK59" s="1"/>
  <c r="I53" i="18"/>
  <c r="D54" s="1"/>
  <c r="Y54" i="5" s="1"/>
  <c r="P54" s="1"/>
  <c r="J136" i="11"/>
  <c r="I146" i="18"/>
  <c r="D148" s="1"/>
  <c r="I98"/>
  <c r="D100" s="1"/>
  <c r="Y100" i="5" s="1"/>
  <c r="P100" s="1"/>
  <c r="AF120"/>
  <c r="AF103"/>
  <c r="H176" i="18"/>
  <c r="AF87" i="5"/>
  <c r="AF24"/>
  <c r="X70"/>
  <c r="U73"/>
  <c r="AF179"/>
  <c r="H180" i="18"/>
  <c r="AF46" i="5"/>
  <c r="H83" i="18"/>
  <c r="AF152" i="5"/>
  <c r="AF73"/>
  <c r="AF142"/>
  <c r="AF114"/>
  <c r="H92" i="18"/>
  <c r="O404" i="8"/>
  <c r="J403" s="1"/>
  <c r="H16" i="18"/>
  <c r="AF85" i="5"/>
  <c r="O84" i="8"/>
  <c r="J83" s="1"/>
  <c r="J348"/>
  <c r="J7" i="9"/>
  <c r="H179" i="18"/>
  <c r="F128" i="9"/>
  <c r="D60" i="18"/>
  <c r="Y60" i="5" s="1"/>
  <c r="P60" s="1"/>
  <c r="AF126"/>
  <c r="O193" i="8"/>
  <c r="J192" s="1"/>
  <c r="AF167" i="5"/>
  <c r="AF60"/>
  <c r="H158" i="18"/>
  <c r="H175"/>
  <c r="J174" s="1"/>
  <c r="AF9" i="5"/>
  <c r="H151" i="18"/>
  <c r="AF29" i="5"/>
  <c r="H140" i="18"/>
  <c r="AF30" i="5"/>
  <c r="H24" i="18"/>
  <c r="H157"/>
  <c r="O220" i="8"/>
  <c r="J219" s="1"/>
  <c r="O8"/>
  <c r="J7" s="1"/>
  <c r="F16" s="1"/>
  <c r="D41" i="18"/>
  <c r="Y41" i="5" s="1"/>
  <c r="P41" s="1"/>
  <c r="O355" i="9"/>
  <c r="J354" s="1"/>
  <c r="AF51" i="5"/>
  <c r="X74"/>
  <c r="D173" i="18"/>
  <c r="Y173" i="5" s="1"/>
  <c r="P173" s="1"/>
  <c r="J76" i="18"/>
  <c r="E77" s="1"/>
  <c r="AA77" i="5" s="1"/>
  <c r="R77" s="1"/>
  <c r="BK77" s="1"/>
  <c r="AF31"/>
  <c r="AF101"/>
  <c r="AF97" s="1"/>
  <c r="H15" i="18"/>
  <c r="O385" i="8"/>
  <c r="J384" s="1"/>
  <c r="H172" i="18"/>
  <c r="AF177" i="5"/>
  <c r="AF132"/>
  <c r="J43" i="18"/>
  <c r="E45" s="1"/>
  <c r="AA45" i="5" s="1"/>
  <c r="R45" s="1"/>
  <c r="D88" i="18"/>
  <c r="Y88" i="5" s="1"/>
  <c r="P88" s="1"/>
  <c r="F35" i="8"/>
  <c r="D172" i="18"/>
  <c r="Y172" i="5" s="1"/>
  <c r="P172" s="1"/>
  <c r="O68" i="8"/>
  <c r="J67" s="1"/>
  <c r="J121" i="18"/>
  <c r="E123" s="1"/>
  <c r="AA123" i="5" s="1"/>
  <c r="R123" s="1"/>
  <c r="O413" i="8"/>
  <c r="J412" s="1"/>
  <c r="AF45" i="5"/>
  <c r="O339" i="8"/>
  <c r="AF77" i="5"/>
  <c r="H116" i="18"/>
  <c r="H89"/>
  <c r="AF123" i="5"/>
  <c r="H91" i="18"/>
  <c r="AF55" i="5"/>
  <c r="J236" i="8"/>
  <c r="J430"/>
  <c r="H156" i="18"/>
  <c r="AF100" i="5"/>
  <c r="D87" i="18"/>
  <c r="Y87" i="5" s="1"/>
  <c r="P87" s="1"/>
  <c r="Q65" i="24"/>
  <c r="N64" s="1"/>
  <c r="M64"/>
  <c r="D81" i="18"/>
  <c r="Y81" i="5" s="1"/>
  <c r="P81" s="1"/>
  <c r="D80" i="18"/>
  <c r="Y80" i="5" s="1"/>
  <c r="P80" s="1"/>
  <c r="U13"/>
  <c r="AF50"/>
  <c r="H109" i="18"/>
  <c r="J8" s="1"/>
  <c r="E9" s="1"/>
  <c r="AF34" i="5"/>
  <c r="H50" i="18"/>
  <c r="H23"/>
  <c r="J330" i="8"/>
  <c r="O346" i="9"/>
  <c r="J345" s="1"/>
  <c r="H64" i="18"/>
  <c r="J63" s="1"/>
  <c r="E66" s="1"/>
  <c r="AA66" i="5" s="1"/>
  <c r="R66" s="1"/>
  <c r="BK66" s="1"/>
  <c r="AF74"/>
  <c r="AF57"/>
  <c r="O63" i="9"/>
  <c r="K64" s="1"/>
  <c r="K69" s="1"/>
  <c r="J295" i="8"/>
  <c r="H124" i="18"/>
  <c r="Q51" i="24"/>
  <c r="H51" s="1"/>
  <c r="G51"/>
  <c r="M81"/>
  <c r="Q83"/>
  <c r="N81" s="1"/>
  <c r="G42" i="10"/>
  <c r="N44" s="1"/>
  <c r="F34" s="1"/>
  <c r="U111" i="5" s="1"/>
  <c r="O111" s="1"/>
  <c r="Q89" i="24"/>
  <c r="M89" s="1"/>
  <c r="Q69"/>
  <c r="N68" s="1"/>
  <c r="M68"/>
  <c r="Q74"/>
  <c r="D82" i="18"/>
  <c r="Y82" i="5" s="1"/>
  <c r="P82" s="1"/>
  <c r="D85" i="18"/>
  <c r="Y85" i="5" s="1"/>
  <c r="P85" s="1"/>
  <c r="F37" i="8"/>
  <c r="F36"/>
  <c r="H26" i="18"/>
  <c r="H99"/>
  <c r="J98" s="1"/>
  <c r="E100" s="1"/>
  <c r="AA100" i="5" s="1"/>
  <c r="R100" s="1"/>
  <c r="AF64"/>
  <c r="H22" i="18"/>
  <c r="H173"/>
  <c r="H54"/>
  <c r="H57"/>
  <c r="H159"/>
  <c r="J116" s="1"/>
  <c r="E140" s="1"/>
  <c r="AF118" i="5"/>
  <c r="Q35" i="24"/>
  <c r="N28" s="1"/>
  <c r="N27" s="1"/>
  <c r="M28"/>
  <c r="M27" s="1"/>
  <c r="Q16" s="1"/>
  <c r="H53" i="10"/>
  <c r="Y148" i="5"/>
  <c r="P148" s="1"/>
  <c r="D139" i="18"/>
  <c r="I67"/>
  <c r="D68" s="1"/>
  <c r="Y68" i="5" s="1"/>
  <c r="P68" s="1"/>
  <c r="J142" i="8"/>
  <c r="O91" i="5"/>
  <c r="O13"/>
  <c r="X13" s="1"/>
  <c r="O73"/>
  <c r="L96" i="6"/>
  <c r="E17" i="16" s="1"/>
  <c r="O94" i="6"/>
  <c r="D15" i="16" s="1"/>
  <c r="O98" i="6"/>
  <c r="D19" i="16" s="1"/>
  <c r="O96" i="6"/>
  <c r="D17" i="16" s="1"/>
  <c r="O95" i="6"/>
  <c r="D16" i="16" s="1"/>
  <c r="L94" i="6"/>
  <c r="E15" i="16" s="1"/>
  <c r="L97" i="6"/>
  <c r="E18" i="16" s="1"/>
  <c r="L95" i="6"/>
  <c r="E16" i="16" s="1"/>
  <c r="O97" i="6"/>
  <c r="D18" i="16" s="1"/>
  <c r="I16" i="14"/>
  <c r="L98" i="6"/>
  <c r="E19" i="16" s="1"/>
  <c r="U132" i="5"/>
  <c r="O132" s="1"/>
  <c r="N29" i="20"/>
  <c r="K74" i="11"/>
  <c r="K76" s="1"/>
  <c r="V70" i="5"/>
  <c r="E136" i="18"/>
  <c r="AA136" i="5" s="1"/>
  <c r="R136" s="1"/>
  <c r="J146" i="18"/>
  <c r="E148" s="1"/>
  <c r="AA148" i="5" s="1"/>
  <c r="R148" s="1"/>
  <c r="E167" i="18"/>
  <c r="E139"/>
  <c r="AA139" i="5" s="1"/>
  <c r="R139" s="1"/>
  <c r="J86" i="18"/>
  <c r="E166"/>
  <c r="J39"/>
  <c r="E42" s="1"/>
  <c r="AA42" i="5" s="1"/>
  <c r="K68" i="9"/>
  <c r="J102" i="18"/>
  <c r="E103" s="1"/>
  <c r="AA103" i="5" s="1"/>
  <c r="R103" s="1"/>
  <c r="J178" i="18"/>
  <c r="E180" s="1"/>
  <c r="J155"/>
  <c r="E157" s="1"/>
  <c r="AA157" i="5" s="1"/>
  <c r="R157" s="1"/>
  <c r="BK157" s="1"/>
  <c r="E165" i="18"/>
  <c r="J35"/>
  <c r="E38" s="1"/>
  <c r="AA38" i="5" s="1"/>
  <c r="R38" s="1"/>
  <c r="J48" i="18"/>
  <c r="E50" s="1"/>
  <c r="AA50" i="5" s="1"/>
  <c r="R50" s="1"/>
  <c r="F127" i="9"/>
  <c r="J126" i="18"/>
  <c r="E129" s="1"/>
  <c r="AA129" i="5" s="1"/>
  <c r="R129" s="1"/>
  <c r="J79" i="18"/>
  <c r="E82" s="1"/>
  <c r="AA82" i="5" s="1"/>
  <c r="R82" s="1"/>
  <c r="D50" i="18"/>
  <c r="Y50" i="5" s="1"/>
  <c r="P50" s="1"/>
  <c r="BK50" s="1"/>
  <c r="D64" i="18"/>
  <c r="Y64" i="5" s="1"/>
  <c r="P64" s="1"/>
  <c r="D65" i="18"/>
  <c r="Y65" i="5" s="1"/>
  <c r="P65" s="1"/>
  <c r="D51" i="18"/>
  <c r="Y51" i="5" s="1"/>
  <c r="P51" s="1"/>
  <c r="D103" i="18"/>
  <c r="Y103" i="5" s="1"/>
  <c r="P103" s="1"/>
  <c r="BK103" s="1"/>
  <c r="D179" i="18"/>
  <c r="Y179" i="5" s="1"/>
  <c r="D52" i="18"/>
  <c r="Y52" i="5" s="1"/>
  <c r="P52" s="1"/>
  <c r="D106" i="18"/>
  <c r="Y106" i="5" s="1"/>
  <c r="P106" s="1"/>
  <c r="D123" i="18"/>
  <c r="Y123" i="5" s="1"/>
  <c r="P123" s="1"/>
  <c r="D167" i="18"/>
  <c r="Y167" i="5" s="1"/>
  <c r="P167" s="1"/>
  <c r="D151" i="18"/>
  <c r="D147"/>
  <c r="D149"/>
  <c r="D152"/>
  <c r="D150"/>
  <c r="D105"/>
  <c r="Y105" i="5" s="1"/>
  <c r="P105" s="1"/>
  <c r="D165" i="18"/>
  <c r="Y165" i="5" s="1"/>
  <c r="P165" s="1"/>
  <c r="BK165" s="1"/>
  <c r="D107" i="18"/>
  <c r="Y107" i="5" s="1"/>
  <c r="P107" s="1"/>
  <c r="D17" i="18"/>
  <c r="Y17" i="5" s="1"/>
  <c r="P17" s="1"/>
  <c r="D104" i="18"/>
  <c r="Y104" i="5" s="1"/>
  <c r="P104" s="1"/>
  <c r="D16" i="18"/>
  <c r="Y16" i="5" s="1"/>
  <c r="P16" s="1"/>
  <c r="H100" i="20"/>
  <c r="J74" s="1"/>
  <c r="D18" i="18"/>
  <c r="Y18" i="5" s="1"/>
  <c r="P18" s="1"/>
  <c r="D22" i="18"/>
  <c r="Y22" i="5" s="1"/>
  <c r="P22" s="1"/>
  <c r="D127" i="18"/>
  <c r="Y127" i="5" s="1"/>
  <c r="P127" s="1"/>
  <c r="D26" i="18"/>
  <c r="Y26" i="5" s="1"/>
  <c r="P26" s="1"/>
  <c r="D27" i="18"/>
  <c r="Y27" i="5" s="1"/>
  <c r="P27" s="1"/>
  <c r="D29" i="18"/>
  <c r="Y29" i="5" s="1"/>
  <c r="P29" s="1"/>
  <c r="D25" i="18"/>
  <c r="Y25" i="5" s="1"/>
  <c r="P25" s="1"/>
  <c r="X170"/>
  <c r="X58"/>
  <c r="D131" i="18"/>
  <c r="Y131" i="5" s="1"/>
  <c r="P131" s="1"/>
  <c r="D176" i="18"/>
  <c r="Y176" i="5" s="1"/>
  <c r="P176" s="1"/>
  <c r="BK176" s="1"/>
  <c r="D175" i="18"/>
  <c r="Y175" i="5" s="1"/>
  <c r="P175" s="1"/>
  <c r="D38" i="18"/>
  <c r="Y38" i="5" s="1"/>
  <c r="P38" s="1"/>
  <c r="BK38" s="1"/>
  <c r="D129" i="18"/>
  <c r="Y129" i="5" s="1"/>
  <c r="P129" s="1"/>
  <c r="D130" i="18"/>
  <c r="Y130" i="5" s="1"/>
  <c r="P130" s="1"/>
  <c r="D168" i="18"/>
  <c r="Y168" i="5" s="1"/>
  <c r="P168" s="1"/>
  <c r="BK168" s="1"/>
  <c r="D36" i="18"/>
  <c r="Y36" i="5" s="1"/>
  <c r="P36" s="1"/>
  <c r="E122" i="18"/>
  <c r="AA122" i="5" s="1"/>
  <c r="E113" i="18"/>
  <c r="AA113" i="5" s="1"/>
  <c r="R113" s="1"/>
  <c r="BK113" s="1"/>
  <c r="X112"/>
  <c r="X76"/>
  <c r="D55" i="18"/>
  <c r="Y55" i="5" s="1"/>
  <c r="P55" s="1"/>
  <c r="D57" i="18"/>
  <c r="Y57" i="5" s="1"/>
  <c r="P57" s="1"/>
  <c r="E145" i="18"/>
  <c r="AA145" i="5" s="1"/>
  <c r="R145" s="1"/>
  <c r="BK145" s="1"/>
  <c r="D56" i="18"/>
  <c r="Y56" i="5" s="1"/>
  <c r="P56" s="1"/>
  <c r="X79"/>
  <c r="X155"/>
  <c r="X143"/>
  <c r="E99" i="18"/>
  <c r="AA99" i="5" s="1"/>
  <c r="R99" s="1"/>
  <c r="Z13"/>
  <c r="L13" i="18"/>
  <c r="H13" s="1"/>
  <c r="J11" s="1"/>
  <c r="E177"/>
  <c r="AA177" i="5" s="1"/>
  <c r="R177" s="1"/>
  <c r="BK177" s="1"/>
  <c r="E175" i="18"/>
  <c r="AA175" i="5" s="1"/>
  <c r="R175" s="1"/>
  <c r="E176" i="18"/>
  <c r="E33"/>
  <c r="E61"/>
  <c r="X72" i="5"/>
  <c r="K72" i="18"/>
  <c r="G72" s="1"/>
  <c r="E126"/>
  <c r="E125"/>
  <c r="K91" l="1"/>
  <c r="G91" s="1"/>
  <c r="I90" s="1"/>
  <c r="D91" s="1"/>
  <c r="Y91" i="5" s="1"/>
  <c r="P91" s="1"/>
  <c r="BK175"/>
  <c r="BK148"/>
  <c r="BK82"/>
  <c r="BK18"/>
  <c r="J14" i="18"/>
  <c r="E18" s="1"/>
  <c r="AA18" i="5" s="1"/>
  <c r="R18" s="1"/>
  <c r="J90" i="18"/>
  <c r="E95" s="1"/>
  <c r="AA95" i="5" s="1"/>
  <c r="R95" s="1"/>
  <c r="BK100"/>
  <c r="BK136"/>
  <c r="M58" i="24"/>
  <c r="E78" i="18"/>
  <c r="AA78" i="5" s="1"/>
  <c r="R78" s="1"/>
  <c r="BK78" s="1"/>
  <c r="D28" i="18"/>
  <c r="Y28" i="5" s="1"/>
  <c r="P28" s="1"/>
  <c r="D24" i="18"/>
  <c r="Y24" i="5" s="1"/>
  <c r="P24" s="1"/>
  <c r="J53" i="18"/>
  <c r="E55" s="1"/>
  <c r="AA55" i="5" s="1"/>
  <c r="R55" s="1"/>
  <c r="BK55" s="1"/>
  <c r="X134"/>
  <c r="O134" s="1"/>
  <c r="M104" i="20" s="1"/>
  <c r="E44" i="18"/>
  <c r="AA44" i="5" s="1"/>
  <c r="R44" s="1"/>
  <c r="D99" i="18"/>
  <c r="Y99" i="5" s="1"/>
  <c r="X98" s="1"/>
  <c r="O98" s="1"/>
  <c r="K98" i="18" s="1"/>
  <c r="G98" s="1"/>
  <c r="E60"/>
  <c r="AA60" i="5" s="1"/>
  <c r="R60" s="1"/>
  <c r="BK60" s="1"/>
  <c r="X39"/>
  <c r="O39" s="1"/>
  <c r="K39" i="18" s="1"/>
  <c r="G39" s="1"/>
  <c r="N50" i="24"/>
  <c r="J170" i="18"/>
  <c r="E172" s="1"/>
  <c r="AA172" i="5" s="1"/>
  <c r="R172" s="1"/>
  <c r="BK172" s="1"/>
  <c r="AF20"/>
  <c r="Q17" i="24"/>
  <c r="X86" i="5"/>
  <c r="K67" i="9"/>
  <c r="K66"/>
  <c r="K73" i="18"/>
  <c r="G73" s="1"/>
  <c r="I71" s="1"/>
  <c r="D72" s="1"/>
  <c r="Y72" i="5" s="1"/>
  <c r="P72" s="1"/>
  <c r="J21" i="18"/>
  <c r="E23" s="1"/>
  <c r="AA23" i="5" s="1"/>
  <c r="R23" s="1"/>
  <c r="M50" i="24"/>
  <c r="Q19" s="1"/>
  <c r="Q20" s="1"/>
  <c r="J62" i="9"/>
  <c r="K65"/>
  <c r="E109" i="18"/>
  <c r="D69"/>
  <c r="Y69" i="5" s="1"/>
  <c r="P69" s="1"/>
  <c r="D70" i="18"/>
  <c r="Y70" i="5" s="1"/>
  <c r="P70" s="1"/>
  <c r="X91"/>
  <c r="Y139"/>
  <c r="Y147"/>
  <c r="P147" s="1"/>
  <c r="Y152"/>
  <c r="P152" s="1"/>
  <c r="Y149"/>
  <c r="P149" s="1"/>
  <c r="Y150"/>
  <c r="P150" s="1"/>
  <c r="Y151"/>
  <c r="P151" s="1"/>
  <c r="X111"/>
  <c r="AB111" s="1"/>
  <c r="S111" s="1"/>
  <c r="Y49" i="4" s="1"/>
  <c r="Z49" s="1"/>
  <c r="K111" i="18"/>
  <c r="G111" s="1"/>
  <c r="X73" i="5"/>
  <c r="N108" i="20"/>
  <c r="I120" i="6" s="1"/>
  <c r="I126" s="1"/>
  <c r="E85" i="17" s="1"/>
  <c r="E88" s="1"/>
  <c r="Q108" i="20"/>
  <c r="H120" i="6" s="1"/>
  <c r="K13" i="18"/>
  <c r="G13" s="1"/>
  <c r="I11" s="1"/>
  <c r="D13" s="1"/>
  <c r="Y13" i="5" s="1"/>
  <c r="P13" s="1"/>
  <c r="F120" i="6"/>
  <c r="F126" s="1"/>
  <c r="L126" s="1"/>
  <c r="L123" s="1"/>
  <c r="Q70" i="5"/>
  <c r="Z70" s="1"/>
  <c r="O86"/>
  <c r="K86" i="18" s="1"/>
  <c r="G86" s="1"/>
  <c r="O79" i="5"/>
  <c r="K79" i="18" s="1"/>
  <c r="G79" s="1"/>
  <c r="P99" i="5"/>
  <c r="BK99" s="1"/>
  <c r="O112"/>
  <c r="K112" i="18" s="1"/>
  <c r="G112" s="1"/>
  <c r="O143" i="5"/>
  <c r="K143" i="18" s="1"/>
  <c r="G143" s="1"/>
  <c r="I141" s="1"/>
  <c r="O76" i="5"/>
  <c r="K76" i="18" s="1"/>
  <c r="G76" s="1"/>
  <c r="O58" i="5"/>
  <c r="K58" i="18" s="1"/>
  <c r="G58" s="1"/>
  <c r="X178" i="5"/>
  <c r="P179"/>
  <c r="O155"/>
  <c r="K155" i="18" s="1"/>
  <c r="G155" s="1"/>
  <c r="I153" s="1"/>
  <c r="Z121" i="5"/>
  <c r="R122"/>
  <c r="O170"/>
  <c r="K170" i="18" s="1"/>
  <c r="G170" s="1"/>
  <c r="AA33" i="5"/>
  <c r="R33" s="1"/>
  <c r="BK33" s="1"/>
  <c r="AA32"/>
  <c r="R32" s="1"/>
  <c r="BK32" s="1"/>
  <c r="X31"/>
  <c r="D92" i="18"/>
  <c r="Y92" i="5" s="1"/>
  <c r="P92" s="1"/>
  <c r="Z137"/>
  <c r="O74" i="11"/>
  <c r="D93" i="18"/>
  <c r="Y93" i="5" s="1"/>
  <c r="P93" s="1"/>
  <c r="D95" i="18"/>
  <c r="Y95" i="5" s="1"/>
  <c r="P95" s="1"/>
  <c r="BK95" s="1"/>
  <c r="D94" i="18"/>
  <c r="Y94" i="5" s="1"/>
  <c r="P94" s="1"/>
  <c r="M31" i="20"/>
  <c r="F74" i="11" s="1"/>
  <c r="E147" i="18"/>
  <c r="AA147" i="5" s="1"/>
  <c r="R147" s="1"/>
  <c r="J110" i="20"/>
  <c r="X132" i="5"/>
  <c r="K132" i="18"/>
  <c r="G132" s="1"/>
  <c r="Z134" i="5"/>
  <c r="E159" i="18"/>
  <c r="E105"/>
  <c r="AA105" i="5" s="1"/>
  <c r="R105" s="1"/>
  <c r="BK105" s="1"/>
  <c r="E117" i="18"/>
  <c r="E54"/>
  <c r="AA54" i="5" s="1"/>
  <c r="R54" s="1"/>
  <c r="BK54" s="1"/>
  <c r="E149" i="18"/>
  <c r="AA149" i="5" s="1"/>
  <c r="R149" s="1"/>
  <c r="E150" i="18"/>
  <c r="AA150" i="5" s="1"/>
  <c r="R150" s="1"/>
  <c r="E152" i="18"/>
  <c r="AA152" i="5" s="1"/>
  <c r="R152" s="1"/>
  <c r="E91" i="18"/>
  <c r="AA91" i="5" s="1"/>
  <c r="R91" s="1"/>
  <c r="BK91" s="1"/>
  <c r="E151" i="18"/>
  <c r="AA151" i="5" s="1"/>
  <c r="R151" s="1"/>
  <c r="E92" i="18"/>
  <c r="AA92" i="5" s="1"/>
  <c r="R92" s="1"/>
  <c r="E41" i="18"/>
  <c r="AA41" i="5" s="1"/>
  <c r="R41" s="1"/>
  <c r="BK41" s="1"/>
  <c r="E84" i="18"/>
  <c r="AA84" i="5" s="1"/>
  <c r="R84" s="1"/>
  <c r="BK84" s="1"/>
  <c r="E40" i="18"/>
  <c r="AA40" i="5" s="1"/>
  <c r="R40" s="1"/>
  <c r="E104" i="18"/>
  <c r="AA104" i="5" s="1"/>
  <c r="R104" s="1"/>
  <c r="BK104" s="1"/>
  <c r="E93" i="18"/>
  <c r="AA93" i="5" s="1"/>
  <c r="R93" s="1"/>
  <c r="E57" i="18"/>
  <c r="AA57" i="5" s="1"/>
  <c r="R57" s="1"/>
  <c r="E171" i="18"/>
  <c r="AA171" i="5" s="1"/>
  <c r="R171" s="1"/>
  <c r="BK171" s="1"/>
  <c r="E106" i="18"/>
  <c r="AA106" i="5" s="1"/>
  <c r="R106" s="1"/>
  <c r="BK106" s="1"/>
  <c r="E94" i="18"/>
  <c r="AA94" i="5" s="1"/>
  <c r="R94" s="1"/>
  <c r="E179" i="18"/>
  <c r="AA166" i="5" s="1"/>
  <c r="R166" s="1"/>
  <c r="BK166" s="1"/>
  <c r="E108" i="18"/>
  <c r="AA108" i="5" s="1"/>
  <c r="R108" s="1"/>
  <c r="BK108" s="1"/>
  <c r="E107" i="18"/>
  <c r="AA107" i="5" s="1"/>
  <c r="R107" s="1"/>
  <c r="BK107" s="1"/>
  <c r="E56" i="18"/>
  <c r="AA56" i="5" s="1"/>
  <c r="R56" s="1"/>
  <c r="BK56" s="1"/>
  <c r="E36" i="18"/>
  <c r="AA36" i="5" s="1"/>
  <c r="R36" s="1"/>
  <c r="BK36" s="1"/>
  <c r="E81" i="18"/>
  <c r="AA81" i="5" s="1"/>
  <c r="R81" s="1"/>
  <c r="BK81" s="1"/>
  <c r="E80" i="18"/>
  <c r="AA80" i="5" s="1"/>
  <c r="R80" s="1"/>
  <c r="BK80" s="1"/>
  <c r="E89" i="18"/>
  <c r="AA89" i="5" s="1"/>
  <c r="R89" s="1"/>
  <c r="BK89" s="1"/>
  <c r="E128" i="18"/>
  <c r="AA128" i="5" s="1"/>
  <c r="R128" s="1"/>
  <c r="E156" i="18"/>
  <c r="AA156" i="5" s="1"/>
  <c r="R156" s="1"/>
  <c r="BK156" s="1"/>
  <c r="E49" i="18"/>
  <c r="AA49" i="5" s="1"/>
  <c r="R49" s="1"/>
  <c r="BK49" s="1"/>
  <c r="E85" i="18"/>
  <c r="AA85" i="5" s="1"/>
  <c r="R85" s="1"/>
  <c r="BK85" s="1"/>
  <c r="E37" i="18"/>
  <c r="AA37" i="5" s="1"/>
  <c r="R37" s="1"/>
  <c r="BK37" s="1"/>
  <c r="E158" i="18"/>
  <c r="AA158" i="5" s="1"/>
  <c r="R158" s="1"/>
  <c r="BK158" s="1"/>
  <c r="E51" i="18"/>
  <c r="AA51" i="5" s="1"/>
  <c r="R51" s="1"/>
  <c r="E52" i="18"/>
  <c r="AA52" i="5" s="1"/>
  <c r="R52" s="1"/>
  <c r="E130" i="18"/>
  <c r="AA130" i="5" s="1"/>
  <c r="R130" s="1"/>
  <c r="E127" i="18"/>
  <c r="AA127" i="5" s="1"/>
  <c r="R127" s="1"/>
  <c r="E131" i="18"/>
  <c r="AA131" i="5" s="1"/>
  <c r="R131" s="1"/>
  <c r="E65" i="18"/>
  <c r="AA65" i="5" s="1"/>
  <c r="R65" s="1"/>
  <c r="BK65" s="1"/>
  <c r="E64" i="18"/>
  <c r="AA64" i="5" s="1"/>
  <c r="R64" s="1"/>
  <c r="BK64" s="1"/>
  <c r="E17" i="18"/>
  <c r="AA17" i="5" s="1"/>
  <c r="R17" s="1"/>
  <c r="BK17" s="1"/>
  <c r="E16" i="18"/>
  <c r="AA16" i="5" s="1"/>
  <c r="R16" s="1"/>
  <c r="BK16" s="1"/>
  <c r="E15" i="18"/>
  <c r="AA15" i="5" s="1"/>
  <c r="R15" s="1"/>
  <c r="BK15" s="1"/>
  <c r="E88" i="18"/>
  <c r="AA88" i="5" s="1"/>
  <c r="R88" s="1"/>
  <c r="BK88" s="1"/>
  <c r="E83" i="18"/>
  <c r="AA83" i="5" s="1"/>
  <c r="R83" s="1"/>
  <c r="BK83" s="1"/>
  <c r="E28" i="18"/>
  <c r="AA28" i="5" s="1"/>
  <c r="R28" s="1"/>
  <c r="E87" i="18"/>
  <c r="AA87" i="5" s="1"/>
  <c r="R87" s="1"/>
  <c r="BK87" s="1"/>
  <c r="K78" i="11"/>
  <c r="K75"/>
  <c r="K77"/>
  <c r="K79"/>
  <c r="X63" i="5"/>
  <c r="I17" i="20"/>
  <c r="F16" i="11" s="1"/>
  <c r="F19" s="1"/>
  <c r="Z58" i="5"/>
  <c r="X48"/>
  <c r="O48" s="1"/>
  <c r="X164"/>
  <c r="X14"/>
  <c r="X102"/>
  <c r="O47" i="11"/>
  <c r="F47" s="1"/>
  <c r="X21" i="5"/>
  <c r="O21" s="1"/>
  <c r="X35"/>
  <c r="X174"/>
  <c r="Z112"/>
  <c r="Z143"/>
  <c r="K134" i="18"/>
  <c r="G134" s="1"/>
  <c r="X53" i="5"/>
  <c r="AA167"/>
  <c r="R167" s="1"/>
  <c r="BK167" s="1"/>
  <c r="AA180"/>
  <c r="R180" s="1"/>
  <c r="BK180" s="1"/>
  <c r="Z174"/>
  <c r="E12" i="18"/>
  <c r="AA12" i="5" s="1"/>
  <c r="R12" s="1"/>
  <c r="E13" i="18"/>
  <c r="AA13" i="5" s="1"/>
  <c r="R13" s="1"/>
  <c r="Z98"/>
  <c r="Q98" s="1"/>
  <c r="BK94" l="1"/>
  <c r="BK93"/>
  <c r="BK151"/>
  <c r="BK149"/>
  <c r="BK147"/>
  <c r="BK24"/>
  <c r="BK92"/>
  <c r="BK150"/>
  <c r="BK152"/>
  <c r="Z76"/>
  <c r="Q76" s="1"/>
  <c r="E27" i="18"/>
  <c r="AA27" i="5" s="1"/>
  <c r="R27" s="1"/>
  <c r="E173" i="18"/>
  <c r="AA173" i="5" s="1"/>
  <c r="R173" s="1"/>
  <c r="BK173" s="1"/>
  <c r="E26" i="18"/>
  <c r="AA26" i="5" s="1"/>
  <c r="R26" s="1"/>
  <c r="E25" i="18"/>
  <c r="AA25" i="5" s="1"/>
  <c r="R25" s="1"/>
  <c r="BK25" s="1"/>
  <c r="E29" i="18"/>
  <c r="AA29" i="5" s="1"/>
  <c r="R29" s="1"/>
  <c r="X67"/>
  <c r="E24" i="18"/>
  <c r="AA24" i="5" s="1"/>
  <c r="R24" s="1"/>
  <c r="E22" i="18"/>
  <c r="AA22" i="5" s="1"/>
  <c r="R22" s="1"/>
  <c r="BK22" s="1"/>
  <c r="X146"/>
  <c r="O146" s="1"/>
  <c r="K146" i="18" s="1"/>
  <c r="G146" s="1"/>
  <c r="P139" i="5"/>
  <c r="BK139" s="1"/>
  <c r="X137"/>
  <c r="O137" s="1"/>
  <c r="K137" i="18" s="1"/>
  <c r="G137" s="1"/>
  <c r="I133" s="1"/>
  <c r="D137" s="1"/>
  <c r="Y137" i="5" s="1"/>
  <c r="P137" s="1"/>
  <c r="I109" i="18"/>
  <c r="D111" s="1"/>
  <c r="Y111" i="5" s="1"/>
  <c r="D12" i="18"/>
  <c r="Y12" i="5" s="1"/>
  <c r="P12" s="1"/>
  <c r="D74" i="18"/>
  <c r="Y74" i="5" s="1"/>
  <c r="P74" s="1"/>
  <c r="D73" i="18"/>
  <c r="Y73" i="5" s="1"/>
  <c r="P73" s="1"/>
  <c r="L70" i="18"/>
  <c r="H70" s="1"/>
  <c r="J67" s="1"/>
  <c r="E70" s="1"/>
  <c r="AA70" i="5" s="1"/>
  <c r="R70" s="1"/>
  <c r="BK70" s="1"/>
  <c r="L120" i="6"/>
  <c r="L116" s="1"/>
  <c r="E46" i="16" s="1"/>
  <c r="O120" i="6"/>
  <c r="I34" i="20"/>
  <c r="F65" i="11" s="1"/>
  <c r="J62" s="1"/>
  <c r="D154" i="18"/>
  <c r="Y154" i="5" s="1"/>
  <c r="P154" s="1"/>
  <c r="D155" i="18"/>
  <c r="Y155" i="5" s="1"/>
  <c r="P155" s="1"/>
  <c r="D143" i="18"/>
  <c r="Y143" i="5" s="1"/>
  <c r="P143" s="1"/>
  <c r="D142" i="18"/>
  <c r="Y142" i="5" s="1"/>
  <c r="P142" s="1"/>
  <c r="D110" i="18"/>
  <c r="Y110" i="5" s="1"/>
  <c r="P110" s="1"/>
  <c r="O164"/>
  <c r="K164" i="18" s="1"/>
  <c r="G164" s="1"/>
  <c r="I161" s="1"/>
  <c r="O67" i="5"/>
  <c r="K67" i="18" s="1"/>
  <c r="G67" s="1"/>
  <c r="O174" i="5"/>
  <c r="K174" i="18" s="1"/>
  <c r="G174" s="1"/>
  <c r="Q58" i="5"/>
  <c r="L58" i="18" s="1"/>
  <c r="H58" s="1"/>
  <c r="Q137" i="5"/>
  <c r="L137" i="18" s="1"/>
  <c r="H137" s="1"/>
  <c r="O178" i="5"/>
  <c r="K178" i="18" s="1"/>
  <c r="G178" s="1"/>
  <c r="Q174" i="5"/>
  <c r="L174" i="18" s="1"/>
  <c r="H174" s="1"/>
  <c r="O53" i="5"/>
  <c r="K53" i="18" s="1"/>
  <c r="G53" s="1"/>
  <c r="Q143" i="5"/>
  <c r="L143" i="18" s="1"/>
  <c r="H143" s="1"/>
  <c r="J141" s="1"/>
  <c r="O102" i="5"/>
  <c r="K102" i="18" s="1"/>
  <c r="G102" s="1"/>
  <c r="I97" s="1"/>
  <c r="D102" s="1"/>
  <c r="Y102" i="5" s="1"/>
  <c r="P102" s="1"/>
  <c r="AB112"/>
  <c r="Q112"/>
  <c r="L112" i="18" s="1"/>
  <c r="H112" s="1"/>
  <c r="J109" s="1"/>
  <c r="E110" s="1"/>
  <c r="AA110" i="5" s="1"/>
  <c r="R110" s="1"/>
  <c r="O35"/>
  <c r="K35" i="18" s="1"/>
  <c r="G35" s="1"/>
  <c r="I34" s="1"/>
  <c r="O14" i="5"/>
  <c r="K14" i="18" s="1"/>
  <c r="G14" s="1"/>
  <c r="O63" i="5"/>
  <c r="K63" i="18" s="1"/>
  <c r="G63" s="1"/>
  <c r="Q134" i="5"/>
  <c r="L134" i="18" s="1"/>
  <c r="H134" s="1"/>
  <c r="O31" i="5"/>
  <c r="K31" i="18" s="1"/>
  <c r="G31" s="1"/>
  <c r="Q121" i="5"/>
  <c r="L121" i="18" s="1"/>
  <c r="H121" s="1"/>
  <c r="J119" s="1"/>
  <c r="Z31" i="5"/>
  <c r="X90"/>
  <c r="Z170"/>
  <c r="Z146"/>
  <c r="AA179"/>
  <c r="R179" s="1"/>
  <c r="BK179" s="1"/>
  <c r="Z90"/>
  <c r="Z39"/>
  <c r="Z53"/>
  <c r="Z155"/>
  <c r="Z102"/>
  <c r="Z48"/>
  <c r="Z35"/>
  <c r="Z14"/>
  <c r="Z63"/>
  <c r="Z79"/>
  <c r="Z86"/>
  <c r="Q86" s="1"/>
  <c r="K48" i="18"/>
  <c r="G48" s="1"/>
  <c r="K21"/>
  <c r="G21" s="1"/>
  <c r="F22" i="11"/>
  <c r="F23"/>
  <c r="F20"/>
  <c r="U118" i="5"/>
  <c r="O118" s="1"/>
  <c r="F21" i="11"/>
  <c r="F78"/>
  <c r="F79"/>
  <c r="F77"/>
  <c r="F76"/>
  <c r="F75"/>
  <c r="U126" i="5"/>
  <c r="O126" s="1"/>
  <c r="F50" i="11"/>
  <c r="J45"/>
  <c r="F48"/>
  <c r="U121" i="5"/>
  <c r="O121" s="1"/>
  <c r="F51" i="11"/>
  <c r="F49"/>
  <c r="F52"/>
  <c r="Z11" i="5"/>
  <c r="Q11" s="1"/>
  <c r="L98" i="18"/>
  <c r="H98" s="1"/>
  <c r="L72"/>
  <c r="H72" s="1"/>
  <c r="J71" s="1"/>
  <c r="L76"/>
  <c r="H76" s="1"/>
  <c r="Z164" i="5"/>
  <c r="AS110" l="1"/>
  <c r="BK110"/>
  <c r="Z21"/>
  <c r="D112" i="18"/>
  <c r="Y112" i="5" s="1"/>
  <c r="P112" s="1"/>
  <c r="AS112" s="1"/>
  <c r="X11"/>
  <c r="O11" s="1"/>
  <c r="X71"/>
  <c r="O71" s="1"/>
  <c r="K71" i="18" s="1"/>
  <c r="G71" s="1"/>
  <c r="I62" s="1"/>
  <c r="E69"/>
  <c r="AA69" i="5" s="1"/>
  <c r="R69" s="1"/>
  <c r="BK69" s="1"/>
  <c r="E68" i="18"/>
  <c r="AA68" i="5" s="1"/>
  <c r="R68" s="1"/>
  <c r="BK68" s="1"/>
  <c r="X141"/>
  <c r="O141" s="1"/>
  <c r="K141" i="18" s="1"/>
  <c r="G141" s="1"/>
  <c r="F69" i="11"/>
  <c r="D162" i="18"/>
  <c r="Y162" i="5" s="1"/>
  <c r="P162" s="1"/>
  <c r="D163" i="18"/>
  <c r="Y163" i="5" s="1"/>
  <c r="P163" s="1"/>
  <c r="D134" i="18"/>
  <c r="Y134" i="5" s="1"/>
  <c r="P134" s="1"/>
  <c r="F70" i="11"/>
  <c r="F71"/>
  <c r="F67"/>
  <c r="D39" i="18"/>
  <c r="Y39" i="5" s="1"/>
  <c r="P39" s="1"/>
  <c r="D46" i="18"/>
  <c r="Y46" i="5" s="1"/>
  <c r="P46" s="1"/>
  <c r="D43" i="18"/>
  <c r="Y43" i="5" s="1"/>
  <c r="P43" s="1"/>
  <c r="D35" i="18"/>
  <c r="Y35" i="5" s="1"/>
  <c r="P35" s="1"/>
  <c r="E142" i="18"/>
  <c r="AA142" i="5" s="1"/>
  <c r="R142" s="1"/>
  <c r="BK142" s="1"/>
  <c r="E143" i="18"/>
  <c r="AA143" i="5" s="1"/>
  <c r="R143" s="1"/>
  <c r="J133" i="18"/>
  <c r="E121"/>
  <c r="AA121" i="5" s="1"/>
  <c r="R121" s="1"/>
  <c r="E120" i="18"/>
  <c r="AA120" i="5" s="1"/>
  <c r="I169" i="18"/>
  <c r="I20"/>
  <c r="D21" s="1"/>
  <c r="Y21" i="5" s="1"/>
  <c r="P21" s="1"/>
  <c r="Q79"/>
  <c r="L79" i="18" s="1"/>
  <c r="H79" s="1"/>
  <c r="Q35" i="5"/>
  <c r="L35" i="18" s="1"/>
  <c r="H35" s="1"/>
  <c r="Q53" i="5"/>
  <c r="L53" i="18" s="1"/>
  <c r="H53" s="1"/>
  <c r="Q146" i="5"/>
  <c r="L146" i="18" s="1"/>
  <c r="H146" s="1"/>
  <c r="Q164" i="5"/>
  <c r="L164" i="18" s="1"/>
  <c r="H164" s="1"/>
  <c r="J161" s="1"/>
  <c r="I47"/>
  <c r="D53" s="1"/>
  <c r="Y53" i="5" s="1"/>
  <c r="P53" s="1"/>
  <c r="Q63"/>
  <c r="L63" i="18" s="1"/>
  <c r="H63" s="1"/>
  <c r="Q48" i="5"/>
  <c r="L48" i="18" s="1"/>
  <c r="H48" s="1"/>
  <c r="Q39" i="5"/>
  <c r="L39" i="18" s="1"/>
  <c r="H39" s="1"/>
  <c r="Q170" i="5"/>
  <c r="L170" i="18" s="1"/>
  <c r="H170" s="1"/>
  <c r="O90" i="5"/>
  <c r="K90" i="18" s="1"/>
  <c r="G90" s="1"/>
  <c r="I75" s="1"/>
  <c r="S112" i="5"/>
  <c r="Y50" i="4" s="1"/>
  <c r="Z50" s="1"/>
  <c r="P111" i="5"/>
  <c r="Q102"/>
  <c r="L102" i="18" s="1"/>
  <c r="H102" s="1"/>
  <c r="J97" s="1"/>
  <c r="E102" s="1"/>
  <c r="AA102" i="5" s="1"/>
  <c r="R102" s="1"/>
  <c r="Q90"/>
  <c r="L86" i="18" s="1"/>
  <c r="H86" s="1"/>
  <c r="X153" i="5"/>
  <c r="D164" i="18"/>
  <c r="Y164" i="5" s="1"/>
  <c r="P164" s="1"/>
  <c r="Q21"/>
  <c r="L21" i="18" s="1"/>
  <c r="H21" s="1"/>
  <c r="Q14" i="5"/>
  <c r="L14" i="18" s="1"/>
  <c r="H14" s="1"/>
  <c r="Q155" i="5"/>
  <c r="L155" i="18" s="1"/>
  <c r="H155" s="1"/>
  <c r="J153" s="1"/>
  <c r="Q31" i="5"/>
  <c r="L31" i="18" s="1"/>
  <c r="H31" s="1"/>
  <c r="U124" i="5"/>
  <c r="O124" s="1"/>
  <c r="X124" s="1"/>
  <c r="F68" i="11"/>
  <c r="AB146" i="5"/>
  <c r="Z178"/>
  <c r="D98" i="18"/>
  <c r="Y98" i="5" s="1"/>
  <c r="P98" s="1"/>
  <c r="K11" i="18"/>
  <c r="G11" s="1"/>
  <c r="I10" s="1"/>
  <c r="D19" s="1"/>
  <c r="Y19" i="5" s="1"/>
  <c r="P19" s="1"/>
  <c r="X118"/>
  <c r="AB118" s="1"/>
  <c r="AV118"/>
  <c r="AR118" s="1"/>
  <c r="D101" i="18"/>
  <c r="Y101" i="5" s="1"/>
  <c r="P101" s="1"/>
  <c r="E111" i="18"/>
  <c r="AA111" i="5" s="1"/>
  <c r="R111" s="1"/>
  <c r="E112" i="18"/>
  <c r="AA112" i="5" s="1"/>
  <c r="R112" s="1"/>
  <c r="K121" i="18"/>
  <c r="G121" s="1"/>
  <c r="I119" s="1"/>
  <c r="X121" i="5"/>
  <c r="X126"/>
  <c r="K126" i="18"/>
  <c r="G126" s="1"/>
  <c r="I124" s="1"/>
  <c r="L11"/>
  <c r="H11" s="1"/>
  <c r="E73"/>
  <c r="AA73" i="5" s="1"/>
  <c r="R73" s="1"/>
  <c r="BK73" s="1"/>
  <c r="E74" i="18"/>
  <c r="AA74" i="5" s="1"/>
  <c r="R74" s="1"/>
  <c r="BK74" s="1"/>
  <c r="E72" i="18"/>
  <c r="AA72" i="5" s="1"/>
  <c r="R72" s="1"/>
  <c r="BK72" s="1"/>
  <c r="AS111" l="1"/>
  <c r="BK111"/>
  <c r="AB109"/>
  <c r="S109" s="1"/>
  <c r="Y45" i="4" s="1"/>
  <c r="X133" i="5"/>
  <c r="O133" s="1"/>
  <c r="K133" i="18" s="1"/>
  <c r="G133" s="1"/>
  <c r="Z67" i="5"/>
  <c r="Q67" s="1"/>
  <c r="L67" i="18" s="1"/>
  <c r="H67" s="1"/>
  <c r="D48"/>
  <c r="Y48" i="5" s="1"/>
  <c r="P48" s="1"/>
  <c r="D30" i="18"/>
  <c r="Y30" i="5" s="1"/>
  <c r="P30" s="1"/>
  <c r="E155" i="18"/>
  <c r="AA155" i="5" s="1"/>
  <c r="R155" s="1"/>
  <c r="E154" i="18"/>
  <c r="AA154" i="5" s="1"/>
  <c r="R154" s="1"/>
  <c r="BK154" s="1"/>
  <c r="D31" i="18"/>
  <c r="Y31" i="5" s="1"/>
  <c r="P31" s="1"/>
  <c r="AV109"/>
  <c r="AT109" s="1"/>
  <c r="AV124"/>
  <c r="AR124" s="1"/>
  <c r="J20" i="18"/>
  <c r="E21" s="1"/>
  <c r="AA21" i="5" s="1"/>
  <c r="R21" s="1"/>
  <c r="E163" i="18"/>
  <c r="AA163" i="5" s="1"/>
  <c r="R163" s="1"/>
  <c r="BK163" s="1"/>
  <c r="E162" i="18"/>
  <c r="AA162" i="5" s="1"/>
  <c r="R162" s="1"/>
  <c r="BK162" s="1"/>
  <c r="E164" i="18"/>
  <c r="AA164" i="5" s="1"/>
  <c r="R164" s="1"/>
  <c r="J47" i="18"/>
  <c r="E53" s="1"/>
  <c r="AA53" i="5" s="1"/>
  <c r="R53" s="1"/>
  <c r="X34"/>
  <c r="O34" s="1"/>
  <c r="K34" i="18" s="1"/>
  <c r="G34" s="1"/>
  <c r="X161" i="5"/>
  <c r="O161" s="1"/>
  <c r="K161" i="18" s="1"/>
  <c r="G161" s="1"/>
  <c r="D76"/>
  <c r="Y76" i="5" s="1"/>
  <c r="D86" i="18"/>
  <c r="Y86" i="5" s="1"/>
  <c r="P86" s="1"/>
  <c r="D79" i="18"/>
  <c r="Y79" i="5" s="1"/>
  <c r="P79" s="1"/>
  <c r="D90" i="18"/>
  <c r="Y90" i="5" s="1"/>
  <c r="P90" s="1"/>
  <c r="D63" i="18"/>
  <c r="Y63" i="5" s="1"/>
  <c r="P63" s="1"/>
  <c r="D67" i="18"/>
  <c r="Y67" i="5" s="1"/>
  <c r="P67" s="1"/>
  <c r="D71" i="18"/>
  <c r="Y71" i="5" s="1"/>
  <c r="P71" s="1"/>
  <c r="J34" i="18"/>
  <c r="E35" s="1"/>
  <c r="AA35" i="5" s="1"/>
  <c r="R35" s="1"/>
  <c r="S118"/>
  <c r="S59" i="4" s="1"/>
  <c r="T59" s="1"/>
  <c r="Q178" i="5"/>
  <c r="L178" i="18" s="1"/>
  <c r="H178" s="1"/>
  <c r="J169" s="1"/>
  <c r="O153" i="5"/>
  <c r="K153" i="18" s="1"/>
  <c r="G153" s="1"/>
  <c r="I140" s="1"/>
  <c r="D58"/>
  <c r="Y58" i="5" s="1"/>
  <c r="P58" s="1"/>
  <c r="Z141"/>
  <c r="AB141" s="1"/>
  <c r="L90" i="18"/>
  <c r="H90" s="1"/>
  <c r="J75" s="1"/>
  <c r="E76" s="1"/>
  <c r="AA76" i="5" s="1"/>
  <c r="R76" s="1"/>
  <c r="E134" i="18"/>
  <c r="AA134" i="5" s="1"/>
  <c r="E137" i="18"/>
  <c r="AA137" i="5" s="1"/>
  <c r="R137" s="1"/>
  <c r="S146"/>
  <c r="V60" i="4" s="1"/>
  <c r="W60" s="1"/>
  <c r="D174" i="18"/>
  <c r="Y174" i="5" s="1"/>
  <c r="P174" s="1"/>
  <c r="D170" i="18"/>
  <c r="Y170" i="5" s="1"/>
  <c r="D178" i="18"/>
  <c r="Y178" i="5" s="1"/>
  <c r="P178" s="1"/>
  <c r="J10" i="18"/>
  <c r="E19" s="1"/>
  <c r="AA19" i="5" s="1"/>
  <c r="R19" s="1"/>
  <c r="BK19" s="1"/>
  <c r="R120"/>
  <c r="Z119"/>
  <c r="Q119" s="1"/>
  <c r="L119" i="18" s="1"/>
  <c r="H119" s="1"/>
  <c r="E101"/>
  <c r="AA101" i="5" s="1"/>
  <c r="R101" s="1"/>
  <c r="BK101" s="1"/>
  <c r="E98" i="18"/>
  <c r="AA98" i="5" s="1"/>
  <c r="D126" i="18"/>
  <c r="Y126" i="5" s="1"/>
  <c r="P126" s="1"/>
  <c r="BK126" s="1"/>
  <c r="D11" i="18"/>
  <c r="Y11" i="5" s="1"/>
  <c r="P11" s="1"/>
  <c r="D14" i="18"/>
  <c r="Y14" i="5" s="1"/>
  <c r="P14" s="1"/>
  <c r="K118" i="18"/>
  <c r="G118" s="1"/>
  <c r="X97" i="5"/>
  <c r="D121" i="18"/>
  <c r="Y121" i="5" s="1"/>
  <c r="P121" s="1"/>
  <c r="D120" i="18"/>
  <c r="Y120" i="5" s="1"/>
  <c r="P120" s="1"/>
  <c r="D125" i="18"/>
  <c r="N104" i="20"/>
  <c r="L74" s="1"/>
  <c r="K109" i="18"/>
  <c r="G109" s="1"/>
  <c r="Z71" i="5"/>
  <c r="Q71" s="1"/>
  <c r="Z45" i="4" l="1"/>
  <c r="E30" i="18"/>
  <c r="AA30" i="5" s="1"/>
  <c r="R30" s="1"/>
  <c r="BK30" s="1"/>
  <c r="E31" i="18"/>
  <c r="AA31" i="5" s="1"/>
  <c r="R31" s="1"/>
  <c r="E14" i="18"/>
  <c r="AA14" i="5" s="1"/>
  <c r="R14" s="1"/>
  <c r="E39" i="18"/>
  <c r="AA39" i="5" s="1"/>
  <c r="R39" s="1"/>
  <c r="X47"/>
  <c r="E79" i="18"/>
  <c r="AA79" i="5" s="1"/>
  <c r="R79" s="1"/>
  <c r="Z153"/>
  <c r="Q153" s="1"/>
  <c r="L153" i="18" s="1"/>
  <c r="H153" s="1"/>
  <c r="X20" i="5"/>
  <c r="O20" s="1"/>
  <c r="K20" i="18" s="1"/>
  <c r="G20" s="1"/>
  <c r="E43"/>
  <c r="AA43" i="5" s="1"/>
  <c r="R43" s="1"/>
  <c r="BK43" s="1"/>
  <c r="X62"/>
  <c r="O62" s="1"/>
  <c r="K62" i="18" s="1"/>
  <c r="G62" s="1"/>
  <c r="AA20" i="5"/>
  <c r="R20" s="1"/>
  <c r="E11" i="18"/>
  <c r="AA11" i="5" s="1"/>
  <c r="R11" s="1"/>
  <c r="BK11" s="1"/>
  <c r="E58" i="18"/>
  <c r="AA58" i="5" s="1"/>
  <c r="R58" s="1"/>
  <c r="E48" i="18"/>
  <c r="AA48" i="5" s="1"/>
  <c r="R48" s="1"/>
  <c r="E46" i="18"/>
  <c r="AA46" i="5" s="1"/>
  <c r="R46" s="1"/>
  <c r="BK46" s="1"/>
  <c r="Z161"/>
  <c r="Q161" s="1"/>
  <c r="L161" i="18" s="1"/>
  <c r="H161" s="1"/>
  <c r="E170"/>
  <c r="AA170" i="5" s="1"/>
  <c r="R170" s="1"/>
  <c r="E178" i="18"/>
  <c r="AA178" i="5" s="1"/>
  <c r="R178" s="1"/>
  <c r="E174" i="18"/>
  <c r="AA174" i="5" s="1"/>
  <c r="R174" s="1"/>
  <c r="D153" i="18"/>
  <c r="Y153" i="5" s="1"/>
  <c r="D141" i="18"/>
  <c r="Y141" i="5" s="1"/>
  <c r="D146" i="18"/>
  <c r="Y146" i="5" s="1"/>
  <c r="P170"/>
  <c r="X169"/>
  <c r="AA97"/>
  <c r="R97" s="1"/>
  <c r="R98"/>
  <c r="Q141"/>
  <c r="L141" i="18" s="1"/>
  <c r="H141" s="1"/>
  <c r="E86"/>
  <c r="AA86" i="5" s="1"/>
  <c r="R86" s="1"/>
  <c r="O97"/>
  <c r="K97" i="18" s="1"/>
  <c r="G97" s="1"/>
  <c r="O47" i="5"/>
  <c r="K47" i="18" s="1"/>
  <c r="G47" s="1"/>
  <c r="P76" i="5"/>
  <c r="X75"/>
  <c r="E90" i="18"/>
  <c r="AA90" i="5" s="1"/>
  <c r="R90" s="1"/>
  <c r="S141"/>
  <c r="V59" i="4" s="1"/>
  <c r="W59" s="1"/>
  <c r="R134" i="5"/>
  <c r="Z133"/>
  <c r="Q74" i="20"/>
  <c r="T74" s="1"/>
  <c r="Y125" i="5"/>
  <c r="P132" s="1"/>
  <c r="BK132" s="1"/>
  <c r="D132" i="18"/>
  <c r="Y132" i="5" s="1"/>
  <c r="Z97"/>
  <c r="X10"/>
  <c r="X119"/>
  <c r="O119" s="1"/>
  <c r="O42" i="4"/>
  <c r="Z10"/>
  <c r="AA10" i="5" l="1"/>
  <c r="R10" s="1"/>
  <c r="AB153"/>
  <c r="AB140" s="1"/>
  <c r="W56" i="4" s="1"/>
  <c r="Z20" i="5"/>
  <c r="Q20" s="1"/>
  <c r="L20" i="18" s="1"/>
  <c r="H20" s="1"/>
  <c r="N75" i="24"/>
  <c r="M74" s="1"/>
  <c r="Z47" i="5"/>
  <c r="AB47" s="1"/>
  <c r="Z34"/>
  <c r="AB34" s="1"/>
  <c r="H118" i="6"/>
  <c r="O118" s="1"/>
  <c r="O116" s="1"/>
  <c r="O135" s="1"/>
  <c r="AA47" i="5"/>
  <c r="R47" s="1"/>
  <c r="Z75"/>
  <c r="Q75" s="1"/>
  <c r="L71" i="18" s="1"/>
  <c r="H71" s="1"/>
  <c r="J62" s="1"/>
  <c r="AB161" i="5"/>
  <c r="S161" s="1"/>
  <c r="Y60" i="4" s="1"/>
  <c r="Z60" s="1"/>
  <c r="Z10" i="5"/>
  <c r="Q10" s="1"/>
  <c r="L10" i="18" s="1"/>
  <c r="H10" s="1"/>
  <c r="AA34" i="5"/>
  <c r="R34" s="1"/>
  <c r="J140" i="18"/>
  <c r="E146" s="1"/>
  <c r="AA146" i="5" s="1"/>
  <c r="R146" s="1"/>
  <c r="Q47"/>
  <c r="L47" i="18" s="1"/>
  <c r="H47" s="1"/>
  <c r="O169" i="5"/>
  <c r="K169" i="18" s="1"/>
  <c r="G169" s="1"/>
  <c r="AA75" i="5"/>
  <c r="R75" s="1"/>
  <c r="AB97"/>
  <c r="Q97"/>
  <c r="L97" i="18" s="1"/>
  <c r="H97" s="1"/>
  <c r="O75" i="5"/>
  <c r="K75" i="18" s="1"/>
  <c r="G75" s="1"/>
  <c r="I61" s="1"/>
  <c r="P141" i="5"/>
  <c r="AS141" s="1"/>
  <c r="Q133"/>
  <c r="L133" i="18" s="1"/>
  <c r="H133" s="1"/>
  <c r="J117" s="1"/>
  <c r="AB133" i="5"/>
  <c r="P146"/>
  <c r="AS146" s="1"/>
  <c r="Z169"/>
  <c r="Q169" s="1"/>
  <c r="L169" i="18" s="1"/>
  <c r="H169" s="1"/>
  <c r="J159" s="1"/>
  <c r="O10" i="5"/>
  <c r="K10" i="18" s="1"/>
  <c r="G10" s="1"/>
  <c r="I9" s="1"/>
  <c r="S153" i="5"/>
  <c r="V61" i="4" s="1"/>
  <c r="W61" s="1"/>
  <c r="P153" i="5"/>
  <c r="AS153" s="1"/>
  <c r="U40" i="4"/>
  <c r="Y40" s="1"/>
  <c r="E59" i="16"/>
  <c r="K119" i="18"/>
  <c r="G119" s="1"/>
  <c r="AB119" i="5"/>
  <c r="AB169"/>
  <c r="AB20" l="1"/>
  <c r="S20" s="1"/>
  <c r="S49" i="4" s="1"/>
  <c r="T49" s="1"/>
  <c r="E153" i="18"/>
  <c r="AA153" i="5" s="1"/>
  <c r="R153" s="1"/>
  <c r="L75" i="18"/>
  <c r="H75" s="1"/>
  <c r="M67" i="24"/>
  <c r="Q22" s="1"/>
  <c r="Q78"/>
  <c r="N74" s="1"/>
  <c r="N67" s="1"/>
  <c r="AB75" i="5"/>
  <c r="S75" s="1"/>
  <c r="V49" i="4" s="1"/>
  <c r="W49" s="1"/>
  <c r="Q34" i="5"/>
  <c r="L34" i="18" s="1"/>
  <c r="H34" s="1"/>
  <c r="J9" s="1"/>
  <c r="E47" s="1"/>
  <c r="D59" i="16"/>
  <c r="E141" i="18"/>
  <c r="AA141" i="5" s="1"/>
  <c r="R141" s="1"/>
  <c r="D20" i="18"/>
  <c r="Y20" i="5" s="1"/>
  <c r="P20" s="1"/>
  <c r="AS20" s="1"/>
  <c r="D47" i="18"/>
  <c r="Y47" i="5" s="1"/>
  <c r="P47" s="1"/>
  <c r="AS47" s="1"/>
  <c r="AB10"/>
  <c r="S10" s="1"/>
  <c r="S48" i="4" s="1"/>
  <c r="AV140" i="5"/>
  <c r="AT140" s="1"/>
  <c r="E124" i="18"/>
  <c r="E133"/>
  <c r="AA133" i="5" s="1"/>
  <c r="R133" s="1"/>
  <c r="E118" i="18"/>
  <c r="AA118" i="5" s="1"/>
  <c r="R118" s="1"/>
  <c r="E119" i="18"/>
  <c r="AA119" i="5" s="1"/>
  <c r="R119" s="1"/>
  <c r="D62" i="18"/>
  <c r="Y62" i="5" s="1"/>
  <c r="D97" i="18"/>
  <c r="Y97" i="5" s="1"/>
  <c r="D75" i="18"/>
  <c r="Y75" i="5" s="1"/>
  <c r="S140"/>
  <c r="K140" i="18" s="1"/>
  <c r="G140" s="1"/>
  <c r="S47" i="5"/>
  <c r="S51" i="4" s="1"/>
  <c r="T51" s="1"/>
  <c r="D10" i="18"/>
  <c r="Y10" i="5" s="1"/>
  <c r="S97"/>
  <c r="V50" i="4" s="1"/>
  <c r="W50" s="1"/>
  <c r="S169" i="5"/>
  <c r="Y61" i="4" s="1"/>
  <c r="Z61" s="1"/>
  <c r="S133" i="5"/>
  <c r="S62" i="4" s="1"/>
  <c r="T62" s="1"/>
  <c r="S119" i="5"/>
  <c r="S60" i="4" s="1"/>
  <c r="T60" s="1"/>
  <c r="D34" i="18"/>
  <c r="Y34" i="5" s="1"/>
  <c r="P34" s="1"/>
  <c r="S34"/>
  <c r="S50" i="4" s="1"/>
  <c r="T50" s="1"/>
  <c r="J15" i="14"/>
  <c r="O136" i="6"/>
  <c r="D46" i="16"/>
  <c r="U39" i="4" s="1"/>
  <c r="Y39" s="1"/>
  <c r="X40" s="1"/>
  <c r="L135" i="6"/>
  <c r="E89" i="17"/>
  <c r="E160" i="18"/>
  <c r="AA160" i="5" s="1"/>
  <c r="R160" s="1"/>
  <c r="E169" i="18"/>
  <c r="AA169" i="5" s="1"/>
  <c r="R169" s="1"/>
  <c r="E161" i="18"/>
  <c r="AA161" i="5" s="1"/>
  <c r="R161" s="1"/>
  <c r="E67" i="18"/>
  <c r="AA67" i="5" s="1"/>
  <c r="R67" s="1"/>
  <c r="E71" i="18"/>
  <c r="AA71" i="5" s="1"/>
  <c r="R71" s="1"/>
  <c r="E63" i="18"/>
  <c r="AA63" i="5" s="1"/>
  <c r="R63" s="1"/>
  <c r="Q23" i="24" l="1"/>
  <c r="K15" i="14"/>
  <c r="J95" i="24"/>
  <c r="V56" i="4"/>
  <c r="Z12" s="1"/>
  <c r="P10" i="5"/>
  <c r="AS10" s="1"/>
  <c r="P75"/>
  <c r="AS75" s="1"/>
  <c r="AB9"/>
  <c r="S9" s="1"/>
  <c r="P97"/>
  <c r="AS97" s="1"/>
  <c r="P62"/>
  <c r="AS62" s="1"/>
  <c r="AS34"/>
  <c r="E20" i="18"/>
  <c r="E34"/>
  <c r="E10"/>
  <c r="E47" i="16"/>
  <c r="E52" s="1"/>
  <c r="W42" i="4" s="1"/>
  <c r="Y42" s="1"/>
  <c r="X42" s="1"/>
  <c r="T48"/>
  <c r="R53"/>
  <c r="AA62" i="5"/>
  <c r="R62" s="1"/>
  <c r="Z62"/>
  <c r="Q62" s="1"/>
  <c r="J16" i="14"/>
  <c r="L136" i="6"/>
  <c r="K16" i="14" l="1"/>
  <c r="L16" s="1"/>
  <c r="O15" s="1"/>
  <c r="F7" s="1"/>
  <c r="F12" s="1"/>
  <c r="J94" i="24"/>
  <c r="J96" s="1"/>
  <c r="M94" s="1"/>
  <c r="K53" i="4"/>
  <c r="T45"/>
  <c r="AV61" i="5"/>
  <c r="AT61" s="1"/>
  <c r="AV9"/>
  <c r="AT9" s="1"/>
  <c r="V41" i="4"/>
  <c r="Y41" s="1"/>
  <c r="X41" s="1"/>
  <c r="T35" s="1"/>
  <c r="S35" s="1"/>
  <c r="S36" s="1"/>
  <c r="AB62" i="5"/>
  <c r="S62" s="1"/>
  <c r="L62" i="18"/>
  <c r="H62" s="1"/>
  <c r="J61" s="1"/>
  <c r="K9"/>
  <c r="G9" s="1"/>
  <c r="S45" i="4"/>
  <c r="F10" i="14" l="1"/>
  <c r="F9"/>
  <c r="F8"/>
  <c r="F11"/>
  <c r="U160" i="5"/>
  <c r="O160" s="1"/>
  <c r="V48" i="4"/>
  <c r="W48" s="1"/>
  <c r="AB61" i="5"/>
  <c r="S61" s="1"/>
  <c r="Z14" i="4"/>
  <c r="G42"/>
  <c r="E62" i="18"/>
  <c r="E75"/>
  <c r="E97"/>
  <c r="AV160" i="5" l="1"/>
  <c r="AR160" s="1"/>
  <c r="X160"/>
  <c r="AB160" s="1"/>
  <c r="S160" s="1"/>
  <c r="Y59" i="4" s="1"/>
  <c r="Z59" s="1"/>
  <c r="K160" i="18"/>
  <c r="G160" s="1"/>
  <c r="I159" s="1"/>
  <c r="D160" s="1"/>
  <c r="Y160" i="5" s="1"/>
  <c r="P160" s="1"/>
  <c r="BK160" s="1"/>
  <c r="W45" i="4"/>
  <c r="D169" i="18" l="1"/>
  <c r="Y169" i="5" s="1"/>
  <c r="D161" i="18"/>
  <c r="Y161" i="5" s="1"/>
  <c r="AS160"/>
  <c r="K61" i="18"/>
  <c r="G61" s="1"/>
  <c r="I8" s="1"/>
  <c r="V45" i="4"/>
  <c r="P161" i="5" l="1"/>
  <c r="AS161" s="1"/>
  <c r="P169"/>
  <c r="AS169" s="1"/>
  <c r="AB159"/>
  <c r="S159" s="1"/>
  <c r="K42" i="4"/>
  <c r="Z9"/>
  <c r="D61" i="18"/>
  <c r="Y61" i="5" s="1"/>
  <c r="D9" i="18"/>
  <c r="Y9" i="5" s="1"/>
  <c r="P9" s="1"/>
  <c r="D109" i="18"/>
  <c r="Y109" i="5" s="1"/>
  <c r="AV159" l="1"/>
  <c r="AT159" s="1"/>
  <c r="P109"/>
  <c r="AS109" s="1"/>
  <c r="P61"/>
  <c r="AS61" s="1"/>
  <c r="Z56" i="4"/>
  <c r="AB8" i="5"/>
  <c r="S8" s="1"/>
  <c r="AS9"/>
  <c r="Y56" i="4"/>
  <c r="K159" i="18"/>
  <c r="G159" s="1"/>
  <c r="AV8" i="5" l="1"/>
  <c r="AT8" s="1"/>
  <c r="Z11" i="4"/>
  <c r="O53"/>
  <c r="S8"/>
  <c r="S10" s="1"/>
  <c r="N40"/>
  <c r="T24" l="1"/>
  <c r="T26" l="1"/>
  <c r="U26"/>
  <c r="AB124" i="5"/>
  <c r="K124" i="18"/>
  <c r="G124" s="1"/>
  <c r="I117" s="1"/>
  <c r="S124" i="5" l="1"/>
  <c r="S61" i="4" s="1"/>
  <c r="T61" s="1"/>
  <c r="D133" i="18"/>
  <c r="Y133" i="5" s="1"/>
  <c r="D119" i="18"/>
  <c r="Y119" i="5" s="1"/>
  <c r="D118" i="18"/>
  <c r="Y118" i="5" s="1"/>
  <c r="P118" s="1"/>
  <c r="BK118" s="1"/>
  <c r="D124" i="18"/>
  <c r="P119" i="5" l="1"/>
  <c r="P133"/>
  <c r="AS133" s="1"/>
  <c r="Y124"/>
  <c r="AS118"/>
  <c r="AS119" l="1"/>
  <c r="BK119"/>
  <c r="P124"/>
  <c r="AS124" s="1"/>
  <c r="AV117" s="1"/>
  <c r="AT117" s="1"/>
  <c r="AB117"/>
  <c r="S117" s="1"/>
  <c r="D40" i="26" l="1"/>
  <c r="B50"/>
  <c r="C51"/>
  <c r="C39"/>
  <c r="B95"/>
  <c r="D76"/>
  <c r="C69"/>
  <c r="D96"/>
  <c r="C11"/>
  <c r="C80"/>
  <c r="C96"/>
  <c r="B100"/>
  <c r="D14"/>
  <c r="B42"/>
  <c r="C18"/>
  <c r="D25"/>
  <c r="B40"/>
  <c r="C26"/>
  <c r="B28"/>
  <c r="D92"/>
  <c r="B82"/>
  <c r="B62"/>
  <c r="C71"/>
  <c r="D72"/>
  <c r="D60"/>
  <c r="B43"/>
  <c r="C87"/>
  <c r="B64"/>
  <c r="C91"/>
  <c r="B107"/>
  <c r="B59"/>
  <c r="C72"/>
  <c r="D94"/>
  <c r="C110"/>
  <c r="D36"/>
  <c r="C94"/>
  <c r="B15"/>
  <c r="C29"/>
  <c r="D47"/>
  <c r="C49"/>
  <c r="C108"/>
  <c r="C98"/>
  <c r="C102"/>
  <c r="D12"/>
  <c r="B16"/>
  <c r="B21"/>
  <c r="C45"/>
  <c r="B74"/>
  <c r="D89"/>
  <c r="C76"/>
  <c r="D75"/>
  <c r="C53"/>
  <c r="D29"/>
  <c r="D51"/>
  <c r="B78"/>
  <c r="C55"/>
  <c r="B33"/>
  <c r="D52"/>
  <c r="C46"/>
  <c r="B30"/>
  <c r="B66"/>
  <c r="B102"/>
  <c r="C14"/>
  <c r="C105"/>
  <c r="C47"/>
  <c r="C36"/>
  <c r="B89"/>
  <c r="B81"/>
  <c r="D10"/>
  <c r="D34"/>
  <c r="B79"/>
  <c r="C62"/>
  <c r="C37"/>
  <c r="B88"/>
  <c r="B75"/>
  <c r="B108"/>
  <c r="C17"/>
  <c r="C33"/>
  <c r="D38"/>
  <c r="B12"/>
  <c r="D83"/>
  <c r="D107"/>
  <c r="B48"/>
  <c r="C75"/>
  <c r="B85"/>
  <c r="C92"/>
  <c r="C109"/>
  <c r="D78"/>
  <c r="B106"/>
  <c r="D20"/>
  <c r="D27"/>
  <c r="D43"/>
  <c r="D61"/>
  <c r="C104"/>
  <c r="B27"/>
  <c r="D69"/>
  <c r="D11"/>
  <c r="B60"/>
  <c r="B76"/>
  <c r="C97"/>
  <c r="D54"/>
  <c r="D23"/>
  <c r="D22"/>
  <c r="D42"/>
  <c r="B70"/>
  <c r="C74"/>
  <c r="D81"/>
  <c r="D98"/>
  <c r="C73"/>
  <c r="D100"/>
  <c r="C15"/>
  <c r="D93"/>
  <c r="B25"/>
  <c r="D19"/>
  <c r="B14"/>
  <c r="C40"/>
  <c r="B83"/>
  <c r="C81"/>
  <c r="D103"/>
  <c r="B98"/>
  <c r="B86"/>
  <c r="D37"/>
  <c r="C89"/>
  <c r="C31"/>
  <c r="C86"/>
  <c r="B69"/>
  <c r="D35"/>
  <c r="D80"/>
  <c r="B84"/>
  <c r="B65"/>
  <c r="C22"/>
  <c r="B80"/>
  <c r="B49"/>
  <c r="D39"/>
  <c r="B110"/>
  <c r="B18"/>
  <c r="C65"/>
  <c r="C59"/>
  <c r="C60"/>
  <c r="D62"/>
  <c r="D105"/>
  <c r="B67"/>
  <c r="C35"/>
  <c r="D102"/>
  <c r="B38"/>
  <c r="C41"/>
  <c r="C93"/>
  <c r="B17"/>
  <c r="D64"/>
  <c r="B68"/>
  <c r="C88"/>
  <c r="B23"/>
  <c r="D41"/>
  <c r="C44"/>
  <c r="C20"/>
  <c r="D13"/>
  <c r="D87"/>
  <c r="D86"/>
  <c r="D26"/>
  <c r="B54"/>
  <c r="C42"/>
  <c r="D49"/>
  <c r="D66"/>
  <c r="C57"/>
  <c r="D84"/>
  <c r="C100"/>
  <c r="C32"/>
  <c r="D45"/>
  <c r="D33"/>
  <c r="B46"/>
  <c r="C83"/>
  <c r="B94"/>
  <c r="D65"/>
  <c r="C84"/>
  <c r="B87"/>
  <c r="B63"/>
  <c r="C56"/>
  <c r="B103"/>
  <c r="D106"/>
  <c r="C21"/>
  <c r="D48"/>
  <c r="D31"/>
  <c r="B39"/>
  <c r="B56"/>
  <c r="B52"/>
  <c r="C79"/>
  <c r="B93"/>
  <c r="B11"/>
  <c r="C24"/>
  <c r="B55"/>
  <c r="D56"/>
  <c r="B99"/>
  <c r="D109"/>
  <c r="C52"/>
  <c r="C103"/>
  <c r="C101"/>
  <c r="C43"/>
  <c r="C28"/>
  <c r="D46"/>
  <c r="C82"/>
  <c r="B104"/>
  <c r="C67"/>
  <c r="B41"/>
  <c r="D95"/>
  <c r="D99"/>
  <c r="B19"/>
  <c r="D67"/>
  <c r="C107"/>
  <c r="D110"/>
  <c r="B47"/>
  <c r="C19"/>
  <c r="D73"/>
  <c r="D74"/>
  <c r="D16"/>
  <c r="C30"/>
  <c r="B20"/>
  <c r="B29"/>
  <c r="D50"/>
  <c r="B109"/>
  <c r="C23"/>
  <c r="C10"/>
  <c r="D68"/>
  <c r="C90"/>
  <c r="B45"/>
  <c r="D63"/>
  <c r="C95"/>
  <c r="D59"/>
  <c r="D15"/>
  <c r="C34"/>
  <c r="B37"/>
  <c r="B13"/>
  <c r="B97"/>
  <c r="B34"/>
  <c r="D90"/>
  <c r="C106"/>
  <c r="D32"/>
  <c r="C78"/>
  <c r="D91"/>
  <c r="B24"/>
  <c r="B36"/>
  <c r="C63"/>
  <c r="B61"/>
  <c r="C68"/>
  <c r="D82"/>
  <c r="C48"/>
  <c r="D88"/>
  <c r="C64"/>
  <c r="D21"/>
  <c r="C58"/>
  <c r="B77"/>
  <c r="D79"/>
  <c r="D55"/>
  <c r="B31"/>
  <c r="D44"/>
  <c r="C85"/>
  <c r="B101"/>
  <c r="C27"/>
  <c r="B57"/>
  <c r="C70"/>
  <c r="C13"/>
  <c r="D30"/>
  <c r="B58"/>
  <c r="C50"/>
  <c r="D57"/>
  <c r="B72"/>
  <c r="B91"/>
  <c r="C99"/>
  <c r="D77"/>
  <c r="B35"/>
  <c r="D104"/>
  <c r="D85"/>
  <c r="D58"/>
  <c r="D101"/>
  <c r="B51"/>
  <c r="B105"/>
  <c r="B73"/>
  <c r="D18"/>
  <c r="D70"/>
  <c r="D108"/>
  <c r="C16"/>
  <c r="B26"/>
  <c r="D97"/>
  <c r="C54"/>
  <c r="B22"/>
  <c r="C25"/>
  <c r="C61"/>
  <c r="D28"/>
  <c r="C66"/>
  <c r="B32"/>
  <c r="B53"/>
  <c r="C77"/>
  <c r="B90"/>
  <c r="D53"/>
  <c r="C12"/>
  <c r="C38"/>
  <c r="B96"/>
  <c r="D17"/>
  <c r="D71"/>
  <c r="B92"/>
  <c r="B44"/>
  <c r="B71"/>
  <c r="B10"/>
  <c r="D24"/>
  <c r="T56" i="4"/>
  <c r="K117" i="18"/>
  <c r="G117" s="1"/>
  <c r="I116" s="1"/>
  <c r="S56" i="4"/>
  <c r="Z13" l="1"/>
  <c r="G53"/>
  <c r="D140" i="18"/>
  <c r="Y140" i="5" s="1"/>
  <c r="D159" i="18"/>
  <c r="Y159" i="5" s="1"/>
  <c r="D117" i="18"/>
  <c r="Y117" i="5" s="1"/>
  <c r="P117" s="1"/>
  <c r="P159" l="1"/>
  <c r="AS159" s="1"/>
  <c r="P140"/>
  <c r="AS140" s="1"/>
  <c r="AS117"/>
  <c r="AB116"/>
  <c r="S116" s="1"/>
  <c r="AV116" l="1"/>
  <c r="AT116" s="1"/>
  <c r="S9" i="4"/>
  <c r="S11" s="1"/>
  <c r="K116" i="18" l="1"/>
  <c r="G116" s="1"/>
  <c r="N51" i="4"/>
  <c r="T23"/>
  <c r="S12"/>
  <c r="S13" l="1"/>
  <c r="S25"/>
  <c r="T25"/>
  <c r="C24" l="1"/>
  <c r="J9" i="24"/>
  <c r="S15" i="4"/>
  <c r="S16" l="1"/>
  <c r="K9" i="24"/>
  <c r="L9" s="1"/>
</calcChain>
</file>

<file path=xl/comments1.xml><?xml version="1.0" encoding="utf-8"?>
<comments xmlns="http://schemas.openxmlformats.org/spreadsheetml/2006/main">
  <authors>
    <author xml:space="preserve">日建設計 </author>
    <author>Junko ENDO</author>
  </authors>
  <commentList>
    <comment ref="C15" authorId="0">
      <text>
        <r>
          <rPr>
            <sz val="9"/>
            <color indexed="81"/>
            <rFont val="ＭＳ Ｐゴシック"/>
            <family val="3"/>
            <charset val="128"/>
          </rPr>
          <t>2003/6等と入力して下さい。
2003年6月と表示されます。</t>
        </r>
      </text>
    </comment>
    <comment ref="C39" authorId="0">
      <text>
        <r>
          <rPr>
            <sz val="9"/>
            <color indexed="81"/>
            <rFont val="ＭＳ Ｐゴシック"/>
            <family val="3"/>
            <charset val="128"/>
          </rPr>
          <t>2003/6等と入力して下さい。
2003年6月と表示されます。</t>
        </r>
      </text>
    </comment>
    <comment ref="B41" authorId="1">
      <text>
        <r>
          <rPr>
            <sz val="9"/>
            <color indexed="81"/>
            <rFont val="ＭＳ Ｐゴシック"/>
            <family val="3"/>
            <charset val="128"/>
          </rPr>
          <t>第３者による評価結果の確認などを行っている場合は記述する。</t>
        </r>
      </text>
    </comment>
    <comment ref="C41" authorId="0">
      <text>
        <r>
          <rPr>
            <sz val="9"/>
            <color indexed="81"/>
            <rFont val="ＭＳ Ｐゴシック"/>
            <family val="3"/>
            <charset val="128"/>
          </rPr>
          <t>2003/6等と入力して下さい。
2003年6月と表示されます。</t>
        </r>
      </text>
    </comment>
    <comment ref="F68" authorId="0">
      <text>
        <r>
          <rPr>
            <sz val="9"/>
            <color indexed="81"/>
            <rFont val="ＭＳ Ｐゴシック"/>
            <family val="3"/>
            <charset val="128"/>
          </rPr>
          <t>小数値(「0.9」など)で
比率を入力して下さい。</t>
        </r>
      </text>
    </comment>
    <comment ref="F69" author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author>
  </authors>
  <commentList>
    <comment ref="O126" authorId="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authors>
    <author xml:space="preserve"> </author>
  </authors>
  <commentList>
    <comment ref="E3" author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日建設計</author>
  </authors>
  <commentList>
    <comment ref="H132" authorId="0">
      <text>
        <r>
          <rPr>
            <b/>
            <sz val="10"/>
            <color indexed="81"/>
            <rFont val="ＭＳ Ｐゴシック"/>
            <family val="3"/>
            <charset val="128"/>
          </rPr>
          <t>500㎡未満の建物は直接入力により、レベル３を選択してください。</t>
        </r>
      </text>
    </comment>
    <comment ref="H185" authorId="0">
      <text>
        <r>
          <rPr>
            <b/>
            <sz val="10"/>
            <color indexed="81"/>
            <rFont val="ＭＳ Ｐゴシック"/>
            <family val="3"/>
            <charset val="128"/>
          </rPr>
          <t>レベル３は、直接入力より選択。
500㎡未満の建物は直接入力により、レベル３を選択してください。</t>
        </r>
      </text>
    </comment>
  </commentList>
</comments>
</file>

<file path=xl/comments5.xml><?xml version="1.0" encoding="utf-8"?>
<comments xmlns="http://schemas.openxmlformats.org/spreadsheetml/2006/main">
  <authors>
    <author>-</author>
  </authors>
  <commentList>
    <comment ref="F16" authorId="0">
      <text>
        <r>
          <rPr>
            <b/>
            <sz val="9"/>
            <color indexed="81"/>
            <rFont val="ＭＳ Ｐゴシック"/>
            <family val="3"/>
            <charset val="128"/>
          </rPr>
          <t>住宅部分と非住宅部分の床面積による加重平均（小数第2位で切捨）</t>
        </r>
      </text>
    </comment>
    <comment ref="F65" authorId="0">
      <text>
        <r>
          <rPr>
            <b/>
            <sz val="9"/>
            <color indexed="81"/>
            <rFont val="ＭＳ Ｐゴシック"/>
            <family val="3"/>
            <charset val="128"/>
          </rPr>
          <t>住宅部分と非住宅部分【実績値を用いた総合評価】の床面積による加重平均（小数第2位で切捨）</t>
        </r>
      </text>
    </comment>
    <comment ref="F74" authorId="0">
      <text>
        <r>
          <rPr>
            <b/>
            <sz val="9"/>
            <color indexed="81"/>
            <rFont val="ＭＳ Ｐゴシック"/>
            <family val="3"/>
            <charset val="128"/>
          </rPr>
          <t>専有部分と共用部分の床面積による加重平均（小数第２位で切捨）</t>
        </r>
      </text>
    </comment>
  </commentList>
</comments>
</file>

<file path=xl/comments6.xml><?xml version="1.0" encoding="utf-8"?>
<comments xmlns="http://schemas.openxmlformats.org/spreadsheetml/2006/main">
  <authors>
    <author>-</author>
  </authors>
  <commentList>
    <comment ref="H57" authorId="0">
      <text>
        <r>
          <rPr>
            <b/>
            <sz val="9"/>
            <color indexed="81"/>
            <rFont val="ＭＳ Ｐゴシック"/>
            <family val="3"/>
            <charset val="128"/>
          </rPr>
          <t>合計が１になるよう、住戸の大きさ各区分の面積比率を入力します。</t>
        </r>
      </text>
    </comment>
  </commentList>
</comments>
</file>

<file path=xl/comments7.xml><?xml version="1.0" encoding="utf-8"?>
<comments xmlns="http://schemas.openxmlformats.org/spreadsheetml/2006/main">
  <authors>
    <author>-</author>
    <author>Junko ENDO</author>
    <author>柳井　崇</author>
  </authors>
  <commentList>
    <comment ref="J8" authorId="0">
      <text>
        <r>
          <rPr>
            <b/>
            <sz val="9"/>
            <color indexed="81"/>
            <rFont val="ＭＳ Ｐゴシック"/>
            <family val="3"/>
            <charset val="128"/>
          </rPr>
          <t>以下のいずれかで算定
ア）330MJ/年×工場部分の床面積
イ）評価者による計算
ウ）実測値</t>
        </r>
      </text>
    </comment>
    <comment ref="I14" authorId="0">
      <text>
        <r>
          <rPr>
            <b/>
            <sz val="9"/>
            <color indexed="81"/>
            <rFont val="ＭＳ Ｐゴシック"/>
            <family val="3"/>
            <charset val="128"/>
          </rPr>
          <t>80％以上の場合、実績評価は対象外とする。</t>
        </r>
      </text>
    </comment>
    <comment ref="I15" authorId="0">
      <text>
        <r>
          <rPr>
            <b/>
            <sz val="9"/>
            <color indexed="81"/>
            <rFont val="ＭＳ Ｐゴシック"/>
            <family val="3"/>
            <charset val="128"/>
          </rPr>
          <t>各々20%以下であれば除外してよい。</t>
        </r>
      </text>
    </comment>
    <comment ref="H24" authorId="1">
      <text>
        <r>
          <rPr>
            <b/>
            <sz val="10"/>
            <color indexed="81"/>
            <rFont val="ＭＳ Ｐゴシック"/>
            <family val="3"/>
            <charset val="128"/>
          </rPr>
          <t>小数値（「0.9」など）で</t>
        </r>
        <r>
          <rPr>
            <b/>
            <sz val="10"/>
            <color indexed="10"/>
            <rFont val="ＭＳ Ｐゴシック"/>
            <family val="3"/>
            <charset val="128"/>
          </rPr>
          <t>比率を入力</t>
        </r>
        <r>
          <rPr>
            <b/>
            <sz val="10"/>
            <color indexed="81"/>
            <rFont val="ＭＳ Ｐゴシック"/>
            <family val="3"/>
            <charset val="128"/>
          </rPr>
          <t>します。メインシートの用途別面積を参考に、使用実態に合わせて入力してください。
（省エネ法の区分とはリンクしない）</t>
        </r>
      </text>
    </comment>
    <comment ref="H44" authorId="0">
      <text>
        <r>
          <rPr>
            <b/>
            <sz val="9"/>
            <color indexed="81"/>
            <rFont val="ＭＳ Ｐゴシック"/>
            <family val="3"/>
            <charset val="128"/>
          </rPr>
          <t>合計が1.0になるように比率を入力</t>
        </r>
      </text>
    </comment>
    <comment ref="I48" authorId="2">
      <text>
        <r>
          <rPr>
            <b/>
            <sz val="9"/>
            <color indexed="81"/>
            <rFont val="ＭＳ Ｐゴシック"/>
            <family val="3"/>
            <charset val="128"/>
          </rPr>
          <t>工場、集合住宅は除く</t>
        </r>
      </text>
    </comment>
  </commentList>
</comments>
</file>

<file path=xl/comments8.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<sst xmlns="http://schemas.openxmlformats.org/spreadsheetml/2006/main" count="7346" uniqueCount="3775">
  <si>
    <t>内装計画</t>
    <rPh sb="0" eb="2">
      <t>ナイソウ</t>
    </rPh>
    <rPh sb="2" eb="4">
      <t>ケイカク</t>
    </rPh>
    <phoneticPr fontId="21"/>
  </si>
  <si>
    <t>維持管理</t>
    <rPh sb="0" eb="2">
      <t>イジ</t>
    </rPh>
    <rPh sb="2" eb="4">
      <t>カンリ</t>
    </rPh>
    <phoneticPr fontId="21"/>
  </si>
  <si>
    <t>衛生管理業務</t>
    <rPh sb="0" eb="2">
      <t>エイセイ</t>
    </rPh>
    <rPh sb="2" eb="4">
      <t>カンリ</t>
    </rPh>
    <rPh sb="4" eb="6">
      <t>ギョウム</t>
    </rPh>
    <phoneticPr fontId="21"/>
  </si>
  <si>
    <t>耐用性・信頼性</t>
    <rPh sb="0" eb="3">
      <t>ﾀｲﾖｳｾｲ</t>
    </rPh>
    <rPh sb="4" eb="6">
      <t>ｼﾝﾗｲ</t>
    </rPh>
    <rPh sb="6" eb="7">
      <t>ｾｲ</t>
    </rPh>
    <phoneticPr fontId="34" type="noConversion"/>
  </si>
  <si>
    <t>リサイクル資材を用いていない。</t>
    <rPh sb="8" eb="9">
      <t>モチ</t>
    </rPh>
    <phoneticPr fontId="21"/>
  </si>
  <si>
    <t>リサイクル資材を１品目用いている。</t>
    <rPh sb="9" eb="11">
      <t>ヒンモク</t>
    </rPh>
    <rPh sb="11" eb="12">
      <t>モチ</t>
    </rPh>
    <phoneticPr fontId="21"/>
  </si>
  <si>
    <t>リサイクル資材を２品目用いている。</t>
    <rPh sb="9" eb="11">
      <t>ヒンモク</t>
    </rPh>
    <rPh sb="11" eb="12">
      <t>モチ</t>
    </rPh>
    <phoneticPr fontId="21"/>
  </si>
  <si>
    <t>リサイクル資材を３品目以上用いている。</t>
    <rPh sb="9" eb="11">
      <t>ヒンモク</t>
    </rPh>
    <rPh sb="11" eb="13">
      <t>イジョウ</t>
    </rPh>
    <rPh sb="13" eb="14">
      <t>モチ</t>
    </rPh>
    <phoneticPr fontId="21"/>
  </si>
  <si>
    <t>グリーン調達品目</t>
    <rPh sb="4" eb="6">
      <t>チョウタツ</t>
    </rPh>
    <rPh sb="6" eb="8">
      <t>ヒンモク</t>
    </rPh>
    <phoneticPr fontId="21"/>
  </si>
  <si>
    <t>建設汚泥再生処理土</t>
    <rPh sb="0" eb="2">
      <t>ケンセツ</t>
    </rPh>
    <rPh sb="2" eb="4">
      <t>オデイ</t>
    </rPh>
    <rPh sb="4" eb="6">
      <t>サイセイ</t>
    </rPh>
    <rPh sb="6" eb="8">
      <t>ショリ</t>
    </rPh>
    <rPh sb="8" eb="9">
      <t>ツチ</t>
    </rPh>
    <phoneticPr fontId="21"/>
  </si>
  <si>
    <t>土工用高炉水砕フラグ</t>
    <rPh sb="0" eb="2">
      <t>ドコウ</t>
    </rPh>
    <rPh sb="2" eb="3">
      <t>ヨウ</t>
    </rPh>
    <rPh sb="3" eb="5">
      <t>コウロ</t>
    </rPh>
    <rPh sb="5" eb="6">
      <t>ミズ</t>
    </rPh>
    <rPh sb="6" eb="7">
      <t>クダ</t>
    </rPh>
    <phoneticPr fontId="21"/>
  </si>
  <si>
    <t>銅スラグを用いたケーソン中詰め材</t>
    <rPh sb="0" eb="1">
      <t>ドウ</t>
    </rPh>
    <rPh sb="5" eb="6">
      <t>モチ</t>
    </rPh>
    <rPh sb="12" eb="13">
      <t>ナカ</t>
    </rPh>
    <rPh sb="13" eb="14">
      <t>ヅ</t>
    </rPh>
    <rPh sb="15" eb="16">
      <t>ザイ</t>
    </rPh>
    <phoneticPr fontId="21"/>
  </si>
  <si>
    <t>自動制御ブラインド等によりグレアを制御。</t>
    <rPh sb="9" eb="10">
      <t>トウ</t>
    </rPh>
    <phoneticPr fontId="21"/>
  </si>
  <si>
    <t>自然換気有効開口面積が居室床面積の1/20以上</t>
  </si>
  <si>
    <t>自然換気有効開口面積が居室床面積の1/15以上</t>
  </si>
  <si>
    <t>自然換気有効開口面積が居室床面積の1/10以上</t>
  </si>
  <si>
    <t>学（小中高）</t>
    <phoneticPr fontId="21"/>
  </si>
  <si>
    <t>事・学(大学)・工</t>
    <rPh sb="0" eb="1">
      <t>コト</t>
    </rPh>
    <rPh sb="2" eb="3">
      <t>ガク</t>
    </rPh>
    <rPh sb="4" eb="6">
      <t>ダイガク</t>
    </rPh>
    <rPh sb="8" eb="9">
      <t>コウ</t>
    </rPh>
    <phoneticPr fontId="21"/>
  </si>
  <si>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</si>
  <si>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</si>
  <si>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</si>
  <si>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1"/>
  </si>
  <si>
    <t>③　内装設計：床面は適度な水を使用して洗浄可能な設計・構造を採用している。</t>
    <phoneticPr fontId="21"/>
  </si>
  <si>
    <t>事・学(大学等)・物・飲・会・病・ホ・工・住</t>
    <rPh sb="4" eb="6">
      <t>ダイガク</t>
    </rPh>
    <rPh sb="6" eb="7">
      <t>トウ</t>
    </rPh>
    <phoneticPr fontId="21"/>
  </si>
  <si>
    <t>⑦災害などの停電時に飲料用等に使えるよう受水槽に水道の蛇口を設置している。</t>
    <phoneticPr fontId="21"/>
  </si>
  <si>
    <t>取組数</t>
    <rPh sb="0" eb="2">
      <t>トリクミ</t>
    </rPh>
    <rPh sb="2" eb="3">
      <t>スウ</t>
    </rPh>
    <phoneticPr fontId="21"/>
  </si>
  <si>
    <t>①非常用発電設備を備えている。</t>
    <phoneticPr fontId="21"/>
  </si>
  <si>
    <t>事・学・物・飲・会・病・ホ・工・住</t>
    <phoneticPr fontId="21"/>
  </si>
  <si>
    <t>事・学・物・飲・会・病・ホ・工・住【&lt;2000㎡】</t>
    <phoneticPr fontId="21"/>
  </si>
  <si>
    <t>③重要設備系の受電設備の二重化を行っている。</t>
    <phoneticPr fontId="21"/>
  </si>
  <si>
    <t>⑤電源車接続時に利用可能な用の照明等の配線が設置されている。</t>
    <phoneticPr fontId="21"/>
  </si>
  <si>
    <t>⑥異なる変電所からの引き込みを二重化している。</t>
    <phoneticPr fontId="21"/>
  </si>
  <si>
    <t>事・学・物・飲・会・病・ホ・工・住</t>
    <rPh sb="0" eb="1">
      <t>ジ</t>
    </rPh>
    <rPh sb="2" eb="3">
      <t>ガク</t>
    </rPh>
    <rPh sb="4" eb="5">
      <t>モノ</t>
    </rPh>
    <rPh sb="6" eb="7">
      <t>オン</t>
    </rPh>
    <rPh sb="8" eb="9">
      <t>カイ</t>
    </rPh>
    <rPh sb="10" eb="11">
      <t>ヤマイ</t>
    </rPh>
    <rPh sb="14" eb="15">
      <t>コウ</t>
    </rPh>
    <rPh sb="16" eb="17">
      <t>スミ</t>
    </rPh>
    <phoneticPr fontId="21"/>
  </si>
  <si>
    <t>事・学・物・飲・会・病・ホ・工・住【&lt;2000㎡】</t>
    <rPh sb="0" eb="1">
      <t>ジ</t>
    </rPh>
    <rPh sb="2" eb="3">
      <t>ガク</t>
    </rPh>
    <rPh sb="4" eb="5">
      <t>モノ</t>
    </rPh>
    <rPh sb="6" eb="7">
      <t>オン</t>
    </rPh>
    <rPh sb="8" eb="9">
      <t>カイ</t>
    </rPh>
    <rPh sb="10" eb="11">
      <t>ヤマイ</t>
    </rPh>
    <rPh sb="14" eb="15">
      <t>コウ</t>
    </rPh>
    <rPh sb="16" eb="17">
      <t>スミ</t>
    </rPh>
    <phoneticPr fontId="21"/>
  </si>
  <si>
    <t>⑤災害時にケーブルTV などにより災害情報が入手できる。</t>
    <phoneticPr fontId="21"/>
  </si>
  <si>
    <t>⑥ネットワーク機器用に無停電装置が設備されている。</t>
    <phoneticPr fontId="21"/>
  </si>
  <si>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1"/>
  </si>
  <si>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1"/>
  </si>
  <si>
    <t>躯体材料以外におけるリサイクル材の使用</t>
    <rPh sb="0" eb="2">
      <t>クタイ</t>
    </rPh>
    <rPh sb="2" eb="4">
      <t>ザイリョウ</t>
    </rPh>
    <rPh sb="4" eb="6">
      <t>イガイ</t>
    </rPh>
    <rPh sb="15" eb="16">
      <t>ザイ</t>
    </rPh>
    <rPh sb="17" eb="19">
      <t>シヨウ</t>
    </rPh>
    <phoneticPr fontId="21"/>
  </si>
  <si>
    <t>再利用できるユニット部材を用いている。</t>
    <phoneticPr fontId="21"/>
  </si>
  <si>
    <t>１地域</t>
    <rPh sb="1" eb="3">
      <t>チイキ</t>
    </rPh>
    <phoneticPr fontId="21"/>
  </si>
  <si>
    <t>２地域</t>
    <rPh sb="1" eb="3">
      <t>チイキ</t>
    </rPh>
    <phoneticPr fontId="21"/>
  </si>
  <si>
    <t>３地域</t>
    <rPh sb="1" eb="3">
      <t>チイキ</t>
    </rPh>
    <phoneticPr fontId="21"/>
  </si>
  <si>
    <t>４地域</t>
    <rPh sb="1" eb="3">
      <t>チイキ</t>
    </rPh>
    <phoneticPr fontId="21"/>
  </si>
  <si>
    <t>５地域</t>
    <rPh sb="1" eb="3">
      <t>チイキ</t>
    </rPh>
    <phoneticPr fontId="21"/>
  </si>
  <si>
    <t>６地域</t>
    <rPh sb="1" eb="3">
      <t>チイキ</t>
    </rPh>
    <phoneticPr fontId="21"/>
  </si>
  <si>
    <t>７地域</t>
    <rPh sb="1" eb="3">
      <t>チイキ</t>
    </rPh>
    <phoneticPr fontId="21"/>
  </si>
  <si>
    <t>８地域</t>
    <rPh sb="1" eb="3">
      <t>チイキ</t>
    </rPh>
    <phoneticPr fontId="21"/>
  </si>
  <si>
    <t>９地域</t>
    <rPh sb="1" eb="3">
      <t>チイキ</t>
    </rPh>
    <phoneticPr fontId="21"/>
  </si>
  <si>
    <t>自然エネルギー直接利用量</t>
    <rPh sb="0" eb="2">
      <t>シゼン</t>
    </rPh>
    <rPh sb="7" eb="9">
      <t>チョクセツ</t>
    </rPh>
    <rPh sb="9" eb="11">
      <t>リヨウ</t>
    </rPh>
    <rPh sb="11" eb="12">
      <t>リョウ</t>
    </rPh>
    <phoneticPr fontId="21"/>
  </si>
  <si>
    <t>MＪ／年㎡　（変換利用量は含まない）</t>
    <rPh sb="7" eb="9">
      <t>ヘンカン</t>
    </rPh>
    <rPh sb="9" eb="11">
      <t>リヨウ</t>
    </rPh>
    <rPh sb="11" eb="12">
      <t>リョウ</t>
    </rPh>
    <rPh sb="13" eb="14">
      <t>フク</t>
    </rPh>
    <phoneticPr fontId="21"/>
  </si>
  <si>
    <t>屋上（屋根）・外壁仕上げ材の更新</t>
    <rPh sb="0" eb="2">
      <t>オクジョウ</t>
    </rPh>
    <rPh sb="3" eb="5">
      <t>ヤネ</t>
    </rPh>
    <rPh sb="7" eb="9">
      <t>ガイヘキ</t>
    </rPh>
    <rPh sb="9" eb="11">
      <t>シア</t>
    </rPh>
    <rPh sb="12" eb="13">
      <t>ザイ</t>
    </rPh>
    <rPh sb="14" eb="16">
      <t>コウシン</t>
    </rPh>
    <phoneticPr fontId="21"/>
  </si>
  <si>
    <t>配管・配線材の更新</t>
    <rPh sb="0" eb="2">
      <t>ハイカン</t>
    </rPh>
    <rPh sb="3" eb="5">
      <t>ハイセン</t>
    </rPh>
    <rPh sb="5" eb="6">
      <t>ザイ</t>
    </rPh>
    <rPh sb="7" eb="9">
      <t>コウシン</t>
    </rPh>
    <phoneticPr fontId="21"/>
  </si>
  <si>
    <t>信頼性</t>
    <rPh sb="0" eb="3">
      <t>シンライセイ</t>
    </rPh>
    <phoneticPr fontId="21"/>
  </si>
  <si>
    <t>空調・換気設備</t>
    <rPh sb="0" eb="2">
      <t>クウチョウ</t>
    </rPh>
    <rPh sb="3" eb="5">
      <t>カンキ</t>
    </rPh>
    <rPh sb="5" eb="7">
      <t>セツビ</t>
    </rPh>
    <phoneticPr fontId="21"/>
  </si>
  <si>
    <t>給排水・衛生設備</t>
    <rPh sb="0" eb="3">
      <t>キュウハイスイ</t>
    </rPh>
    <rPh sb="4" eb="6">
      <t>エイセイ</t>
    </rPh>
    <rPh sb="6" eb="8">
      <t>セツビ</t>
    </rPh>
    <phoneticPr fontId="21"/>
  </si>
  <si>
    <t>電気設備</t>
    <rPh sb="0" eb="2">
      <t>デンキ</t>
    </rPh>
    <rPh sb="2" eb="4">
      <t>セツビ</t>
    </rPh>
    <phoneticPr fontId="21"/>
  </si>
  <si>
    <t>地域性・文化</t>
    <rPh sb="0" eb="3">
      <t>チイキセイ</t>
    </rPh>
    <rPh sb="4" eb="6">
      <t>ブンカ</t>
    </rPh>
    <phoneticPr fontId="21"/>
  </si>
  <si>
    <t>空気質環境</t>
    <rPh sb="3" eb="5">
      <t>カンキョウ</t>
    </rPh>
    <phoneticPr fontId="21"/>
  </si>
  <si>
    <t>LR-2 資源ﾏﾃﾘｱﾙ</t>
    <rPh sb="5" eb="7">
      <t>シゲン</t>
    </rPh>
    <phoneticPr fontId="21"/>
  </si>
  <si>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1"/>
  </si>
  <si>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1"/>
  </si>
  <si>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1"/>
  </si>
  <si>
    <t>振動規制法に定める現行の規制基準*1より大幅*2に抑えられている</t>
    <phoneticPr fontId="21"/>
  </si>
  <si>
    <t>事・学・物・飲・会・病・ホ・工・住</t>
    <phoneticPr fontId="21"/>
  </si>
  <si>
    <t>フライアッシュセメント</t>
    <phoneticPr fontId="21"/>
  </si>
  <si>
    <t>エコセメント</t>
    <phoneticPr fontId="21"/>
  </si>
  <si>
    <t>高炉セメント</t>
    <rPh sb="0" eb="2">
      <t>コウロ</t>
    </rPh>
    <phoneticPr fontId="21"/>
  </si>
  <si>
    <t>・グリーン購入法特定調達物品情報提供システム　（http://www.env.go.jp/policy/hozen/green/g-law/gpl-db/index.html）</t>
    <phoneticPr fontId="21"/>
  </si>
  <si>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1"/>
  </si>
  <si>
    <t>陶磁器質タイル</t>
    <rPh sb="0" eb="3">
      <t>トウジキ</t>
    </rPh>
    <rPh sb="3" eb="4">
      <t>シツ</t>
    </rPh>
    <phoneticPr fontId="21"/>
  </si>
  <si>
    <t>再生加熱アスファルト混合物</t>
    <rPh sb="0" eb="2">
      <t>サイセイ</t>
    </rPh>
    <rPh sb="2" eb="4">
      <t>カネツ</t>
    </rPh>
    <rPh sb="10" eb="12">
      <t>コンゴウ</t>
    </rPh>
    <rPh sb="12" eb="13">
      <t>ブツ</t>
    </rPh>
    <phoneticPr fontId="21"/>
  </si>
  <si>
    <t>合板</t>
  </si>
  <si>
    <t>鉄鋼スラグ混入アスファルト混合物</t>
    <rPh sb="0" eb="2">
      <t>テッコウ</t>
    </rPh>
    <rPh sb="5" eb="7">
      <t>コンニュウ</t>
    </rPh>
    <rPh sb="13" eb="15">
      <t>コンゴウ</t>
    </rPh>
    <rPh sb="15" eb="16">
      <t>ブツ</t>
    </rPh>
    <phoneticPr fontId="21"/>
  </si>
  <si>
    <t>単板積層材</t>
  </si>
  <si>
    <t>フローリング</t>
  </si>
  <si>
    <t>パーティクルボード</t>
    <phoneticPr fontId="21"/>
  </si>
  <si>
    <t>鉄鋼ズラグブロック</t>
    <phoneticPr fontId="21"/>
  </si>
  <si>
    <t>フライアッシュを用いた吹付けコンクリート</t>
    <rPh sb="8" eb="9">
      <t>モチ</t>
    </rPh>
    <rPh sb="11" eb="13">
      <t>フキツ</t>
    </rPh>
    <phoneticPr fontId="21"/>
  </si>
  <si>
    <t>ビニル系床材</t>
    <phoneticPr fontId="21"/>
  </si>
  <si>
    <t>エコマークを取得したタイル・ブロック（エコマーク商品類型109）</t>
    <phoneticPr fontId="21"/>
  </si>
  <si>
    <t>ボード</t>
    <phoneticPr fontId="21"/>
  </si>
  <si>
    <t>屋内用品（壁材などの内装材））</t>
    <phoneticPr fontId="21"/>
  </si>
  <si>
    <t>壁紙</t>
    <phoneticPr fontId="21"/>
  </si>
  <si>
    <t>フリーアクセスフロア</t>
    <phoneticPr fontId="21"/>
  </si>
  <si>
    <t>・グリーン購入法特定調達物品情報提供システム　（http://www.env.go.jp/policy/hozen/green/g-law/gpl-db/index.html）</t>
    <phoneticPr fontId="21"/>
  </si>
  <si>
    <t>事・学・物・飲・会・病・ホ・住・工</t>
    <rPh sb="0" eb="1">
      <t>コト</t>
    </rPh>
    <rPh sb="2" eb="3">
      <t>ガク</t>
    </rPh>
    <rPh sb="4" eb="5">
      <t>モノ</t>
    </rPh>
    <rPh sb="6" eb="7">
      <t>ノ</t>
    </rPh>
    <rPh sb="8" eb="9">
      <t>カイ</t>
    </rPh>
    <rPh sb="10" eb="11">
      <t>ヤマイ</t>
    </rPh>
    <rPh sb="14" eb="15">
      <t>ジュウ</t>
    </rPh>
    <rPh sb="16" eb="17">
      <t>コウ</t>
    </rPh>
    <phoneticPr fontId="21"/>
  </si>
  <si>
    <t/>
  </si>
  <si>
    <r>
      <t xml:space="preserve">3.3.4 </t>
    </r>
    <r>
      <rPr>
        <b/>
        <sz val="10"/>
        <rFont val="ＭＳ Ｐゴシック"/>
        <family val="3"/>
        <charset val="128"/>
      </rPr>
      <t>通信配線の更新性</t>
    </r>
    <phoneticPr fontId="21"/>
  </si>
  <si>
    <t>構造部材を痛めることなく電気配線の更新・修繕ができる。</t>
    <phoneticPr fontId="21"/>
  </si>
  <si>
    <t>構造部材を痛めることなく通信配線の更新・修繕ができる。</t>
    <phoneticPr fontId="21"/>
  </si>
  <si>
    <t xml:space="preserve"> </t>
    <phoneticPr fontId="21"/>
  </si>
  <si>
    <t>⑪　天井隠蔽機器の点検口は600mm×600mm以上としている。</t>
    <phoneticPr fontId="21"/>
  </si>
  <si>
    <t>非住宅部分</t>
    <rPh sb="0" eb="1">
      <t>ヒ</t>
    </rPh>
    <rPh sb="1" eb="3">
      <t>ジュウタク</t>
    </rPh>
    <rPh sb="3" eb="5">
      <t>ブブン</t>
    </rPh>
    <phoneticPr fontId="21"/>
  </si>
  <si>
    <t>効率的な運用低減率</t>
    <rPh sb="0" eb="2">
      <t>コウリツ</t>
    </rPh>
    <rPh sb="2" eb="3">
      <t>テキ</t>
    </rPh>
    <rPh sb="4" eb="6">
      <t>ウンヨウ</t>
    </rPh>
    <rPh sb="6" eb="8">
      <t>テイゲン</t>
    </rPh>
    <rPh sb="8" eb="9">
      <t>リツ</t>
    </rPh>
    <phoneticPr fontId="21"/>
  </si>
  <si>
    <t>(GJ/年）</t>
    <rPh sb="4" eb="5">
      <t>ネン</t>
    </rPh>
    <phoneticPr fontId="21"/>
  </si>
  <si>
    <t>削減分</t>
    <rPh sb="0" eb="2">
      <t>サクゲン</t>
    </rPh>
    <rPh sb="2" eb="3">
      <t>ブン</t>
    </rPh>
    <phoneticPr fontId="21"/>
  </si>
  <si>
    <t>専有部（全戸合計）</t>
    <rPh sb="0" eb="2">
      <t>センユウ</t>
    </rPh>
    <rPh sb="2" eb="3">
      <t>ブ</t>
    </rPh>
    <rPh sb="4" eb="6">
      <t>ゼンコ</t>
    </rPh>
    <rPh sb="6" eb="8">
      <t>ゴウケイ</t>
    </rPh>
    <phoneticPr fontId="21"/>
  </si>
  <si>
    <t>　　③オンサイトの取組で評価するエネルギー消費削減量（太陽光発電分等）を足し戻した一次エネルギー量</t>
    <rPh sb="36" eb="37">
      <t>タ</t>
    </rPh>
    <rPh sb="38" eb="39">
      <t>モド</t>
    </rPh>
    <rPh sb="41" eb="43">
      <t>イチジ</t>
    </rPh>
    <rPh sb="48" eb="49">
      <t>リョウ</t>
    </rPh>
    <phoneticPr fontId="21"/>
  </si>
  <si>
    <t>→</t>
    <phoneticPr fontId="21"/>
  </si>
  <si>
    <t>II 空間・施設機能の提供による地域
貢献</t>
    <phoneticPr fontId="21"/>
  </si>
  <si>
    <t>1～2</t>
    <phoneticPr fontId="21"/>
  </si>
  <si>
    <t>広告物照明について「広告物照明の扱い」の配慮事項の一部を満たしている。（1ポイント）</t>
    <phoneticPr fontId="21"/>
  </si>
  <si>
    <r>
      <t>3.3.2</t>
    </r>
    <r>
      <rPr>
        <b/>
        <sz val="10"/>
        <rFont val="ＭＳ Ｐゴシック"/>
        <family val="3"/>
        <charset val="128"/>
      </rPr>
      <t>　昼光の建物外壁による反射光（グレア）への対策</t>
    </r>
    <phoneticPr fontId="21"/>
  </si>
  <si>
    <t>消火剤</t>
    <rPh sb="0" eb="3">
      <t>ショウカザイ</t>
    </rPh>
    <phoneticPr fontId="21"/>
  </si>
  <si>
    <t>発泡剤（断熱材等）</t>
    <rPh sb="0" eb="2">
      <t>ハッポウ</t>
    </rPh>
    <rPh sb="2" eb="3">
      <t>ザイ</t>
    </rPh>
    <rPh sb="4" eb="7">
      <t>ダンネツザイ</t>
    </rPh>
    <rPh sb="7" eb="8">
      <t>トウ</t>
    </rPh>
    <phoneticPr fontId="21"/>
  </si>
  <si>
    <t>冷媒</t>
    <rPh sb="0" eb="2">
      <t>レイバイ</t>
    </rPh>
    <phoneticPr fontId="21"/>
  </si>
  <si>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</si>
  <si>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</si>
  <si>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</si>
  <si>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</si>
  <si>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</si>
  <si>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</si>
  <si>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</si>
  <si>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</si>
  <si>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</si>
  <si>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</si>
  <si>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</si>
  <si>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</si>
  <si>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1"/>
  </si>
  <si>
    <t xml:space="preserve"> Q3 3</t>
  </si>
  <si>
    <t xml:space="preserve"> </t>
  </si>
  <si>
    <t>建築物の環境負荷低減性</t>
    <rPh sb="0" eb="3">
      <t>ケンチクブツ</t>
    </rPh>
    <rPh sb="4" eb="6">
      <t>カンキョウ</t>
    </rPh>
    <rPh sb="6" eb="8">
      <t>フカ</t>
    </rPh>
    <rPh sb="8" eb="10">
      <t>テイゲン</t>
    </rPh>
    <rPh sb="10" eb="11">
      <t>セイ</t>
    </rPh>
    <phoneticPr fontId="21"/>
  </si>
  <si>
    <t>LR</t>
  </si>
  <si>
    <t>LR1 2</t>
  </si>
  <si>
    <t>LR1 4</t>
  </si>
  <si>
    <t>LR2 1</t>
  </si>
  <si>
    <t>雨水利用・雑排水再利用</t>
    <rPh sb="0" eb="2">
      <t>ｳｽｲ</t>
    </rPh>
    <rPh sb="2" eb="4">
      <t>ﾘﾖｳ</t>
    </rPh>
    <rPh sb="5" eb="8">
      <t>ｻﾞﾂﾊｲｽｲ</t>
    </rPh>
    <rPh sb="8" eb="9">
      <t>ｻｲ</t>
    </rPh>
    <rPh sb="9" eb="11">
      <t>ﾘﾖｳ</t>
    </rPh>
    <phoneticPr fontId="34"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</si>
  <si>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</si>
  <si>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</si>
  <si>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</si>
  <si>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</si>
  <si>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</si>
  <si>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1"/>
  </si>
  <si>
    <r>
      <t>kg-CO</t>
    </r>
    <r>
      <rPr>
        <vertAlign val="subscript"/>
        <sz val="10"/>
        <rFont val="ＭＳ Ｐゴシック"/>
        <family val="3"/>
        <charset val="128"/>
      </rPr>
      <t>2</t>
    </r>
    <r>
      <rPr>
        <sz val="10"/>
        <rFont val="ＭＳ Ｐゴシック"/>
        <family val="3"/>
        <charset val="128"/>
      </rPr>
      <t>/ｋWh</t>
    </r>
    <phoneticPr fontId="21"/>
  </si>
  <si>
    <t>ガス</t>
    <phoneticPr fontId="21"/>
  </si>
  <si>
    <r>
      <t>kg-CO</t>
    </r>
    <r>
      <rPr>
        <vertAlign val="superscript"/>
        <sz val="10"/>
        <rFont val="ＭＳ Ｐゴシック"/>
        <family val="3"/>
        <charset val="128"/>
      </rPr>
      <t>2</t>
    </r>
    <r>
      <rPr>
        <sz val="10"/>
        <rFont val="ＭＳ Ｐゴシック"/>
        <family val="3"/>
        <charset val="128"/>
      </rPr>
      <t>/MJ</t>
    </r>
    <phoneticPr fontId="21"/>
  </si>
  <si>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1"/>
  </si>
  <si>
    <t>バウンダリー</t>
    <phoneticPr fontId="21"/>
  </si>
  <si>
    <t>○○　</t>
    <phoneticPr fontId="21"/>
  </si>
  <si>
    <t>〃</t>
    <phoneticPr fontId="21"/>
  </si>
  <si>
    <t>○○</t>
    <phoneticPr fontId="21"/>
  </si>
  <si>
    <t>○○</t>
    <phoneticPr fontId="21"/>
  </si>
  <si>
    <t>○○</t>
    <phoneticPr fontId="21"/>
  </si>
  <si>
    <t>○○</t>
    <phoneticPr fontId="21"/>
  </si>
  <si>
    <t>○○</t>
    <phoneticPr fontId="21"/>
  </si>
  <si>
    <t>修繕・更新・</t>
    <phoneticPr fontId="21"/>
  </si>
  <si>
    <t>③上記+②以外の
　オンサイト手法</t>
    <phoneticPr fontId="21"/>
  </si>
  <si>
    <t>－</t>
    <phoneticPr fontId="21"/>
  </si>
  <si>
    <t>外気冷房効果</t>
  </si>
  <si>
    <t>無音室</t>
    <rPh sb="0" eb="2">
      <t>ムオン</t>
    </rPh>
    <rPh sb="2" eb="3">
      <t>シツ</t>
    </rPh>
    <phoneticPr fontId="21"/>
  </si>
  <si>
    <t>主調整室</t>
    <rPh sb="0" eb="1">
      <t>シュ</t>
    </rPh>
    <rPh sb="1" eb="4">
      <t>チョウセイシツ</t>
    </rPh>
    <phoneticPr fontId="21"/>
  </si>
  <si>
    <t>一般事務室</t>
    <rPh sb="0" eb="2">
      <t>イッパン</t>
    </rPh>
    <rPh sb="2" eb="5">
      <t>ジムシツ</t>
    </rPh>
    <phoneticPr fontId="21"/>
  </si>
  <si>
    <t>集会・ホール</t>
    <rPh sb="0" eb="2">
      <t>シュウカイ</t>
    </rPh>
    <phoneticPr fontId="21"/>
  </si>
  <si>
    <t>音楽堂</t>
    <rPh sb="0" eb="3">
      <t>オンガクドウ</t>
    </rPh>
    <phoneticPr fontId="21"/>
  </si>
  <si>
    <t>劇場（中）</t>
    <rPh sb="0" eb="2">
      <t>ゲキジョウ</t>
    </rPh>
    <rPh sb="3" eb="4">
      <t>チュウ</t>
    </rPh>
    <phoneticPr fontId="21"/>
  </si>
  <si>
    <t>舞台劇場</t>
    <rPh sb="0" eb="2">
      <t>ブタイ</t>
    </rPh>
    <rPh sb="2" eb="4">
      <t>ゲキジョウ</t>
    </rPh>
    <phoneticPr fontId="21"/>
  </si>
  <si>
    <t>映画館・プラネタリウム</t>
    <rPh sb="0" eb="3">
      <t>エイガカン</t>
    </rPh>
    <phoneticPr fontId="21"/>
  </si>
  <si>
    <t>聴力試験室</t>
    <rPh sb="0" eb="2">
      <t>チョウリョク</t>
    </rPh>
    <rPh sb="2" eb="4">
      <t>シケン</t>
    </rPh>
    <rPh sb="4" eb="5">
      <t>シツ</t>
    </rPh>
    <phoneticPr fontId="21"/>
  </si>
  <si>
    <t>特別病室</t>
    <rPh sb="0" eb="2">
      <t>トクベツ</t>
    </rPh>
    <rPh sb="2" eb="4">
      <t>ビョウシツ</t>
    </rPh>
    <phoneticPr fontId="21"/>
  </si>
  <si>
    <t>排出係数の設定</t>
    <rPh sb="0" eb="2">
      <t>ハイシュツ</t>
    </rPh>
    <rPh sb="2" eb="4">
      <t>ケイスウ</t>
    </rPh>
    <rPh sb="5" eb="7">
      <t>セッテイ</t>
    </rPh>
    <phoneticPr fontId="21"/>
  </si>
  <si>
    <t>(該当するレベルなし)</t>
    <rPh sb="1" eb="3">
      <t>ガイトウ</t>
    </rPh>
    <phoneticPr fontId="21"/>
  </si>
  <si>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</si>
  <si>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1"/>
  </si>
  <si>
    <t>化学物質排出把握管理促進法の対象物質を含有しない建材種別が4つ以上ある。</t>
    <rPh sb="31" eb="33">
      <t>イジョウ</t>
    </rPh>
    <phoneticPr fontId="21"/>
  </si>
  <si>
    <t>評価対象とする建材種別</t>
    <rPh sb="0" eb="2">
      <t>ヒョウカ</t>
    </rPh>
    <rPh sb="2" eb="4">
      <t>タイショウ</t>
    </rPh>
    <rPh sb="9" eb="11">
      <t>シュベツ</t>
    </rPh>
    <phoneticPr fontId="21"/>
  </si>
  <si>
    <t>指定化学物質の含有</t>
    <rPh sb="0" eb="2">
      <t>シテイ</t>
    </rPh>
    <rPh sb="2" eb="4">
      <t>カガク</t>
    </rPh>
    <rPh sb="4" eb="6">
      <t>ブッシツ</t>
    </rPh>
    <phoneticPr fontId="21"/>
  </si>
  <si>
    <t>分類</t>
    <rPh sb="0" eb="2">
      <t>ブンルイ</t>
    </rPh>
    <phoneticPr fontId="21"/>
  </si>
  <si>
    <t>代替値</t>
    <phoneticPr fontId="21"/>
  </si>
  <si>
    <t>根拠等</t>
    <rPh sb="0" eb="2">
      <t>コンキョ</t>
    </rPh>
    <rPh sb="2" eb="3">
      <t>トウ</t>
    </rPh>
    <phoneticPr fontId="21"/>
  </si>
  <si>
    <r>
      <t xml:space="preserve"> [</t>
    </r>
    <r>
      <rPr>
        <sz val="11"/>
        <rFont val="ＭＳ Ｐゴシック"/>
        <family val="3"/>
        <charset val="128"/>
      </rPr>
      <t>2</t>
    </r>
    <r>
      <rPr>
        <sz val="11"/>
        <rFont val="ＭＳ Ｐゴシック"/>
        <family val="3"/>
        <charset val="128"/>
      </rPr>
      <t>]代替値</t>
    </r>
    <rPh sb="4" eb="6">
      <t>ダイタイ</t>
    </rPh>
    <rPh sb="6" eb="7">
      <t>チ</t>
    </rPh>
    <phoneticPr fontId="21"/>
  </si>
  <si>
    <t>降順並び替え</t>
    <rPh sb="0" eb="2">
      <t>コウジュン</t>
    </rPh>
    <rPh sb="2" eb="3">
      <t>ナラ</t>
    </rPh>
    <rPh sb="4" eb="5">
      <t>カ</t>
    </rPh>
    <phoneticPr fontId="21"/>
  </si>
  <si>
    <t>レベル２を満たさない。</t>
    <phoneticPr fontId="21"/>
  </si>
  <si>
    <t>学（小中高）</t>
    <phoneticPr fontId="21"/>
  </si>
  <si>
    <t>レベル３を満たさない。</t>
    <phoneticPr fontId="21"/>
  </si>
  <si>
    <t>-</t>
    <phoneticPr fontId="21"/>
  </si>
  <si>
    <t>［ダニ又はダニアレルゲン］≦１００匹／㎡</t>
    <phoneticPr fontId="21"/>
  </si>
  <si>
    <t>採点</t>
    <rPh sb="0" eb="2">
      <t>サイテン</t>
    </rPh>
    <phoneticPr fontId="21"/>
  </si>
  <si>
    <t>既存はなし</t>
    <rPh sb="0" eb="2">
      <t>キソン</t>
    </rPh>
    <phoneticPr fontId="21"/>
  </si>
  <si>
    <t>1～3</t>
  </si>
  <si>
    <t>1～2</t>
  </si>
  <si>
    <t>まちなみ・景観への配慮</t>
  </si>
  <si>
    <t>地域性・アメニティへの配慮</t>
  </si>
  <si>
    <t>ホテルo</t>
    <phoneticPr fontId="21"/>
  </si>
  <si>
    <t>集合住宅o</t>
    <phoneticPr fontId="21"/>
  </si>
  <si>
    <t>延面積比率</t>
    <phoneticPr fontId="21"/>
  </si>
  <si>
    <t>Q</t>
    <phoneticPr fontId="21"/>
  </si>
  <si>
    <t xml:space="preserve"> Q</t>
    <phoneticPr fontId="21"/>
  </si>
  <si>
    <t>Q</t>
    <phoneticPr fontId="21"/>
  </si>
  <si>
    <t>建築物の環境品質</t>
    <phoneticPr fontId="21"/>
  </si>
  <si>
    <t>Q1</t>
    <phoneticPr fontId="34" type="noConversion"/>
  </si>
  <si>
    <t>室内環境</t>
    <phoneticPr fontId="21"/>
  </si>
  <si>
    <t>騒音</t>
    <phoneticPr fontId="21"/>
  </si>
  <si>
    <t>1.2.1</t>
    <phoneticPr fontId="21"/>
  </si>
  <si>
    <t>開口部遮音性能</t>
    <phoneticPr fontId="21"/>
  </si>
  <si>
    <t>1.2.2</t>
    <phoneticPr fontId="21"/>
  </si>
  <si>
    <t>1.2.3</t>
    <phoneticPr fontId="21"/>
  </si>
  <si>
    <t>1.2.4</t>
    <phoneticPr fontId="21"/>
  </si>
  <si>
    <t>2.1.1</t>
    <phoneticPr fontId="21"/>
  </si>
  <si>
    <t>2.3.1</t>
    <phoneticPr fontId="21"/>
  </si>
  <si>
    <t>2.3.1</t>
    <phoneticPr fontId="21"/>
  </si>
  <si>
    <t>2.3.2</t>
    <phoneticPr fontId="21"/>
  </si>
  <si>
    <t>2.3.2</t>
    <phoneticPr fontId="21"/>
  </si>
  <si>
    <t>時間外空調に対する配慮</t>
    <rPh sb="0" eb="3">
      <t>ジカンガイ</t>
    </rPh>
    <rPh sb="3" eb="5">
      <t>クウチョウ</t>
    </rPh>
    <rPh sb="6" eb="7">
      <t>タイ</t>
    </rPh>
    <rPh sb="9" eb="11">
      <t>ハイリョ</t>
    </rPh>
    <phoneticPr fontId="21"/>
  </si>
  <si>
    <t>監視システム</t>
    <rPh sb="0" eb="2">
      <t>カンシ</t>
    </rPh>
    <phoneticPr fontId="21"/>
  </si>
  <si>
    <t>湿度制御</t>
    <rPh sb="0" eb="2">
      <t>ｼﾂﾄﾞ</t>
    </rPh>
    <rPh sb="2" eb="4">
      <t>ｾｲｷﾞｮ</t>
    </rPh>
    <phoneticPr fontId="34" type="noConversion"/>
  </si>
  <si>
    <t>空調方式</t>
    <rPh sb="0" eb="2">
      <t>クウチョウ</t>
    </rPh>
    <rPh sb="2" eb="4">
      <t>ホウシキ</t>
    </rPh>
    <phoneticPr fontId="21"/>
  </si>
  <si>
    <t>上下温度差</t>
    <rPh sb="0" eb="2">
      <t>ジョウゲ</t>
    </rPh>
    <rPh sb="2" eb="5">
      <t>オンドサ</t>
    </rPh>
    <phoneticPr fontId="21"/>
  </si>
  <si>
    <t>病・ホ・住</t>
    <phoneticPr fontId="21"/>
  </si>
  <si>
    <t>0.7≦　[壁長さ比率]</t>
    <phoneticPr fontId="21"/>
  </si>
  <si>
    <t>0.5≦　[壁長さ比率] ＜0.7</t>
    <phoneticPr fontId="21"/>
  </si>
  <si>
    <t>0.3≦　[壁長さ比率] ＜0.5</t>
    <phoneticPr fontId="21"/>
  </si>
  <si>
    <t>0.1≦　[壁長さ比率] ＜0.3</t>
    <phoneticPr fontId="21"/>
  </si>
  <si>
    <t xml:space="preserve"> [壁長さ比率] ＜0.1</t>
    <phoneticPr fontId="21"/>
  </si>
  <si>
    <t>外周壁の長さ（ｍ）＋耐力壁の長さ（ｍ）</t>
    <phoneticPr fontId="21"/>
  </si>
  <si>
    <t>専用面積（㎡）</t>
    <phoneticPr fontId="21"/>
  </si>
  <si>
    <r>
      <t xml:space="preserve">3.3.1 </t>
    </r>
    <r>
      <rPr>
        <b/>
        <sz val="10"/>
        <rFont val="ＭＳ Ｐゴシック"/>
        <family val="3"/>
        <charset val="128"/>
      </rPr>
      <t>空調配管の更新性</t>
    </r>
    <phoneticPr fontId="21"/>
  </si>
  <si>
    <r>
      <t xml:space="preserve">3.3.2 </t>
    </r>
    <r>
      <rPr>
        <b/>
        <sz val="10"/>
        <rFont val="ＭＳ Ｐゴシック"/>
        <family val="3"/>
        <charset val="128"/>
      </rPr>
      <t>給排水管の更新性</t>
    </r>
    <phoneticPr fontId="21"/>
  </si>
  <si>
    <t>2.1.7 時間外空調に対する配慮</t>
    <phoneticPr fontId="21"/>
  </si>
  <si>
    <t>建物全体・共用部分</t>
    <phoneticPr fontId="21"/>
  </si>
  <si>
    <t>型　枠</t>
    <rPh sb="0" eb="1">
      <t>カタ</t>
    </rPh>
    <rPh sb="2" eb="3">
      <t>ワク</t>
    </rPh>
    <phoneticPr fontId="21"/>
  </si>
  <si>
    <t>主要なリサイクル建材と利用利率</t>
    <rPh sb="0" eb="2">
      <t>シュヨウ</t>
    </rPh>
    <rPh sb="8" eb="10">
      <t>ケンザイ</t>
    </rPh>
    <rPh sb="11" eb="13">
      <t>リヨウ</t>
    </rPh>
    <rPh sb="13" eb="15">
      <t>リリツ</t>
    </rPh>
    <phoneticPr fontId="21"/>
  </si>
  <si>
    <t>高炉セメント
（躯体での利用率）</t>
    <rPh sb="0" eb="2">
      <t>コウロ</t>
    </rPh>
    <rPh sb="8" eb="10">
      <t>クタイ</t>
    </rPh>
    <rPh sb="12" eb="14">
      <t>リヨウ</t>
    </rPh>
    <rPh sb="14" eb="15">
      <t>リツ</t>
    </rPh>
    <phoneticPr fontId="21"/>
  </si>
  <si>
    <t>既存躯体の再利用
（躯体での利用率）</t>
    <rPh sb="0" eb="2">
      <t>キソン</t>
    </rPh>
    <rPh sb="2" eb="4">
      <t>クタイ</t>
    </rPh>
    <rPh sb="5" eb="8">
      <t>サイリヨウ</t>
    </rPh>
    <rPh sb="10" eb="12">
      <t>クタイ</t>
    </rPh>
    <rPh sb="14" eb="17">
      <t>リヨウリツ</t>
    </rPh>
    <phoneticPr fontId="21"/>
  </si>
  <si>
    <t>電炉鋼材（鉄筋）</t>
    <rPh sb="0" eb="2">
      <t>デンロ</t>
    </rPh>
    <rPh sb="2" eb="4">
      <t>コウザイ</t>
    </rPh>
    <phoneticPr fontId="21"/>
  </si>
  <si>
    <t>電炉鋼材（鋼材）</t>
    <rPh sb="0" eb="2">
      <t>デンロ</t>
    </rPh>
    <rPh sb="2" eb="4">
      <t>コウザイ</t>
    </rPh>
    <rPh sb="5" eb="7">
      <t>コウザイ</t>
    </rPh>
    <phoneticPr fontId="21"/>
  </si>
  <si>
    <t>更新周期（年）</t>
    <rPh sb="0" eb="2">
      <t>コウシン</t>
    </rPh>
    <rPh sb="2" eb="4">
      <t>シュウキ</t>
    </rPh>
    <rPh sb="5" eb="6">
      <t>ネン</t>
    </rPh>
    <phoneticPr fontId="21"/>
  </si>
  <si>
    <t>平均修繕率（％/年）</t>
    <rPh sb="0" eb="2">
      <t>ヘイキン</t>
    </rPh>
    <rPh sb="2" eb="4">
      <t>シュウゼン</t>
    </rPh>
    <rPh sb="4" eb="5">
      <t>リツ</t>
    </rPh>
    <rPh sb="8" eb="9">
      <t>ネン</t>
    </rPh>
    <phoneticPr fontId="21"/>
  </si>
  <si>
    <t>レベル３を満たさない。</t>
    <phoneticPr fontId="21"/>
  </si>
  <si>
    <t>何も配慮していない。</t>
    <phoneticPr fontId="21"/>
  </si>
  <si>
    <t>寒冷地域</t>
    <rPh sb="0" eb="2">
      <t>カンレイ</t>
    </rPh>
    <rPh sb="2" eb="4">
      <t>チイキ</t>
    </rPh>
    <phoneticPr fontId="21"/>
  </si>
  <si>
    <t>■地域・地区</t>
    <rPh sb="1" eb="3">
      <t>ﾁｲｷ</t>
    </rPh>
    <rPh sb="4" eb="6">
      <t>ﾁｸ</t>
    </rPh>
    <phoneticPr fontId="34" type="noConversion"/>
  </si>
  <si>
    <t>■竣工年 (予定/竣工)</t>
    <rPh sb="1" eb="3">
      <t>ｼｭﾝｺｳ</t>
    </rPh>
    <rPh sb="3" eb="4">
      <t>ﾈﾝ</t>
    </rPh>
    <rPh sb="6" eb="8">
      <t>ﾖﾃｲ</t>
    </rPh>
    <rPh sb="9" eb="11">
      <t>ｼｭﾝｺｳ</t>
    </rPh>
    <phoneticPr fontId="34" type="noConversion"/>
  </si>
  <si>
    <t>暑熱地域</t>
    <rPh sb="0" eb="2">
      <t>ショネツ</t>
    </rPh>
    <rPh sb="2" eb="4">
      <t>チイキ</t>
    </rPh>
    <phoneticPr fontId="21"/>
  </si>
  <si>
    <t>■敷地面積</t>
    <rPh sb="1" eb="3">
      <t>ｼｷﾁ</t>
    </rPh>
    <rPh sb="3" eb="5">
      <t>ﾒﾝｾｷ</t>
    </rPh>
    <phoneticPr fontId="34" type="noConversion"/>
  </si>
  <si>
    <t>■建築面積</t>
    <rPh sb="1" eb="3">
      <t>ｹﾝﾁｸ</t>
    </rPh>
    <rPh sb="3" eb="5">
      <t>ﾒﾝｾｷ</t>
    </rPh>
    <phoneticPr fontId="34" type="noConversion"/>
  </si>
  <si>
    <t>■延床面積</t>
    <rPh sb="1" eb="2">
      <t>ﾉ</t>
    </rPh>
    <rPh sb="2" eb="5">
      <t>ﾕｶﾒﾝｾｷ</t>
    </rPh>
    <phoneticPr fontId="34" type="noConversion"/>
  </si>
  <si>
    <t>■建物用途名</t>
    <rPh sb="1" eb="3">
      <t>タテモノ</t>
    </rPh>
    <rPh sb="3" eb="5">
      <t>ヨウト</t>
    </rPh>
    <rPh sb="5" eb="6">
      <t>メイ</t>
    </rPh>
    <phoneticPr fontId="21"/>
  </si>
  <si>
    <t>○○</t>
    <phoneticPr fontId="21"/>
  </si>
  <si>
    <t>■階数</t>
    <rPh sb="1" eb="3">
      <t>カイスウ</t>
    </rPh>
    <phoneticPr fontId="21"/>
  </si>
  <si>
    <t>地上○○F</t>
    <rPh sb="0" eb="2">
      <t>チジョウ</t>
    </rPh>
    <phoneticPr fontId="21"/>
  </si>
  <si>
    <t>人の話し声が気にならない。</t>
    <phoneticPr fontId="21"/>
  </si>
  <si>
    <t>会話等の一般の発生音が小さく聞える。</t>
    <phoneticPr fontId="21"/>
  </si>
  <si>
    <t>会話等の一般の発生音がほとんど聞えない。</t>
    <phoneticPr fontId="21"/>
  </si>
  <si>
    <t>1.2.3 界床遮音性能（軽量衝撃源）</t>
    <phoneticPr fontId="21"/>
  </si>
  <si>
    <t>建物全体・共用部分</t>
    <phoneticPr fontId="21"/>
  </si>
  <si>
    <t>病・ホ・住</t>
    <phoneticPr fontId="21"/>
  </si>
  <si>
    <t>採点結果</t>
    <rPh sb="0" eb="2">
      <t>サイテン</t>
    </rPh>
    <rPh sb="2" eb="4">
      <t>ケッカ</t>
    </rPh>
    <phoneticPr fontId="21"/>
  </si>
  <si>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1"/>
  </si>
  <si>
    <t>Q2/2.2.1 躯体材料の耐用年数</t>
    <rPh sb="9" eb="11">
      <t>クタイ</t>
    </rPh>
    <rPh sb="11" eb="13">
      <t>ザイリョウ</t>
    </rPh>
    <rPh sb="14" eb="16">
      <t>タイヨウ</t>
    </rPh>
    <rPh sb="16" eb="18">
      <t>ネンスウ</t>
    </rPh>
    <phoneticPr fontId="21"/>
  </si>
  <si>
    <t>ホテル</t>
  </si>
  <si>
    <t>評価対象の構造</t>
    <rPh sb="0" eb="2">
      <t>ヒョウカ</t>
    </rPh>
    <rPh sb="2" eb="4">
      <t>タイショウ</t>
    </rPh>
    <rPh sb="5" eb="7">
      <t>コウゾウ</t>
    </rPh>
    <phoneticPr fontId="21"/>
  </si>
  <si>
    <t>LR2/2.2 既存建築躯体等の継続使用</t>
    <rPh sb="8" eb="10">
      <t>キソン</t>
    </rPh>
    <rPh sb="10" eb="12">
      <t>ケンチク</t>
    </rPh>
    <rPh sb="12" eb="14">
      <t>クタイ</t>
    </rPh>
    <rPh sb="14" eb="15">
      <t>トウ</t>
    </rPh>
    <rPh sb="16" eb="18">
      <t>ケイゾク</t>
    </rPh>
    <rPh sb="18" eb="20">
      <t>シヨウ</t>
    </rPh>
    <phoneticPr fontId="21"/>
  </si>
  <si>
    <t>用途地域</t>
    <rPh sb="0" eb="2">
      <t>ﾖｳﾄ</t>
    </rPh>
    <rPh sb="2" eb="4">
      <t>ﾁｲｷ</t>
    </rPh>
    <phoneticPr fontId="34" type="noConversion"/>
  </si>
  <si>
    <t>再生材料を用いた舗装用ブロック（焼成）</t>
    <rPh sb="0" eb="2">
      <t>サイセイ</t>
    </rPh>
    <rPh sb="2" eb="4">
      <t>ザイリョウ</t>
    </rPh>
    <rPh sb="5" eb="6">
      <t>モチ</t>
    </rPh>
    <rPh sb="8" eb="11">
      <t>ホソウヨウ</t>
    </rPh>
    <rPh sb="16" eb="17">
      <t>ヤ</t>
    </rPh>
    <rPh sb="17" eb="18">
      <t>ナリ</t>
    </rPh>
    <phoneticPr fontId="21"/>
  </si>
  <si>
    <t>●標準計算</t>
    <rPh sb="1" eb="3">
      <t>ヒョウジュン</t>
    </rPh>
    <rPh sb="3" eb="5">
      <t>ケイサン</t>
    </rPh>
    <phoneticPr fontId="21"/>
  </si>
  <si>
    <t>●個別計算</t>
    <rPh sb="1" eb="3">
      <t>コベツ</t>
    </rPh>
    <rPh sb="3" eb="5">
      <t>ケイサン</t>
    </rPh>
    <phoneticPr fontId="21"/>
  </si>
  <si>
    <t>用途名</t>
    <rPh sb="0" eb="2">
      <t>ヨウト</t>
    </rPh>
    <rPh sb="2" eb="3">
      <t>メイ</t>
    </rPh>
    <phoneticPr fontId="21"/>
  </si>
  <si>
    <t xml:space="preserve"> 含まれる用途</t>
    <rPh sb="1" eb="2">
      <t>フク</t>
    </rPh>
    <rPh sb="5" eb="7">
      <t>ヨウト</t>
    </rPh>
    <phoneticPr fontId="21"/>
  </si>
  <si>
    <t xml:space="preserve"> 事務所</t>
  </si>
  <si>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1"/>
  </si>
  <si>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1"/>
  </si>
  <si>
    <t>建築物環境衛生管理基準を満たしている。</t>
    <rPh sb="0" eb="3">
      <t>ケンチクブツ</t>
    </rPh>
    <rPh sb="3" eb="5">
      <t>カンキョウ</t>
    </rPh>
    <rPh sb="5" eb="7">
      <t>エイセイ</t>
    </rPh>
    <rPh sb="7" eb="9">
      <t>カンリ</t>
    </rPh>
    <rPh sb="9" eb="11">
      <t>キジュン</t>
    </rPh>
    <rPh sb="12" eb="13">
      <t>ミ</t>
    </rPh>
    <phoneticPr fontId="21"/>
  </si>
  <si>
    <t>耐用性・信頼性</t>
    <rPh sb="0" eb="2">
      <t>タイヨウ</t>
    </rPh>
    <rPh sb="2" eb="3">
      <t>セイ</t>
    </rPh>
    <rPh sb="4" eb="7">
      <t>シンライセイ</t>
    </rPh>
    <phoneticPr fontId="21"/>
  </si>
  <si>
    <t>耐震・免震</t>
    <rPh sb="0" eb="2">
      <t>タイシン</t>
    </rPh>
    <rPh sb="3" eb="4">
      <t>メン</t>
    </rPh>
    <rPh sb="4" eb="5">
      <t>シン</t>
    </rPh>
    <phoneticPr fontId="21"/>
  </si>
  <si>
    <r>
      <t xml:space="preserve">2.1.1 </t>
    </r>
    <r>
      <rPr>
        <b/>
        <sz val="10"/>
        <rFont val="ＭＳ Ｐゴシック"/>
        <family val="3"/>
        <charset val="128"/>
      </rPr>
      <t>耐震性</t>
    </r>
    <rPh sb="6" eb="9">
      <t>タイシンセイ</t>
    </rPh>
    <phoneticPr fontId="21"/>
  </si>
  <si>
    <t>(該当するレベルなし)</t>
    <phoneticPr fontId="21"/>
  </si>
  <si>
    <t>建築基準法に定められた耐震性を有する。</t>
  </si>
  <si>
    <t>免震・制振装置を導入していない。</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</si>
  <si>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</si>
  <si>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</si>
  <si>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1"/>
  </si>
  <si>
    <t>事業者名</t>
  </si>
  <si>
    <t>(t-CO2/kWh)</t>
  </si>
  <si>
    <t>その他</t>
    <rPh sb="2" eb="3">
      <t>タ</t>
    </rPh>
    <phoneticPr fontId="21"/>
  </si>
  <si>
    <t>日本住宅性能表示基準「5-1断熱等性能等級」における等級1を満たす。</t>
    <rPh sb="14" eb="16">
      <t>ダンネツ</t>
    </rPh>
    <rPh sb="16" eb="17">
      <t>トウ</t>
    </rPh>
    <rPh sb="17" eb="19">
      <t>セイノウ</t>
    </rPh>
    <rPh sb="19" eb="21">
      <t>トウキュウ</t>
    </rPh>
    <rPh sb="30" eb="31">
      <t>ミ</t>
    </rPh>
    <phoneticPr fontId="21"/>
  </si>
  <si>
    <t>日本住宅性能表示基準「5-1断熱等性能等級」における等級2を満たす。</t>
    <phoneticPr fontId="21"/>
  </si>
  <si>
    <t>日本住宅性能表示基準「5-1断熱等性能等級」における等級3を満たす。</t>
    <phoneticPr fontId="21"/>
  </si>
  <si>
    <t>日本住宅性能表示基準「5-1断熱等性能等級」における等級4を満たす。</t>
    <phoneticPr fontId="21"/>
  </si>
  <si>
    <t>リフレッシュスペースが執務スペースの1％未満</t>
    <phoneticPr fontId="21"/>
  </si>
  <si>
    <t>■効率的な運用</t>
    <rPh sb="1" eb="4">
      <t>コウリツテキ</t>
    </rPh>
    <rPh sb="5" eb="7">
      <t>ウンヨウ</t>
    </rPh>
    <phoneticPr fontId="21"/>
  </si>
  <si>
    <t>専有部面積</t>
    <rPh sb="0" eb="2">
      <t>センユウ</t>
    </rPh>
    <rPh sb="2" eb="3">
      <t>ブ</t>
    </rPh>
    <rPh sb="3" eb="5">
      <t>メンセキ</t>
    </rPh>
    <phoneticPr fontId="21"/>
  </si>
  <si>
    <t>1</t>
    <phoneticPr fontId="21"/>
  </si>
  <si>
    <t>レベル</t>
    <phoneticPr fontId="21"/>
  </si>
  <si>
    <t>3</t>
    <phoneticPr fontId="21"/>
  </si>
  <si>
    <r>
      <t>延面積</t>
    </r>
    <r>
      <rPr>
        <sz val="10"/>
        <rFont val="ＭＳ Ｐゴシック"/>
        <family val="3"/>
        <charset val="128"/>
      </rPr>
      <t>(㎡)</t>
    </r>
    <rPh sb="0" eb="1">
      <t>ノ</t>
    </rPh>
    <rPh sb="1" eb="3">
      <t>メンセキ</t>
    </rPh>
    <phoneticPr fontId="21"/>
  </si>
  <si>
    <t>αM</t>
    <phoneticPr fontId="21"/>
  </si>
  <si>
    <t>βM</t>
    <phoneticPr fontId="21"/>
  </si>
  <si>
    <t>EM</t>
    <phoneticPr fontId="21"/>
  </si>
  <si>
    <t>建築物衛生法における特定建築物</t>
  </si>
  <si>
    <t>1) 汚染源対策</t>
    <rPh sb="3" eb="6">
      <t>オセンゲン</t>
    </rPh>
    <rPh sb="6" eb="8">
      <t>タイサク</t>
    </rPh>
    <phoneticPr fontId="21"/>
  </si>
  <si>
    <t>2) 清掃方法</t>
    <rPh sb="3" eb="5">
      <t>セイソウ</t>
    </rPh>
    <rPh sb="5" eb="7">
      <t>ホウホウ</t>
    </rPh>
    <phoneticPr fontId="21"/>
  </si>
  <si>
    <t>3) 清掃資材</t>
    <rPh sb="3" eb="5">
      <t>セイソウ</t>
    </rPh>
    <rPh sb="5" eb="7">
      <t>シザイ</t>
    </rPh>
    <phoneticPr fontId="21"/>
  </si>
  <si>
    <t>フェロニッケルスラグ骨材</t>
    <rPh sb="10" eb="12">
      <t>コツザイ</t>
    </rPh>
    <phoneticPr fontId="21"/>
  </si>
  <si>
    <t>銅スラグ骨材</t>
    <rPh sb="0" eb="1">
      <t>ドウ</t>
    </rPh>
    <rPh sb="4" eb="6">
      <t>コツザイ</t>
    </rPh>
    <phoneticPr fontId="21"/>
  </si>
  <si>
    <t>電気炉酸化スラグ骨材</t>
    <rPh sb="0" eb="3">
      <t>デンキロ</t>
    </rPh>
    <rPh sb="3" eb="5">
      <t>サンカ</t>
    </rPh>
    <rPh sb="8" eb="10">
      <t>コツザイ</t>
    </rPh>
    <phoneticPr fontId="21"/>
  </si>
  <si>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1"/>
  </si>
  <si>
    <r>
      <t xml:space="preserve">2.2.6 </t>
    </r>
    <r>
      <rPr>
        <b/>
        <sz val="10"/>
        <rFont val="ＭＳ Ｐゴシック"/>
        <family val="3"/>
        <charset val="128"/>
      </rPr>
      <t>主要設備機器の更新必要間隔</t>
    </r>
    <phoneticPr fontId="21"/>
  </si>
  <si>
    <t>７年未満</t>
    <phoneticPr fontId="21"/>
  </si>
  <si>
    <r>
      <t xml:space="preserve">2.3.1 </t>
    </r>
    <r>
      <rPr>
        <b/>
        <sz val="10"/>
        <rFont val="ＭＳ Ｐゴシック"/>
        <family val="3"/>
        <charset val="128"/>
      </rPr>
      <t>屋上（屋根）・外壁仕上げ材の更新</t>
    </r>
    <phoneticPr fontId="21"/>
  </si>
  <si>
    <r>
      <t xml:space="preserve">2.3.2 </t>
    </r>
    <r>
      <rPr>
        <b/>
        <sz val="10"/>
        <rFont val="ＭＳ Ｐゴシック"/>
        <family val="3"/>
        <charset val="128"/>
      </rPr>
      <t>配管・配線材の更新</t>
    </r>
    <phoneticPr fontId="21"/>
  </si>
  <si>
    <t>重み係数(既定）＝</t>
    <phoneticPr fontId="21"/>
  </si>
  <si>
    <t>事・学・物・飲・会・病・ホ・工・住</t>
    <phoneticPr fontId="21"/>
  </si>
  <si>
    <t>-</t>
    <phoneticPr fontId="21"/>
  </si>
  <si>
    <r>
      <t xml:space="preserve">2.3.3 </t>
    </r>
    <r>
      <rPr>
        <b/>
        <sz val="10"/>
        <rFont val="ＭＳ Ｐゴシック"/>
        <family val="3"/>
        <charset val="128"/>
      </rPr>
      <t>主要設備機器の更新</t>
    </r>
    <phoneticPr fontId="21"/>
  </si>
  <si>
    <t>全て耐用年数以内である。</t>
    <phoneticPr fontId="21"/>
  </si>
  <si>
    <r>
      <t xml:space="preserve">2.4.1 </t>
    </r>
    <r>
      <rPr>
        <b/>
        <sz val="10"/>
        <rFont val="ＭＳ Ｐゴシック"/>
        <family val="3"/>
        <charset val="128"/>
      </rPr>
      <t>空調・換気設備</t>
    </r>
    <phoneticPr fontId="21"/>
  </si>
  <si>
    <t>事・会・病・ホ･工</t>
    <phoneticPr fontId="21"/>
  </si>
  <si>
    <t>学・物・飲・住</t>
    <phoneticPr fontId="21"/>
  </si>
  <si>
    <t>事・学・物・飲・会・病・ホ・工・住【&lt;2000㎡】</t>
    <phoneticPr fontId="21"/>
  </si>
  <si>
    <t>2000年代初頭</t>
    <rPh sb="4" eb="5">
      <t>ネン</t>
    </rPh>
    <rPh sb="5" eb="6">
      <t>ダイ</t>
    </rPh>
    <rPh sb="6" eb="8">
      <t>ショトウ</t>
    </rPh>
    <phoneticPr fontId="21"/>
  </si>
  <si>
    <t>ウレタン変性イソシアヌレートフォーム</t>
  </si>
  <si>
    <t>次世代</t>
    <rPh sb="0" eb="3">
      <t>ジセダイ</t>
    </rPh>
    <phoneticPr fontId="21"/>
  </si>
  <si>
    <t>スチレンオレフィンフォーム</t>
  </si>
  <si>
    <t>2000年以降</t>
    <rPh sb="4" eb="5">
      <t>ネン</t>
    </rPh>
    <rPh sb="5" eb="7">
      <t>イコウ</t>
    </rPh>
    <phoneticPr fontId="21"/>
  </si>
  <si>
    <t>レベル３を満たさない。</t>
  </si>
  <si>
    <t>用途</t>
    <rPh sb="0" eb="2">
      <t>ヨウト</t>
    </rPh>
    <phoneticPr fontId="21"/>
  </si>
  <si>
    <t>事・会・病・ホ･工</t>
    <rPh sb="0" eb="1">
      <t>コト</t>
    </rPh>
    <rPh sb="2" eb="3">
      <t>カイ</t>
    </rPh>
    <rPh sb="4" eb="5">
      <t>ヤマイ</t>
    </rPh>
    <rPh sb="8" eb="9">
      <t>コウ</t>
    </rPh>
    <phoneticPr fontId="21"/>
  </si>
  <si>
    <t>学・物・飲・住</t>
    <rPh sb="0" eb="1">
      <t>ガク</t>
    </rPh>
    <rPh sb="2" eb="3">
      <t>モノ</t>
    </rPh>
    <rPh sb="4" eb="5">
      <t>イン</t>
    </rPh>
    <rPh sb="6" eb="7">
      <t>ジュウ</t>
    </rPh>
    <phoneticPr fontId="21"/>
  </si>
  <si>
    <t>事・学・物・飲・会・病・ホ・工・住【&lt;2000㎡】</t>
    <rPh sb="0" eb="1">
      <t>コト</t>
    </rPh>
    <rPh sb="2" eb="3">
      <t>ガク</t>
    </rPh>
    <rPh sb="4" eb="5">
      <t>モノ</t>
    </rPh>
    <rPh sb="6" eb="7">
      <t>イン</t>
    </rPh>
    <rPh sb="8" eb="9">
      <t>カイ</t>
    </rPh>
    <rPh sb="10" eb="11">
      <t>ヤマイ</t>
    </rPh>
    <rPh sb="14" eb="15">
      <t>コウ</t>
    </rPh>
    <rPh sb="16" eb="17">
      <t>ジュウ</t>
    </rPh>
    <phoneticPr fontId="21"/>
  </si>
  <si>
    <t>床面積</t>
    <rPh sb="0" eb="3">
      <t>ユカメンセキ</t>
    </rPh>
    <phoneticPr fontId="21"/>
  </si>
  <si>
    <t>得点</t>
    <rPh sb="0" eb="2">
      <t>トクテン</t>
    </rPh>
    <phoneticPr fontId="21"/>
  </si>
  <si>
    <t>製造熱量/熱源機消費エネルギー（1次エネルギー基準）/蓄熱槽有効蓄熱量/蓄熱槽利用効率</t>
    <phoneticPr fontId="21"/>
  </si>
  <si>
    <t>昇降機</t>
  </si>
  <si>
    <t>各種管制運転効果</t>
  </si>
  <si>
    <t>削減エネルギー量</t>
    <phoneticPr fontId="21"/>
  </si>
  <si>
    <t>太陽光発電設備評価</t>
  </si>
  <si>
    <t>発電効率/定格効率/年間効率</t>
    <phoneticPr fontId="21"/>
  </si>
  <si>
    <t>発電効率/総合効率/省エネルギー率</t>
  </si>
  <si>
    <t>一次ｴﾈﾙｷﾞｰ消費量</t>
    <rPh sb="0" eb="2">
      <t>イチジ</t>
    </rPh>
    <rPh sb="8" eb="11">
      <t>ショウヒリョウ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</si>
  <si>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</si>
  <si>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湿度制御</t>
    <rPh sb="0" eb="2">
      <t>シツド</t>
    </rPh>
    <rPh sb="2" eb="4">
      <t>セイギョ</t>
    </rPh>
    <phoneticPr fontId="21"/>
  </si>
  <si>
    <t>学(大学等)</t>
    <rPh sb="0" eb="1">
      <t>ガク</t>
    </rPh>
    <phoneticPr fontId="21"/>
  </si>
  <si>
    <t>何も配慮していない。</t>
  </si>
  <si>
    <t>簡易評価</t>
    <rPh sb="0" eb="2">
      <t>カンイ</t>
    </rPh>
    <rPh sb="2" eb="4">
      <t>ヒョウカ</t>
    </rPh>
    <phoneticPr fontId="21"/>
  </si>
  <si>
    <r>
      <t xml:space="preserve">■ </t>
    </r>
    <r>
      <rPr>
        <sz val="10"/>
        <rFont val="ＭＳ Ｐゴシック"/>
        <family val="3"/>
        <charset val="128"/>
      </rPr>
      <t>作成者</t>
    </r>
    <rPh sb="2" eb="5">
      <t>サクセイシャ</t>
    </rPh>
    <phoneticPr fontId="21"/>
  </si>
  <si>
    <t>○○○</t>
    <phoneticPr fontId="21"/>
  </si>
  <si>
    <t>省エネルギー計画書による評価</t>
    <rPh sb="0" eb="1">
      <t>ショウ</t>
    </rPh>
    <rPh sb="6" eb="9">
      <t>ケイカクショ</t>
    </rPh>
    <rPh sb="12" eb="14">
      <t>ヒョウカ</t>
    </rPh>
    <phoneticPr fontId="21"/>
  </si>
  <si>
    <r>
      <t xml:space="preserve">■ </t>
    </r>
    <r>
      <rPr>
        <sz val="10"/>
        <rFont val="ＭＳ Ｐゴシック"/>
        <family val="3"/>
        <charset val="128"/>
      </rPr>
      <t>確認日</t>
    </r>
    <rPh sb="2" eb="4">
      <t>カクニン</t>
    </rPh>
    <rPh sb="4" eb="5">
      <t>ビ</t>
    </rPh>
    <phoneticPr fontId="21"/>
  </si>
  <si>
    <t>竣工段階</t>
    <rPh sb="0" eb="2">
      <t>シュンコウ</t>
    </rPh>
    <rPh sb="2" eb="4">
      <t>ダンカイ</t>
    </rPh>
    <phoneticPr fontId="21"/>
  </si>
  <si>
    <r>
      <t xml:space="preserve">■ </t>
    </r>
    <r>
      <rPr>
        <sz val="10"/>
        <rFont val="ＭＳ Ｐゴシック"/>
        <family val="3"/>
        <charset val="128"/>
      </rPr>
      <t>確認者</t>
    </r>
    <rPh sb="2" eb="4">
      <t>カクニン</t>
    </rPh>
    <rPh sb="4" eb="5">
      <t>シャ</t>
    </rPh>
    <phoneticPr fontId="21"/>
  </si>
  <si>
    <r>
      <t>■</t>
    </r>
    <r>
      <rPr>
        <sz val="10"/>
        <rFont val="ＭＳ Ｐゴシック"/>
        <family val="3"/>
        <charset val="128"/>
      </rPr>
      <t>LCCO2の計算</t>
    </r>
    <rPh sb="7" eb="9">
      <t>ケイサン</t>
    </rPh>
    <phoneticPr fontId="21"/>
  </si>
  <si>
    <t>標準計算</t>
    <rPh sb="0" eb="2">
      <t>ヒョウジュン</t>
    </rPh>
    <rPh sb="2" eb="4">
      <t>ケイサン</t>
    </rPh>
    <phoneticPr fontId="21"/>
  </si>
  <si>
    <t>→LCCO2算定条件シート（標準計算）を入力</t>
    <rPh sb="6" eb="8">
      <t>サンテイ</t>
    </rPh>
    <rPh sb="8" eb="10">
      <t>ジョウケン</t>
    </rPh>
    <rPh sb="14" eb="16">
      <t>ヒョウジュン</t>
    </rPh>
    <rPh sb="16" eb="18">
      <t>ケイサン</t>
    </rPh>
    <rPh sb="20" eb="22">
      <t>ニュウリョク</t>
    </rPh>
    <phoneticPr fontId="21"/>
  </si>
  <si>
    <t>個別計算</t>
    <rPh sb="0" eb="2">
      <t>コベツ</t>
    </rPh>
    <rPh sb="2" eb="4">
      <t>ケイサン</t>
    </rPh>
    <phoneticPr fontId="21"/>
  </si>
  <si>
    <t>→LCCO2算定条件シート（個別計算）を入力</t>
    <rPh sb="6" eb="8">
      <t>サンテイ</t>
    </rPh>
    <rPh sb="8" eb="10">
      <t>ジョウケン</t>
    </rPh>
    <rPh sb="14" eb="16">
      <t>コベツ</t>
    </rPh>
    <rPh sb="16" eb="18">
      <t>ケイサン</t>
    </rPh>
    <rPh sb="20" eb="22">
      <t>ニュウリョク</t>
    </rPh>
    <phoneticPr fontId="21"/>
  </si>
  <si>
    <t>2) 個別用途入力</t>
    <rPh sb="3" eb="5">
      <t>コベツ</t>
    </rPh>
    <rPh sb="5" eb="7">
      <t>ヨウト</t>
    </rPh>
    <rPh sb="7" eb="9">
      <t>ニュウリョク</t>
    </rPh>
    <phoneticPr fontId="21"/>
  </si>
  <si>
    <t>①用途別延床面積　　</t>
    <rPh sb="1" eb="3">
      <t>ヨウト</t>
    </rPh>
    <rPh sb="3" eb="4">
      <t>ベツ</t>
    </rPh>
    <rPh sb="4" eb="5">
      <t>ノ</t>
    </rPh>
    <rPh sb="5" eb="6">
      <t>ユカ</t>
    </rPh>
    <rPh sb="6" eb="8">
      <t>メンセキ</t>
    </rPh>
    <phoneticPr fontId="21"/>
  </si>
  <si>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</si>
  <si>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</si>
  <si>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</si>
  <si>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</si>
  <si>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</si>
  <si>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</si>
  <si>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</si>
  <si>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1"/>
  </si>
  <si>
    <t>集会所</t>
    <rPh sb="2" eb="3">
      <t>ショ</t>
    </rPh>
    <phoneticPr fontId="21"/>
  </si>
  <si>
    <t xml:space="preserve"> 工場</t>
    <rPh sb="1" eb="3">
      <t>コウジョウ</t>
    </rPh>
    <phoneticPr fontId="21"/>
  </si>
  <si>
    <t>病院</t>
  </si>
  <si>
    <t xml:space="preserve"> 病院</t>
  </si>
  <si>
    <t>ホテル</t>
    <phoneticPr fontId="21"/>
  </si>
  <si>
    <t xml:space="preserve"> ホテル</t>
  </si>
  <si>
    <t>集合住宅</t>
  </si>
  <si>
    <t xml:space="preserve"> 集合住宅</t>
  </si>
  <si>
    <t>工場</t>
    <rPh sb="0" eb="2">
      <t>コウジョウ</t>
    </rPh>
    <phoneticPr fontId="21"/>
  </si>
  <si>
    <t>② 住居・宿泊部分の比率</t>
    <rPh sb="2" eb="4">
      <t>ジュウキョ</t>
    </rPh>
    <rPh sb="5" eb="7">
      <t>シュクハク</t>
    </rPh>
    <rPh sb="7" eb="9">
      <t>ブブン</t>
    </rPh>
    <rPh sb="10" eb="12">
      <t>ヒリツ</t>
    </rPh>
    <phoneticPr fontId="21"/>
  </si>
  <si>
    <t>合計</t>
    <rPh sb="0" eb="2">
      <t>ゴウケイ</t>
    </rPh>
    <phoneticPr fontId="21"/>
  </si>
  <si>
    <t>簡易版</t>
    <rPh sb="0" eb="3">
      <t>カンイバン</t>
    </rPh>
    <phoneticPr fontId="21"/>
  </si>
  <si>
    <t>バージョン</t>
    <phoneticPr fontId="21"/>
  </si>
  <si>
    <t>共用部</t>
    <rPh sb="0" eb="3">
      <t>キョウヨウブ</t>
    </rPh>
    <phoneticPr fontId="21"/>
  </si>
  <si>
    <t>い（30㎡未満）</t>
    <rPh sb="5" eb="7">
      <t>ミマン</t>
    </rPh>
    <phoneticPr fontId="21"/>
  </si>
  <si>
    <t>事・学(大学等)・病・ホ・工・住</t>
    <rPh sb="4" eb="6">
      <t>ダイガク</t>
    </rPh>
    <rPh sb="6" eb="7">
      <t>トウ</t>
    </rPh>
    <rPh sb="15" eb="16">
      <t>ジュウ</t>
    </rPh>
    <phoneticPr fontId="21"/>
  </si>
  <si>
    <t>学（小中高）</t>
    <rPh sb="0" eb="1">
      <t>ガク</t>
    </rPh>
    <rPh sb="2" eb="3">
      <t>ショウ</t>
    </rPh>
    <rPh sb="3" eb="4">
      <t>チュウ</t>
    </rPh>
    <rPh sb="4" eb="5">
      <t>コウ</t>
    </rPh>
    <phoneticPr fontId="21"/>
  </si>
  <si>
    <t>何もない。</t>
  </si>
  <si>
    <t>建物全体・共用部分</t>
    <phoneticPr fontId="21"/>
  </si>
  <si>
    <t>学（小中高）</t>
    <rPh sb="0" eb="1">
      <t>ガク</t>
    </rPh>
    <rPh sb="2" eb="5">
      <t>ショウチュウコウ</t>
    </rPh>
    <phoneticPr fontId="21"/>
  </si>
  <si>
    <t>判定表</t>
    <rPh sb="0" eb="2">
      <t>ハンテイ</t>
    </rPh>
    <rPh sb="2" eb="3">
      <t>ヒョウ</t>
    </rPh>
    <phoneticPr fontId="21"/>
  </si>
  <si>
    <t>　評価項目</t>
  </si>
  <si>
    <t>（ア）</t>
  </si>
  <si>
    <t>（イ）</t>
  </si>
  <si>
    <t>（ウ）</t>
  </si>
  <si>
    <t>事・病(診)・工</t>
    <rPh sb="4" eb="5">
      <t>ミ</t>
    </rPh>
    <rPh sb="7" eb="8">
      <t>コウ</t>
    </rPh>
    <phoneticPr fontId="21"/>
  </si>
  <si>
    <t>ホ・住</t>
    <rPh sb="2" eb="3">
      <t>ジュウ</t>
    </rPh>
    <phoneticPr fontId="21"/>
  </si>
  <si>
    <t>バックアップ設備のためのスペースが計画的に確保されている。</t>
  </si>
  <si>
    <t>事・学・物・飲・会・病・ホ・工・住</t>
    <rPh sb="0" eb="1">
      <t>コト</t>
    </rPh>
    <rPh sb="2" eb="3">
      <t>ガク</t>
    </rPh>
    <rPh sb="4" eb="5">
      <t>モノ</t>
    </rPh>
    <rPh sb="6" eb="7">
      <t>イン</t>
    </rPh>
    <rPh sb="8" eb="9">
      <t>カイ</t>
    </rPh>
    <rPh sb="10" eb="11">
      <t>ヤマイ</t>
    </rPh>
    <phoneticPr fontId="21"/>
  </si>
  <si>
    <t>対応可能な</t>
    <rPh sb="0" eb="2">
      <t>タイオウ</t>
    </rPh>
    <rPh sb="2" eb="3">
      <t>カ</t>
    </rPh>
    <rPh sb="3" eb="4">
      <t>ノウ</t>
    </rPh>
    <phoneticPr fontId="21"/>
  </si>
  <si>
    <t>事・病・ホ・工</t>
    <rPh sb="6" eb="7">
      <t>コウ</t>
    </rPh>
    <phoneticPr fontId="21"/>
  </si>
  <si>
    <t>物・飲・会</t>
    <rPh sb="0" eb="1">
      <t>ブツ</t>
    </rPh>
    <rPh sb="2" eb="3">
      <t>イン</t>
    </rPh>
    <rPh sb="4" eb="5">
      <t>カイ</t>
    </rPh>
    <phoneticPr fontId="21"/>
  </si>
  <si>
    <t>⑨　清掃時用の適度な照度の設定が可能である。</t>
    <phoneticPr fontId="21"/>
  </si>
  <si>
    <t xml:space="preserve"> Q1 2.1</t>
  </si>
  <si>
    <t>室温設定</t>
  </si>
  <si>
    <t>2.1.2</t>
  </si>
  <si>
    <t>負荷変動・追従制御性</t>
  </si>
  <si>
    <t>2.1.3</t>
  </si>
  <si>
    <t>外皮性能</t>
  </si>
  <si>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より大幅注</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1"/>
  </si>
  <si>
    <t>-</t>
    <phoneticPr fontId="21"/>
  </si>
  <si>
    <t>-</t>
    <phoneticPr fontId="21"/>
  </si>
  <si>
    <t>■CO2データベース</t>
    <phoneticPr fontId="21"/>
  </si>
  <si>
    <t>レベル3</t>
    <phoneticPr fontId="21"/>
  </si>
  <si>
    <t>レベル4</t>
    <phoneticPr fontId="21"/>
  </si>
  <si>
    <t>レベル5</t>
    <phoneticPr fontId="21"/>
  </si>
  <si>
    <t>ホテル</t>
    <phoneticPr fontId="21"/>
  </si>
  <si>
    <t>kg-CO2/kWh）</t>
    <phoneticPr fontId="21"/>
  </si>
  <si>
    <t>人・時間あたり指標</t>
    <rPh sb="0" eb="1">
      <t>ニン</t>
    </rPh>
    <rPh sb="2" eb="4">
      <t>ジカン</t>
    </rPh>
    <rPh sb="7" eb="9">
      <t>シヒョウ</t>
    </rPh>
    <phoneticPr fontId="21"/>
  </si>
  <si>
    <t>レベル3</t>
    <phoneticPr fontId="21"/>
  </si>
  <si>
    <t>レベル4</t>
    <phoneticPr fontId="21"/>
  </si>
  <si>
    <t>レベル5</t>
    <phoneticPr fontId="21"/>
  </si>
  <si>
    <t>事務所</t>
    <phoneticPr fontId="21"/>
  </si>
  <si>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1"/>
  </si>
  <si>
    <t>バウンダリー</t>
    <phoneticPr fontId="21"/>
  </si>
  <si>
    <r>
      <t>ｍ</t>
    </r>
    <r>
      <rPr>
        <vertAlign val="superscript"/>
        <sz val="10"/>
        <rFont val="ＭＳ Ｐゴシック"/>
        <family val="3"/>
        <charset val="128"/>
      </rPr>
      <t>3</t>
    </r>
    <r>
      <rPr>
        <sz val="10"/>
        <rFont val="ＭＳ Ｐゴシック"/>
        <family val="3"/>
        <charset val="128"/>
      </rPr>
      <t>/㎡</t>
    </r>
    <phoneticPr fontId="21"/>
  </si>
  <si>
    <t>□　□</t>
    <phoneticPr fontId="21"/>
  </si>
  <si>
    <t>○○</t>
    <phoneticPr fontId="21"/>
  </si>
  <si>
    <t>kg/㎡</t>
    <phoneticPr fontId="21"/>
  </si>
  <si>
    <t>〃</t>
    <phoneticPr fontId="21"/>
  </si>
  <si>
    <t>修繕・更新・</t>
    <phoneticPr fontId="21"/>
  </si>
  <si>
    <t>解体段階</t>
    <phoneticPr fontId="21"/>
  </si>
  <si>
    <t>③上記+②以外の
　オンサイト手法</t>
    <phoneticPr fontId="21"/>
  </si>
  <si>
    <t>－</t>
    <phoneticPr fontId="21"/>
  </si>
  <si>
    <t>kg-CO2/年㎡</t>
    <phoneticPr fontId="21"/>
  </si>
  <si>
    <t>kg-CO2/年㎡</t>
    <phoneticPr fontId="21"/>
  </si>
  <si>
    <t>kg-CO2/年㎡</t>
    <phoneticPr fontId="21"/>
  </si>
  <si>
    <t>－</t>
    <phoneticPr fontId="21"/>
  </si>
  <si>
    <t>④上記+
　オフサイト手法</t>
    <phoneticPr fontId="21"/>
  </si>
  <si>
    <t>kg-CO2/年㎡</t>
    <phoneticPr fontId="21"/>
  </si>
  <si>
    <t>(a)　グリーン電力証書によるカーボンオフセット</t>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</si>
  <si>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</si>
  <si>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</si>
  <si>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</si>
  <si>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■太陽光発電等エネルギー総量（③ｵﾝｻｲﾄの取組）</t>
    <rPh sb="1" eb="4">
      <t>ﾀｲﾖｳｺｳ</t>
    </rPh>
    <rPh sb="4" eb="6">
      <t>ﾊﾂﾃﾞﾝ</t>
    </rPh>
    <rPh sb="6" eb="7">
      <t>とう</t>
    </rPh>
    <rPh sb="12" eb="14">
      <t>ｿｳﾘｮｳ</t>
    </rPh>
    <rPh sb="22" eb="24">
      <t>とりくみ</t>
    </rPh>
    <phoneticPr fontId="34" type="noConversion"/>
  </si>
  <si>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1"/>
  </si>
  <si>
    <t>10年未満</t>
  </si>
  <si>
    <t>10年以上～20年未満</t>
  </si>
  <si>
    <t>20年</t>
  </si>
  <si>
    <r>
      <t>LR2</t>
    </r>
    <r>
      <rPr>
        <b/>
        <sz val="12"/>
        <rFont val="ＭＳ Ｐゴシック"/>
        <family val="3"/>
        <charset val="128"/>
      </rPr>
      <t>　資源・マテリアル</t>
    </r>
    <rPh sb="4" eb="6">
      <t>シゲン</t>
    </rPh>
    <phoneticPr fontId="21"/>
  </si>
  <si>
    <t>水資源保護</t>
    <rPh sb="0" eb="1">
      <t>ミズ</t>
    </rPh>
    <rPh sb="1" eb="3">
      <t>シゲン</t>
    </rPh>
    <rPh sb="3" eb="5">
      <t>ホゴ</t>
    </rPh>
    <phoneticPr fontId="21"/>
  </si>
  <si>
    <t>事・学・物・飲・会・病・ホ･工・住</t>
    <rPh sb="0" eb="1">
      <t>コト</t>
    </rPh>
    <rPh sb="2" eb="3">
      <t>ガク</t>
    </rPh>
    <rPh sb="4" eb="5">
      <t>モノ</t>
    </rPh>
    <rPh sb="6" eb="7">
      <t>イン</t>
    </rPh>
    <rPh sb="8" eb="9">
      <t>カイ</t>
    </rPh>
    <rPh sb="10" eb="11">
      <t>ヤマイ</t>
    </rPh>
    <rPh sb="16" eb="17">
      <t>ジュウ</t>
    </rPh>
    <phoneticPr fontId="21"/>
  </si>
  <si>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</si>
  <si>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</si>
  <si>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t>小中高は既存も新築の基準</t>
    <rPh sb="0" eb="3">
      <t>ショウチュウコウ</t>
    </rPh>
    <rPh sb="4" eb="6">
      <t>キソン</t>
    </rPh>
    <rPh sb="7" eb="9">
      <t>シンチク</t>
    </rPh>
    <rPh sb="10" eb="12">
      <t>キジュン</t>
    </rPh>
    <phoneticPr fontId="21"/>
  </si>
  <si>
    <t>Fc=36以上60未満　かつF=390以上</t>
    <rPh sb="19" eb="21">
      <t>イジョウ</t>
    </rPh>
    <phoneticPr fontId="21"/>
  </si>
  <si>
    <t>F=325以上　355未満</t>
    <rPh sb="11" eb="13">
      <t>ミマン</t>
    </rPh>
    <phoneticPr fontId="21"/>
  </si>
  <si>
    <t>主要構造躯体の鉄骨の基準強度F&gt;単位:N/mm2</t>
    <rPh sb="10" eb="12">
      <t>キジュン</t>
    </rPh>
    <phoneticPr fontId="21"/>
  </si>
  <si>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</si>
  <si>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1"/>
  </si>
  <si>
    <t>リサイクル資材の種類と採用した部位（30字以内）</t>
    <rPh sb="5" eb="7">
      <t>シザイ</t>
    </rPh>
    <rPh sb="8" eb="10">
      <t>シュルイ</t>
    </rPh>
    <rPh sb="11" eb="13">
      <t>サイヨウ</t>
    </rPh>
    <rPh sb="15" eb="17">
      <t>ブイ</t>
    </rPh>
    <rPh sb="20" eb="21">
      <t>ジ</t>
    </rPh>
    <rPh sb="21" eb="23">
      <t>イナイ</t>
    </rPh>
    <phoneticPr fontId="21"/>
  </si>
  <si>
    <t>リサイクル資材の例</t>
    <rPh sb="5" eb="7">
      <t>シザイ</t>
    </rPh>
    <rPh sb="8" eb="9">
      <t>レイ</t>
    </rPh>
    <phoneticPr fontId="21"/>
  </si>
  <si>
    <t>品目名</t>
    <rPh sb="0" eb="2">
      <t>ヒンモク</t>
    </rPh>
    <rPh sb="2" eb="3">
      <t>メイ</t>
    </rPh>
    <phoneticPr fontId="21"/>
  </si>
  <si>
    <t>①グリーン調達品目（公共工事）</t>
    <rPh sb="5" eb="7">
      <t>チョウタツ</t>
    </rPh>
    <rPh sb="7" eb="9">
      <t>ヒンモク</t>
    </rPh>
    <rPh sb="10" eb="12">
      <t>コウキョウ</t>
    </rPh>
    <rPh sb="12" eb="14">
      <t>コウジ</t>
    </rPh>
    <phoneticPr fontId="21"/>
  </si>
  <si>
    <t>高炉スラグ骨材</t>
    <rPh sb="0" eb="2">
      <t>コウロ</t>
    </rPh>
    <rPh sb="5" eb="7">
      <t>コツザイ</t>
    </rPh>
    <phoneticPr fontId="21"/>
  </si>
  <si>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1"/>
  </si>
  <si>
    <t>5) 安全対策</t>
    <rPh sb="3" eb="5">
      <t>アンゼン</t>
    </rPh>
    <rPh sb="5" eb="7">
      <t>タイサク</t>
    </rPh>
    <phoneticPr fontId="21"/>
  </si>
  <si>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1"/>
  </si>
  <si>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</si>
  <si>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</si>
  <si>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</si>
  <si>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</si>
  <si>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</si>
  <si>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1"/>
  </si>
  <si>
    <t>①換気設備の重要度に応じて系統を区分し，災害時においては重要度の高い系統を優先的に運転するほか，負荷容量を下げた運転も可能となるよう検討している。</t>
    <phoneticPr fontId="21"/>
  </si>
  <si>
    <t>②熱源種（電気，ガスなど）の分散化，二重化，バックアップを行っている。</t>
    <phoneticPr fontId="21"/>
  </si>
  <si>
    <t>③地震時の部分的被害が全体機能の停止を引き起こさないような対策（吊配管など）を行っている。</t>
    <phoneticPr fontId="21"/>
  </si>
  <si>
    <t>④空調設備の重要度に応じて系統を区分し，災害時においては重要度の高い系統を優先的に運転するほか，負荷容量を下げた運転も可能となるよう計画している。</t>
    <phoneticPr fontId="21"/>
  </si>
  <si>
    <r>
      <t xml:space="preserve">2.4.2 </t>
    </r>
    <r>
      <rPr>
        <b/>
        <sz val="10"/>
        <rFont val="ＭＳ Ｐゴシック"/>
        <family val="3"/>
        <charset val="128"/>
      </rPr>
      <t>給排水・衛生設備</t>
    </r>
    <phoneticPr fontId="21"/>
  </si>
  <si>
    <t>事・学・会・病・ホ・工・住</t>
    <phoneticPr fontId="21"/>
  </si>
  <si>
    <t>物・飲</t>
    <phoneticPr fontId="21"/>
  </si>
  <si>
    <t>②可能な限り配管の系統を区分し，災害時の使用不能部分の低減を図っている。</t>
    <phoneticPr fontId="21"/>
  </si>
  <si>
    <t>④受水槽，高架水槽は，二基の水槽をそれぞれに分離して設置している。</t>
    <phoneticPr fontId="21"/>
  </si>
  <si>
    <t>⑤井水，中水などの利用が可能なように計画している。</t>
    <phoneticPr fontId="21"/>
  </si>
  <si>
    <t>②無停電電源設備を備えている。</t>
    <phoneticPr fontId="21"/>
  </si>
  <si>
    <r>
      <t xml:space="preserve">2.4.4 </t>
    </r>
    <r>
      <rPr>
        <b/>
        <sz val="10"/>
        <rFont val="ＭＳ Ｐゴシック"/>
        <family val="3"/>
        <charset val="128"/>
      </rPr>
      <t>機械・配管支持方法</t>
    </r>
    <phoneticPr fontId="21"/>
  </si>
  <si>
    <r>
      <t xml:space="preserve">2.4.5 </t>
    </r>
    <r>
      <rPr>
        <b/>
        <sz val="10"/>
        <rFont val="ＭＳ Ｐゴシック"/>
        <family val="3"/>
        <charset val="128"/>
      </rPr>
      <t>通信・情報設備</t>
    </r>
    <phoneticPr fontId="21"/>
  </si>
  <si>
    <t>ＰＩＤ制御による温度・室内湿度になっている。</t>
    <phoneticPr fontId="21"/>
  </si>
  <si>
    <t>快適センサーなどによる温度・湿度制御（快適範囲における温度制御）が可能である。</t>
    <phoneticPr fontId="21"/>
  </si>
  <si>
    <t>住居・宿泊部分</t>
    <phoneticPr fontId="21"/>
  </si>
  <si>
    <t>竣工年</t>
    <rPh sb="0" eb="2">
      <t>ｼｭﾝｺｳ</t>
    </rPh>
    <rPh sb="2" eb="3">
      <t>ﾈﾝ</t>
    </rPh>
    <phoneticPr fontId="34" type="noConversion"/>
  </si>
  <si>
    <t>評価の実施日</t>
    <rPh sb="0" eb="2">
      <t>ヒョウカ</t>
    </rPh>
    <rPh sb="3" eb="6">
      <t>ジッシビ</t>
    </rPh>
    <phoneticPr fontId="21"/>
  </si>
  <si>
    <t>敷地面積</t>
    <rPh sb="0" eb="2">
      <t>ｼｷﾁ</t>
    </rPh>
    <rPh sb="2" eb="4">
      <t>ﾒﾝｾｷ</t>
    </rPh>
    <phoneticPr fontId="34" type="noConversion"/>
  </si>
  <si>
    <t>作成者</t>
    <rPh sb="0" eb="3">
      <t>サクセイシャ</t>
    </rPh>
    <phoneticPr fontId="21"/>
  </si>
  <si>
    <r>
      <t>Q1</t>
    </r>
    <r>
      <rPr>
        <sz val="11"/>
        <rFont val="ＭＳ Ｐゴシック"/>
        <family val="3"/>
        <charset val="128"/>
      </rPr>
      <t>　
室内環境</t>
    </r>
    <rPh sb="4" eb="6">
      <t>シツナイ</t>
    </rPh>
    <rPh sb="6" eb="8">
      <t>カンキョウ</t>
    </rPh>
    <phoneticPr fontId="21"/>
  </si>
  <si>
    <t>建築面積</t>
    <rPh sb="0" eb="2">
      <t>ｹﾝﾁｸ</t>
    </rPh>
    <rPh sb="2" eb="4">
      <t>ﾒﾝｾｷ</t>
    </rPh>
    <phoneticPr fontId="34" type="noConversion"/>
  </si>
  <si>
    <t>確認日</t>
    <rPh sb="0" eb="2">
      <t>カクニン</t>
    </rPh>
    <rPh sb="2" eb="3">
      <t>ビ</t>
    </rPh>
    <phoneticPr fontId="21"/>
  </si>
  <si>
    <t>Rank(red star)</t>
    <phoneticPr fontId="21"/>
  </si>
  <si>
    <t>延床面積</t>
    <rPh sb="0" eb="1">
      <t>ﾉ</t>
    </rPh>
    <rPh sb="1" eb="4">
      <t>ﾕｶﾒﾝｾｷ</t>
    </rPh>
    <phoneticPr fontId="34" type="noConversion"/>
  </si>
  <si>
    <t>確認者</t>
    <rPh sb="0" eb="2">
      <t>カクニン</t>
    </rPh>
    <rPh sb="2" eb="3">
      <t>シャ</t>
    </rPh>
    <phoneticPr fontId="21"/>
  </si>
  <si>
    <t>(blank star)</t>
    <phoneticPr fontId="21"/>
  </si>
  <si>
    <t>改修工事期間</t>
  </si>
  <si>
    <t>改修対象項目</t>
  </si>
  <si>
    <t>躯体</t>
  </si>
  <si>
    <t>改修目的</t>
  </si>
  <si>
    <t>外装</t>
  </si>
  <si>
    <t>改修後の想定使用年数</t>
    <rPh sb="6" eb="8">
      <t>シヨウ</t>
    </rPh>
    <phoneticPr fontId="21"/>
  </si>
  <si>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</si>
  <si>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</si>
  <si>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</si>
  <si>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4"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</si>
  <si>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1"/>
  </si>
  <si>
    <r>
      <t>2-3</t>
    </r>
    <r>
      <rPr>
        <b/>
        <sz val="12"/>
        <color indexed="9"/>
        <rFont val="ＭＳ Ｐゴシック"/>
        <family val="3"/>
        <charset val="128"/>
      </rPr>
      <t>　大項目の評価（ﾚｰﾀﾞｰﾁｬｰﾄ）</t>
    </r>
    <rPh sb="4" eb="7">
      <t>ダイコウモク</t>
    </rPh>
    <rPh sb="8" eb="10">
      <t>ヒョウカ</t>
    </rPh>
    <phoneticPr fontId="21"/>
  </si>
  <si>
    <t>基準</t>
    <rPh sb="0" eb="2">
      <t>キジュン</t>
    </rPh>
    <phoneticPr fontId="21"/>
  </si>
  <si>
    <t>評価</t>
    <rPh sb="0" eb="2">
      <t>ヒョウカ</t>
    </rPh>
    <phoneticPr fontId="21"/>
  </si>
  <si>
    <t>原点</t>
    <rPh sb="0" eb="2">
      <t>ゲンテン</t>
    </rPh>
    <phoneticPr fontId="21"/>
  </si>
  <si>
    <r>
      <t>BEE</t>
    </r>
    <r>
      <rPr>
        <sz val="11"/>
        <rFont val="ＭＳ Ｐゴシック"/>
        <family val="3"/>
        <charset val="128"/>
      </rPr>
      <t>の分母側</t>
    </r>
    <r>
      <rPr>
        <sz val="11"/>
        <rFont val="Arial"/>
        <family val="2"/>
      </rPr>
      <t>(L)</t>
    </r>
    <rPh sb="4" eb="6">
      <t>ブンボ</t>
    </rPh>
    <rPh sb="6" eb="7">
      <t>ガワ</t>
    </rPh>
    <phoneticPr fontId="21"/>
  </si>
  <si>
    <t>X目盛線</t>
    <rPh sb="1" eb="3">
      <t>メモ</t>
    </rPh>
    <rPh sb="3" eb="4">
      <t>セン</t>
    </rPh>
    <phoneticPr fontId="21"/>
  </si>
  <si>
    <t>Y目盛線</t>
    <rPh sb="1" eb="3">
      <t>メモ</t>
    </rPh>
    <rPh sb="3" eb="4">
      <t>セン</t>
    </rPh>
    <phoneticPr fontId="21"/>
  </si>
  <si>
    <r>
      <t>BEE</t>
    </r>
    <r>
      <rPr>
        <sz val="11"/>
        <rFont val="ＭＳ Ｐゴシック"/>
        <family val="3"/>
        <charset val="128"/>
      </rPr>
      <t>の分子側</t>
    </r>
    <r>
      <rPr>
        <sz val="11"/>
        <rFont val="Arial"/>
        <family val="2"/>
      </rPr>
      <t>(Q)</t>
    </r>
    <rPh sb="4" eb="6">
      <t>ブンシ</t>
    </rPh>
    <rPh sb="6" eb="7">
      <t>ガワ</t>
    </rPh>
    <phoneticPr fontId="21"/>
  </si>
  <si>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1"/>
  </si>
  <si>
    <t>同左</t>
    <rPh sb="0" eb="2">
      <t>ドウサ</t>
    </rPh>
    <phoneticPr fontId="21"/>
  </si>
  <si>
    <t>運用
段階</t>
    <rPh sb="0" eb="2">
      <t>ウンヨウ</t>
    </rPh>
    <rPh sb="3" eb="5">
      <t>ダンカイ</t>
    </rPh>
    <phoneticPr fontId="21"/>
  </si>
  <si>
    <t>参考</t>
    <rPh sb="0" eb="2">
      <t>サンコウ</t>
    </rPh>
    <phoneticPr fontId="21"/>
  </si>
  <si>
    <t>共用部分</t>
    <rPh sb="0" eb="2">
      <t>キョウヨウ</t>
    </rPh>
    <rPh sb="2" eb="4">
      <t>ブブン</t>
    </rPh>
    <phoneticPr fontId="21"/>
  </si>
  <si>
    <t>非住宅部</t>
    <rPh sb="0" eb="1">
      <t>ヒ</t>
    </rPh>
    <rPh sb="1" eb="3">
      <t>ジュウタク</t>
    </rPh>
    <rPh sb="3" eb="4">
      <t>ブ</t>
    </rPh>
    <phoneticPr fontId="21"/>
  </si>
  <si>
    <t>建物の外皮性能</t>
    <rPh sb="0" eb="2">
      <t>タテモノ</t>
    </rPh>
    <rPh sb="3" eb="5">
      <t>ガイヒ</t>
    </rPh>
    <rPh sb="5" eb="7">
      <t>セイノウ</t>
    </rPh>
    <phoneticPr fontId="21"/>
  </si>
  <si>
    <t>非住宅用途</t>
    <rPh sb="0" eb="1">
      <t>ヒ</t>
    </rPh>
    <rPh sb="1" eb="3">
      <t>ジュウタク</t>
    </rPh>
    <rPh sb="3" eb="5">
      <t>ヨウト</t>
    </rPh>
    <phoneticPr fontId="21"/>
  </si>
  <si>
    <t>住宅用途</t>
    <rPh sb="0" eb="2">
      <t>ジュウタク</t>
    </rPh>
    <rPh sb="2" eb="4">
      <t>ヨウト</t>
    </rPh>
    <phoneticPr fontId="21"/>
  </si>
  <si>
    <t>品確法</t>
    <rPh sb="0" eb="3">
      <t>ヒンカクホウ</t>
    </rPh>
    <phoneticPr fontId="21"/>
  </si>
  <si>
    <t>建物の一次エネルギー消費量</t>
    <rPh sb="0" eb="2">
      <t>タテモノ</t>
    </rPh>
    <rPh sb="3" eb="5">
      <t>イチジ</t>
    </rPh>
    <rPh sb="10" eb="13">
      <t>ショウヒリョウ</t>
    </rPh>
    <phoneticPr fontId="21"/>
  </si>
  <si>
    <t>GJ/年</t>
    <rPh sb="3" eb="4">
      <t>ネン</t>
    </rPh>
    <phoneticPr fontId="21"/>
  </si>
  <si>
    <t>LR1/3.設備システムの高効率化</t>
    <rPh sb="6" eb="8">
      <t>セツビ</t>
    </rPh>
    <rPh sb="13" eb="17">
      <t>コウコウリツカ</t>
    </rPh>
    <phoneticPr fontId="21"/>
  </si>
  <si>
    <t>自然エネルギー削減量</t>
    <rPh sb="0" eb="2">
      <t>シゼン</t>
    </rPh>
    <rPh sb="7" eb="9">
      <t>サクゲン</t>
    </rPh>
    <rPh sb="9" eb="10">
      <t>リョウ</t>
    </rPh>
    <phoneticPr fontId="21"/>
  </si>
  <si>
    <t>統計値　MJ/年㎡</t>
    <rPh sb="0" eb="2">
      <t>トウケイ</t>
    </rPh>
    <rPh sb="2" eb="3">
      <t>チ</t>
    </rPh>
    <rPh sb="7" eb="8">
      <t>ネン</t>
    </rPh>
    <phoneticPr fontId="21"/>
  </si>
  <si>
    <t>低減率</t>
    <rPh sb="0" eb="2">
      <t>テイゲン</t>
    </rPh>
    <rPh sb="2" eb="3">
      <t>リツ</t>
    </rPh>
    <phoneticPr fontId="21"/>
  </si>
  <si>
    <t>LR1/4.　効率的な運用</t>
    <rPh sb="7" eb="10">
      <t>コウリツテキ</t>
    </rPh>
    <rPh sb="11" eb="13">
      <t>ウンヨウ</t>
    </rPh>
    <phoneticPr fontId="21"/>
  </si>
  <si>
    <t>住宅部</t>
    <rPh sb="0" eb="2">
      <t>ジュウタク</t>
    </rPh>
    <rPh sb="2" eb="3">
      <t>ブ</t>
    </rPh>
    <phoneticPr fontId="21"/>
  </si>
  <si>
    <t>■基準一次エネルギー消費量</t>
    <rPh sb="1" eb="3">
      <t>ｷｼﾞｭﾝ</t>
    </rPh>
    <rPh sb="3" eb="5">
      <t>ｲﾁｼﾞ</t>
    </rPh>
    <rPh sb="10" eb="13">
      <t>ｼｮｳﾋﾘｮｳ</t>
    </rPh>
    <phoneticPr fontId="34" type="noConversion"/>
  </si>
  <si>
    <t>■設計一次エネルギー消費量(1)</t>
    <rPh sb="1" eb="3">
      <t>ｾｯｹｲ</t>
    </rPh>
    <rPh sb="3" eb="5">
      <t>ｲﾁｼﾞ</t>
    </rPh>
    <rPh sb="10" eb="13">
      <t>ｼｮｳﾋﾘｮｳ</t>
    </rPh>
    <phoneticPr fontId="34" type="noConversion"/>
  </si>
  <si>
    <t>一次エネルギー消費量</t>
    <rPh sb="0" eb="2">
      <t>イチジ</t>
    </rPh>
    <rPh sb="7" eb="10">
      <t>ショウヒリョウ</t>
    </rPh>
    <phoneticPr fontId="23"/>
  </si>
  <si>
    <t>用途別面積</t>
    <rPh sb="0" eb="2">
      <t>ヨウト</t>
    </rPh>
    <rPh sb="2" eb="3">
      <t>ベツ</t>
    </rPh>
    <rPh sb="3" eb="5">
      <t>メンセキ</t>
    </rPh>
    <phoneticPr fontId="23"/>
  </si>
  <si>
    <t>3）空間提供による地域貢献</t>
    <phoneticPr fontId="21"/>
  </si>
  <si>
    <t>III 建物内外を連関させる豊かな中間
領域の形成</t>
    <phoneticPr fontId="21"/>
  </si>
  <si>
    <t>5）建物内外を連関させる豊かな中間領域の形成</t>
    <phoneticPr fontId="21"/>
  </si>
  <si>
    <t>地球温暖化への配慮</t>
    <rPh sb="0" eb="2">
      <t>ﾁｷｭｳ</t>
    </rPh>
    <rPh sb="2" eb="5">
      <t>ｵﾝﾀﾞﾝｶ</t>
    </rPh>
    <rPh sb="7" eb="9">
      <t>ﾊｲﾘｮ</t>
    </rPh>
    <phoneticPr fontId="34" type="noConversion"/>
  </si>
  <si>
    <t>地域環境への配慮</t>
    <rPh sb="0" eb="2">
      <t>ﾁｲｷ</t>
    </rPh>
    <rPh sb="2" eb="4">
      <t>ｶﾝｷｮｳ</t>
    </rPh>
    <rPh sb="6" eb="8">
      <t>ﾊｲﾘｮ</t>
    </rPh>
    <phoneticPr fontId="34" type="noConversion"/>
  </si>
  <si>
    <t>大気汚染防止</t>
    <rPh sb="0" eb="2">
      <t>ﾀｲｷ</t>
    </rPh>
    <rPh sb="2" eb="4">
      <t>ｵｾﾝ</t>
    </rPh>
    <rPh sb="4" eb="6">
      <t>ﾎﾞｳｼ</t>
    </rPh>
    <phoneticPr fontId="34" type="noConversion"/>
  </si>
  <si>
    <t>地域インフラへの負荷抑制</t>
    <rPh sb="0" eb="2">
      <t>チイキ</t>
    </rPh>
    <rPh sb="8" eb="10">
      <t>フカ</t>
    </rPh>
    <rPh sb="10" eb="12">
      <t>ヨクセイ</t>
    </rPh>
    <phoneticPr fontId="21"/>
  </si>
  <si>
    <t>交通負荷抑制</t>
    <rPh sb="0" eb="2">
      <t>ｺｳﾂｳ</t>
    </rPh>
    <rPh sb="2" eb="4">
      <t>ﾌｶ</t>
    </rPh>
    <rPh sb="4" eb="6">
      <t>ﾖｸｾｲ</t>
    </rPh>
    <phoneticPr fontId="34" type="noConversion"/>
  </si>
  <si>
    <t>駐車場等</t>
    <rPh sb="0" eb="3">
      <t>チュウシャジョウ</t>
    </rPh>
    <rPh sb="3" eb="4">
      <t>トウ</t>
    </rPh>
    <phoneticPr fontId="21"/>
  </si>
  <si>
    <t>○○ビル</t>
    <phoneticPr fontId="21"/>
  </si>
  <si>
    <t>XXX</t>
    <phoneticPr fontId="21"/>
  </si>
  <si>
    <t>㎡</t>
    <phoneticPr fontId="21"/>
  </si>
  <si>
    <t>XXX</t>
    <phoneticPr fontId="21"/>
  </si>
  <si>
    <t>㎡</t>
    <phoneticPr fontId="21"/>
  </si>
  <si>
    <t>○○</t>
    <phoneticPr fontId="21"/>
  </si>
  <si>
    <t>XX</t>
    <phoneticPr fontId="21"/>
  </si>
  <si>
    <t>XXX</t>
    <phoneticPr fontId="21"/>
  </si>
  <si>
    <r>
      <t>c</t>
    </r>
    <r>
      <rPr>
        <sz val="11"/>
        <rFont val="ＭＳ Ｐゴシック"/>
        <family val="3"/>
        <charset val="128"/>
      </rPr>
      <t>ommon</t>
    </r>
    <phoneticPr fontId="21"/>
  </si>
  <si>
    <t>Residential</t>
    <phoneticPr fontId="21"/>
  </si>
  <si>
    <t xml:space="preserve"> 事務所</t>
    <phoneticPr fontId="21"/>
  </si>
  <si>
    <t>㎡</t>
    <phoneticPr fontId="21"/>
  </si>
  <si>
    <t>ホテル</t>
    <phoneticPr fontId="21"/>
  </si>
  <si>
    <t xml:space="preserve"> 集合住宅（戸建は対象外）</t>
    <phoneticPr fontId="21"/>
  </si>
  <si>
    <t>排水の施設・設備</t>
    <rPh sb="0" eb="2">
      <t>ハイスイ</t>
    </rPh>
    <rPh sb="3" eb="5">
      <t>シセツ</t>
    </rPh>
    <rPh sb="6" eb="8">
      <t>セツビ</t>
    </rPh>
    <phoneticPr fontId="21"/>
  </si>
  <si>
    <t>木　材</t>
  </si>
  <si>
    <t>.建物全体・共用部分</t>
    <phoneticPr fontId="21"/>
  </si>
  <si>
    <t>住居・宿泊部分</t>
    <phoneticPr fontId="21"/>
  </si>
  <si>
    <t>設備騒音の種類</t>
    <phoneticPr fontId="21"/>
  </si>
  <si>
    <t>対策例</t>
    <phoneticPr fontId="21"/>
  </si>
  <si>
    <t>設備騒音の種類</t>
    <phoneticPr fontId="21"/>
  </si>
  <si>
    <t>対策例</t>
    <phoneticPr fontId="21"/>
  </si>
  <si>
    <t>通信機関係等</t>
    <phoneticPr fontId="21"/>
  </si>
  <si>
    <t>放送室等</t>
    <phoneticPr fontId="21"/>
  </si>
  <si>
    <t>制御室等</t>
    <phoneticPr fontId="21"/>
  </si>
  <si>
    <t>フィルム等保管庫</t>
    <phoneticPr fontId="21"/>
  </si>
  <si>
    <t>危険物施設の計器室等</t>
    <phoneticPr fontId="21"/>
  </si>
  <si>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1"/>
  </si>
  <si>
    <t>学校版</t>
    <rPh sb="0" eb="2">
      <t>ガッコウ</t>
    </rPh>
    <rPh sb="2" eb="3">
      <t>バン</t>
    </rPh>
    <phoneticPr fontId="21"/>
  </si>
  <si>
    <t>大掃除の実施</t>
    <rPh sb="0" eb="3">
      <t>オオソウジ</t>
    </rPh>
    <rPh sb="4" eb="6">
      <t>ジッシ</t>
    </rPh>
    <phoneticPr fontId="21"/>
  </si>
  <si>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1"/>
  </si>
  <si>
    <t>電気％</t>
    <rPh sb="0" eb="2">
      <t>デンキ</t>
    </rPh>
    <phoneticPr fontId="21"/>
  </si>
  <si>
    <t>住宅　専有部（住戸全体）</t>
    <rPh sb="0" eb="2">
      <t>ジュウタク</t>
    </rPh>
    <rPh sb="3" eb="5">
      <t>センユウ</t>
    </rPh>
    <rPh sb="5" eb="6">
      <t>ブ</t>
    </rPh>
    <rPh sb="7" eb="9">
      <t>ジュウコ</t>
    </rPh>
    <rPh sb="9" eb="11">
      <t>ゼンタイ</t>
    </rPh>
    <phoneticPr fontId="21"/>
  </si>
  <si>
    <t>太陽光発電の発電量</t>
    <phoneticPr fontId="21"/>
  </si>
  <si>
    <t>建設</t>
    <rPh sb="0" eb="2">
      <t>ケンセツ</t>
    </rPh>
    <phoneticPr fontId="21"/>
  </si>
  <si>
    <t>修繕・更新・解体</t>
    <rPh sb="0" eb="2">
      <t>シュウゼン</t>
    </rPh>
    <rPh sb="3" eb="5">
      <t>コウシン</t>
    </rPh>
    <rPh sb="6" eb="8">
      <t>カイタイ</t>
    </rPh>
    <phoneticPr fontId="21"/>
  </si>
  <si>
    <t>運用</t>
    <rPh sb="0" eb="2">
      <t>ウンヨウ</t>
    </rPh>
    <phoneticPr fontId="21"/>
  </si>
  <si>
    <t>Ref</t>
    <phoneticPr fontId="21"/>
  </si>
  <si>
    <r>
      <t>Q</t>
    </r>
    <r>
      <rPr>
        <b/>
        <sz val="11"/>
        <color indexed="26"/>
        <rFont val="ＭＳ Ｐゴシック"/>
        <family val="3"/>
        <charset val="128"/>
      </rPr>
      <t>　環境品質</t>
    </r>
    <rPh sb="2" eb="4">
      <t>カンキョウ</t>
    </rPh>
    <rPh sb="4" eb="6">
      <t>ヒンシツ</t>
    </rPh>
    <phoneticPr fontId="21"/>
  </si>
  <si>
    <r>
      <t>Q</t>
    </r>
    <r>
      <rPr>
        <b/>
        <i/>
        <sz val="14"/>
        <color indexed="9"/>
        <rFont val="ＭＳ Ｐゴシック"/>
        <family val="3"/>
        <charset val="128"/>
      </rPr>
      <t>のスコア</t>
    </r>
    <r>
      <rPr>
        <b/>
        <i/>
        <sz val="14"/>
        <color indexed="9"/>
        <rFont val="Arial"/>
        <family val="2"/>
      </rPr>
      <t>=</t>
    </r>
    <phoneticPr fontId="21"/>
  </si>
  <si>
    <t>Subjest1</t>
    <phoneticPr fontId="21"/>
  </si>
  <si>
    <t>Subjest2</t>
    <phoneticPr fontId="21"/>
  </si>
  <si>
    <t>Subjest3</t>
    <phoneticPr fontId="21"/>
  </si>
  <si>
    <t>Score</t>
    <phoneticPr fontId="21"/>
  </si>
  <si>
    <t>開口部遮音性能</t>
    <phoneticPr fontId="21"/>
  </si>
  <si>
    <t>界壁遮音性能</t>
  </si>
  <si>
    <t>界床遮音性能（軽量衝撃源）</t>
  </si>
  <si>
    <t>界床遮音性能（重量衝撃源）</t>
  </si>
  <si>
    <t>吸音</t>
  </si>
  <si>
    <t>温熱環境</t>
    <rPh sb="0" eb="2">
      <t>ｵﾝﾈﾂ</t>
    </rPh>
    <rPh sb="2" eb="4">
      <t>ｶﾝｷｮｳ</t>
    </rPh>
    <phoneticPr fontId="34" type="noConversion"/>
  </si>
  <si>
    <t>室温制御</t>
    <rPh sb="0" eb="2">
      <t>ｼﾂｵﾝ</t>
    </rPh>
    <rPh sb="2" eb="4">
      <t>ｾｲｷﾞｮ</t>
    </rPh>
    <phoneticPr fontId="34" type="noConversion"/>
  </si>
  <si>
    <t>外皮性能</t>
    <rPh sb="0" eb="2">
      <t>ガイヒ</t>
    </rPh>
    <rPh sb="2" eb="4">
      <t>セイノウ</t>
    </rPh>
    <phoneticPr fontId="21"/>
  </si>
  <si>
    <t>ゾーン別制御性</t>
    <rPh sb="3" eb="4">
      <t>ベツ</t>
    </rPh>
    <rPh sb="4" eb="7">
      <t>セイギョセイ</t>
    </rPh>
    <phoneticPr fontId="21"/>
  </si>
  <si>
    <t>個別制御</t>
    <rPh sb="0" eb="2">
      <t>コベツ</t>
    </rPh>
    <rPh sb="2" eb="4">
      <t>セイギョ</t>
    </rPh>
    <phoneticPr fontId="21"/>
  </si>
  <si>
    <t>居室面積の1/6以上の開閉可能な窓を確保している。</t>
    <phoneticPr fontId="21"/>
  </si>
  <si>
    <t>Q2 サービス性能</t>
    <phoneticPr fontId="21"/>
  </si>
  <si>
    <t>Q</t>
    <phoneticPr fontId="21"/>
  </si>
  <si>
    <t>Q3</t>
    <phoneticPr fontId="21"/>
  </si>
  <si>
    <t>気候区分</t>
    <phoneticPr fontId="21"/>
  </si>
  <si>
    <t>BEE(Round)</t>
    <phoneticPr fontId="21"/>
  </si>
  <si>
    <t>LR1</t>
    <phoneticPr fontId="21"/>
  </si>
  <si>
    <t>LR1 
エネルギー</t>
    <phoneticPr fontId="21"/>
  </si>
  <si>
    <t>㎡</t>
    <phoneticPr fontId="34" type="noConversion"/>
  </si>
  <si>
    <t>Q1</t>
    <phoneticPr fontId="21"/>
  </si>
  <si>
    <t>㎡</t>
    <phoneticPr fontId="34" type="noConversion"/>
  </si>
  <si>
    <r>
      <t>BEE</t>
    </r>
    <r>
      <rPr>
        <sz val="11"/>
        <rFont val="ＭＳ Ｐゴシック"/>
        <family val="3"/>
        <charset val="128"/>
      </rPr>
      <t>グラフ</t>
    </r>
    <phoneticPr fontId="21"/>
  </si>
  <si>
    <t>BEE</t>
    <phoneticPr fontId="21"/>
  </si>
  <si>
    <t>X</t>
    <phoneticPr fontId="21"/>
  </si>
  <si>
    <t>S</t>
    <phoneticPr fontId="21"/>
  </si>
  <si>
    <t>A</t>
    <phoneticPr fontId="21"/>
  </si>
  <si>
    <t>B+</t>
    <phoneticPr fontId="21"/>
  </si>
  <si>
    <t>B</t>
    <phoneticPr fontId="21"/>
  </si>
  <si>
    <t>B-</t>
    <phoneticPr fontId="21"/>
  </si>
  <si>
    <t>Rank(green star)</t>
    <phoneticPr fontId="21"/>
  </si>
  <si>
    <t xml:space="preserve"> ④上記+
　オフサイト手法</t>
    <phoneticPr fontId="21"/>
  </si>
  <si>
    <t>■構造</t>
    <rPh sb="1" eb="3">
      <t>コウゾウ</t>
    </rPh>
    <phoneticPr fontId="21"/>
  </si>
  <si>
    <t>RC造</t>
    <rPh sb="2" eb="3">
      <t>ゾウ</t>
    </rPh>
    <phoneticPr fontId="21"/>
  </si>
  <si>
    <t>S造</t>
    <rPh sb="1" eb="2">
      <t>ゾウ</t>
    </rPh>
    <phoneticPr fontId="21"/>
  </si>
  <si>
    <t>SRC造</t>
    <rPh sb="3" eb="4">
      <t>ゾウ</t>
    </rPh>
    <phoneticPr fontId="21"/>
  </si>
  <si>
    <t>木造</t>
    <rPh sb="0" eb="2">
      <t>モクゾウ</t>
    </rPh>
    <phoneticPr fontId="21"/>
  </si>
  <si>
    <t>■平均居住人員</t>
    <rPh sb="1" eb="3">
      <t>ﾍｲｷﾝ</t>
    </rPh>
    <rPh sb="3" eb="5">
      <t>ｷｮｼﾞｭｳ</t>
    </rPh>
    <rPh sb="5" eb="7">
      <t>ｼﾞﾝｲﾝ</t>
    </rPh>
    <phoneticPr fontId="34" type="noConversion"/>
  </si>
  <si>
    <t>人（想定値）</t>
    <rPh sb="0" eb="1">
      <t>ニン</t>
    </rPh>
    <rPh sb="2" eb="4">
      <t>ソウテイ</t>
    </rPh>
    <rPh sb="4" eb="5">
      <t>アタイ</t>
    </rPh>
    <phoneticPr fontId="21"/>
  </si>
  <si>
    <t>■年間使用時間</t>
    <rPh sb="1" eb="3">
      <t>ﾈﾝｶﾝ</t>
    </rPh>
    <rPh sb="3" eb="5">
      <t>ｼﾖｳ</t>
    </rPh>
    <rPh sb="5" eb="7">
      <t>ｼﾞｶﾝ</t>
    </rPh>
    <phoneticPr fontId="34" type="noConversion"/>
  </si>
  <si>
    <t>時間/年（想定値）</t>
    <rPh sb="0" eb="2">
      <t>ジカン</t>
    </rPh>
    <rPh sb="3" eb="4">
      <t>ネン</t>
    </rPh>
    <phoneticPr fontId="21"/>
  </si>
  <si>
    <t>② 評価の実施</t>
    <rPh sb="2" eb="4">
      <t>ヒョウカ</t>
    </rPh>
    <rPh sb="5" eb="7">
      <t>ジッシ</t>
    </rPh>
    <phoneticPr fontId="21"/>
  </si>
  <si>
    <t>既存</t>
    <rPh sb="0" eb="2">
      <t>キソン</t>
    </rPh>
    <phoneticPr fontId="21"/>
  </si>
  <si>
    <t>新築</t>
    <rPh sb="0" eb="2">
      <t>シンチク</t>
    </rPh>
    <phoneticPr fontId="21"/>
  </si>
  <si>
    <t>既存学校版</t>
    <rPh sb="0" eb="2">
      <t>キソン</t>
    </rPh>
    <rPh sb="2" eb="4">
      <t>ガッコウ</t>
    </rPh>
    <rPh sb="4" eb="5">
      <t>バン</t>
    </rPh>
    <phoneticPr fontId="21"/>
  </si>
  <si>
    <r>
      <t xml:space="preserve">■ </t>
    </r>
    <r>
      <rPr>
        <sz val="10"/>
        <rFont val="ＭＳ Ｐゴシック"/>
        <family val="3"/>
        <charset val="128"/>
      </rPr>
      <t>評価の実施</t>
    </r>
    <rPh sb="2" eb="4">
      <t>ヒョウカ</t>
    </rPh>
    <rPh sb="5" eb="7">
      <t>ジッシ</t>
    </rPh>
    <phoneticPr fontId="21"/>
  </si>
  <si>
    <t>実施設計段階</t>
    <rPh sb="0" eb="2">
      <t>ジッシ</t>
    </rPh>
    <rPh sb="2" eb="4">
      <t>セッケイ</t>
    </rPh>
    <rPh sb="4" eb="6">
      <t>ダンカイ</t>
    </rPh>
    <phoneticPr fontId="21"/>
  </si>
  <si>
    <t>基本設計段階</t>
    <rPh sb="0" eb="2">
      <t>キホン</t>
    </rPh>
    <rPh sb="2" eb="4">
      <t>セッケイ</t>
    </rPh>
    <rPh sb="4" eb="6">
      <t>ダンカイ</t>
    </rPh>
    <phoneticPr fontId="21"/>
  </si>
  <si>
    <t>躯体材料の耐用年数</t>
    <rPh sb="0" eb="2">
      <t>クタイ</t>
    </rPh>
    <rPh sb="2" eb="4">
      <t>ザイリョウ</t>
    </rPh>
    <rPh sb="5" eb="7">
      <t>タイヨウ</t>
    </rPh>
    <rPh sb="7" eb="9">
      <t>ネンスウ</t>
    </rPh>
    <phoneticPr fontId="21"/>
  </si>
  <si>
    <t>外壁仕上げ材の補修必要間隔</t>
    <rPh sb="0" eb="2">
      <t>ガイヘキ</t>
    </rPh>
    <rPh sb="2" eb="4">
      <t>シア</t>
    </rPh>
    <rPh sb="5" eb="6">
      <t>ザイ</t>
    </rPh>
    <rPh sb="7" eb="9">
      <t>ホシュウ</t>
    </rPh>
    <rPh sb="9" eb="11">
      <t>ヒツヨウ</t>
    </rPh>
    <rPh sb="11" eb="13">
      <t>カンカク</t>
    </rPh>
    <phoneticPr fontId="21"/>
  </si>
  <si>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1"/>
  </si>
  <si>
    <t>空調換気ダクトの更新必要間隔</t>
    <rPh sb="0" eb="2">
      <t>クウチョウ</t>
    </rPh>
    <rPh sb="2" eb="4">
      <t>カンキ</t>
    </rPh>
    <rPh sb="8" eb="10">
      <t>コウシン</t>
    </rPh>
    <rPh sb="10" eb="12">
      <t>ヒツヨウ</t>
    </rPh>
    <rPh sb="12" eb="14">
      <t>カンカク</t>
    </rPh>
    <phoneticPr fontId="21"/>
  </si>
  <si>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1"/>
  </si>
  <si>
    <t>主要設備機器の更新必要間隔</t>
    <rPh sb="0" eb="2">
      <t>シュヨウ</t>
    </rPh>
    <rPh sb="2" eb="4">
      <t>セツビ</t>
    </rPh>
    <rPh sb="4" eb="6">
      <t>キキ</t>
    </rPh>
    <rPh sb="7" eb="9">
      <t>コウシン</t>
    </rPh>
    <rPh sb="9" eb="11">
      <t>ヒツヨウ</t>
    </rPh>
    <rPh sb="11" eb="13">
      <t>カンカク</t>
    </rPh>
    <phoneticPr fontId="21"/>
  </si>
  <si>
    <t>適切な更新</t>
    <rPh sb="0" eb="2">
      <t>テキセツ</t>
    </rPh>
    <rPh sb="3" eb="5">
      <t>コウシン</t>
    </rPh>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</si>
  <si>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</si>
  <si>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</si>
  <si>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</si>
  <si>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○○による</t>
    <phoneticPr fontId="21"/>
  </si>
  <si>
    <t>○○</t>
    <phoneticPr fontId="21"/>
  </si>
  <si>
    <t>○○</t>
    <phoneticPr fontId="21"/>
  </si>
  <si>
    <t>○○</t>
    <phoneticPr fontId="21"/>
  </si>
  <si>
    <t>合計</t>
    <phoneticPr fontId="21"/>
  </si>
  <si>
    <t>kWh/年</t>
    <phoneticPr fontId="21"/>
  </si>
  <si>
    <t>自家消費分</t>
    <phoneticPr fontId="21"/>
  </si>
  <si>
    <t>kWh/年</t>
    <phoneticPr fontId="21"/>
  </si>
  <si>
    <t>段階</t>
    <phoneticPr fontId="21"/>
  </si>
  <si>
    <t>余剰売電分</t>
    <phoneticPr fontId="21"/>
  </si>
  <si>
    <t>水平方向から見て光源が露出しグレアを制限していない器具。G3分類の器具。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</si>
  <si>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1"/>
  </si>
  <si>
    <t>CFC-12</t>
    <phoneticPr fontId="21"/>
  </si>
  <si>
    <t>HCFC-142b</t>
    <phoneticPr fontId="21"/>
  </si>
  <si>
    <t>フェノールフォーム</t>
    <phoneticPr fontId="21"/>
  </si>
  <si>
    <t>CFC-113</t>
    <phoneticPr fontId="21"/>
  </si>
  <si>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1"/>
  </si>
  <si>
    <t>ODP（CFC基準）</t>
    <phoneticPr fontId="21"/>
  </si>
  <si>
    <t>レベル１（フロン）</t>
    <phoneticPr fontId="21"/>
  </si>
  <si>
    <t>レベル２（フロン）</t>
    <phoneticPr fontId="21"/>
  </si>
  <si>
    <t>0.02～0.06</t>
    <phoneticPr fontId="21"/>
  </si>
  <si>
    <t>レベル３</t>
    <phoneticPr fontId="21"/>
  </si>
  <si>
    <t>講堂・礼拝堂</t>
    <rPh sb="0" eb="2">
      <t>コウドウ</t>
    </rPh>
    <rPh sb="3" eb="6">
      <t>レイハイドウ</t>
    </rPh>
    <phoneticPr fontId="21"/>
  </si>
  <si>
    <t>研究室・普通教室</t>
    <rPh sb="0" eb="3">
      <t>ケンキュウシツ</t>
    </rPh>
    <rPh sb="4" eb="6">
      <t>フツウ</t>
    </rPh>
    <rPh sb="6" eb="8">
      <t>キョウシツ</t>
    </rPh>
    <phoneticPr fontId="21"/>
  </si>
  <si>
    <t>廊下</t>
    <rPh sb="0" eb="2">
      <t>ロウカ</t>
    </rPh>
    <phoneticPr fontId="21"/>
  </si>
  <si>
    <t>節水の仕組みなし。</t>
    <phoneticPr fontId="21"/>
  </si>
  <si>
    <t>事・学・物・飲・会・病・ホ・工・住</t>
    <phoneticPr fontId="21"/>
  </si>
  <si>
    <t>(該当するレベルなし)</t>
    <phoneticPr fontId="21"/>
  </si>
  <si>
    <t>(該当するレベルなし)</t>
    <phoneticPr fontId="21"/>
  </si>
  <si>
    <t>Fc=60以上100未満　かつF=490以上</t>
    <phoneticPr fontId="21"/>
  </si>
  <si>
    <t>Fc=100以上　かつF=590以上</t>
    <phoneticPr fontId="21"/>
  </si>
  <si>
    <t>F=355以上　440未満</t>
    <phoneticPr fontId="21"/>
  </si>
  <si>
    <t>F=440以上</t>
    <phoneticPr fontId="21"/>
  </si>
  <si>
    <t>主要構造躯体におけるその他の対策</t>
    <phoneticPr fontId="21"/>
  </si>
  <si>
    <t>節水</t>
    <rPh sb="0" eb="2">
      <t>セッスイ</t>
    </rPh>
    <phoneticPr fontId="21"/>
  </si>
  <si>
    <t>共用部</t>
    <rPh sb="0" eb="2">
      <t>キョウヨウ</t>
    </rPh>
    <rPh sb="2" eb="3">
      <t>ブ</t>
    </rPh>
    <phoneticPr fontId="21"/>
  </si>
  <si>
    <t>広さ感・景観</t>
    <rPh sb="0" eb="1">
      <t>ヒロ</t>
    </rPh>
    <rPh sb="2" eb="3">
      <t>カン</t>
    </rPh>
    <rPh sb="4" eb="6">
      <t>ケイカン</t>
    </rPh>
    <phoneticPr fontId="21"/>
  </si>
  <si>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</si>
  <si>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</si>
  <si>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</si>
  <si>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</si>
  <si>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</si>
  <si>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</si>
  <si>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</si>
  <si>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</si>
  <si>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</si>
  <si>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</si>
  <si>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</si>
  <si>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</si>
  <si>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III効果の確認</t>
  </si>
  <si>
    <t>6)シミュレーション等による温熱環境悪化改善の効果の確認</t>
  </si>
  <si>
    <t>②敷地周辺の地形建物緑地等の現況と計画建物に対して流体数値シミュレーション等を行って影響を予測している場合(2ポイント)</t>
  </si>
  <si>
    <t>対象外</t>
  </si>
  <si>
    <r>
      <t xml:space="preserve">2.3.4 </t>
    </r>
    <r>
      <rPr>
        <b/>
        <sz val="10"/>
        <rFont val="ＭＳ Ｐゴシック"/>
        <family val="3"/>
        <charset val="128"/>
      </rPr>
      <t>廃棄物処理負荷抑制</t>
    </r>
    <rPh sb="13" eb="15">
      <t>ヨクセイ</t>
    </rPh>
    <phoneticPr fontId="21"/>
  </si>
  <si>
    <t>既存は住の基準あり</t>
    <rPh sb="0" eb="2">
      <t>キソン</t>
    </rPh>
    <rPh sb="3" eb="4">
      <t>ジュウ</t>
    </rPh>
    <rPh sb="5" eb="7">
      <t>キジュン</t>
    </rPh>
    <phoneticPr fontId="21"/>
  </si>
  <si>
    <t>新築なし</t>
    <rPh sb="0" eb="2">
      <t>シンチク</t>
    </rPh>
    <phoneticPr fontId="21"/>
  </si>
  <si>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1"/>
  </si>
  <si>
    <t>騒音・振動・悪臭の防止</t>
    <rPh sb="0" eb="2">
      <t>ソウオン</t>
    </rPh>
    <rPh sb="3" eb="5">
      <t>シンドウ</t>
    </rPh>
    <rPh sb="6" eb="8">
      <t>アクシュウ</t>
    </rPh>
    <rPh sb="9" eb="11">
      <t>ボウシ</t>
    </rPh>
    <phoneticPr fontId="21"/>
  </si>
  <si>
    <r>
      <t xml:space="preserve">3.1.1 </t>
    </r>
    <r>
      <rPr>
        <b/>
        <sz val="10"/>
        <rFont val="ＭＳ Ｐゴシック"/>
        <family val="3"/>
        <charset val="128"/>
      </rPr>
      <t>騒音</t>
    </r>
    <rPh sb="6" eb="8">
      <t>ソウオン</t>
    </rPh>
    <phoneticPr fontId="21"/>
  </si>
  <si>
    <t>規制対象建物以外の場合</t>
    <rPh sb="0" eb="2">
      <t>キセイ</t>
    </rPh>
    <rPh sb="2" eb="4">
      <t>タイショウ</t>
    </rPh>
    <rPh sb="4" eb="6">
      <t>タテモノ</t>
    </rPh>
    <rPh sb="6" eb="8">
      <t>イガイ</t>
    </rPh>
    <rPh sb="9" eb="11">
      <t>バアイ</t>
    </rPh>
    <phoneticPr fontId="21"/>
  </si>
  <si>
    <t>騒音に関する規制基準値</t>
    <rPh sb="0" eb="2">
      <t>ソウオン</t>
    </rPh>
    <rPh sb="3" eb="4">
      <t>カン</t>
    </rPh>
    <rPh sb="6" eb="8">
      <t>キセイ</t>
    </rPh>
    <rPh sb="8" eb="11">
      <t>キジュンチ</t>
    </rPh>
    <phoneticPr fontId="21"/>
  </si>
  <si>
    <t>第1種区域</t>
    <rPh sb="0" eb="1">
      <t>ダイ</t>
    </rPh>
    <rPh sb="2" eb="3">
      <t>シュ</t>
    </rPh>
    <rPh sb="3" eb="5">
      <t>クイキ</t>
    </rPh>
    <phoneticPr fontId="21"/>
  </si>
  <si>
    <t>第２種区域</t>
    <rPh sb="3" eb="5">
      <t>クイキ</t>
    </rPh>
    <phoneticPr fontId="21"/>
  </si>
  <si>
    <t>　レベル 1</t>
  </si>
  <si>
    <t>レベル３を
満たさない</t>
  </si>
  <si>
    <t>45dB以下</t>
  </si>
  <si>
    <t>40dB以下</t>
  </si>
  <si>
    <t>35dB以下</t>
  </si>
  <si>
    <t>第３種区域</t>
    <rPh sb="0" eb="1">
      <t>ダイ</t>
    </rPh>
    <rPh sb="2" eb="3">
      <t>シュ</t>
    </rPh>
    <rPh sb="3" eb="5">
      <t>クイキ</t>
    </rPh>
    <phoneticPr fontId="21"/>
  </si>
  <si>
    <t>第４種区域</t>
    <rPh sb="0" eb="1">
      <t>ダイ</t>
    </rPh>
    <rPh sb="2" eb="3">
      <t>シュ</t>
    </rPh>
    <rPh sb="3" eb="5">
      <t>クイキ</t>
    </rPh>
    <phoneticPr fontId="21"/>
  </si>
  <si>
    <t>60dB以下</t>
  </si>
  <si>
    <t>55dB以下</t>
  </si>
  <si>
    <t>50dB以下</t>
  </si>
  <si>
    <t>70dB以下</t>
  </si>
  <si>
    <t>強風域の発生などについての事前調査や風害抑制対策を行っていない。</t>
  </si>
  <si>
    <t>光・視環境</t>
    <rPh sb="0" eb="1">
      <t>ヒカリ</t>
    </rPh>
    <rPh sb="2" eb="3">
      <t>シ</t>
    </rPh>
    <rPh sb="3" eb="5">
      <t>カンキョウ</t>
    </rPh>
    <phoneticPr fontId="21"/>
  </si>
  <si>
    <t>昼光利用</t>
    <rPh sb="0" eb="1">
      <t>ヒル</t>
    </rPh>
    <rPh sb="1" eb="2">
      <t>ヒカリ</t>
    </rPh>
    <rPh sb="2" eb="4">
      <t>リヨウ</t>
    </rPh>
    <phoneticPr fontId="21"/>
  </si>
  <si>
    <r>
      <t xml:space="preserve">3.1.1 </t>
    </r>
    <r>
      <rPr>
        <b/>
        <sz val="10"/>
        <rFont val="ＭＳ Ｐゴシック"/>
        <family val="3"/>
        <charset val="128"/>
      </rPr>
      <t>昼光率</t>
    </r>
    <rPh sb="6" eb="7">
      <t>ヒル</t>
    </rPh>
    <rPh sb="7" eb="8">
      <t>ヒカリ</t>
    </rPh>
    <rPh sb="8" eb="9">
      <t>リツ</t>
    </rPh>
    <phoneticPr fontId="21"/>
  </si>
  <si>
    <t>事・学・病・ホ・工・住</t>
    <rPh sb="10" eb="11">
      <t>ジュウ</t>
    </rPh>
    <phoneticPr fontId="21"/>
  </si>
  <si>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</si>
  <si>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</si>
  <si>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</si>
  <si>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</si>
  <si>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</si>
  <si>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</si>
  <si>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</si>
  <si>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</si>
  <si>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1"/>
  </si>
  <si>
    <t>南面に窓がない。</t>
  </si>
  <si>
    <t>南面に窓がある。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</si>
  <si>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1"/>
  </si>
  <si>
    <t>事・学・工</t>
    <rPh sb="4" eb="5">
      <t>コウ</t>
    </rPh>
    <phoneticPr fontId="21"/>
  </si>
  <si>
    <t>病・ホ・住</t>
    <rPh sb="4" eb="5">
      <t>ジュウ</t>
    </rPh>
    <phoneticPr fontId="21"/>
  </si>
  <si>
    <t>昼光利用設備がない。</t>
  </si>
  <si>
    <t>昼光利用設備が１種類ある。</t>
  </si>
  <si>
    <t>グレア対策</t>
    <rPh sb="3" eb="5">
      <t>タイサク</t>
    </rPh>
    <phoneticPr fontId="21"/>
  </si>
  <si>
    <r>
      <t xml:space="preserve">3.2.1 </t>
    </r>
    <r>
      <rPr>
        <b/>
        <sz val="10"/>
        <rFont val="ＭＳ Ｐゴシック"/>
        <family val="3"/>
        <charset val="128"/>
      </rPr>
      <t>照明器具のグレア</t>
    </r>
    <rPh sb="6" eb="8">
      <t>ショウメイ</t>
    </rPh>
    <rPh sb="8" eb="10">
      <t>キグ</t>
    </rPh>
    <phoneticPr fontId="21"/>
  </si>
  <si>
    <t>教室の天井高がおおむね2.7mである。</t>
    <rPh sb="0" eb="2">
      <t>キョウシツ</t>
    </rPh>
    <rPh sb="3" eb="5">
      <t>テンジョウ</t>
    </rPh>
    <rPh sb="5" eb="6">
      <t>ダカ</t>
    </rPh>
    <phoneticPr fontId="21"/>
  </si>
  <si>
    <t>教室の天井高が2.7mを超えている。</t>
    <rPh sb="0" eb="2">
      <t>キョウシツ</t>
    </rPh>
    <rPh sb="3" eb="5">
      <t>テンジョウ</t>
    </rPh>
    <rPh sb="5" eb="6">
      <t>ダカ</t>
    </rPh>
    <rPh sb="12" eb="13">
      <t>コ</t>
    </rPh>
    <phoneticPr fontId="21"/>
  </si>
  <si>
    <r>
      <t xml:space="preserve">2.1.1 </t>
    </r>
    <r>
      <rPr>
        <b/>
        <sz val="10"/>
        <rFont val="ＭＳ Ｐゴシック"/>
        <family val="3"/>
        <charset val="128"/>
      </rPr>
      <t>室温</t>
    </r>
    <rPh sb="6" eb="8">
      <t>シツオン</t>
    </rPh>
    <phoneticPr fontId="21"/>
  </si>
  <si>
    <t>室温</t>
    <rPh sb="0" eb="2">
      <t>シツオン</t>
    </rPh>
    <phoneticPr fontId="21"/>
  </si>
  <si>
    <t>室温</t>
    <phoneticPr fontId="21"/>
  </si>
  <si>
    <t>事・学・物・会・ホ</t>
    <rPh sb="0" eb="1">
      <t>コト</t>
    </rPh>
    <rPh sb="2" eb="3">
      <t>ガク</t>
    </rPh>
    <rPh sb="4" eb="5">
      <t>モノ</t>
    </rPh>
    <rPh sb="6" eb="7">
      <t>カイ</t>
    </rPh>
    <phoneticPr fontId="21"/>
  </si>
  <si>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</si>
  <si>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1"/>
  </si>
  <si>
    <t>Ⅱ ねずみ等の点検・防除の評価</t>
    <rPh sb="5" eb="6">
      <t>トウ</t>
    </rPh>
    <rPh sb="7" eb="9">
      <t>テンケン</t>
    </rPh>
    <rPh sb="10" eb="12">
      <t>ボウジョ</t>
    </rPh>
    <rPh sb="13" eb="15">
      <t>ヒョウカ</t>
    </rPh>
    <phoneticPr fontId="21"/>
  </si>
  <si>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1"/>
  </si>
  <si>
    <t>建物全体・共用部</t>
    <rPh sb="0" eb="2">
      <t>タテモノ</t>
    </rPh>
    <rPh sb="2" eb="4">
      <t>ゼンタイ</t>
    </rPh>
    <rPh sb="5" eb="7">
      <t>キョウヨウ</t>
    </rPh>
    <rPh sb="7" eb="8">
      <t>ブ</t>
    </rPh>
    <phoneticPr fontId="21"/>
  </si>
  <si>
    <t>小中高</t>
    <rPh sb="0" eb="3">
      <t>ショウチュウコウ</t>
    </rPh>
    <phoneticPr fontId="21"/>
  </si>
  <si>
    <t>住居・宿泊部</t>
    <rPh sb="0" eb="2">
      <t>ジュウキョ</t>
    </rPh>
    <rPh sb="3" eb="5">
      <t>シュクハク</t>
    </rPh>
    <rPh sb="5" eb="6">
      <t>ブ</t>
    </rPh>
    <phoneticPr fontId="21"/>
  </si>
  <si>
    <t>全体・共有</t>
    <rPh sb="0" eb="2">
      <t>ゼンタイ</t>
    </rPh>
    <rPh sb="3" eb="5">
      <t>キョウユウ</t>
    </rPh>
    <phoneticPr fontId="21"/>
  </si>
  <si>
    <t>住居・宿泊</t>
    <rPh sb="0" eb="2">
      <t>ジュウキョ</t>
    </rPh>
    <rPh sb="3" eb="5">
      <t>シュクハク</t>
    </rPh>
    <phoneticPr fontId="21"/>
  </si>
  <si>
    <t>項目名</t>
    <rPh sb="0" eb="2">
      <t>コウモク</t>
    </rPh>
    <rPh sb="2" eb="3">
      <t>メイ</t>
    </rPh>
    <phoneticPr fontId="21"/>
  </si>
  <si>
    <t>延面積</t>
    <rPh sb="0" eb="1">
      <t>ノ</t>
    </rPh>
    <rPh sb="1" eb="3">
      <t>メンセキ</t>
    </rPh>
    <phoneticPr fontId="21"/>
  </si>
  <si>
    <t>延面積比率</t>
    <rPh sb="0" eb="1">
      <t>ノ</t>
    </rPh>
    <rPh sb="1" eb="3">
      <t>メンセキ</t>
    </rPh>
    <rPh sb="3" eb="5">
      <t>ヒリツ</t>
    </rPh>
    <phoneticPr fontId="21"/>
  </si>
  <si>
    <r>
      <t>Q-1</t>
    </r>
    <r>
      <rPr>
        <sz val="11"/>
        <rFont val="ＭＳ Ｐゴシック"/>
        <family val="3"/>
        <charset val="128"/>
      </rPr>
      <t>　室内環境</t>
    </r>
    <rPh sb="4" eb="6">
      <t>シツナイ</t>
    </rPh>
    <rPh sb="6" eb="8">
      <t>カンキョウ</t>
    </rPh>
    <phoneticPr fontId="21"/>
  </si>
  <si>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1"/>
  </si>
  <si>
    <t>音環境</t>
  </si>
  <si>
    <t>機能性</t>
    <rPh sb="0" eb="3">
      <t>キノウセイ</t>
    </rPh>
    <phoneticPr fontId="21"/>
  </si>
  <si>
    <t>生物資源</t>
    <rPh sb="0" eb="2">
      <t>セイブツ</t>
    </rPh>
    <rPh sb="2" eb="4">
      <t>シゲン</t>
    </rPh>
    <phoneticPr fontId="21"/>
  </si>
  <si>
    <t>温熱環境</t>
  </si>
  <si>
    <t>耐用性・信頼性</t>
    <rPh sb="1" eb="2">
      <t>ヨウ</t>
    </rPh>
    <rPh sb="4" eb="7">
      <t>シンライセイ</t>
    </rPh>
    <phoneticPr fontId="21"/>
  </si>
  <si>
    <t>光・視環境</t>
  </si>
  <si>
    <t>対応性･更新性</t>
    <rPh sb="0" eb="3">
      <t>タイオウセイ</t>
    </rPh>
    <rPh sb="4" eb="6">
      <t>コウシン</t>
    </rPh>
    <rPh sb="6" eb="7">
      <t>セイ</t>
    </rPh>
    <phoneticPr fontId="21"/>
  </si>
  <si>
    <t>建築物の環境品質</t>
    <rPh sb="0" eb="3">
      <t>ケンチクブツ</t>
    </rPh>
    <rPh sb="4" eb="6">
      <t>カンキョウ</t>
    </rPh>
    <rPh sb="6" eb="8">
      <t>ヒンシツ</t>
    </rPh>
    <phoneticPr fontId="21"/>
  </si>
  <si>
    <t>住居宿泊・共用部面積比率</t>
    <rPh sb="0" eb="2">
      <t>ジュウキョ</t>
    </rPh>
    <rPh sb="2" eb="4">
      <t>シュクハク</t>
    </rPh>
    <rPh sb="5" eb="7">
      <t>キョウヨウ</t>
    </rPh>
    <rPh sb="7" eb="8">
      <t>ブ</t>
    </rPh>
    <rPh sb="8" eb="10">
      <t>メンセキ</t>
    </rPh>
    <rPh sb="10" eb="12">
      <t>ヒリツ</t>
    </rPh>
    <phoneticPr fontId="21"/>
  </si>
  <si>
    <t xml:space="preserve"> Q</t>
  </si>
  <si>
    <t xml:space="preserve"> Q1</t>
  </si>
  <si>
    <t xml:space="preserve"> Q1 1</t>
  </si>
  <si>
    <t>1.1.1</t>
  </si>
  <si>
    <t xml:space="preserve"> Q1 1.1</t>
  </si>
  <si>
    <t>室内騒音レベル</t>
    <rPh sb="0" eb="2">
      <t>シツナイ</t>
    </rPh>
    <rPh sb="2" eb="4">
      <t>ソウオン</t>
    </rPh>
    <phoneticPr fontId="21"/>
  </si>
  <si>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</si>
  <si>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</si>
  <si>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</si>
  <si>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</si>
  <si>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1"/>
  </si>
  <si>
    <t>削減率　％</t>
    <rPh sb="0" eb="2">
      <t>サクゲン</t>
    </rPh>
    <rPh sb="2" eb="3">
      <t>リツ</t>
    </rPh>
    <phoneticPr fontId="21"/>
  </si>
  <si>
    <t>%</t>
    <phoneticPr fontId="21"/>
  </si>
  <si>
    <t>運用エネルギー消費量</t>
    <rPh sb="0" eb="2">
      <t>ｳﾝﾖｳ</t>
    </rPh>
    <rPh sb="7" eb="10">
      <t>ｼｮｳﾋﾘｮｳ</t>
    </rPh>
    <phoneticPr fontId="34" type="noConversion"/>
  </si>
  <si>
    <r>
      <t>ＭＪ</t>
    </r>
    <r>
      <rPr>
        <sz val="10"/>
        <rFont val="Arial"/>
        <family val="2"/>
      </rPr>
      <t>/</t>
    </r>
    <r>
      <rPr>
        <sz val="10"/>
        <rFont val="ＭＳ Ｐゴシック"/>
        <family val="3"/>
        <charset val="128"/>
      </rPr>
      <t>年㎡</t>
    </r>
    <rPh sb="3" eb="4">
      <t>ネン</t>
    </rPh>
    <phoneticPr fontId="21"/>
  </si>
  <si>
    <r>
      <t>ＭＪ</t>
    </r>
    <r>
      <rPr>
        <sz val="10"/>
        <rFont val="Arial"/>
        <family val="2"/>
      </rPr>
      <t>/</t>
    </r>
    <r>
      <rPr>
        <sz val="10"/>
        <rFont val="ＭＳ Ｐゴシック"/>
        <family val="3"/>
        <charset val="128"/>
      </rPr>
      <t>人時</t>
    </r>
    <rPh sb="3" eb="4">
      <t>ニン</t>
    </rPh>
    <rPh sb="4" eb="5">
      <t>ジ</t>
    </rPh>
    <phoneticPr fontId="21"/>
  </si>
  <si>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4"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</si>
  <si>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1"/>
  </si>
  <si>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1"/>
  </si>
  <si>
    <t>水消費量</t>
    <rPh sb="0" eb="1">
      <t>ﾐｽﾞ</t>
    </rPh>
    <rPh sb="1" eb="4">
      <t>ｼｮｳﾋﾘｮｳ</t>
    </rPh>
    <phoneticPr fontId="34"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</si>
  <si>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1"/>
  </si>
  <si>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1"/>
  </si>
  <si>
    <r>
      <t>LCCO</t>
    </r>
    <r>
      <rPr>
        <vertAlign val="subscript"/>
        <sz val="10"/>
        <rFont val="Arial"/>
        <family val="2"/>
      </rPr>
      <t>2</t>
    </r>
    <r>
      <rPr>
        <sz val="10"/>
        <rFont val="ＭＳ Ｐゴシック"/>
        <family val="3"/>
        <charset val="128"/>
      </rPr>
      <t>排出量</t>
    </r>
    <rPh sb="5" eb="7">
      <t>ハイシュツ</t>
    </rPh>
    <rPh sb="7" eb="8">
      <t>リョウ</t>
    </rPh>
    <phoneticPr fontId="21"/>
  </si>
  <si>
    <r>
      <t>LC</t>
    </r>
    <r>
      <rPr>
        <sz val="10"/>
        <rFont val="ＭＳ Ｐゴシック"/>
        <family val="3"/>
        <charset val="128"/>
      </rPr>
      <t>廃棄物量</t>
    </r>
    <rPh sb="2" eb="5">
      <t>ハイキブツ</t>
    </rPh>
    <rPh sb="5" eb="6">
      <t>リョウ</t>
    </rPh>
    <phoneticPr fontId="21"/>
  </si>
  <si>
    <r>
      <t>ｔ</t>
    </r>
    <r>
      <rPr>
        <sz val="10"/>
        <rFont val="Arial"/>
        <family val="2"/>
      </rPr>
      <t>/</t>
    </r>
    <r>
      <rPr>
        <sz val="10"/>
        <rFont val="ＭＳ Ｐゴシック"/>
        <family val="3"/>
        <charset val="128"/>
      </rPr>
      <t>年㎡</t>
    </r>
    <rPh sb="2" eb="3">
      <t>ネン</t>
    </rPh>
    <phoneticPr fontId="21"/>
  </si>
  <si>
    <r>
      <t>ｔ</t>
    </r>
    <r>
      <rPr>
        <sz val="10"/>
        <rFont val="Arial"/>
        <family val="2"/>
      </rPr>
      <t>/</t>
    </r>
    <r>
      <rPr>
        <sz val="10"/>
        <rFont val="ＭＳ Ｐゴシック"/>
        <family val="3"/>
        <charset val="128"/>
      </rPr>
      <t>人時</t>
    </r>
    <rPh sb="2" eb="3">
      <t>ニン</t>
    </rPh>
    <rPh sb="3" eb="4">
      <t>ジ</t>
    </rPh>
    <phoneticPr fontId="21"/>
  </si>
  <si>
    <r>
      <t>LC</t>
    </r>
    <r>
      <rPr>
        <sz val="10"/>
        <rFont val="ＭＳ Ｐゴシック"/>
        <family val="3"/>
        <charset val="128"/>
      </rPr>
      <t>資源消費量</t>
    </r>
    <rPh sb="2" eb="4">
      <t>シゲン</t>
    </rPh>
    <rPh sb="4" eb="6">
      <t>ショウヒ</t>
    </rPh>
    <rPh sb="6" eb="7">
      <t>リョウ</t>
    </rPh>
    <phoneticPr fontId="21"/>
  </si>
  <si>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4" type="noConversion"/>
  </si>
  <si>
    <t>設計段階</t>
    <rPh sb="0" eb="2">
      <t>ｾｯｹｲ</t>
    </rPh>
    <rPh sb="2" eb="4">
      <t>ﾀﾞﾝｶｲ</t>
    </rPh>
    <phoneticPr fontId="34" type="noConversion"/>
  </si>
  <si>
    <t>建設段階</t>
    <rPh sb="0" eb="2">
      <t>ｹﾝｾﾂ</t>
    </rPh>
    <rPh sb="2" eb="4">
      <t>ﾀﾞﾝｶｲ</t>
    </rPh>
    <phoneticPr fontId="34" type="noConversion"/>
  </si>
  <si>
    <t>有資格者による設計</t>
    <rPh sb="0" eb="4">
      <t>ﾕｳｼｶｸｼｬ</t>
    </rPh>
    <rPh sb="7" eb="9">
      <t>ｾｯｹｲ</t>
    </rPh>
    <phoneticPr fontId="34" type="noConversion"/>
  </si>
  <si>
    <t>環境管理計画</t>
    <rPh sb="0" eb="2">
      <t>ｶﾝｷｮｳ</t>
    </rPh>
    <rPh sb="2" eb="4">
      <t>ｶﾝﾘ</t>
    </rPh>
    <rPh sb="4" eb="6">
      <t>ｹｲｶｸ</t>
    </rPh>
    <phoneticPr fontId="34" type="noConversion"/>
  </si>
  <si>
    <r>
      <t>凡例　　　　　</t>
    </r>
    <r>
      <rPr>
        <sz val="8"/>
        <color indexed="10"/>
        <rFont val="Arial"/>
        <family val="2"/>
      </rPr>
      <t>Q</t>
    </r>
    <r>
      <rPr>
        <sz val="8"/>
        <color indexed="10"/>
        <rFont val="ＭＳ Ｐゴシック"/>
        <family val="3"/>
        <charset val="128"/>
      </rPr>
      <t>：</t>
    </r>
    <rPh sb="0" eb="2">
      <t>ハンレイ</t>
    </rPh>
    <phoneticPr fontId="21"/>
  </si>
  <si>
    <t>(該当するレベルなし)</t>
    <phoneticPr fontId="21"/>
  </si>
  <si>
    <t>免震装置を導入している。</t>
    <phoneticPr fontId="21"/>
  </si>
  <si>
    <t>-</t>
    <phoneticPr fontId="21"/>
  </si>
  <si>
    <t>映り込み対策</t>
    <rPh sb="0" eb="1">
      <t>ウツ</t>
    </rPh>
    <rPh sb="2" eb="3">
      <t>コ</t>
    </rPh>
    <rPh sb="4" eb="6">
      <t>タイサク</t>
    </rPh>
    <phoneticPr fontId="21"/>
  </si>
  <si>
    <t>照度</t>
    <rPh sb="0" eb="2">
      <t>ｼｮｳﾄﾞ</t>
    </rPh>
    <phoneticPr fontId="34" type="noConversion"/>
  </si>
  <si>
    <t>照度</t>
    <rPh sb="0" eb="2">
      <t>ショウド</t>
    </rPh>
    <phoneticPr fontId="21"/>
  </si>
  <si>
    <t>照度均斉度</t>
    <rPh sb="0" eb="2">
      <t>ショウド</t>
    </rPh>
    <rPh sb="2" eb="3">
      <t>タモツ</t>
    </rPh>
    <rPh sb="3" eb="4">
      <t>サイ</t>
    </rPh>
    <rPh sb="4" eb="5">
      <t>タビ</t>
    </rPh>
    <phoneticPr fontId="21"/>
  </si>
  <si>
    <t>照明制御</t>
    <rPh sb="0" eb="2">
      <t>ショウメイ</t>
    </rPh>
    <rPh sb="2" eb="4">
      <t>セイギョ</t>
    </rPh>
    <phoneticPr fontId="21"/>
  </si>
  <si>
    <t>空気質環境</t>
    <rPh sb="0" eb="2">
      <t>クウキ</t>
    </rPh>
    <rPh sb="2" eb="3">
      <t>シツ</t>
    </rPh>
    <rPh sb="3" eb="5">
      <t>カンキョウ</t>
    </rPh>
    <phoneticPr fontId="21"/>
  </si>
  <si>
    <t>発生源対策</t>
    <rPh sb="0" eb="3">
      <t>ﾊｯｾｲｹﾞﾝ</t>
    </rPh>
    <rPh sb="3" eb="5">
      <t>ﾀｲｻｸ</t>
    </rPh>
    <phoneticPr fontId="34" type="noConversion"/>
  </si>
  <si>
    <t>化学汚染物質</t>
    <rPh sb="0" eb="2">
      <t>カガク</t>
    </rPh>
    <rPh sb="4" eb="6">
      <t>ブッシツ</t>
    </rPh>
    <phoneticPr fontId="21"/>
  </si>
  <si>
    <t>アスベスト対策</t>
    <rPh sb="5" eb="7">
      <t>タイサク</t>
    </rPh>
    <phoneticPr fontId="21"/>
  </si>
  <si>
    <t>ダニ・カビ等</t>
    <rPh sb="5" eb="6">
      <t>ナド</t>
    </rPh>
    <phoneticPr fontId="21"/>
  </si>
  <si>
    <t>レジオネラ対策</t>
    <rPh sb="5" eb="7">
      <t>タイサク</t>
    </rPh>
    <phoneticPr fontId="21"/>
  </si>
  <si>
    <t>換気</t>
    <rPh sb="0" eb="2">
      <t>ｶﾝｷ</t>
    </rPh>
    <phoneticPr fontId="34" type="noConversion"/>
  </si>
  <si>
    <t>換気量</t>
    <rPh sb="0" eb="3">
      <t>カンキリョウ</t>
    </rPh>
    <phoneticPr fontId="21"/>
  </si>
  <si>
    <t>廃棄物処理負荷抑制</t>
    <rPh sb="0" eb="3">
      <t>ﾊｲｷﾌﾞﾂ</t>
    </rPh>
    <rPh sb="3" eb="5">
      <t>ｼｮﾘ</t>
    </rPh>
    <rPh sb="5" eb="7">
      <t>ﾌｶ</t>
    </rPh>
    <rPh sb="7" eb="9">
      <t>ﾖｸｾｲ</t>
    </rPh>
    <phoneticPr fontId="34" type="noConversion"/>
  </si>
  <si>
    <t>周辺環境への配慮</t>
    <rPh sb="0" eb="2">
      <t>ｼｭｳﾍﾝ</t>
    </rPh>
    <rPh sb="2" eb="4">
      <t>ｶﾝｷｮｳ</t>
    </rPh>
    <rPh sb="6" eb="8">
      <t>ﾊｲﾘｮ</t>
    </rPh>
    <phoneticPr fontId="34" type="noConversion"/>
  </si>
  <si>
    <t>騒音・振動・悪臭の防止</t>
    <rPh sb="0" eb="2">
      <t>ｿｳｵﾝ</t>
    </rPh>
    <rPh sb="3" eb="5">
      <t>ｼﾝﾄﾞｳ</t>
    </rPh>
    <rPh sb="6" eb="8">
      <t>ｱｸｼｭｳ</t>
    </rPh>
    <rPh sb="9" eb="11">
      <t>ﾎﾞｳｼ</t>
    </rPh>
    <phoneticPr fontId="34" type="noConversion"/>
  </si>
  <si>
    <t>騒音</t>
    <rPh sb="0" eb="2">
      <t>ｿｳｵﾝ</t>
    </rPh>
    <phoneticPr fontId="34" type="noConversion"/>
  </si>
  <si>
    <t>砂塵の抑制</t>
    <rPh sb="0" eb="2">
      <t>ｻｼﾞﾝ</t>
    </rPh>
    <rPh sb="3" eb="5">
      <t>ﾖｸｾｲ</t>
    </rPh>
    <phoneticPr fontId="34" type="noConversion"/>
  </si>
  <si>
    <t>光害の抑制</t>
    <rPh sb="0" eb="2">
      <t>ﾋｶﾘｶﾞｲ</t>
    </rPh>
    <rPh sb="3" eb="5">
      <t>ﾖｸｾｲ</t>
    </rPh>
    <phoneticPr fontId="34"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</si>
  <si>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4"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</si>
  <si>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</si>
  <si>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出典：</t>
    <rPh sb="0" eb="2">
      <t>シュッテン</t>
    </rPh>
    <phoneticPr fontId="21"/>
  </si>
  <si>
    <t>モニタリング</t>
    <phoneticPr fontId="21"/>
  </si>
  <si>
    <t>定性評価</t>
    <rPh sb="0" eb="2">
      <t>テイセイ</t>
    </rPh>
    <rPh sb="2" eb="4">
      <t>ヒョウカ</t>
    </rPh>
    <phoneticPr fontId="21"/>
  </si>
  <si>
    <t>定量評価</t>
    <rPh sb="0" eb="2">
      <t>テイリョウ</t>
    </rPh>
    <rPh sb="2" eb="4">
      <t>ヒョウカ</t>
    </rPh>
    <phoneticPr fontId="21"/>
  </si>
  <si>
    <t>モニタリング</t>
    <phoneticPr fontId="3"/>
  </si>
  <si>
    <t>運用管理体制</t>
    <rPh sb="0" eb="2">
      <t>ウンヨウ</t>
    </rPh>
    <rPh sb="2" eb="4">
      <t>カンリ</t>
    </rPh>
    <rPh sb="4" eb="6">
      <t>タイセイ</t>
    </rPh>
    <phoneticPr fontId="21"/>
  </si>
  <si>
    <t>運用管理体制</t>
    <rPh sb="0" eb="2">
      <t>うんよう</t>
    </rPh>
    <rPh sb="2" eb="4">
      <t>かんり</t>
    </rPh>
    <rPh sb="4" eb="6">
      <t>たいせい</t>
    </rPh>
    <phoneticPr fontId="34" type="noConversion"/>
  </si>
  <si>
    <t>事・学（大学等）・物・飲・会・病・ホ・工</t>
    <rPh sb="4" eb="6">
      <t>ダイガク</t>
    </rPh>
    <rPh sb="6" eb="7">
      <t>トウ</t>
    </rPh>
    <rPh sb="19" eb="20">
      <t>コウ</t>
    </rPh>
    <phoneticPr fontId="21"/>
  </si>
  <si>
    <t>NO.</t>
    <phoneticPr fontId="21"/>
  </si>
  <si>
    <t>専有部分</t>
    <rPh sb="0" eb="2">
      <t>センユウ</t>
    </rPh>
    <rPh sb="2" eb="4">
      <t>ブブン</t>
    </rPh>
    <phoneticPr fontId="21"/>
  </si>
  <si>
    <t>非住宅部分</t>
    <rPh sb="0" eb="1">
      <t>ひ</t>
    </rPh>
    <rPh sb="1" eb="3">
      <t>じゅうたく</t>
    </rPh>
    <rPh sb="3" eb="5">
      <t>ぶぶん</t>
    </rPh>
    <phoneticPr fontId="34" type="noConversion"/>
  </si>
  <si>
    <t>集合住宅以外の評価</t>
    <rPh sb="0" eb="2">
      <t>しゅうごう</t>
    </rPh>
    <rPh sb="2" eb="4">
      <t>じゅうたく</t>
    </rPh>
    <rPh sb="4" eb="6">
      <t>いがい</t>
    </rPh>
    <rPh sb="7" eb="9">
      <t>ひょうか</t>
    </rPh>
    <phoneticPr fontId="34" type="noConversion"/>
  </si>
  <si>
    <t>集合住宅の評価</t>
    <rPh sb="0" eb="2">
      <t>しゅうごう</t>
    </rPh>
    <rPh sb="2" eb="4">
      <t>じゅうたく</t>
    </rPh>
    <rPh sb="5" eb="7">
      <t>ひょうか</t>
    </rPh>
    <phoneticPr fontId="34"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</si>
  <si>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1"/>
  </si>
  <si>
    <t>通信機械室等</t>
    <rPh sb="2" eb="4">
      <t>キカイ</t>
    </rPh>
    <phoneticPr fontId="21"/>
  </si>
  <si>
    <t>危険物施設の計器室</t>
  </si>
  <si>
    <t>美術品展示室等</t>
  </si>
  <si>
    <t>加工・作業室等</t>
  </si>
  <si>
    <t>輪転機が存する印刷室</t>
  </si>
  <si>
    <t>駐車場</t>
    <rPh sb="0" eb="3">
      <t>チュウシャジョウ</t>
    </rPh>
    <phoneticPr fontId="21"/>
  </si>
  <si>
    <t>＜各レベル間を</t>
    <rPh sb="1" eb="2">
      <t>カク</t>
    </rPh>
    <rPh sb="5" eb="6">
      <t>カン</t>
    </rPh>
    <phoneticPr fontId="21"/>
  </si>
  <si>
    <t>　直線補完し</t>
    <rPh sb="1" eb="3">
      <t>チョクセン</t>
    </rPh>
    <rPh sb="3" eb="5">
      <t>ホカン</t>
    </rPh>
    <phoneticPr fontId="21"/>
  </si>
  <si>
    <t>　小数点を評価＞</t>
    <rPh sb="1" eb="4">
      <t>ショウスウテン</t>
    </rPh>
    <rPh sb="5" eb="7">
      <t>ヒョウカ</t>
    </rPh>
    <phoneticPr fontId="21"/>
  </si>
  <si>
    <t>直接入力</t>
    <rPh sb="0" eb="2">
      <t>チョクセツ</t>
    </rPh>
    <rPh sb="2" eb="4">
      <t>ニュウリョク</t>
    </rPh>
    <phoneticPr fontId="21"/>
  </si>
  <si>
    <t>-</t>
    <phoneticPr fontId="21"/>
  </si>
  <si>
    <t>手術室・病室</t>
    <rPh sb="0" eb="3">
      <t>シュジュツシツ</t>
    </rPh>
    <rPh sb="4" eb="6">
      <t>ビョウシツ</t>
    </rPh>
    <phoneticPr fontId="21"/>
  </si>
  <si>
    <t>排出率</t>
    <rPh sb="0" eb="2">
      <t>ハイシュツ</t>
    </rPh>
    <rPh sb="2" eb="3">
      <t>リツ</t>
    </rPh>
    <phoneticPr fontId="21"/>
  </si>
  <si>
    <t>換算スコア＝</t>
    <rPh sb="0" eb="2">
      <t>カンサン</t>
    </rPh>
    <phoneticPr fontId="21"/>
  </si>
  <si>
    <t>大気汚染防止</t>
    <rPh sb="0" eb="2">
      <t>タイキ</t>
    </rPh>
    <rPh sb="2" eb="4">
      <t>オセン</t>
    </rPh>
    <rPh sb="4" eb="6">
      <t>ボウシ</t>
    </rPh>
    <phoneticPr fontId="21"/>
  </si>
  <si>
    <t>温熱環境悪化の改善</t>
    <rPh sb="0" eb="2">
      <t>オンネツ</t>
    </rPh>
    <rPh sb="2" eb="4">
      <t>カンキョウ</t>
    </rPh>
    <rPh sb="4" eb="6">
      <t>アッカ</t>
    </rPh>
    <rPh sb="7" eb="9">
      <t>カイゼン</t>
    </rPh>
    <phoneticPr fontId="21"/>
  </si>
  <si>
    <t>評価内容</t>
  </si>
  <si>
    <t>各種発泡ガスのODPとGWP</t>
    <rPh sb="0" eb="2">
      <t>カクシュ</t>
    </rPh>
    <rPh sb="2" eb="4">
      <t>ハッポウ</t>
    </rPh>
    <phoneticPr fontId="28"/>
  </si>
  <si>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</si>
  <si>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</si>
  <si>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</si>
  <si>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</si>
  <si>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</si>
  <si>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</si>
  <si>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</si>
  <si>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</si>
  <si>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</si>
  <si>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</si>
  <si>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</si>
  <si>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1"/>
  </si>
  <si>
    <t>同上（固体伝搬音）</t>
  </si>
  <si>
    <t>ダクト・配管からの騒音（透過騒音）</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</si>
  <si>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1"/>
  </si>
  <si>
    <r>
      <t>kg-CO</t>
    </r>
    <r>
      <rPr>
        <vertAlign val="subscript"/>
        <sz val="10"/>
        <rFont val="ＭＳ Ｐゴシック"/>
        <family val="3"/>
        <charset val="128"/>
      </rPr>
      <t>2</t>
    </r>
    <r>
      <rPr>
        <sz val="10"/>
        <rFont val="ＭＳ Ｐゴシック"/>
        <family val="3"/>
        <charset val="128"/>
      </rPr>
      <t>/kWh</t>
    </r>
    <phoneticPr fontId="21"/>
  </si>
  <si>
    <t>余剰売電分</t>
    <phoneticPr fontId="21"/>
  </si>
  <si>
    <t>事・学・飲・工</t>
    <rPh sb="0" eb="1">
      <t>コト</t>
    </rPh>
    <rPh sb="2" eb="3">
      <t>ガク</t>
    </rPh>
    <rPh sb="4" eb="5">
      <t>イン</t>
    </rPh>
    <rPh sb="6" eb="7">
      <t>コウ</t>
    </rPh>
    <phoneticPr fontId="21"/>
  </si>
  <si>
    <t>病（診）</t>
    <rPh sb="0" eb="1">
      <t>ビョウ</t>
    </rPh>
    <rPh sb="2" eb="3">
      <t>ミ</t>
    </rPh>
    <phoneticPr fontId="21"/>
  </si>
  <si>
    <t>[照度] ＜300 lx</t>
    <phoneticPr fontId="21"/>
  </si>
  <si>
    <t>[照度] ＜150lx</t>
    <phoneticPr fontId="21"/>
  </si>
  <si>
    <t>[照度] ＜100 lx</t>
    <phoneticPr fontId="21"/>
  </si>
  <si>
    <t>[照度] ＜150 lx</t>
    <phoneticPr fontId="21"/>
  </si>
  <si>
    <t>150 lx≦　[照度]</t>
    <phoneticPr fontId="21"/>
  </si>
  <si>
    <t>100 lx≦　[照度]</t>
    <phoneticPr fontId="21"/>
  </si>
  <si>
    <t>500lx≦　[照度] ＜750</t>
    <phoneticPr fontId="21"/>
  </si>
  <si>
    <t>病</t>
    <phoneticPr fontId="21"/>
  </si>
  <si>
    <t>LR1/1. 建物外皮の熱負荷抑制</t>
    <rPh sb="7" eb="9">
      <t>タテモノ</t>
    </rPh>
    <rPh sb="9" eb="11">
      <t>ガイヒ</t>
    </rPh>
    <rPh sb="12" eb="13">
      <t>ネツ</t>
    </rPh>
    <rPh sb="13" eb="15">
      <t>フカ</t>
    </rPh>
    <rPh sb="15" eb="17">
      <t>ヨクセイ</t>
    </rPh>
    <phoneticPr fontId="21"/>
  </si>
  <si>
    <t>BPI=</t>
    <phoneticPr fontId="21"/>
  </si>
  <si>
    <t>BPIm=</t>
    <phoneticPr fontId="21"/>
  </si>
  <si>
    <t>[BPI]での評価</t>
    <rPh sb="7" eb="9">
      <t>ヒョウカ</t>
    </rPh>
    <phoneticPr fontId="21"/>
  </si>
  <si>
    <t>モデル建物法[BPIm]での評価</t>
    <rPh sb="3" eb="5">
      <t>タテモノ</t>
    </rPh>
    <rPh sb="5" eb="6">
      <t>ホウ</t>
    </rPh>
    <rPh sb="14" eb="16">
      <t>ヒョウカ</t>
    </rPh>
    <phoneticPr fontId="21"/>
  </si>
  <si>
    <t>地域</t>
    <rPh sb="0" eb="2">
      <t>チイキ</t>
    </rPh>
    <phoneticPr fontId="21"/>
  </si>
  <si>
    <t>調整後排出係数</t>
    <rPh sb="0" eb="3">
      <t>チョウセイゴ</t>
    </rPh>
    <rPh sb="3" eb="5">
      <t>ハイシュツ</t>
    </rPh>
    <rPh sb="5" eb="7">
      <t>ケイスウ</t>
    </rPh>
    <phoneticPr fontId="21"/>
  </si>
  <si>
    <t>イーレックス株式会社</t>
  </si>
  <si>
    <t>実排出係数との差</t>
    <rPh sb="0" eb="1">
      <t>ジツ</t>
    </rPh>
    <rPh sb="1" eb="3">
      <t>ハイシュツ</t>
    </rPh>
    <rPh sb="3" eb="5">
      <t>ケイスウ</t>
    </rPh>
    <rPh sb="7" eb="8">
      <t>サ</t>
    </rPh>
    <phoneticPr fontId="21"/>
  </si>
  <si>
    <t>エネサーブ株式会社</t>
  </si>
  <si>
    <t>サミットエナジー株式会社</t>
  </si>
  <si>
    <t>ダイヤモンドパワー株式会社</t>
  </si>
  <si>
    <t>パナソニック株式会社</t>
  </si>
  <si>
    <t>２５～３０</t>
    <phoneticPr fontId="21"/>
  </si>
  <si>
    <t>３０～３５</t>
    <phoneticPr fontId="21"/>
  </si>
  <si>
    <t>３５～４０</t>
    <phoneticPr fontId="21"/>
  </si>
  <si>
    <t>４０～４５</t>
    <phoneticPr fontId="21"/>
  </si>
  <si>
    <t>４５～５０</t>
    <phoneticPr fontId="21"/>
  </si>
  <si>
    <t>５０～５５</t>
    <phoneticPr fontId="21"/>
  </si>
  <si>
    <t>うるささ</t>
    <phoneticPr fontId="21"/>
  </si>
  <si>
    <t>やき声が聞こえる</t>
    <phoneticPr fontId="21"/>
  </si>
  <si>
    <t>電話は支障なし</t>
    <phoneticPr fontId="21"/>
  </si>
  <si>
    <t>――――――</t>
    <phoneticPr fontId="21"/>
  </si>
  <si>
    <t>電話は可能―</t>
    <phoneticPr fontId="21"/>
  </si>
  <si>
    <t>電話やや困難</t>
    <phoneticPr fontId="21"/>
  </si>
  <si>
    <t>スタジオ</t>
    <phoneticPr fontId="21"/>
  </si>
  <si>
    <t>アナウンススタジオ</t>
    <phoneticPr fontId="21"/>
  </si>
  <si>
    <t>ラジオスタジオ</t>
    <phoneticPr fontId="21"/>
  </si>
  <si>
    <t>テレビスタジオ</t>
    <phoneticPr fontId="21"/>
  </si>
  <si>
    <t>ホテルロビー</t>
    <phoneticPr fontId="21"/>
  </si>
  <si>
    <t>ロビー</t>
    <phoneticPr fontId="21"/>
  </si>
  <si>
    <t>宝石店・美術品店</t>
    <phoneticPr fontId="21"/>
  </si>
  <si>
    <t>銀行・レストラン</t>
    <phoneticPr fontId="21"/>
  </si>
  <si>
    <t>建物全体・共用部分</t>
    <phoneticPr fontId="21"/>
  </si>
  <si>
    <t>事・学・物・飲・会・病・ホ・工</t>
    <phoneticPr fontId="21"/>
  </si>
  <si>
    <t>事・学・物・飲・会・病・ホ・工（2000㎡未満）</t>
    <phoneticPr fontId="21"/>
  </si>
  <si>
    <t>病・ホ</t>
    <phoneticPr fontId="21"/>
  </si>
  <si>
    <t>病・ホ（2000㎡未満）</t>
    <phoneticPr fontId="21"/>
  </si>
  <si>
    <t>太陽光発電による削減分</t>
    <rPh sb="0" eb="2">
      <t>タイヨウ</t>
    </rPh>
    <rPh sb="2" eb="3">
      <t>ヒカリ</t>
    </rPh>
    <rPh sb="3" eb="5">
      <t>ハツデン</t>
    </rPh>
    <rPh sb="8" eb="10">
      <t>サクゲン</t>
    </rPh>
    <rPh sb="10" eb="11">
      <t>ブン</t>
    </rPh>
    <phoneticPr fontId="21"/>
  </si>
  <si>
    <t>(内訳）自家消費分</t>
    <rPh sb="1" eb="3">
      <t>ウチワケ</t>
    </rPh>
    <rPh sb="4" eb="6">
      <t>ジカ</t>
    </rPh>
    <rPh sb="6" eb="8">
      <t>ショウヒ</t>
    </rPh>
    <rPh sb="8" eb="9">
      <t>ブン</t>
    </rPh>
    <phoneticPr fontId="21"/>
  </si>
  <si>
    <t>余剰売電分</t>
    <rPh sb="0" eb="2">
      <t>ヨジョウ</t>
    </rPh>
    <rPh sb="2" eb="4">
      <t>バイデン</t>
    </rPh>
    <rPh sb="4" eb="5">
      <t>ブン</t>
    </rPh>
    <phoneticPr fontId="21"/>
  </si>
  <si>
    <t>その他再生可能エネルギー</t>
    <rPh sb="2" eb="3">
      <t>ホカ</t>
    </rPh>
    <rPh sb="3" eb="5">
      <t>サイセイ</t>
    </rPh>
    <rPh sb="5" eb="7">
      <t>カノウ</t>
    </rPh>
    <phoneticPr fontId="21"/>
  </si>
  <si>
    <t>エネルギー
消費量の算定方法</t>
    <rPh sb="6" eb="9">
      <t>ショウヒリョウ</t>
    </rPh>
    <rPh sb="10" eb="12">
      <t>サンテイ</t>
    </rPh>
    <rPh sb="12" eb="14">
      <t>ホウホウ</t>
    </rPh>
    <phoneticPr fontId="21"/>
  </si>
  <si>
    <r>
      <t xml:space="preserve">3.1.3 </t>
    </r>
    <r>
      <rPr>
        <b/>
        <sz val="10"/>
        <rFont val="ＭＳ Ｐゴシック"/>
        <family val="3"/>
        <charset val="128"/>
      </rPr>
      <t>悪臭</t>
    </r>
    <phoneticPr fontId="21"/>
  </si>
  <si>
    <t>悪臭防止法に定める現行の特定悪臭物質の濃度の許容限度及び臭気指数の許容限度を下回るレベルである</t>
    <phoneticPr fontId="21"/>
  </si>
  <si>
    <t>悪臭防止法に定める特定悪臭物質の濃度の許容限度及び臭気指数の許容限度を満たしている</t>
    <phoneticPr fontId="21"/>
  </si>
  <si>
    <r>
      <t xml:space="preserve">3.2.1 </t>
    </r>
    <r>
      <rPr>
        <b/>
        <sz val="10"/>
        <rFont val="ＭＳ Ｐゴシック"/>
        <family val="3"/>
        <charset val="128"/>
      </rPr>
      <t>風害の抑制</t>
    </r>
    <phoneticPr fontId="21"/>
  </si>
  <si>
    <t>評価内容</t>
    <phoneticPr fontId="21"/>
  </si>
  <si>
    <t>II 校庭を砂塵が発生しない仕上げとする。</t>
    <phoneticPr fontId="21"/>
  </si>
  <si>
    <t>2）校庭を砂塵が発生しにくい舗装としている。</t>
    <phoneticPr fontId="21"/>
  </si>
  <si>
    <t>3.1.1</t>
    <phoneticPr fontId="21"/>
  </si>
  <si>
    <t>3.1.2</t>
    <phoneticPr fontId="21"/>
  </si>
  <si>
    <t>3.1.3</t>
    <phoneticPr fontId="21"/>
  </si>
  <si>
    <t>3.2.1</t>
    <phoneticPr fontId="21"/>
  </si>
  <si>
    <t>3.2.2</t>
    <phoneticPr fontId="21"/>
  </si>
  <si>
    <t>3.2.3</t>
    <phoneticPr fontId="21"/>
  </si>
  <si>
    <t>3.2.3</t>
    <phoneticPr fontId="21"/>
  </si>
  <si>
    <t>はい</t>
    <phoneticPr fontId="21"/>
  </si>
  <si>
    <t>いいえ</t>
    <phoneticPr fontId="21"/>
  </si>
  <si>
    <t>　レベル　1</t>
    <phoneticPr fontId="21"/>
  </si>
  <si>
    <t>■レベル　1</t>
    <phoneticPr fontId="21"/>
  </si>
  <si>
    <t>レベル</t>
    <phoneticPr fontId="21"/>
  </si>
  <si>
    <t>1.2.1</t>
    <phoneticPr fontId="21"/>
  </si>
  <si>
    <t>1.2.2</t>
    <phoneticPr fontId="21"/>
  </si>
  <si>
    <t>-</t>
    <phoneticPr fontId="21"/>
  </si>
  <si>
    <t>-</t>
    <phoneticPr fontId="21"/>
  </si>
  <si>
    <r>
      <t>主要構造躯体のコンクリート基準強度Fc及び主筋鉄筋の基準強度F&gt;単位:N/mm</t>
    </r>
    <r>
      <rPr>
        <vertAlign val="superscript"/>
        <sz val="9"/>
        <rFont val="ＭＳ Ｐゴシック"/>
        <family val="3"/>
        <charset val="128"/>
      </rPr>
      <t>2</t>
    </r>
    <rPh sb="13" eb="15">
      <t>キジュン</t>
    </rPh>
    <rPh sb="26" eb="28">
      <t>キジュン</t>
    </rPh>
    <rPh sb="32" eb="34">
      <t>タンイ</t>
    </rPh>
    <phoneticPr fontId="21"/>
  </si>
  <si>
    <t>-</t>
    <phoneticPr fontId="21"/>
  </si>
  <si>
    <t>-</t>
    <phoneticPr fontId="21"/>
  </si>
  <si>
    <t>-</t>
    <phoneticPr fontId="21"/>
  </si>
  <si>
    <r>
      <t>LR3</t>
    </r>
    <r>
      <rPr>
        <b/>
        <sz val="14"/>
        <rFont val="ＭＳ Ｐゴシック"/>
        <family val="3"/>
        <charset val="128"/>
      </rPr>
      <t>　敷地外環境</t>
    </r>
    <rPh sb="4" eb="6">
      <t>シキチ</t>
    </rPh>
    <rPh sb="6" eb="7">
      <t>ガイ</t>
    </rPh>
    <phoneticPr fontId="21"/>
  </si>
  <si>
    <r>
      <t xml:space="preserve">2.2.2 </t>
    </r>
    <r>
      <rPr>
        <b/>
        <sz val="10"/>
        <rFont val="ＭＳ Ｐゴシック"/>
        <family val="3"/>
        <charset val="128"/>
      </rPr>
      <t>外壁仕上げ材の補修必要間隔</t>
    </r>
    <phoneticPr fontId="21"/>
  </si>
  <si>
    <r>
      <t xml:space="preserve">2.2.3 </t>
    </r>
    <r>
      <rPr>
        <b/>
        <sz val="10"/>
        <rFont val="ＭＳ Ｐゴシック"/>
        <family val="3"/>
        <charset val="128"/>
      </rPr>
      <t>主要内装仕上げ材の更新必要間隔</t>
    </r>
    <phoneticPr fontId="21"/>
  </si>
  <si>
    <t>住</t>
    <phoneticPr fontId="21"/>
  </si>
  <si>
    <t>5年未満</t>
    <phoneticPr fontId="21"/>
  </si>
  <si>
    <t>16年以上～25年未満</t>
    <phoneticPr fontId="21"/>
  </si>
  <si>
    <t>20年以上</t>
    <phoneticPr fontId="21"/>
  </si>
  <si>
    <t>採用項目</t>
    <rPh sb="0" eb="2">
      <t>サイヨウ</t>
    </rPh>
    <rPh sb="2" eb="4">
      <t>コウモク</t>
    </rPh>
    <phoneticPr fontId="21"/>
  </si>
  <si>
    <t>（屋外）吸込み口・排気口からの騒音</t>
    <phoneticPr fontId="21"/>
  </si>
  <si>
    <t>建物全体・共用部分</t>
    <phoneticPr fontId="21"/>
  </si>
  <si>
    <t>病・ホ・住</t>
    <phoneticPr fontId="21"/>
  </si>
  <si>
    <t>騒音が気になる。</t>
    <phoneticPr fontId="21"/>
  </si>
  <si>
    <t>騒音がほとんど気にならない。</t>
    <phoneticPr fontId="21"/>
  </si>
  <si>
    <t>T-1未満</t>
    <phoneticPr fontId="21"/>
  </si>
  <si>
    <t>T-1</t>
    <phoneticPr fontId="21"/>
  </si>
  <si>
    <t>T-2以上</t>
    <phoneticPr fontId="21"/>
  </si>
  <si>
    <r>
      <t xml:space="preserve">1.2.2 </t>
    </r>
    <r>
      <rPr>
        <b/>
        <sz val="10"/>
        <rFont val="ＭＳ Ｐゴシック"/>
        <family val="3"/>
        <charset val="128"/>
      </rPr>
      <t>界壁遮音性能</t>
    </r>
    <phoneticPr fontId="21"/>
  </si>
  <si>
    <t>住</t>
    <phoneticPr fontId="21"/>
  </si>
  <si>
    <t>人の話し声が気になる。</t>
    <phoneticPr fontId="21"/>
  </si>
  <si>
    <t>実排出係数の場合</t>
    <rPh sb="0" eb="1">
      <t>ジツ</t>
    </rPh>
    <rPh sb="1" eb="3">
      <t>ハイシュツ</t>
    </rPh>
    <rPh sb="3" eb="5">
      <t>ケイスウ</t>
    </rPh>
    <rPh sb="6" eb="8">
      <t>バアイ</t>
    </rPh>
    <phoneticPr fontId="21"/>
  </si>
  <si>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1"/>
  </si>
  <si>
    <t>実排出係数</t>
    <rPh sb="0" eb="1">
      <t>ジツ</t>
    </rPh>
    <rPh sb="1" eb="3">
      <t>ハイシュツ</t>
    </rPh>
    <rPh sb="3" eb="5">
      <t>ケイスウ</t>
    </rPh>
    <phoneticPr fontId="21"/>
  </si>
  <si>
    <t>延床面積あたり　[2]</t>
    <rPh sb="0" eb="2">
      <t>ノベユカ</t>
    </rPh>
    <rPh sb="2" eb="4">
      <t>メンセキ</t>
    </rPh>
    <phoneticPr fontId="21"/>
  </si>
  <si>
    <t>重み係数</t>
    <rPh sb="0" eb="1">
      <t>オモ</t>
    </rPh>
    <rPh sb="2" eb="4">
      <t>ケイスウ</t>
    </rPh>
    <phoneticPr fontId="21"/>
  </si>
  <si>
    <t>重み係数（既定）</t>
    <rPh sb="0" eb="1">
      <t>オモ</t>
    </rPh>
    <rPh sb="2" eb="4">
      <t>ケイスウ</t>
    </rPh>
    <rPh sb="5" eb="7">
      <t>キテイ</t>
    </rPh>
    <phoneticPr fontId="21"/>
  </si>
  <si>
    <t>0.　既存</t>
    <rPh sb="3" eb="5">
      <t>キソン</t>
    </rPh>
    <phoneticPr fontId="21"/>
  </si>
  <si>
    <t>１．基本設計</t>
    <rPh sb="2" eb="4">
      <t>キホン</t>
    </rPh>
    <rPh sb="4" eb="6">
      <t>セッケイ</t>
    </rPh>
    <phoneticPr fontId="21"/>
  </si>
  <si>
    <t>２．実施・竣工段階</t>
    <rPh sb="2" eb="4">
      <t>ジッシ</t>
    </rPh>
    <rPh sb="5" eb="7">
      <t>シュンコウ</t>
    </rPh>
    <rPh sb="7" eb="9">
      <t>ダンカイ</t>
    </rPh>
    <phoneticPr fontId="21"/>
  </si>
  <si>
    <t>補正後</t>
    <rPh sb="0" eb="2">
      <t>ホセイ</t>
    </rPh>
    <rPh sb="2" eb="3">
      <t>ゴ</t>
    </rPh>
    <phoneticPr fontId="21"/>
  </si>
  <si>
    <t>補正前</t>
    <rPh sb="0" eb="2">
      <t>ホセイ</t>
    </rPh>
    <rPh sb="2" eb="3">
      <t>マエ</t>
    </rPh>
    <phoneticPr fontId="21"/>
  </si>
  <si>
    <t>補正前計</t>
    <rPh sb="0" eb="2">
      <t>ホセイ</t>
    </rPh>
    <rPh sb="2" eb="3">
      <t>マエ</t>
    </rPh>
    <rPh sb="3" eb="4">
      <t>ケイ</t>
    </rPh>
    <phoneticPr fontId="21"/>
  </si>
  <si>
    <t>対象外の選択</t>
    <rPh sb="0" eb="3">
      <t>タイショウガイ</t>
    </rPh>
    <rPh sb="4" eb="6">
      <t>センタク</t>
    </rPh>
    <phoneticPr fontId="21"/>
  </si>
  <si>
    <t>既定重み</t>
    <rPh sb="0" eb="2">
      <t>キテイ</t>
    </rPh>
    <rPh sb="2" eb="3">
      <t>オモ</t>
    </rPh>
    <phoneticPr fontId="21"/>
  </si>
  <si>
    <t>6）防犯性の配慮</t>
    <phoneticPr fontId="21"/>
  </si>
  <si>
    <t>待合室</t>
    <rPh sb="0" eb="3">
      <t>マチアイシツ</t>
    </rPh>
    <phoneticPr fontId="21"/>
  </si>
  <si>
    <t>ホテル・住宅</t>
    <rPh sb="4" eb="6">
      <t>ジュウタク</t>
    </rPh>
    <phoneticPr fontId="21"/>
  </si>
  <si>
    <t>書斎</t>
    <rPh sb="0" eb="2">
      <t>ショサイ</t>
    </rPh>
    <phoneticPr fontId="21"/>
  </si>
  <si>
    <t>寝室・客室</t>
    <rPh sb="0" eb="2">
      <t>シンシツ</t>
    </rPh>
    <rPh sb="3" eb="5">
      <t>キャクシツ</t>
    </rPh>
    <phoneticPr fontId="21"/>
  </si>
  <si>
    <t>気温上昇の抑制に努めるため
　・標準的な工夫をしている場合(1ポイント)
　・中間的な工夫をしている場合(2ポイント)
　・全面的な工夫をしている場合(3ポイント)</t>
    <phoneticPr fontId="21"/>
  </si>
  <si>
    <t>①風向きに対する配置や形状の工夫を机上で検討(机上予測)している場合(1ポイント)</t>
    <phoneticPr fontId="21"/>
  </si>
  <si>
    <r>
      <t>2.3.1</t>
    </r>
    <r>
      <rPr>
        <b/>
        <sz val="10"/>
        <rFont val="ＭＳ Ｐゴシック"/>
        <family val="3"/>
        <charset val="128"/>
      </rPr>
      <t>　雨水排水負荷低減</t>
    </r>
    <phoneticPr fontId="21"/>
  </si>
  <si>
    <t>事・学・物・飲・会・病・ホ・工・住　　　&lt;行政指導がある場合&gt;</t>
    <phoneticPr fontId="21"/>
  </si>
  <si>
    <t>行政指導がない場合</t>
    <phoneticPr fontId="21"/>
  </si>
  <si>
    <t>評価対象外</t>
    <phoneticPr fontId="21"/>
  </si>
  <si>
    <r>
      <t xml:space="preserve">2.3.2 </t>
    </r>
    <r>
      <rPr>
        <b/>
        <sz val="10"/>
        <rFont val="ＭＳ Ｐゴシック"/>
        <family val="3"/>
        <charset val="128"/>
      </rPr>
      <t>汚水処理負荷抑制</t>
    </r>
    <phoneticPr fontId="21"/>
  </si>
  <si>
    <r>
      <t xml:space="preserve">2.3.3 </t>
    </r>
    <r>
      <rPr>
        <b/>
        <sz val="10"/>
        <rFont val="ＭＳ Ｐゴシック"/>
        <family val="3"/>
        <charset val="128"/>
      </rPr>
      <t>交通負荷抑制</t>
    </r>
    <phoneticPr fontId="21"/>
  </si>
  <si>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1"/>
  </si>
  <si>
    <t>レベル</t>
    <phoneticPr fontId="21"/>
  </si>
  <si>
    <t>N.A.</t>
    <phoneticPr fontId="21"/>
  </si>
  <si>
    <t>-</t>
    <phoneticPr fontId="21"/>
  </si>
  <si>
    <t>35＜ [騒音レベル] ≦40</t>
  </si>
  <si>
    <t>　レベル　4</t>
  </si>
  <si>
    <t>■レベル　4</t>
  </si>
  <si>
    <t>[騒音レベル] ≦40</t>
  </si>
  <si>
    <t>[騒音レベル] ≦35</t>
  </si>
  <si>
    <t>[騒音レベル] ≦45</t>
  </si>
  <si>
    <t>[騒音レベル] ≦30</t>
  </si>
  <si>
    <t>[騒音レベル] ≦35</t>
    <phoneticPr fontId="21"/>
  </si>
  <si>
    <t>　レベル　5</t>
  </si>
  <si>
    <t>■レベル　5</t>
  </si>
  <si>
    <t>騒音：　室内許容騒音レベル＊</t>
    <rPh sb="4" eb="6">
      <t>シツナイ</t>
    </rPh>
    <rPh sb="6" eb="8">
      <t>キョヨウ</t>
    </rPh>
    <rPh sb="8" eb="10">
      <t>ソウオン</t>
    </rPh>
    <phoneticPr fontId="21"/>
  </si>
  <si>
    <t>無音感―――</t>
    <rPh sb="0" eb="2">
      <t>ムオン</t>
    </rPh>
    <rPh sb="2" eb="3">
      <t>カン</t>
    </rPh>
    <phoneticPr fontId="21"/>
  </si>
  <si>
    <t>―――――――――非常に静か―――――――――</t>
    <rPh sb="9" eb="11">
      <t>ヒジョウ</t>
    </rPh>
    <rPh sb="12" eb="13">
      <t>シズ</t>
    </rPh>
    <phoneticPr fontId="21"/>
  </si>
  <si>
    <t>―特に気にならない――――――</t>
    <rPh sb="1" eb="2">
      <t>トク</t>
    </rPh>
    <rPh sb="3" eb="4">
      <t>キ</t>
    </rPh>
    <phoneticPr fontId="21"/>
  </si>
  <si>
    <t>騒音を感じる―</t>
    <rPh sb="0" eb="2">
      <t>ソウオン</t>
    </rPh>
    <rPh sb="3" eb="4">
      <t>カン</t>
    </rPh>
    <phoneticPr fontId="21"/>
  </si>
  <si>
    <t xml:space="preserve">              ――――――騒音を無視できない</t>
    <rPh sb="20" eb="22">
      <t>ソウオン</t>
    </rPh>
    <rPh sb="23" eb="25">
      <t>ムシ</t>
    </rPh>
    <phoneticPr fontId="21"/>
  </si>
  <si>
    <t>会話・電話への影響</t>
    <rPh sb="0" eb="2">
      <t>カイワ</t>
    </rPh>
    <rPh sb="3" eb="5">
      <t>デンワ</t>
    </rPh>
    <rPh sb="7" eb="9">
      <t>エイキョウ</t>
    </rPh>
    <phoneticPr fontId="21"/>
  </si>
  <si>
    <t>５ｍ離れてささ</t>
    <rPh sb="2" eb="3">
      <t>ハナ</t>
    </rPh>
    <phoneticPr fontId="21"/>
  </si>
  <si>
    <t>――――１０ｍ離れて会議可能――――</t>
    <rPh sb="7" eb="8">
      <t>ハナ</t>
    </rPh>
    <rPh sb="10" eb="12">
      <t>カイギ</t>
    </rPh>
    <rPh sb="12" eb="14">
      <t>カノウ</t>
    </rPh>
    <phoneticPr fontId="21"/>
  </si>
  <si>
    <t>――普通会話（３ｍ以内）――――</t>
    <rPh sb="2" eb="4">
      <t>フツウ</t>
    </rPh>
    <rPh sb="4" eb="6">
      <t>カイワ</t>
    </rPh>
    <rPh sb="9" eb="11">
      <t>イナイ</t>
    </rPh>
    <phoneticPr fontId="21"/>
  </si>
  <si>
    <t>大声会話（３ｍ）</t>
    <rPh sb="0" eb="2">
      <t>オオゴエ</t>
    </rPh>
    <rPh sb="2" eb="4">
      <t>カイワ</t>
    </rPh>
    <phoneticPr fontId="21"/>
  </si>
  <si>
    <t>　・風下地域への風の通り道と特に関係しない場合(1ポイント)
　・風下地域への風の通り道を遮らないよう配慮している場合(2ポイント)</t>
    <phoneticPr fontId="21"/>
  </si>
  <si>
    <t>卓越風向に対する建築物の見付面積比が
　・60％以上80％未満の場合(1ポイント)
　・40％以上60％未満の場合(2ポイント)
　・40％未満の場合(3ポイント)</t>
    <phoneticPr fontId="21"/>
  </si>
  <si>
    <t>機械・配管支持方法</t>
    <rPh sb="0" eb="2">
      <t>キカイ</t>
    </rPh>
    <rPh sb="3" eb="5">
      <t>ハイカン</t>
    </rPh>
    <rPh sb="5" eb="7">
      <t>シジ</t>
    </rPh>
    <rPh sb="7" eb="9">
      <t>ホウホウ</t>
    </rPh>
    <phoneticPr fontId="21"/>
  </si>
  <si>
    <t>通信・情報設備</t>
    <rPh sb="0" eb="2">
      <t>ツウシン</t>
    </rPh>
    <rPh sb="3" eb="5">
      <t>ジョウホウ</t>
    </rPh>
    <rPh sb="5" eb="7">
      <t>セツビ</t>
    </rPh>
    <phoneticPr fontId="21"/>
  </si>
  <si>
    <t>対応性・更新性</t>
    <rPh sb="0" eb="3">
      <t>タイオウセイ</t>
    </rPh>
    <rPh sb="4" eb="6">
      <t>コウシン</t>
    </rPh>
    <rPh sb="6" eb="7">
      <t>セイ</t>
    </rPh>
    <phoneticPr fontId="21"/>
  </si>
  <si>
    <t>空間のゆとり</t>
  </si>
  <si>
    <t>階高のゆとり</t>
    <rPh sb="0" eb="1">
      <t>カイ</t>
    </rPh>
    <rPh sb="1" eb="2">
      <t>ダカ</t>
    </rPh>
    <phoneticPr fontId="21"/>
  </si>
  <si>
    <t>空間の形状・自由さ</t>
    <rPh sb="0" eb="2">
      <t>クウカン</t>
    </rPh>
    <rPh sb="3" eb="5">
      <t>ケイジョウ</t>
    </rPh>
    <rPh sb="6" eb="8">
      <t>ジユウ</t>
    </rPh>
    <phoneticPr fontId="21"/>
  </si>
  <si>
    <t>荷重のゆとり</t>
  </si>
  <si>
    <t>設備の更新性</t>
  </si>
  <si>
    <t>給排水管の更新性</t>
    <rPh sb="0" eb="1">
      <t>キュウ</t>
    </rPh>
    <rPh sb="1" eb="4">
      <t>ハイスイカン</t>
    </rPh>
    <rPh sb="5" eb="7">
      <t>コウシン</t>
    </rPh>
    <rPh sb="7" eb="8">
      <t>セイ</t>
    </rPh>
    <phoneticPr fontId="21"/>
  </si>
  <si>
    <t>電気配線の更新性</t>
    <rPh sb="0" eb="2">
      <t>デンキ</t>
    </rPh>
    <rPh sb="2" eb="4">
      <t>ハイセン</t>
    </rPh>
    <rPh sb="5" eb="7">
      <t>コウシン</t>
    </rPh>
    <rPh sb="7" eb="8">
      <t>セイ</t>
    </rPh>
    <phoneticPr fontId="21"/>
  </si>
  <si>
    <t>通信配線の更新性</t>
    <rPh sb="0" eb="2">
      <t>ツウシン</t>
    </rPh>
    <rPh sb="2" eb="4">
      <t>ハイセン</t>
    </rPh>
    <rPh sb="5" eb="7">
      <t>コウシン</t>
    </rPh>
    <rPh sb="7" eb="8">
      <t>セイ</t>
    </rPh>
    <phoneticPr fontId="21"/>
  </si>
  <si>
    <t>設備機器の更新性</t>
    <rPh sb="0" eb="2">
      <t>セツビ</t>
    </rPh>
    <rPh sb="2" eb="4">
      <t>キキ</t>
    </rPh>
    <rPh sb="5" eb="7">
      <t>コウシン</t>
    </rPh>
    <rPh sb="7" eb="8">
      <t>セイ</t>
    </rPh>
    <phoneticPr fontId="21"/>
  </si>
  <si>
    <t>バックアップスペースの確保</t>
    <rPh sb="11" eb="13">
      <t>カクホ</t>
    </rPh>
    <phoneticPr fontId="21"/>
  </si>
  <si>
    <t>生物環境の保全と創出</t>
    <rPh sb="0" eb="2">
      <t>セイブツ</t>
    </rPh>
    <rPh sb="2" eb="4">
      <t>カンキョウ</t>
    </rPh>
    <rPh sb="5" eb="7">
      <t>ホゼン</t>
    </rPh>
    <rPh sb="8" eb="10">
      <t>ソウシュツ</t>
    </rPh>
    <phoneticPr fontId="21"/>
  </si>
  <si>
    <t>まちなみ・景観への配慮</t>
    <rPh sb="5" eb="7">
      <t>ケイカン</t>
    </rPh>
    <rPh sb="9" eb="11">
      <t>ハイリョ</t>
    </rPh>
    <phoneticPr fontId="21"/>
  </si>
  <si>
    <t>地域性・アメニティへの配慮</t>
    <rPh sb="0" eb="3">
      <t>ﾁｲｷｾｲ</t>
    </rPh>
    <rPh sb="11" eb="13">
      <t>ﾊｲﾘｮ</t>
    </rPh>
    <phoneticPr fontId="34" type="noConversion"/>
  </si>
  <si>
    <t>敷地内温熱環境の向上</t>
    <rPh sb="0" eb="2">
      <t>シキチ</t>
    </rPh>
    <rPh sb="2" eb="3">
      <t>ナイ</t>
    </rPh>
    <rPh sb="3" eb="5">
      <t>オンネツ</t>
    </rPh>
    <rPh sb="8" eb="10">
      <t>コウジョウ</t>
    </rPh>
    <phoneticPr fontId="21"/>
  </si>
  <si>
    <t>LR　建築物の環境負荷低減性</t>
    <phoneticPr fontId="21"/>
  </si>
  <si>
    <t>LR1</t>
    <phoneticPr fontId="34" type="noConversion"/>
  </si>
  <si>
    <t>エネルギー</t>
    <phoneticPr fontId="21"/>
  </si>
  <si>
    <t>自然エネルギー利用</t>
    <rPh sb="0" eb="2">
      <t>ｼｾﾞﾝ</t>
    </rPh>
    <rPh sb="7" eb="9">
      <t>ﾘﾖｳ</t>
    </rPh>
    <phoneticPr fontId="34" type="noConversion"/>
  </si>
  <si>
    <t>実施・竣工</t>
    <rPh sb="0" eb="2">
      <t>ジッシ</t>
    </rPh>
    <rPh sb="3" eb="5">
      <t>シュンコウ</t>
    </rPh>
    <phoneticPr fontId="21"/>
  </si>
  <si>
    <t>基本</t>
    <rPh sb="0" eb="2">
      <t>キホン</t>
    </rPh>
    <phoneticPr fontId="21"/>
  </si>
  <si>
    <t>自然エネルギーの直接利用</t>
  </si>
  <si>
    <t>自然エネルギーの変換利用</t>
  </si>
  <si>
    <t>設備システムの高効率化</t>
    <rPh sb="0" eb="2">
      <t>ｾﾂﾋﾞ</t>
    </rPh>
    <rPh sb="7" eb="8">
      <t>ｺｳ</t>
    </rPh>
    <rPh sb="8" eb="10">
      <t>ｺｳﾘﾂ</t>
    </rPh>
    <rPh sb="10" eb="11">
      <t>ｶ</t>
    </rPh>
    <phoneticPr fontId="34" type="noConversion"/>
  </si>
  <si>
    <t>空調設備</t>
  </si>
  <si>
    <t>換気設備</t>
  </si>
  <si>
    <t>照明設備</t>
  </si>
  <si>
    <t>給湯設備</t>
  </si>
  <si>
    <t>昇降機設備</t>
  </si>
  <si>
    <t>効率的運用</t>
    <rPh sb="0" eb="3">
      <t>ｺｳﾘﾂﾃｷ</t>
    </rPh>
    <rPh sb="3" eb="5">
      <t>ｳﾝﾖｳ</t>
    </rPh>
    <phoneticPr fontId="34" type="noConversion"/>
  </si>
  <si>
    <t>運用管理体制</t>
    <rPh sb="0" eb="2">
      <t>ｳﾝﾖｳ</t>
    </rPh>
    <rPh sb="2" eb="4">
      <t>ｶﾝﾘ</t>
    </rPh>
    <rPh sb="4" eb="6">
      <t>ﾀｲｾｲ</t>
    </rPh>
    <phoneticPr fontId="34" type="noConversion"/>
  </si>
  <si>
    <t>水資源保護</t>
    <rPh sb="0" eb="1">
      <t>ﾐｽﾞ</t>
    </rPh>
    <rPh sb="1" eb="3">
      <t>ｼｹﾞﾝ</t>
    </rPh>
    <rPh sb="3" eb="5">
      <t>ﾎｺﾞ</t>
    </rPh>
    <phoneticPr fontId="34" type="noConversion"/>
  </si>
  <si>
    <t>節水</t>
    <rPh sb="0" eb="2">
      <t>ｾｯｽｲ</t>
    </rPh>
    <phoneticPr fontId="34" type="noConversion"/>
  </si>
  <si>
    <t>雨水利用・雑排水等の利用</t>
    <rPh sb="0" eb="2">
      <t>ｳｽｲ</t>
    </rPh>
    <rPh sb="2" eb="4">
      <t>ﾘﾖｳ</t>
    </rPh>
    <rPh sb="5" eb="8">
      <t>ｻﾞﾂﾊｲｽｲ</t>
    </rPh>
    <rPh sb="8" eb="9">
      <t>ﾄｳ</t>
    </rPh>
    <rPh sb="10" eb="12">
      <t>ﾘﾖｳ</t>
    </rPh>
    <phoneticPr fontId="34" type="noConversion"/>
  </si>
  <si>
    <t>雨水利用システム導入の有無</t>
    <rPh sb="0" eb="2">
      <t>ウスイ</t>
    </rPh>
    <rPh sb="2" eb="4">
      <t>リヨウ</t>
    </rPh>
    <rPh sb="8" eb="10">
      <t>ドウニュウ</t>
    </rPh>
    <rPh sb="11" eb="13">
      <t>ウム</t>
    </rPh>
    <phoneticPr fontId="21"/>
  </si>
  <si>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</si>
  <si>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1"/>
  </si>
  <si>
    <t>材料使用量の削減</t>
    <rPh sb="0" eb="2">
      <t>ザイリョウ</t>
    </rPh>
    <rPh sb="2" eb="4">
      <t>シヨウ</t>
    </rPh>
    <rPh sb="4" eb="5">
      <t>リョウ</t>
    </rPh>
    <rPh sb="6" eb="8">
      <t>サクゲン</t>
    </rPh>
    <phoneticPr fontId="21"/>
  </si>
  <si>
    <t>既存建築躯体等の継続使用</t>
    <rPh sb="6" eb="7">
      <t>トウ</t>
    </rPh>
    <rPh sb="8" eb="10">
      <t>ケイゾク</t>
    </rPh>
    <rPh sb="10" eb="12">
      <t>シヨウ</t>
    </rPh>
    <phoneticPr fontId="21"/>
  </si>
  <si>
    <t>躯体材料におけるリサイクル材の使用</t>
    <rPh sb="0" eb="2">
      <t>クタイ</t>
    </rPh>
    <rPh sb="2" eb="4">
      <t>ザイリョウ</t>
    </rPh>
    <rPh sb="13" eb="14">
      <t>ザイ</t>
    </rPh>
    <rPh sb="15" eb="17">
      <t>シヨウ</t>
    </rPh>
    <phoneticPr fontId="21"/>
  </si>
  <si>
    <t>持続可能な森林から産出された木材</t>
  </si>
  <si>
    <t>汚染物質含有材料の使用回避</t>
    <rPh sb="0" eb="2">
      <t>オセン</t>
    </rPh>
    <rPh sb="2" eb="4">
      <t>ブッシツ</t>
    </rPh>
    <rPh sb="4" eb="6">
      <t>ガンユウ</t>
    </rPh>
    <rPh sb="6" eb="8">
      <t>ザイリョウ</t>
    </rPh>
    <rPh sb="9" eb="11">
      <t>シヨウ</t>
    </rPh>
    <rPh sb="11" eb="13">
      <t>カイヒ</t>
    </rPh>
    <phoneticPr fontId="21"/>
  </si>
  <si>
    <t>有害物質を含まない材料の使用</t>
    <rPh sb="0" eb="2">
      <t>ユウガイ</t>
    </rPh>
    <rPh sb="2" eb="4">
      <t>ブッシツ</t>
    </rPh>
    <rPh sb="5" eb="6">
      <t>フク</t>
    </rPh>
    <rPh sb="12" eb="14">
      <t>シヨウ</t>
    </rPh>
    <phoneticPr fontId="21"/>
  </si>
  <si>
    <t>フロン・ハロンの回避</t>
    <rPh sb="8" eb="10">
      <t>カイヒ</t>
    </rPh>
    <phoneticPr fontId="21"/>
  </si>
  <si>
    <r>
      <t xml:space="preserve">1.2.2 </t>
    </r>
    <r>
      <rPr>
        <b/>
        <sz val="10"/>
        <rFont val="ＭＳ Ｐゴシック"/>
        <family val="3"/>
        <charset val="128"/>
      </rPr>
      <t>リフレッシュスペース</t>
    </r>
    <phoneticPr fontId="21"/>
  </si>
  <si>
    <t>-</t>
    <phoneticPr fontId="21"/>
  </si>
  <si>
    <t>レストスペースが売り場面積の2％以上</t>
    <phoneticPr fontId="21"/>
  </si>
  <si>
    <t>レストスペースが売り場面積の3％以上</t>
    <phoneticPr fontId="21"/>
  </si>
  <si>
    <t>レストスペースが売り場面積の4％以上</t>
    <phoneticPr fontId="21"/>
  </si>
  <si>
    <t>住居宿泊部分</t>
    <phoneticPr fontId="21"/>
  </si>
  <si>
    <t>モックアップ（実物大模型）やインテリアパースによる内装計画の事前検証を実施している。</t>
    <phoneticPr fontId="21"/>
  </si>
  <si>
    <t>⑦　外装仕上げ：外壁面やガラスは防汚性の高い建材や耐候性塗料や親水性塗料などを施した仕上げを採用している。</t>
    <phoneticPr fontId="21"/>
  </si>
  <si>
    <t>合計＝</t>
    <phoneticPr fontId="21"/>
  </si>
  <si>
    <t>合計＝</t>
    <phoneticPr fontId="21"/>
  </si>
  <si>
    <t>建築物衛生法における特定建築物</t>
    <phoneticPr fontId="21"/>
  </si>
  <si>
    <t>換気</t>
    <rPh sb="0" eb="2">
      <t>カンキ</t>
    </rPh>
    <phoneticPr fontId="21"/>
  </si>
  <si>
    <r>
      <t xml:space="preserve">4.2.1 </t>
    </r>
    <r>
      <rPr>
        <b/>
        <sz val="10"/>
        <rFont val="ＭＳ Ｐゴシック"/>
        <family val="3"/>
        <charset val="128"/>
      </rPr>
      <t>換気量</t>
    </r>
    <rPh sb="6" eb="9">
      <t>カンキリョウ</t>
    </rPh>
    <phoneticPr fontId="21"/>
  </si>
  <si>
    <t>事・学(大学等)・物・飲・会・病・ホ・工・住</t>
    <rPh sb="0" eb="1">
      <t>コト</t>
    </rPh>
    <rPh sb="2" eb="3">
      <t>ガク</t>
    </rPh>
    <rPh sb="9" eb="10">
      <t>モノ</t>
    </rPh>
    <rPh sb="11" eb="12">
      <t>イン</t>
    </rPh>
    <rPh sb="13" eb="14">
      <t>カイ</t>
    </rPh>
    <rPh sb="15" eb="16">
      <t>ヤマイ</t>
    </rPh>
    <rPh sb="21" eb="22">
      <t>ジュウ</t>
    </rPh>
    <phoneticPr fontId="21"/>
  </si>
  <si>
    <r>
      <t xml:space="preserve">4.2.2 </t>
    </r>
    <r>
      <rPr>
        <b/>
        <sz val="10"/>
        <rFont val="ＭＳ Ｐゴシック"/>
        <family val="3"/>
        <charset val="128"/>
      </rPr>
      <t>自然換気性能</t>
    </r>
    <rPh sb="6" eb="8">
      <t>シゼン</t>
    </rPh>
    <rPh sb="8" eb="10">
      <t>カンキ</t>
    </rPh>
    <rPh sb="10" eb="12">
      <t>セイノウ</t>
    </rPh>
    <phoneticPr fontId="21"/>
  </si>
  <si>
    <t>地域区分Ⅱ</t>
  </si>
  <si>
    <t>建物全体・共用部分</t>
    <phoneticPr fontId="21"/>
  </si>
  <si>
    <t>延床面積＝</t>
    <rPh sb="0" eb="1">
      <t>ノベ</t>
    </rPh>
    <rPh sb="1" eb="4">
      <t>ユカメンセキ</t>
    </rPh>
    <phoneticPr fontId="21"/>
  </si>
  <si>
    <t>備考</t>
    <rPh sb="0" eb="2">
      <t>ビコウ</t>
    </rPh>
    <phoneticPr fontId="21"/>
  </si>
  <si>
    <t>式設定</t>
    <rPh sb="0" eb="1">
      <t>シキ</t>
    </rPh>
    <rPh sb="1" eb="3">
      <t>セッテイ</t>
    </rPh>
    <phoneticPr fontId="21"/>
  </si>
  <si>
    <t>2～3</t>
  </si>
  <si>
    <t>学校版基準</t>
    <rPh sb="0" eb="2">
      <t>ガッコウ</t>
    </rPh>
    <rPh sb="2" eb="3">
      <t>バン</t>
    </rPh>
    <rPh sb="3" eb="5">
      <t>キジュン</t>
    </rPh>
    <phoneticPr fontId="21"/>
  </si>
  <si>
    <t>一般地域</t>
    <rPh sb="0" eb="2">
      <t>イッパン</t>
    </rPh>
    <rPh sb="2" eb="4">
      <t>チイキ</t>
    </rPh>
    <phoneticPr fontId="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</si>
  <si>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4" type="noConversion"/>
  </si>
  <si>
    <t>年間延床面積あたり指標</t>
    <rPh sb="0" eb="2">
      <t>ネンカン</t>
    </rPh>
    <rPh sb="2" eb="3">
      <t>ノ</t>
    </rPh>
    <rPh sb="3" eb="6">
      <t>ユカメンセキ</t>
    </rPh>
    <rPh sb="9" eb="11">
      <t>シヒョウ</t>
    </rPh>
    <phoneticPr fontId="21"/>
  </si>
  <si>
    <t>プルダウン選択肢</t>
    <rPh sb="5" eb="8">
      <t>センタクシ</t>
    </rPh>
    <phoneticPr fontId="21"/>
  </si>
  <si>
    <t>　レベル　2</t>
  </si>
  <si>
    <t>■レベル　2</t>
  </si>
  <si>
    <t>45＜ [騒音レベル] ≦50</t>
    <phoneticPr fontId="21"/>
  </si>
  <si>
    <t>40＜ [騒音レベル] ≦45</t>
    <phoneticPr fontId="21"/>
  </si>
  <si>
    <t>35＜ [騒音レベル] ≦40</t>
    <phoneticPr fontId="21"/>
  </si>
  <si>
    <t>　レベル　3</t>
  </si>
  <si>
    <t>■レベル　3</t>
  </si>
  <si>
    <t>30＜ [騒音レベル] ≦35</t>
    <phoneticPr fontId="21"/>
  </si>
  <si>
    <t>35＜ [騒音レベル] ≦45</t>
    <phoneticPr fontId="21"/>
  </si>
  <si>
    <t>小中（北海道）</t>
    <rPh sb="0" eb="1">
      <t>ショウ</t>
    </rPh>
    <rPh sb="1" eb="2">
      <t>チュウ</t>
    </rPh>
    <rPh sb="3" eb="6">
      <t>ホッカイドウ</t>
    </rPh>
    <phoneticPr fontId="21"/>
  </si>
  <si>
    <t>小中（その他）</t>
    <rPh sb="0" eb="2">
      <t>ショウチュウ</t>
    </rPh>
    <rPh sb="5" eb="6">
      <t>ホカ</t>
    </rPh>
    <phoneticPr fontId="21"/>
  </si>
  <si>
    <t>平成２４年度の電気事業者別実排出係数等の公表値</t>
    <phoneticPr fontId="21"/>
  </si>
  <si>
    <t>実排出係数及び代替値</t>
    <phoneticPr fontId="21"/>
  </si>
  <si>
    <t>調整後排出係数</t>
    <phoneticPr fontId="21"/>
  </si>
  <si>
    <t>kg-CO2/MJ</t>
    <phoneticPr fontId="21"/>
  </si>
  <si>
    <t>評価ﾚﾍﾞﾙ</t>
    <phoneticPr fontId="21"/>
  </si>
  <si>
    <t>Ａａ1</t>
    <phoneticPr fontId="21"/>
  </si>
  <si>
    <t>Ａｂ1</t>
    <phoneticPr fontId="21"/>
  </si>
  <si>
    <t>Ｂａ1</t>
    <phoneticPr fontId="21"/>
  </si>
  <si>
    <t>Ｂｂ1</t>
    <phoneticPr fontId="21"/>
  </si>
  <si>
    <t>Ｃａ1</t>
    <phoneticPr fontId="21"/>
  </si>
  <si>
    <t>ratio</t>
    <phoneticPr fontId="21"/>
  </si>
  <si>
    <t>住宅（専有部）</t>
    <rPh sb="0" eb="2">
      <t>ジュウタク</t>
    </rPh>
    <rPh sb="3" eb="5">
      <t>センユウ</t>
    </rPh>
    <rPh sb="5" eb="6">
      <t>ブ</t>
    </rPh>
    <phoneticPr fontId="21"/>
  </si>
  <si>
    <t>BEI</t>
    <phoneticPr fontId="21"/>
  </si>
  <si>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1"/>
  </si>
  <si>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1"/>
  </si>
  <si>
    <t>&lt;評価しない&gt;</t>
    <rPh sb="1" eb="3">
      <t>ヒョウカ</t>
    </rPh>
    <phoneticPr fontId="21"/>
  </si>
  <si>
    <t>音環境</t>
    <rPh sb="0" eb="1">
      <t>オト</t>
    </rPh>
    <rPh sb="1" eb="3">
      <t>カンキョウ</t>
    </rPh>
    <phoneticPr fontId="21"/>
  </si>
  <si>
    <t>騒音</t>
    <rPh sb="0" eb="2">
      <t>ソウオン</t>
    </rPh>
    <phoneticPr fontId="21"/>
  </si>
  <si>
    <t>建物全体・共用部分</t>
    <phoneticPr fontId="21"/>
  </si>
  <si>
    <t>重み係数(既定）＝</t>
    <rPh sb="0" eb="1">
      <t>オモ</t>
    </rPh>
    <rPh sb="2" eb="4">
      <t>ケイスウ</t>
    </rPh>
    <rPh sb="5" eb="7">
      <t>キテイ</t>
    </rPh>
    <phoneticPr fontId="21"/>
  </si>
  <si>
    <t>事・病(待)・ホ・工・住</t>
    <rPh sb="4" eb="5">
      <t>マツ</t>
    </rPh>
    <rPh sb="11" eb="12">
      <t>ジュウ</t>
    </rPh>
    <phoneticPr fontId="21"/>
  </si>
  <si>
    <t>学(大学等)・病(診)</t>
    <rPh sb="7" eb="8">
      <t>ビョウ</t>
    </rPh>
    <rPh sb="9" eb="10">
      <t>ミ</t>
    </rPh>
    <phoneticPr fontId="21"/>
  </si>
  <si>
    <t>学(小中高)</t>
    <rPh sb="0" eb="1">
      <t>ガク</t>
    </rPh>
    <rPh sb="2" eb="5">
      <t>ショウチュウコウ</t>
    </rPh>
    <phoneticPr fontId="21"/>
  </si>
  <si>
    <t>病・ホ・住</t>
    <rPh sb="0" eb="1">
      <t>ビョウ</t>
    </rPh>
    <rPh sb="4" eb="5">
      <t>ジュウ</t>
    </rPh>
    <phoneticPr fontId="21"/>
  </si>
  <si>
    <t>ON</t>
    <phoneticPr fontId="21"/>
  </si>
  <si>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1"/>
  </si>
  <si>
    <r>
      <t>kg-CO</t>
    </r>
    <r>
      <rPr>
        <vertAlign val="subscript"/>
        <sz val="9"/>
        <rFont val="ＭＳ Ｐゴシック"/>
        <family val="3"/>
        <charset val="128"/>
      </rPr>
      <t>2</t>
    </r>
    <r>
      <rPr>
        <sz val="9"/>
        <rFont val="ＭＳ Ｐゴシック"/>
        <family val="3"/>
        <charset val="128"/>
      </rPr>
      <t>/年㎡</t>
    </r>
    <rPh sb="7" eb="8">
      <t>ネン</t>
    </rPh>
    <phoneticPr fontId="21"/>
  </si>
  <si>
    <t>HFC－245ca</t>
  </si>
  <si>
    <t>FC－14</t>
  </si>
  <si>
    <t>FC－116</t>
  </si>
  <si>
    <t>FC－218</t>
  </si>
  <si>
    <t>FC－C318</t>
  </si>
  <si>
    <t>対象外</t>
    <rPh sb="0" eb="2">
      <t>タイショウ</t>
    </rPh>
    <rPh sb="2" eb="3">
      <t>ガイ</t>
    </rPh>
    <phoneticPr fontId="21"/>
  </si>
  <si>
    <t>発泡断熱材種別</t>
    <rPh sb="0" eb="2">
      <t>ハッポウ</t>
    </rPh>
    <rPh sb="2" eb="5">
      <t>ダンネツザイ</t>
    </rPh>
    <rPh sb="5" eb="7">
      <t>シュベツ</t>
    </rPh>
    <phoneticPr fontId="21"/>
  </si>
  <si>
    <t>使用年代</t>
    <rPh sb="0" eb="2">
      <t>シヨウ</t>
    </rPh>
    <rPh sb="2" eb="4">
      <t>ネンダイ</t>
    </rPh>
    <phoneticPr fontId="21"/>
  </si>
  <si>
    <t>発泡剤物質名</t>
    <rPh sb="0" eb="2">
      <t>ハッポウ</t>
    </rPh>
    <rPh sb="2" eb="3">
      <t>ザイ</t>
    </rPh>
    <rPh sb="3" eb="5">
      <t>ブッシツ</t>
    </rPh>
    <rPh sb="5" eb="6">
      <t>メイ</t>
    </rPh>
    <phoneticPr fontId="21"/>
  </si>
  <si>
    <r>
      <t>ＧＷＰ</t>
    </r>
    <r>
      <rPr>
        <sz val="6"/>
        <rFont val="ＭＳ Ｐゴシック"/>
        <family val="3"/>
        <charset val="128"/>
      </rPr>
      <t>（100年値）</t>
    </r>
    <rPh sb="7" eb="8">
      <t>ネン</t>
    </rPh>
    <rPh sb="8" eb="9">
      <t>アタイ</t>
    </rPh>
    <phoneticPr fontId="21"/>
  </si>
  <si>
    <t>ウレタンフォーム</t>
  </si>
  <si>
    <t>1995年以前</t>
    <rPh sb="4" eb="5">
      <t>ネン</t>
    </rPh>
    <rPh sb="5" eb="7">
      <t>イゼン</t>
    </rPh>
    <phoneticPr fontId="21"/>
  </si>
  <si>
    <t>2.3.2</t>
    <phoneticPr fontId="21"/>
  </si>
  <si>
    <t>2.3.3</t>
    <phoneticPr fontId="21"/>
  </si>
  <si>
    <t xml:space="preserve"> Q2 2.3</t>
    <phoneticPr fontId="21"/>
  </si>
  <si>
    <t>2.3.3</t>
    <phoneticPr fontId="21"/>
  </si>
  <si>
    <t>2.4.1</t>
    <phoneticPr fontId="21"/>
  </si>
  <si>
    <t>3.1.1</t>
    <phoneticPr fontId="21"/>
  </si>
  <si>
    <t>3.1.2</t>
    <phoneticPr fontId="21"/>
  </si>
  <si>
    <t>3.3.1</t>
    <phoneticPr fontId="21"/>
  </si>
  <si>
    <t>3.3.2</t>
    <phoneticPr fontId="21"/>
  </si>
  <si>
    <t>3.3.3</t>
    <phoneticPr fontId="21"/>
  </si>
  <si>
    <t>3.3.4</t>
    <phoneticPr fontId="21"/>
  </si>
  <si>
    <t>3.3.5</t>
    <phoneticPr fontId="21"/>
  </si>
  <si>
    <t>3.3.6</t>
    <phoneticPr fontId="21"/>
  </si>
  <si>
    <t>Q3</t>
    <phoneticPr fontId="21"/>
  </si>
  <si>
    <t>室外環境（敷地内）</t>
    <phoneticPr fontId="21"/>
  </si>
  <si>
    <t>まちなみ・景観への配慮</t>
    <phoneticPr fontId="21"/>
  </si>
  <si>
    <t>地域性・アメニティへの配慮</t>
    <phoneticPr fontId="21"/>
  </si>
  <si>
    <t>3.1</t>
    <phoneticPr fontId="21"/>
  </si>
  <si>
    <t>3.2</t>
    <phoneticPr fontId="21"/>
  </si>
  <si>
    <t>敷地内温熱環境の向上</t>
    <phoneticPr fontId="21"/>
  </si>
  <si>
    <t>LR</t>
    <phoneticPr fontId="34" type="noConversion"/>
  </si>
  <si>
    <t>LR</t>
    <phoneticPr fontId="34" type="noConversion"/>
  </si>
  <si>
    <t>LR1</t>
    <phoneticPr fontId="34" type="noConversion"/>
  </si>
  <si>
    <t>LR</t>
    <phoneticPr fontId="21"/>
  </si>
  <si>
    <t>エネルギー</t>
    <phoneticPr fontId="21"/>
  </si>
  <si>
    <t>2.1</t>
    <phoneticPr fontId="21"/>
  </si>
  <si>
    <t>2.2</t>
    <phoneticPr fontId="21"/>
  </si>
  <si>
    <t>3a</t>
    <phoneticPr fontId="21"/>
  </si>
  <si>
    <t>LR1 3</t>
    <phoneticPr fontId="21"/>
  </si>
  <si>
    <t>LR1 3b</t>
    <phoneticPr fontId="21"/>
  </si>
  <si>
    <t>LR</t>
    <phoneticPr fontId="21"/>
  </si>
  <si>
    <t>地域区分Ⅰ</t>
    <phoneticPr fontId="21"/>
  </si>
  <si>
    <t>2.6</t>
    <phoneticPr fontId="21"/>
  </si>
  <si>
    <t>3.1</t>
    <phoneticPr fontId="21"/>
  </si>
  <si>
    <t>3.1</t>
    <phoneticPr fontId="21"/>
  </si>
  <si>
    <t>3.2</t>
    <phoneticPr fontId="21"/>
  </si>
  <si>
    <t>3.2.1</t>
    <phoneticPr fontId="21"/>
  </si>
  <si>
    <t>消火剤</t>
    <phoneticPr fontId="21"/>
  </si>
  <si>
    <t>3.2.2</t>
    <phoneticPr fontId="21"/>
  </si>
  <si>
    <t>発泡剤（断熱材等）</t>
    <phoneticPr fontId="21"/>
  </si>
  <si>
    <t>(blank star)</t>
    <phoneticPr fontId="21"/>
  </si>
  <si>
    <t>LCCO2(kg-CO2/ym2)</t>
    <phoneticPr fontId="21"/>
  </si>
  <si>
    <t>オンサイト</t>
    <phoneticPr fontId="21"/>
  </si>
  <si>
    <t>オフサイト</t>
    <phoneticPr fontId="21"/>
  </si>
  <si>
    <t>％</t>
    <phoneticPr fontId="21"/>
  </si>
  <si>
    <t>Sum</t>
    <phoneticPr fontId="21"/>
  </si>
  <si>
    <r>
      <t>2-4</t>
    </r>
    <r>
      <rPr>
        <b/>
        <sz val="12"/>
        <color indexed="9"/>
        <rFont val="ＭＳ Ｐゴシック"/>
        <family val="3"/>
        <charset val="128"/>
      </rPr>
      <t>　中項目の評価（バーチャート）</t>
    </r>
    <phoneticPr fontId="21"/>
  </si>
  <si>
    <t>Q-2 サービス性能</t>
    <phoneticPr fontId="21"/>
  </si>
  <si>
    <t>Score(RoundDown)</t>
    <phoneticPr fontId="21"/>
  </si>
  <si>
    <t>NA</t>
    <phoneticPr fontId="21"/>
  </si>
  <si>
    <t>まちなみ景観</t>
    <phoneticPr fontId="21"/>
  </si>
  <si>
    <r>
      <t>LR</t>
    </r>
    <r>
      <rPr>
        <b/>
        <sz val="11"/>
        <color indexed="42"/>
        <rFont val="ＭＳ Ｐゴシック"/>
        <family val="3"/>
        <charset val="128"/>
      </rPr>
      <t>　環境負荷低減性</t>
    </r>
    <phoneticPr fontId="21"/>
  </si>
  <si>
    <r>
      <t>LR</t>
    </r>
    <r>
      <rPr>
        <b/>
        <i/>
        <sz val="14"/>
        <color indexed="9"/>
        <rFont val="ＭＳ Ｐゴシック"/>
        <family val="3"/>
        <charset val="128"/>
      </rPr>
      <t>のスコア</t>
    </r>
    <r>
      <rPr>
        <b/>
        <i/>
        <sz val="14"/>
        <color indexed="9"/>
        <rFont val="Arial"/>
        <family val="2"/>
      </rPr>
      <t>=</t>
    </r>
    <phoneticPr fontId="21"/>
  </si>
  <si>
    <t>Score(RoundDown)</t>
    <phoneticPr fontId="21"/>
  </si>
  <si>
    <t>Score</t>
    <phoneticPr fontId="21"/>
  </si>
  <si>
    <t>LR-1 エネルギー</t>
    <phoneticPr fontId="21"/>
  </si>
  <si>
    <t>Score(RoundDown)</t>
    <phoneticPr fontId="21"/>
  </si>
  <si>
    <t>NA</t>
    <phoneticPr fontId="21"/>
  </si>
  <si>
    <t>集成材</t>
    <rPh sb="0" eb="3">
      <t>シュウセイザイ</t>
    </rPh>
    <phoneticPr fontId="21"/>
  </si>
  <si>
    <t>鉄鋼スラグ混入路盤材</t>
    <rPh sb="0" eb="2">
      <t>テッコウ</t>
    </rPh>
    <rPh sb="5" eb="7">
      <t>コンニュウ</t>
    </rPh>
    <rPh sb="7" eb="10">
      <t>ロバンザイ</t>
    </rPh>
    <phoneticPr fontId="21"/>
  </si>
  <si>
    <t>木質系セメント板</t>
    <rPh sb="0" eb="2">
      <t>モクシツ</t>
    </rPh>
    <rPh sb="2" eb="3">
      <t>ケイ</t>
    </rPh>
    <rPh sb="7" eb="8">
      <t>イタ</t>
    </rPh>
    <phoneticPr fontId="21"/>
  </si>
  <si>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</si>
  <si>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</si>
  <si>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</si>
  <si>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</si>
  <si>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t>屋外用品（土木建築用品：小丸太）</t>
  </si>
  <si>
    <t>屋内用品（ドア）</t>
  </si>
  <si>
    <t>屋外用品（土木建築用品：集成材）</t>
  </si>
  <si>
    <t>屋内用品（柱）</t>
  </si>
  <si>
    <t>屋外用品（土木建築用品：合板）</t>
  </si>
  <si>
    <t>屋内用品（梁）</t>
  </si>
  <si>
    <t>屋外用品（エクステリア）</t>
  </si>
  <si>
    <t>屋内用品（土台）</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</si>
  <si>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</si>
  <si>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</si>
  <si>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</si>
  <si>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</si>
  <si>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</si>
  <si>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</si>
  <si>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</si>
  <si>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</si>
  <si>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</si>
  <si>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</si>
  <si>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</si>
  <si>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</si>
  <si>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</si>
  <si>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</si>
  <si>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</si>
  <si>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</si>
  <si>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</si>
  <si>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</si>
  <si>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</si>
  <si>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</si>
  <si>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</si>
  <si>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</si>
  <si>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</si>
  <si>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</si>
  <si>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1"/>
  </si>
  <si>
    <t>躯体と仕上げ材が容易に分別可能となっている</t>
  </si>
  <si>
    <t>学(小中高)・住</t>
    <rPh sb="0" eb="1">
      <t>ガク</t>
    </rPh>
    <rPh sb="2" eb="3">
      <t>ショウ</t>
    </rPh>
    <rPh sb="3" eb="4">
      <t>チュウ</t>
    </rPh>
    <rPh sb="4" eb="5">
      <t>コウ</t>
    </rPh>
    <rPh sb="7" eb="8">
      <t>ジュウ</t>
    </rPh>
    <phoneticPr fontId="21"/>
  </si>
  <si>
    <t>建物全体・共用部分</t>
    <phoneticPr fontId="21"/>
  </si>
  <si>
    <t>事・学・物・飲・会・病・ホ・工・住</t>
    <phoneticPr fontId="21"/>
  </si>
  <si>
    <t>昼光利用設備がある。</t>
    <phoneticPr fontId="21"/>
  </si>
  <si>
    <t>建物全体・共用部分</t>
    <phoneticPr fontId="21"/>
  </si>
  <si>
    <t>-</t>
    <phoneticPr fontId="21"/>
  </si>
  <si>
    <t>水平方向から見て光源が露出せずグレアを制限している器具。G2分類の器具。</t>
    <phoneticPr fontId="21"/>
  </si>
  <si>
    <t>何もない。</t>
    <phoneticPr fontId="21"/>
  </si>
  <si>
    <t>レベル３を満たさない。</t>
    <phoneticPr fontId="21"/>
  </si>
  <si>
    <t>教室内で視界に見え方を妨害するような「まぶしさ」を感じさせる強い光源がないこと。
（解説（ア）～（ウ））</t>
    <phoneticPr fontId="21"/>
  </si>
  <si>
    <t>判定基準</t>
    <phoneticPr fontId="21"/>
  </si>
  <si>
    <t>建物全体・共用部分</t>
    <phoneticPr fontId="21"/>
  </si>
  <si>
    <t>学</t>
    <phoneticPr fontId="21"/>
  </si>
  <si>
    <t>病(待)</t>
    <phoneticPr fontId="21"/>
  </si>
  <si>
    <t>ホ</t>
    <phoneticPr fontId="21"/>
  </si>
  <si>
    <t>病</t>
    <phoneticPr fontId="21"/>
  </si>
  <si>
    <t>予備スリーブを用いれば構造部材を痛めることなく空調配管の更新・修繕ができる場合もあるが全ての配管の更新・修繕には対応できない。</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</si>
  <si>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1"/>
  </si>
  <si>
    <t>構造部材を痛めなければ電気配線の更新・修繕ができない。</t>
  </si>
  <si>
    <t>構造部材を痛めなければ通信配線の更新・修繕ができない。</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</si>
  <si>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</si>
  <si>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1"/>
  </si>
  <si>
    <r>
      <t xml:space="preserve">3.3.6 </t>
    </r>
    <r>
      <rPr>
        <b/>
        <sz val="10"/>
        <rFont val="ＭＳ Ｐゴシック"/>
        <family val="3"/>
        <charset val="128"/>
      </rPr>
      <t>バックアップスペースの確保</t>
    </r>
    <rPh sb="17" eb="19">
      <t>カクホ</t>
    </rPh>
    <phoneticPr fontId="21"/>
  </si>
  <si>
    <t>バックアップ設備のためのスペースが計画的に確保されていない。</t>
  </si>
  <si>
    <t>11年以上～20年未満</t>
  </si>
  <si>
    <t>25年以上</t>
  </si>
  <si>
    <t>昼間</t>
    <phoneticPr fontId="21"/>
  </si>
  <si>
    <t>朝・夕</t>
    <phoneticPr fontId="21"/>
  </si>
  <si>
    <t>夜間</t>
    <phoneticPr fontId="21"/>
  </si>
  <si>
    <t>50dB以下</t>
    <phoneticPr fontId="21"/>
  </si>
  <si>
    <t>35dB以下</t>
    <phoneticPr fontId="21"/>
  </si>
  <si>
    <t>30dB以下</t>
    <phoneticPr fontId="21"/>
  </si>
  <si>
    <t>昼間</t>
    <phoneticPr fontId="21"/>
  </si>
  <si>
    <t>朝・夕</t>
    <phoneticPr fontId="21"/>
  </si>
  <si>
    <t>夜間</t>
    <phoneticPr fontId="21"/>
  </si>
  <si>
    <r>
      <t xml:space="preserve">3.1.2 </t>
    </r>
    <r>
      <rPr>
        <b/>
        <sz val="10"/>
        <rFont val="ＭＳ Ｐゴシック"/>
        <family val="3"/>
        <charset val="128"/>
      </rPr>
      <t>振動</t>
    </r>
    <phoneticPr fontId="21"/>
  </si>
  <si>
    <r>
      <t xml:space="preserve">3.1.1 </t>
    </r>
    <r>
      <rPr>
        <b/>
        <sz val="10"/>
        <rFont val="ＭＳ Ｐゴシック"/>
        <family val="3"/>
        <charset val="128"/>
      </rPr>
      <t>階高のゆとり</t>
    </r>
    <phoneticPr fontId="21"/>
  </si>
  <si>
    <t>病・ホ</t>
    <phoneticPr fontId="21"/>
  </si>
  <si>
    <t>住</t>
    <phoneticPr fontId="21"/>
  </si>
  <si>
    <t>3.3ｍ未満</t>
    <phoneticPr fontId="21"/>
  </si>
  <si>
    <t>3.1ｍ未満</t>
    <phoneticPr fontId="21"/>
  </si>
  <si>
    <t>2.7ｍ未満</t>
    <phoneticPr fontId="21"/>
  </si>
  <si>
    <t>3.9ｍ以上</t>
    <phoneticPr fontId="21"/>
  </si>
  <si>
    <t>3.7ｍ以上</t>
    <phoneticPr fontId="21"/>
  </si>
  <si>
    <t>3.0ｍ以上</t>
    <phoneticPr fontId="21"/>
  </si>
  <si>
    <r>
      <t xml:space="preserve">3.1.2 </t>
    </r>
    <r>
      <rPr>
        <b/>
        <sz val="10"/>
        <rFont val="ＭＳ Ｐゴシック"/>
        <family val="3"/>
        <charset val="128"/>
      </rPr>
      <t>空間の形状・自由さ</t>
    </r>
    <phoneticPr fontId="21"/>
  </si>
  <si>
    <t>建物全体・共用部分</t>
    <phoneticPr fontId="21"/>
  </si>
  <si>
    <t>設備システムの高効率化</t>
    <rPh sb="0" eb="2">
      <t>セツビ</t>
    </rPh>
    <rPh sb="7" eb="11">
      <t>コウコウリツカ</t>
    </rPh>
    <phoneticPr fontId="21"/>
  </si>
  <si>
    <r>
      <t xml:space="preserve">1.1.3 </t>
    </r>
    <r>
      <rPr>
        <b/>
        <sz val="10"/>
        <rFont val="ＭＳ Ｐゴシック"/>
        <family val="3"/>
        <charset val="128"/>
      </rPr>
      <t>バリアフリー計画</t>
    </r>
    <rPh sb="12" eb="14">
      <t>ケイカク</t>
    </rPh>
    <phoneticPr fontId="21"/>
  </si>
  <si>
    <t>心理性・快適性</t>
    <rPh sb="0" eb="2">
      <t>シンリ</t>
    </rPh>
    <rPh sb="2" eb="3">
      <t>セイ</t>
    </rPh>
    <rPh sb="4" eb="6">
      <t>カイテキ</t>
    </rPh>
    <rPh sb="6" eb="7">
      <t>セイ</t>
    </rPh>
    <phoneticPr fontId="21"/>
  </si>
  <si>
    <t>既存は事務所のみ評価</t>
    <rPh sb="0" eb="2">
      <t>キソン</t>
    </rPh>
    <rPh sb="3" eb="5">
      <t>ジム</t>
    </rPh>
    <rPh sb="5" eb="6">
      <t>ショ</t>
    </rPh>
    <rPh sb="8" eb="10">
      <t>ヒョウカ</t>
    </rPh>
    <phoneticPr fontId="21"/>
  </si>
  <si>
    <t>物・飲</t>
    <rPh sb="0" eb="1">
      <t>モノ</t>
    </rPh>
    <rPh sb="2" eb="3">
      <t>イン</t>
    </rPh>
    <phoneticPr fontId="21"/>
  </si>
  <si>
    <t>３０年以上</t>
  </si>
  <si>
    <t>既存で評価</t>
    <rPh sb="0" eb="2">
      <t>キソン</t>
    </rPh>
    <rPh sb="3" eb="5">
      <t>ヒョウカ</t>
    </rPh>
    <phoneticPr fontId="21"/>
  </si>
  <si>
    <t>メンテナンス記録がなく判定不可能。</t>
  </si>
  <si>
    <t>全て耐用年数を超えている。</t>
  </si>
  <si>
    <t>全て耐用年数以内である。</t>
  </si>
  <si>
    <t>建物全体・共用部分</t>
    <phoneticPr fontId="21"/>
  </si>
  <si>
    <t>5℃＜ [上下温度差]</t>
    <phoneticPr fontId="21"/>
  </si>
  <si>
    <t>2℃＜ [上下温度差] ≦5℃</t>
    <phoneticPr fontId="21"/>
  </si>
  <si>
    <t>[昼光率] ＜0.5％</t>
    <phoneticPr fontId="21"/>
  </si>
  <si>
    <t>0.75％≦ [昼光率] ＜1.0％</t>
    <phoneticPr fontId="21"/>
  </si>
  <si>
    <t>集合住宅の評価</t>
    <rPh sb="0" eb="2">
      <t>シュウゴウ</t>
    </rPh>
    <rPh sb="2" eb="4">
      <t>ジュウタク</t>
    </rPh>
    <rPh sb="5" eb="7">
      <t>ヒョウカ</t>
    </rPh>
    <phoneticPr fontId="21"/>
  </si>
  <si>
    <t>LR2</t>
  </si>
  <si>
    <t>LR3</t>
  </si>
  <si>
    <t>〃</t>
  </si>
  <si>
    <t>代表的な資材の環境負荷</t>
    <rPh sb="0" eb="3">
      <t>ダイヒョウテキ</t>
    </rPh>
    <rPh sb="4" eb="6">
      <t>シザイ</t>
    </rPh>
    <rPh sb="7" eb="9">
      <t>カンキョウ</t>
    </rPh>
    <rPh sb="9" eb="11">
      <t>フカ</t>
    </rPh>
    <phoneticPr fontId="21"/>
  </si>
  <si>
    <t>建設
段階</t>
    <rPh sb="0" eb="2">
      <t>ケンセツ</t>
    </rPh>
    <rPh sb="3" eb="5">
      <t>ダンカイ</t>
    </rPh>
    <phoneticPr fontId="21"/>
  </si>
  <si>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1"/>
  </si>
  <si>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1"/>
  </si>
  <si>
    <t>住まい方の提示</t>
    <rPh sb="5" eb="7">
      <t>テイジ</t>
    </rPh>
    <phoneticPr fontId="3"/>
  </si>
  <si>
    <t>エネルギーの管理と制御</t>
  </si>
  <si>
    <t>設備毎の取扱説明書が居住者に手渡されている。</t>
  </si>
  <si>
    <t>4.1.1</t>
    <phoneticPr fontId="21"/>
  </si>
  <si>
    <t>4.1.2</t>
    <phoneticPr fontId="21"/>
  </si>
  <si>
    <t>4.2.1</t>
    <phoneticPr fontId="21"/>
  </si>
  <si>
    <t>4.2.2</t>
    <phoneticPr fontId="21"/>
  </si>
  <si>
    <t>LR1 4.1</t>
    <phoneticPr fontId="21"/>
  </si>
  <si>
    <t>LR1 4.1</t>
    <phoneticPr fontId="21"/>
  </si>
  <si>
    <t>LR1 4.2</t>
    <phoneticPr fontId="21"/>
  </si>
  <si>
    <t>住宅以外の評価</t>
    <rPh sb="0" eb="2">
      <t>じゅうたく</t>
    </rPh>
    <rPh sb="2" eb="4">
      <t>いがい</t>
    </rPh>
    <rPh sb="5" eb="7">
      <t>ひょうか</t>
    </rPh>
    <phoneticPr fontId="34" type="noConversion"/>
  </si>
  <si>
    <t>住宅の評価</t>
    <rPh sb="0" eb="2">
      <t>じゅうたく</t>
    </rPh>
    <rPh sb="3" eb="5">
      <t>ひょうか</t>
    </rPh>
    <phoneticPr fontId="34" type="noConversion"/>
  </si>
  <si>
    <t>躯体材料以外におけるリサイクル材の使用</t>
  </si>
  <si>
    <t>LPG</t>
  </si>
  <si>
    <t>LPG</t>
    <phoneticPr fontId="21"/>
  </si>
  <si>
    <t>kg-CO2/MJ</t>
    <phoneticPr fontId="21"/>
  </si>
  <si>
    <t>⑩　天井隠蔽機器の点検口は600mm×600mm以上としている。</t>
    <phoneticPr fontId="21"/>
  </si>
  <si>
    <t>⑫　専用部以外の諸設備は共用部での維持管理作業が可能となっている。</t>
    <phoneticPr fontId="21"/>
  </si>
  <si>
    <t>⑪　専用部以外の諸設備は共用部での維持管理作業が可能となっている。</t>
    <phoneticPr fontId="21"/>
  </si>
  <si>
    <t>合計＝</t>
    <phoneticPr fontId="21"/>
  </si>
  <si>
    <t>（１）</t>
    <phoneticPr fontId="1"/>
  </si>
  <si>
    <t>（２）</t>
    <phoneticPr fontId="1"/>
  </si>
  <si>
    <t>（３）</t>
    <phoneticPr fontId="1"/>
  </si>
  <si>
    <t>延床面積比率</t>
    <rPh sb="0" eb="4">
      <t>ノベユカメンセキ</t>
    </rPh>
    <rPh sb="4" eb="6">
      <t>ヒリツ</t>
    </rPh>
    <phoneticPr fontId="21"/>
  </si>
  <si>
    <t>ﾚﾍﾞﾙ３</t>
  </si>
  <si>
    <t>ﾚﾍﾞﾙ４</t>
  </si>
  <si>
    <t>ﾚﾍﾞﾙ５</t>
  </si>
  <si>
    <t>建物全体・共用部分</t>
    <phoneticPr fontId="21"/>
  </si>
  <si>
    <t>住</t>
    <phoneticPr fontId="21"/>
  </si>
  <si>
    <t>レベル３を満たさない。</t>
    <phoneticPr fontId="21"/>
  </si>
  <si>
    <t>2) その他（記述）</t>
    <phoneticPr fontId="21"/>
  </si>
  <si>
    <t>1) 適切な量の駐車スペースの確保（周辺道路に渋滞や路上駐車などを発生させないための措置として）</t>
    <phoneticPr fontId="21"/>
  </si>
  <si>
    <t>2) 管理用車両や荷捌き用車両の駐車施設の確保</t>
    <rPh sb="3" eb="6">
      <t>カンリヨウ</t>
    </rPh>
    <rPh sb="6" eb="8">
      <t>シャリョウ</t>
    </rPh>
    <phoneticPr fontId="21"/>
  </si>
  <si>
    <t>3) 駐車場の導入路（出入り口など）の位置や形状・数への配慮（周辺道路の渋滞緩和に資するもの）</t>
    <phoneticPr fontId="21"/>
  </si>
  <si>
    <t>4) その他（記述）</t>
    <phoneticPr fontId="21"/>
  </si>
  <si>
    <t>室内空調機からの騒音</t>
    <rPh sb="8" eb="10">
      <t>ソウオン</t>
    </rPh>
    <phoneticPr fontId="21"/>
  </si>
  <si>
    <t>１６年以上～３０年未満</t>
  </si>
  <si>
    <r>
      <t>4.3.1 CO</t>
    </r>
    <r>
      <rPr>
        <b/>
        <vertAlign val="subscript"/>
        <sz val="10"/>
        <rFont val="Arial"/>
        <family val="2"/>
      </rPr>
      <t>2</t>
    </r>
    <r>
      <rPr>
        <b/>
        <sz val="10"/>
        <rFont val="ＭＳ Ｐゴシック"/>
        <family val="3"/>
        <charset val="128"/>
      </rPr>
      <t>の監視</t>
    </r>
    <rPh sb="10" eb="12">
      <t>カンシ</t>
    </rPh>
    <phoneticPr fontId="21"/>
  </si>
  <si>
    <t>建物全体・共用部分</t>
    <phoneticPr fontId="21"/>
  </si>
  <si>
    <r>
      <t>Q2</t>
    </r>
    <r>
      <rPr>
        <b/>
        <sz val="14"/>
        <rFont val="ＭＳ Ｐゴシック"/>
        <family val="3"/>
        <charset val="128"/>
      </rPr>
      <t>　サービス性能</t>
    </r>
    <rPh sb="7" eb="9">
      <t>セイノウ</t>
    </rPh>
    <phoneticPr fontId="21"/>
  </si>
  <si>
    <t>はい</t>
    <phoneticPr fontId="21"/>
  </si>
  <si>
    <t>いいえ</t>
    <phoneticPr fontId="21"/>
  </si>
  <si>
    <t>ホ</t>
    <phoneticPr fontId="21"/>
  </si>
  <si>
    <t>　レベル　1</t>
    <phoneticPr fontId="21"/>
  </si>
  <si>
    <t>2,000㎡未満の基準で評価する。</t>
    <rPh sb="6" eb="8">
      <t>ミマン</t>
    </rPh>
    <rPh sb="9" eb="11">
      <t>キジュン</t>
    </rPh>
    <rPh sb="12" eb="14">
      <t>ヒョウカ</t>
    </rPh>
    <phoneticPr fontId="21"/>
  </si>
  <si>
    <t>評価対象外</t>
    <rPh sb="0" eb="2">
      <t>ヒョウカ</t>
    </rPh>
    <rPh sb="2" eb="4">
      <t>タイショウ</t>
    </rPh>
    <rPh sb="4" eb="5">
      <t>ガイ</t>
    </rPh>
    <phoneticPr fontId="21"/>
  </si>
  <si>
    <t>■レベル　1</t>
    <phoneticPr fontId="21"/>
  </si>
  <si>
    <t>レベル</t>
    <phoneticPr fontId="21"/>
  </si>
  <si>
    <t>ビル用マルチCOP評価</t>
  </si>
  <si>
    <t>個別分散空調システムの効率評価</t>
  </si>
  <si>
    <t>変風量制御の評価</t>
  </si>
  <si>
    <t>各種制御の評価</t>
  </si>
  <si>
    <t>その他</t>
  </si>
  <si>
    <t>CGS評価</t>
  </si>
  <si>
    <t>各種連携制御</t>
    <rPh sb="0" eb="2">
      <t>カクシュ</t>
    </rPh>
    <rPh sb="2" eb="4">
      <t>レンケイ</t>
    </rPh>
    <rPh sb="4" eb="6">
      <t>セイギョ</t>
    </rPh>
    <phoneticPr fontId="21"/>
  </si>
  <si>
    <t>居室面積の1/8以上の開閉可能な窓を確保している。</t>
  </si>
  <si>
    <t>3.2.3</t>
    <phoneticPr fontId="21"/>
  </si>
  <si>
    <t>LR3</t>
    <phoneticPr fontId="34" type="noConversion"/>
  </si>
  <si>
    <t>LR</t>
    <phoneticPr fontId="21"/>
  </si>
  <si>
    <t>敷地外環境</t>
    <phoneticPr fontId="21"/>
  </si>
  <si>
    <t>2.1</t>
    <phoneticPr fontId="21"/>
  </si>
  <si>
    <t>2.1</t>
    <phoneticPr fontId="21"/>
  </si>
  <si>
    <t>2.2</t>
    <phoneticPr fontId="21"/>
  </si>
  <si>
    <t>2.3</t>
    <phoneticPr fontId="21"/>
  </si>
  <si>
    <t>2.3</t>
    <phoneticPr fontId="21"/>
  </si>
  <si>
    <t>2.3.1</t>
    <phoneticPr fontId="21"/>
  </si>
  <si>
    <t>2.3.2</t>
    <phoneticPr fontId="21"/>
  </si>
  <si>
    <t>2.3.3</t>
    <phoneticPr fontId="21"/>
  </si>
  <si>
    <t>2.3.3</t>
    <phoneticPr fontId="21"/>
  </si>
  <si>
    <t>2.3.4</t>
    <phoneticPr fontId="21"/>
  </si>
  <si>
    <t>2.3.4</t>
    <phoneticPr fontId="21"/>
  </si>
  <si>
    <t>3.1</t>
    <phoneticPr fontId="21"/>
  </si>
  <si>
    <t>3.1</t>
    <phoneticPr fontId="21"/>
  </si>
  <si>
    <t>3.1.1</t>
    <phoneticPr fontId="21"/>
  </si>
  <si>
    <t>3.1.1</t>
    <phoneticPr fontId="21"/>
  </si>
  <si>
    <t>3.1.2</t>
    <phoneticPr fontId="21"/>
  </si>
  <si>
    <t>3.1.3</t>
    <phoneticPr fontId="21"/>
  </si>
  <si>
    <t>3.2</t>
    <phoneticPr fontId="21"/>
  </si>
  <si>
    <t>3.2.1</t>
    <phoneticPr fontId="21"/>
  </si>
  <si>
    <t>風害の抑制</t>
    <phoneticPr fontId="34" type="noConversion"/>
  </si>
  <si>
    <t>3.2.2</t>
    <phoneticPr fontId="21"/>
  </si>
  <si>
    <t>LR3 3.2</t>
    <phoneticPr fontId="21"/>
  </si>
  <si>
    <t>3.2.3</t>
    <phoneticPr fontId="21"/>
  </si>
  <si>
    <t>3.3</t>
    <phoneticPr fontId="21"/>
  </si>
  <si>
    <t>3.3.1</t>
    <phoneticPr fontId="21"/>
  </si>
  <si>
    <t>屋外照明及び屋内照明のうち外に漏れる光への対策</t>
    <phoneticPr fontId="34" type="noConversion"/>
  </si>
  <si>
    <t>会</t>
    <phoneticPr fontId="21"/>
  </si>
  <si>
    <t>レベル</t>
    <phoneticPr fontId="21"/>
  </si>
  <si>
    <t>２０</t>
    <phoneticPr fontId="21"/>
  </si>
  <si>
    <t>２５</t>
    <phoneticPr fontId="21"/>
  </si>
  <si>
    <t>３０</t>
    <phoneticPr fontId="21"/>
  </si>
  <si>
    <t>３５</t>
    <phoneticPr fontId="21"/>
  </si>
  <si>
    <t>４０</t>
    <phoneticPr fontId="21"/>
  </si>
  <si>
    <t>４５</t>
    <phoneticPr fontId="21"/>
  </si>
  <si>
    <t>５０</t>
    <phoneticPr fontId="21"/>
  </si>
  <si>
    <t>５５</t>
    <phoneticPr fontId="21"/>
  </si>
  <si>
    <t>６０</t>
    <phoneticPr fontId="21"/>
  </si>
  <si>
    <t>ＮＣ～ＮＲ</t>
    <phoneticPr fontId="21"/>
  </si>
  <si>
    <t>１０～１５</t>
    <phoneticPr fontId="21"/>
  </si>
  <si>
    <t>１５～２０</t>
    <phoneticPr fontId="21"/>
  </si>
  <si>
    <t>２０～２５</t>
    <phoneticPr fontId="21"/>
  </si>
  <si>
    <t>評価内容</t>
    <rPh sb="0" eb="2">
      <t>ヒョウカ</t>
    </rPh>
    <rPh sb="2" eb="4">
      <t>ナイヨウ</t>
    </rPh>
    <phoneticPr fontId="21"/>
  </si>
  <si>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</si>
  <si>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1"/>
  </si>
  <si>
    <t>⑩　外装設計：外部に露出する金属部材にメッキ処理等の特別な防錆対策が取られている。</t>
  </si>
  <si>
    <t>評価項目</t>
    <rPh sb="0" eb="2">
      <t>ヒョウカ</t>
    </rPh>
    <rPh sb="2" eb="4">
      <t>コウモク</t>
    </rPh>
    <phoneticPr fontId="21"/>
  </si>
  <si>
    <t>評価ポイント</t>
    <rPh sb="0" eb="2">
      <t>ヒョウカ</t>
    </rPh>
    <phoneticPr fontId="21"/>
  </si>
  <si>
    <t>4) 感染症対策</t>
    <rPh sb="3" eb="6">
      <t>カンセンショウ</t>
    </rPh>
    <rPh sb="6" eb="8">
      <t>タイサク</t>
    </rPh>
    <phoneticPr fontId="21"/>
  </si>
  <si>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1"/>
  </si>
  <si>
    <t>←オプションボタン番号</t>
    <rPh sb="9" eb="11">
      <t>バンゴウ</t>
    </rPh>
    <phoneticPr fontId="21"/>
  </si>
  <si>
    <t>電力事業社名/根拠等</t>
    <rPh sb="0" eb="2">
      <t>デンリョク</t>
    </rPh>
    <rPh sb="2" eb="4">
      <t>ジギョウ</t>
    </rPh>
    <rPh sb="4" eb="6">
      <t>シャメイ</t>
    </rPh>
    <rPh sb="7" eb="9">
      <t>コンキョ</t>
    </rPh>
    <rPh sb="9" eb="10">
      <t>トウ</t>
    </rPh>
    <phoneticPr fontId="21"/>
  </si>
  <si>
    <t>排出係数</t>
    <rPh sb="0" eb="2">
      <t>ハイシュツ</t>
    </rPh>
    <rPh sb="2" eb="4">
      <t>ケイスウ</t>
    </rPh>
    <phoneticPr fontId="21"/>
  </si>
  <si>
    <t>↓事業社名</t>
    <rPh sb="1" eb="3">
      <t>ジギョウ</t>
    </rPh>
    <rPh sb="3" eb="5">
      <t>シャメイ</t>
    </rPh>
    <phoneticPr fontId="21"/>
  </si>
  <si>
    <t>↓排出係数</t>
    <rPh sb="1" eb="3">
      <t>ハイシュツ</t>
    </rPh>
    <rPh sb="3" eb="5">
      <t>ケイスウ</t>
    </rPh>
    <phoneticPr fontId="21"/>
  </si>
  <si>
    <t>排出係数</t>
    <phoneticPr fontId="21"/>
  </si>
  <si>
    <r>
      <t>kg-CO</t>
    </r>
    <r>
      <rPr>
        <vertAlign val="subscript"/>
        <sz val="10"/>
        <rFont val="ＭＳ Ｐゴシック"/>
        <family val="3"/>
        <charset val="128"/>
      </rPr>
      <t>2</t>
    </r>
    <r>
      <rPr>
        <sz val="10"/>
        <rFont val="ＭＳ Ｐゴシック"/>
        <family val="3"/>
        <charset val="128"/>
      </rPr>
      <t>/MJ</t>
    </r>
    <phoneticPr fontId="21"/>
  </si>
  <si>
    <t>住宅　共用部</t>
    <rPh sb="0" eb="2">
      <t>ジュウタク</t>
    </rPh>
    <rPh sb="3" eb="6">
      <t>キョウヨウブ</t>
    </rPh>
    <phoneticPr fontId="21"/>
  </si>
  <si>
    <t>一次エネ消費量　GJ/年</t>
    <phoneticPr fontId="21"/>
  </si>
  <si>
    <t>評価建物②</t>
    <rPh sb="0" eb="2">
      <t>ヒョウカ</t>
    </rPh>
    <rPh sb="2" eb="4">
      <t>タテモノ</t>
    </rPh>
    <phoneticPr fontId="21"/>
  </si>
  <si>
    <t>参照建物①</t>
    <rPh sb="0" eb="2">
      <t>サンショウ</t>
    </rPh>
    <rPh sb="2" eb="4">
      <t>タテモノ</t>
    </rPh>
    <phoneticPr fontId="21"/>
  </si>
  <si>
    <t>評価建物③</t>
    <rPh sb="0" eb="2">
      <t>ヒョウカ</t>
    </rPh>
    <rPh sb="2" eb="4">
      <t>タテモノ</t>
    </rPh>
    <phoneticPr fontId="21"/>
  </si>
  <si>
    <t>⑤　専用の清掃用流しや水道を設置している。</t>
    <rPh sb="2" eb="4">
      <t>センヨウ</t>
    </rPh>
    <rPh sb="5" eb="8">
      <t>セイソウヨウ</t>
    </rPh>
    <rPh sb="8" eb="9">
      <t>ナガ</t>
    </rPh>
    <rPh sb="11" eb="13">
      <t>スイドウ</t>
    </rPh>
    <rPh sb="14" eb="16">
      <t>セッチ</t>
    </rPh>
    <phoneticPr fontId="21"/>
  </si>
  <si>
    <t>合計＝</t>
    <phoneticPr fontId="21"/>
  </si>
  <si>
    <t>LR1</t>
  </si>
  <si>
    <t>建物全体・共用部分</t>
    <phoneticPr fontId="21"/>
  </si>
  <si>
    <t>高度な負荷変動追従ができるような制御システムである。</t>
    <phoneticPr fontId="21"/>
  </si>
  <si>
    <t>住</t>
    <phoneticPr fontId="21"/>
  </si>
  <si>
    <t>空調システムの例</t>
    <phoneticPr fontId="21"/>
  </si>
  <si>
    <t>事務所</t>
    <rPh sb="0" eb="2">
      <t>ジム</t>
    </rPh>
    <rPh sb="2" eb="3">
      <t>ショ</t>
    </rPh>
    <phoneticPr fontId="21"/>
  </si>
  <si>
    <t>計</t>
    <rPh sb="0" eb="1">
      <t>ケイ</t>
    </rPh>
    <phoneticPr fontId="21"/>
  </si>
  <si>
    <t>学校</t>
    <rPh sb="0" eb="2">
      <t>ガッコウ</t>
    </rPh>
    <phoneticPr fontId="21"/>
  </si>
  <si>
    <t>事・学・飲・物・会・病・ホ・住・工</t>
    <rPh sb="0" eb="1">
      <t>コト</t>
    </rPh>
    <rPh sb="2" eb="3">
      <t>ガク</t>
    </rPh>
    <rPh sb="4" eb="5">
      <t>ノ</t>
    </rPh>
    <rPh sb="6" eb="7">
      <t>モノ</t>
    </rPh>
    <rPh sb="8" eb="9">
      <t>カイ</t>
    </rPh>
    <rPh sb="10" eb="11">
      <t>ビョウ</t>
    </rPh>
    <rPh sb="14" eb="15">
      <t>ジュウ</t>
    </rPh>
    <rPh sb="16" eb="17">
      <t>コウ</t>
    </rPh>
    <phoneticPr fontId="21"/>
  </si>
  <si>
    <t>フェロニッケルスラグを用いたケーソン中詰め材</t>
    <rPh sb="11" eb="12">
      <t>モチ</t>
    </rPh>
    <rPh sb="18" eb="19">
      <t>ナカ</t>
    </rPh>
    <rPh sb="19" eb="20">
      <t>ヅ</t>
    </rPh>
    <rPh sb="21" eb="22">
      <t>ザイ</t>
    </rPh>
    <phoneticPr fontId="21"/>
  </si>
  <si>
    <t>地盤改良用製鋼スラグ</t>
    <rPh sb="0" eb="2">
      <t>ジバン</t>
    </rPh>
    <rPh sb="2" eb="4">
      <t>カイリョウ</t>
    </rPh>
    <rPh sb="4" eb="5">
      <t>ヨウ</t>
    </rPh>
    <rPh sb="5" eb="7">
      <t>セイコウ</t>
    </rPh>
    <phoneticPr fontId="21"/>
  </si>
  <si>
    <t>kg-CO2/kWh</t>
  </si>
  <si>
    <t>（調整後排出係数</t>
    <rPh sb="1" eb="4">
      <t>チョウセイゴ</t>
    </rPh>
    <rPh sb="4" eb="6">
      <t>ハイシュツ</t>
    </rPh>
    <rPh sb="6" eb="8">
      <t>ケイスウ</t>
    </rPh>
    <phoneticPr fontId="21"/>
  </si>
  <si>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</si>
  <si>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</si>
  <si>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</si>
  <si>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</si>
  <si>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</si>
  <si>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</si>
  <si>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</si>
  <si>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代替値</t>
  </si>
  <si>
    <t>用途別排出原単位</t>
    <rPh sb="0" eb="2">
      <t>ヨウト</t>
    </rPh>
    <rPh sb="2" eb="3">
      <t>ベツ</t>
    </rPh>
    <rPh sb="3" eb="5">
      <t>ハイシュツ</t>
    </rPh>
    <rPh sb="5" eb="8">
      <t>ゲンタンイ</t>
    </rPh>
    <phoneticPr fontId="21"/>
  </si>
  <si>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</si>
  <si>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1"/>
  </si>
  <si>
    <t>事・学・会・病・ホ・工・住</t>
    <rPh sb="0" eb="1">
      <t>コト</t>
    </rPh>
    <rPh sb="2" eb="3">
      <t>ガク</t>
    </rPh>
    <rPh sb="4" eb="5">
      <t>カイ</t>
    </rPh>
    <rPh sb="6" eb="7">
      <t>ヤマイ</t>
    </rPh>
    <phoneticPr fontId="21"/>
  </si>
  <si>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1"/>
  </si>
  <si>
    <r>
      <t xml:space="preserve">2.4.3 </t>
    </r>
    <r>
      <rPr>
        <b/>
        <sz val="10"/>
        <rFont val="ＭＳ Ｐゴシック"/>
        <family val="3"/>
        <charset val="128"/>
      </rPr>
      <t>電気設備</t>
    </r>
    <rPh sb="6" eb="8">
      <t>デンキ</t>
    </rPh>
    <rPh sb="8" eb="10">
      <t>セツビ</t>
    </rPh>
    <phoneticPr fontId="21"/>
  </si>
  <si>
    <t>建物用途</t>
    <rPh sb="0" eb="2">
      <t>タテモノ</t>
    </rPh>
    <rPh sb="2" eb="4">
      <t>ヨウト</t>
    </rPh>
    <phoneticPr fontId="21"/>
  </si>
  <si>
    <t>空間のゆとり</t>
    <rPh sb="0" eb="2">
      <t>クウカン</t>
    </rPh>
    <phoneticPr fontId="21"/>
  </si>
  <si>
    <t>事・学・物・飲・病・工</t>
    <rPh sb="8" eb="9">
      <t>ヤマイ</t>
    </rPh>
    <rPh sb="10" eb="11">
      <t>コウ</t>
    </rPh>
    <phoneticPr fontId="21"/>
  </si>
  <si>
    <t>事・学・物・飲・病・工【&lt;2000㎡】</t>
    <rPh sb="8" eb="9">
      <t>ヤマイ</t>
    </rPh>
    <rPh sb="10" eb="11">
      <t>コウ</t>
    </rPh>
    <phoneticPr fontId="21"/>
  </si>
  <si>
    <t>事・学・物・飲・会・病・工</t>
    <rPh sb="12" eb="13">
      <t>コウ</t>
    </rPh>
    <phoneticPr fontId="21"/>
  </si>
  <si>
    <t>0.7≦　[壁長さ比率]</t>
  </si>
  <si>
    <t>0.5≦　[壁長さ比率] ＜0.7</t>
  </si>
  <si>
    <t>0.3≦　[壁長さ比率] ＜0.5</t>
  </si>
  <si>
    <t>0.1≦　[壁長さ比率] ＜0.3</t>
  </si>
  <si>
    <t>壁長さ比率＝</t>
    <rPh sb="0" eb="1">
      <t>カベ</t>
    </rPh>
    <rPh sb="1" eb="2">
      <t>ナガ</t>
    </rPh>
    <rPh sb="3" eb="5">
      <t>ヒリツ</t>
    </rPh>
    <phoneticPr fontId="21"/>
  </si>
  <si>
    <t>荷重のゆとり</t>
    <rPh sb="0" eb="2">
      <t>カジュウ</t>
    </rPh>
    <phoneticPr fontId="21"/>
  </si>
  <si>
    <t>事・物・飲・会（固定席）・病・工</t>
    <rPh sb="0" eb="1">
      <t>コト</t>
    </rPh>
    <rPh sb="2" eb="3">
      <t>モノ</t>
    </rPh>
    <rPh sb="4" eb="5">
      <t>イン</t>
    </rPh>
    <rPh sb="6" eb="7">
      <t>カイ</t>
    </rPh>
    <rPh sb="8" eb="10">
      <t>コテイ</t>
    </rPh>
    <rPh sb="10" eb="11">
      <t>セキ</t>
    </rPh>
    <rPh sb="15" eb="16">
      <t>コウ</t>
    </rPh>
    <phoneticPr fontId="21"/>
  </si>
  <si>
    <t>会（非固定席）</t>
    <rPh sb="0" eb="1">
      <t>カイ</t>
    </rPh>
    <rPh sb="2" eb="3">
      <t>ヒ</t>
    </rPh>
    <rPh sb="3" eb="5">
      <t>コテイ</t>
    </rPh>
    <rPh sb="5" eb="6">
      <t>セキ</t>
    </rPh>
    <phoneticPr fontId="21"/>
  </si>
  <si>
    <t>（該当するレベルなし）</t>
  </si>
  <si>
    <t>2900N/㎡未満</t>
    <phoneticPr fontId="21"/>
  </si>
  <si>
    <t>3500N/㎡未満</t>
    <phoneticPr fontId="21"/>
  </si>
  <si>
    <t>2300N/㎡未満</t>
    <phoneticPr fontId="21"/>
  </si>
  <si>
    <t>1800N/㎡未満</t>
    <phoneticPr fontId="21"/>
  </si>
  <si>
    <t>2900N/㎡以上～3500N/㎡未満</t>
    <phoneticPr fontId="21"/>
  </si>
  <si>
    <t>3500N/㎡以上～4200N/㎡未満</t>
    <phoneticPr fontId="21"/>
  </si>
  <si>
    <t>LR3</t>
    <phoneticPr fontId="21"/>
  </si>
  <si>
    <t>塗り床材</t>
    <rPh sb="0" eb="1">
      <t>ヌ</t>
    </rPh>
    <rPh sb="2" eb="3">
      <t>ユカ</t>
    </rPh>
    <rPh sb="3" eb="4">
      <t>ザイ</t>
    </rPh>
    <phoneticPr fontId="21"/>
  </si>
  <si>
    <t>床仕上げ</t>
    <rPh sb="0" eb="1">
      <t>ユカ</t>
    </rPh>
    <rPh sb="1" eb="3">
      <t>シア</t>
    </rPh>
    <phoneticPr fontId="21"/>
  </si>
  <si>
    <t>床仕上げワックス</t>
    <rPh sb="0" eb="1">
      <t>ユカ</t>
    </rPh>
    <rPh sb="1" eb="3">
      <t>シア</t>
    </rPh>
    <phoneticPr fontId="21"/>
  </si>
  <si>
    <t>防腐剤</t>
    <rPh sb="0" eb="3">
      <t>ボウフザイ</t>
    </rPh>
    <phoneticPr fontId="21"/>
  </si>
  <si>
    <t>平均気流速度</t>
    <rPh sb="0" eb="2">
      <t>ヘイキン</t>
    </rPh>
    <rPh sb="2" eb="4">
      <t>キリュウ</t>
    </rPh>
    <rPh sb="4" eb="6">
      <t>ソクド</t>
    </rPh>
    <phoneticPr fontId="21"/>
  </si>
  <si>
    <t>光・視環境</t>
    <rPh sb="0" eb="1">
      <t>ﾋｶﾘ</t>
    </rPh>
    <rPh sb="2" eb="3">
      <t>ｼ</t>
    </rPh>
    <rPh sb="3" eb="5">
      <t>ｶﾝｷｮｳ</t>
    </rPh>
    <phoneticPr fontId="34" type="noConversion"/>
  </si>
  <si>
    <t>昼光利用</t>
    <rPh sb="0" eb="1">
      <t>ﾋﾙ</t>
    </rPh>
    <rPh sb="1" eb="2">
      <t>ﾋｶﾘ</t>
    </rPh>
    <rPh sb="2" eb="4">
      <t>ﾘﾖｳ</t>
    </rPh>
    <phoneticPr fontId="34" type="noConversion"/>
  </si>
  <si>
    <t>昼光率</t>
    <rPh sb="0" eb="1">
      <t>ヒル</t>
    </rPh>
    <rPh sb="1" eb="2">
      <t>ヒカリ</t>
    </rPh>
    <rPh sb="2" eb="3">
      <t>リツ</t>
    </rPh>
    <phoneticPr fontId="21"/>
  </si>
  <si>
    <t>方位別開口</t>
    <rPh sb="0" eb="2">
      <t>ホウイ</t>
    </rPh>
    <rPh sb="2" eb="3">
      <t>ベツ</t>
    </rPh>
    <rPh sb="3" eb="5">
      <t>カイコウ</t>
    </rPh>
    <phoneticPr fontId="21"/>
  </si>
  <si>
    <t>昼光利用設備</t>
    <rPh sb="0" eb="1">
      <t>ヒル</t>
    </rPh>
    <rPh sb="1" eb="2">
      <t>ヒカリ</t>
    </rPh>
    <rPh sb="2" eb="4">
      <t>リヨウ</t>
    </rPh>
    <rPh sb="4" eb="6">
      <t>セツビ</t>
    </rPh>
    <phoneticPr fontId="21"/>
  </si>
  <si>
    <t>グレア対策</t>
    <rPh sb="3" eb="5">
      <t>ﾀｲｻｸ</t>
    </rPh>
    <phoneticPr fontId="34" type="noConversion"/>
  </si>
  <si>
    <t>照明器具のグレア</t>
    <rPh sb="0" eb="2">
      <t>ショウメイ</t>
    </rPh>
    <rPh sb="2" eb="4">
      <t>キグ</t>
    </rPh>
    <phoneticPr fontId="21"/>
  </si>
  <si>
    <t>昼光制御</t>
    <rPh sb="0" eb="1">
      <t>ヒル</t>
    </rPh>
    <rPh sb="1" eb="2">
      <t>ヒカリ</t>
    </rPh>
    <rPh sb="2" eb="4">
      <t>セイギョ</t>
    </rPh>
    <phoneticPr fontId="21"/>
  </si>
  <si>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</si>
  <si>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1"/>
  </si>
  <si>
    <t>建物全体・共用部分</t>
    <phoneticPr fontId="21"/>
  </si>
  <si>
    <r>
      <t xml:space="preserve">4.3.2 </t>
    </r>
    <r>
      <rPr>
        <b/>
        <sz val="10"/>
        <rFont val="ＭＳ Ｐゴシック"/>
        <family val="3"/>
        <charset val="128"/>
      </rPr>
      <t>喫煙の制御</t>
    </r>
    <rPh sb="6" eb="8">
      <t>キツエン</t>
    </rPh>
    <rPh sb="9" eb="11">
      <t>セイギョ</t>
    </rPh>
    <phoneticPr fontId="21"/>
  </si>
  <si>
    <t>事・学・物・飲・会・工</t>
    <rPh sb="10" eb="11">
      <t>コウ</t>
    </rPh>
    <phoneticPr fontId="21"/>
  </si>
  <si>
    <t>事・学・物・飲・会・病(待)・ホ・工</t>
    <rPh sb="10" eb="11">
      <t>ヤマイ</t>
    </rPh>
    <rPh sb="12" eb="13">
      <t>マ</t>
    </rPh>
    <rPh sb="17" eb="18">
      <t>コウ</t>
    </rPh>
    <phoneticPr fontId="21"/>
  </si>
  <si>
    <r>
      <t xml:space="preserve">1.1.1 </t>
    </r>
    <r>
      <rPr>
        <b/>
        <sz val="10"/>
        <rFont val="ＭＳ Ｐゴシック"/>
        <family val="3"/>
        <charset val="128"/>
      </rPr>
      <t>広さ・収納性</t>
    </r>
    <rPh sb="6" eb="7">
      <t>ヒロ</t>
    </rPh>
    <rPh sb="9" eb="12">
      <t>シュウノウセイ</t>
    </rPh>
    <phoneticPr fontId="21"/>
  </si>
  <si>
    <t>事・工</t>
    <rPh sb="0" eb="1">
      <t>コト</t>
    </rPh>
    <rPh sb="2" eb="3">
      <t>コウ</t>
    </rPh>
    <phoneticPr fontId="21"/>
  </si>
  <si>
    <t>病</t>
    <rPh sb="0" eb="1">
      <t>ビョウ</t>
    </rPh>
    <phoneticPr fontId="21"/>
  </si>
  <si>
    <t>HCFC－124</t>
  </si>
  <si>
    <t>HCFC－141b</t>
  </si>
  <si>
    <t>HCFC－142b</t>
  </si>
  <si>
    <t>HCFC－225ca</t>
  </si>
  <si>
    <t>HCFC－225cb</t>
  </si>
  <si>
    <t>HFC－23</t>
  </si>
  <si>
    <t>レベル３（代替フロン）</t>
    <rPh sb="5" eb="7">
      <t>ダイタイ</t>
    </rPh>
    <phoneticPr fontId="21"/>
  </si>
  <si>
    <t>HFC－32</t>
  </si>
  <si>
    <t>HFC－125</t>
  </si>
  <si>
    <t>HFC－134a</t>
  </si>
  <si>
    <t>HFC－143a</t>
  </si>
  <si>
    <t>HFC－152a</t>
  </si>
  <si>
    <t>HFC－227ea</t>
  </si>
  <si>
    <t>HFC－236fa</t>
  </si>
  <si>
    <t>診療室</t>
    <rPh sb="0" eb="3">
      <t>シンリョウシツ</t>
    </rPh>
    <phoneticPr fontId="21"/>
  </si>
  <si>
    <t>検査室</t>
    <rPh sb="0" eb="3">
      <t>ケンサシツ</t>
    </rPh>
    <phoneticPr fontId="21"/>
  </si>
  <si>
    <t>ほ（120㎡以上）</t>
    <rPh sb="6" eb="8">
      <t>イジョウ</t>
    </rPh>
    <phoneticPr fontId="21"/>
  </si>
  <si>
    <t>面積比率</t>
    <rPh sb="0" eb="2">
      <t>メンセキ</t>
    </rPh>
    <rPh sb="2" eb="4">
      <t>ヒリツ</t>
    </rPh>
    <phoneticPr fontId="21"/>
  </si>
  <si>
    <t>住戸数</t>
    <rPh sb="0" eb="1">
      <t>ジュウ</t>
    </rPh>
    <rPh sb="1" eb="3">
      <t>コスウ</t>
    </rPh>
    <phoneticPr fontId="21"/>
  </si>
  <si>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</si>
  <si>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</si>
  <si>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</si>
  <si>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</si>
  <si>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</si>
  <si>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</si>
  <si>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</si>
  <si>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</si>
  <si>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</si>
  <si>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</si>
  <si>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</si>
  <si>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</si>
  <si>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</si>
  <si>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</si>
  <si>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</si>
  <si>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</si>
  <si>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</si>
  <si>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</si>
  <si>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</si>
  <si>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平成２４年度の電気事業者別実排出係数等の公表値</t>
    <rPh sb="22" eb="23">
      <t>チ</t>
    </rPh>
    <phoneticPr fontId="21"/>
  </si>
  <si>
    <t>全般照明方式の場合で室内にかなり不快に感じる程度の非常に暗い部分がある。</t>
    <phoneticPr fontId="21"/>
  </si>
  <si>
    <r>
      <t xml:space="preserve">2.1.5 </t>
    </r>
    <r>
      <rPr>
        <b/>
        <sz val="10"/>
        <rFont val="ＭＳ Ｐゴシック"/>
        <family val="3"/>
        <charset val="128"/>
      </rPr>
      <t>温度・湿度制御</t>
    </r>
    <rPh sb="6" eb="8">
      <t>オンド</t>
    </rPh>
    <rPh sb="9" eb="11">
      <t>シツド</t>
    </rPh>
    <rPh sb="11" eb="13">
      <t>セイギョ</t>
    </rPh>
    <phoneticPr fontId="21"/>
  </si>
  <si>
    <t>事・学・物・飲・会・病・ホ・工・住</t>
    <rPh sb="16" eb="17">
      <t>ジュウ</t>
    </rPh>
    <phoneticPr fontId="21"/>
  </si>
  <si>
    <t>ＯＮ-ＯＦＦによる温度・湿度制御になっている。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</si>
  <si>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</si>
  <si>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</si>
  <si>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1"/>
  </si>
  <si>
    <t>住</t>
    <rPh sb="0" eb="1">
      <t>ジュウ</t>
    </rPh>
    <phoneticPr fontId="21"/>
  </si>
  <si>
    <t>各室内で温度設定が可能。</t>
  </si>
  <si>
    <r>
      <t xml:space="preserve">2.1.8 </t>
    </r>
    <r>
      <rPr>
        <b/>
        <sz val="10"/>
        <rFont val="ＭＳ Ｐゴシック"/>
        <family val="3"/>
        <charset val="128"/>
      </rPr>
      <t>監視システム</t>
    </r>
    <rPh sb="6" eb="8">
      <t>カンシ</t>
    </rPh>
    <phoneticPr fontId="21"/>
  </si>
  <si>
    <t>事・学・病・ホ・工</t>
    <rPh sb="4" eb="5">
      <t>ヤマイ</t>
    </rPh>
    <rPh sb="8" eb="9">
      <t>コウ</t>
    </rPh>
    <phoneticPr fontId="21"/>
  </si>
  <si>
    <t>物・飲</t>
    <rPh sb="2" eb="3">
      <t>イン</t>
    </rPh>
    <phoneticPr fontId="21"/>
  </si>
  <si>
    <t>Quality</t>
    <phoneticPr fontId="21"/>
  </si>
  <si>
    <r>
      <t>L</t>
    </r>
    <r>
      <rPr>
        <sz val="8"/>
        <color indexed="10"/>
        <rFont val="ＭＳ Ｐゴシック"/>
        <family val="3"/>
        <charset val="128"/>
      </rPr>
      <t>：</t>
    </r>
    <r>
      <rPr>
        <sz val="8"/>
        <color indexed="10"/>
        <rFont val="Arial"/>
        <family val="2"/>
      </rPr>
      <t>Load</t>
    </r>
    <phoneticPr fontId="21"/>
  </si>
  <si>
    <r>
      <t>LR</t>
    </r>
    <r>
      <rPr>
        <sz val="8"/>
        <color indexed="10"/>
        <rFont val="ＭＳ Ｐゴシック"/>
        <family val="3"/>
        <charset val="128"/>
      </rPr>
      <t>：</t>
    </r>
    <r>
      <rPr>
        <sz val="8"/>
        <color indexed="10"/>
        <rFont val="Arial"/>
        <family val="2"/>
      </rPr>
      <t>Load Reduction</t>
    </r>
    <phoneticPr fontId="21"/>
  </si>
  <si>
    <r>
      <t>SQ</t>
    </r>
    <r>
      <rPr>
        <sz val="8"/>
        <color indexed="10"/>
        <rFont val="ＭＳ Ｐゴシック"/>
        <family val="3"/>
        <charset val="128"/>
      </rPr>
      <t>：</t>
    </r>
    <r>
      <rPr>
        <sz val="8"/>
        <color indexed="10"/>
        <rFont val="Arial"/>
        <family val="2"/>
      </rPr>
      <t>Score of Q category</t>
    </r>
    <phoneticPr fontId="21"/>
  </si>
  <si>
    <r>
      <t>SLR</t>
    </r>
    <r>
      <rPr>
        <sz val="8"/>
        <color indexed="10"/>
        <rFont val="ＭＳ Ｐゴシック"/>
        <family val="3"/>
        <charset val="128"/>
      </rPr>
      <t>：</t>
    </r>
    <r>
      <rPr>
        <sz val="8"/>
        <color indexed="10"/>
        <rFont val="Arial"/>
        <family val="2"/>
      </rPr>
      <t>Score of LR category</t>
    </r>
    <phoneticPr fontId="21"/>
  </si>
  <si>
    <r>
      <t>BEE</t>
    </r>
    <r>
      <rPr>
        <sz val="8"/>
        <color indexed="10"/>
        <rFont val="ＭＳ Ｐゴシック"/>
        <family val="3"/>
        <charset val="128"/>
      </rPr>
      <t>：</t>
    </r>
    <r>
      <rPr>
        <sz val="8"/>
        <color indexed="10"/>
        <rFont val="Arial"/>
        <family val="2"/>
      </rPr>
      <t>Building Environmental Efficiency</t>
    </r>
    <phoneticPr fontId="21"/>
  </si>
  <si>
    <t>配慮項目</t>
    <phoneticPr fontId="21"/>
  </si>
  <si>
    <t>環境配慮設計の概要記入欄</t>
    <phoneticPr fontId="21"/>
  </si>
  <si>
    <t>全体</t>
    <phoneticPr fontId="21"/>
  </si>
  <si>
    <t>weight(set)</t>
    <phoneticPr fontId="21"/>
  </si>
  <si>
    <t>Ｑ　建築物の環境品質</t>
    <phoneticPr fontId="21"/>
  </si>
  <si>
    <t>Q1</t>
    <phoneticPr fontId="34" type="noConversion"/>
  </si>
  <si>
    <t>温度・湿度制御</t>
    <phoneticPr fontId="21"/>
  </si>
  <si>
    <t>Q2</t>
    <phoneticPr fontId="34" type="noConversion"/>
  </si>
  <si>
    <t>サービス性能</t>
    <phoneticPr fontId="21"/>
  </si>
  <si>
    <t>リフレッシュスペース</t>
    <phoneticPr fontId="21"/>
  </si>
  <si>
    <t>空調配管の更新性</t>
    <phoneticPr fontId="21"/>
  </si>
  <si>
    <t>Q3</t>
    <phoneticPr fontId="34" type="noConversion"/>
  </si>
  <si>
    <t>室外環境（敷地内）</t>
    <phoneticPr fontId="21"/>
  </si>
  <si>
    <t>3b</t>
    <phoneticPr fontId="21"/>
  </si>
  <si>
    <t>モニタリング</t>
    <phoneticPr fontId="34" type="noConversion"/>
  </si>
  <si>
    <t>LR2</t>
    <phoneticPr fontId="34" type="noConversion"/>
  </si>
  <si>
    <t>資源・マテリアル</t>
    <phoneticPr fontId="21"/>
  </si>
  <si>
    <t>LR3</t>
    <phoneticPr fontId="34" type="noConversion"/>
  </si>
  <si>
    <t>敷地外環境</t>
    <phoneticPr fontId="21"/>
  </si>
  <si>
    <t>温熱環境悪化の改善</t>
    <phoneticPr fontId="21"/>
  </si>
  <si>
    <t>雨水排水負荷低減</t>
    <phoneticPr fontId="34" type="noConversion"/>
  </si>
  <si>
    <t>汚水処理負荷抑制</t>
    <phoneticPr fontId="34" type="noConversion"/>
  </si>
  <si>
    <t>振動</t>
    <phoneticPr fontId="34" type="noConversion"/>
  </si>
  <si>
    <t>悪臭</t>
    <phoneticPr fontId="34" type="noConversion"/>
  </si>
  <si>
    <t>風害の抑制</t>
    <phoneticPr fontId="34" type="noConversion"/>
  </si>
  <si>
    <t>日照阻害の抑制</t>
    <phoneticPr fontId="34"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</si>
  <si>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1"/>
  </si>
  <si>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1"/>
  </si>
  <si>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</si>
  <si>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t>集合住宅</t>
    <phoneticPr fontId="21"/>
  </si>
  <si>
    <t>ｍ3/㎡</t>
    <phoneticPr fontId="21"/>
  </si>
  <si>
    <t>◆</t>
    <phoneticPr fontId="21"/>
  </si>
  <si>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1"/>
  </si>
  <si>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</si>
  <si>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1"/>
  </si>
  <si>
    <t>N.A.</t>
    <phoneticPr fontId="21"/>
  </si>
  <si>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1"/>
  </si>
  <si>
    <t>LR1 
エネルギー</t>
    <phoneticPr fontId="21"/>
  </si>
  <si>
    <r>
      <t xml:space="preserve">Q1 </t>
    </r>
    <r>
      <rPr>
        <b/>
        <sz val="14"/>
        <rFont val="ＭＳ Ｐゴシック"/>
        <family val="3"/>
        <charset val="128"/>
      </rPr>
      <t>室内環境</t>
    </r>
    <rPh sb="3" eb="5">
      <t>シツナイ</t>
    </rPh>
    <rPh sb="5" eb="7">
      <t>カンキョウ</t>
    </rPh>
    <phoneticPr fontId="21"/>
  </si>
  <si>
    <t>○</t>
    <phoneticPr fontId="21"/>
  </si>
  <si>
    <t>ON</t>
    <phoneticPr fontId="21"/>
  </si>
  <si>
    <r>
      <t xml:space="preserve">1.1.1 </t>
    </r>
    <r>
      <rPr>
        <b/>
        <sz val="10"/>
        <rFont val="ＭＳ Ｐゴシック"/>
        <family val="3"/>
        <charset val="128"/>
      </rPr>
      <t>室内騒音レベル</t>
    </r>
    <phoneticPr fontId="21"/>
  </si>
  <si>
    <t>dB(A)</t>
    <phoneticPr fontId="21"/>
  </si>
  <si>
    <t>建物全体・共用部分</t>
    <phoneticPr fontId="21"/>
  </si>
  <si>
    <t>住居・宿泊部分</t>
    <phoneticPr fontId="21"/>
  </si>
  <si>
    <t>物・飲</t>
    <phoneticPr fontId="21"/>
  </si>
  <si>
    <t>小中学校</t>
    <rPh sb="0" eb="4">
      <t>ショウチュウガッコウ</t>
    </rPh>
    <phoneticPr fontId="21"/>
  </si>
  <si>
    <t>物販店</t>
    <rPh sb="0" eb="3">
      <t>ブッパンテン</t>
    </rPh>
    <phoneticPr fontId="21"/>
  </si>
  <si>
    <t>デパート・スーパー</t>
  </si>
  <si>
    <t>集会所</t>
    <rPh sb="0" eb="3">
      <t>シュウカイショ</t>
    </rPh>
    <phoneticPr fontId="21"/>
  </si>
  <si>
    <t>集会所</t>
    <rPh sb="0" eb="2">
      <t>シュウカイ</t>
    </rPh>
    <rPh sb="2" eb="3">
      <t>ジョ</t>
    </rPh>
    <phoneticPr fontId="21"/>
  </si>
  <si>
    <t>病院</t>
    <rPh sb="0" eb="2">
      <t>ビョウイン</t>
    </rPh>
    <phoneticPr fontId="21"/>
  </si>
  <si>
    <t>3）結果出力</t>
    <rPh sb="2" eb="4">
      <t>ケッカ</t>
    </rPh>
    <rPh sb="4" eb="6">
      <t>シュツリョク</t>
    </rPh>
    <phoneticPr fontId="21"/>
  </si>
  <si>
    <t>スコアシート</t>
    <phoneticPr fontId="21"/>
  </si>
  <si>
    <t>●スコア</t>
    <phoneticPr fontId="21"/>
  </si>
  <si>
    <t>評価結果表示シート</t>
    <rPh sb="0" eb="2">
      <t>ヒョウカ</t>
    </rPh>
    <rPh sb="2" eb="4">
      <t>ケッカ</t>
    </rPh>
    <rPh sb="4" eb="6">
      <t>ヒョウジ</t>
    </rPh>
    <phoneticPr fontId="21"/>
  </si>
  <si>
    <t>●結果　</t>
    <rPh sb="1" eb="3">
      <t>ケッカ</t>
    </rPh>
    <phoneticPr fontId="21"/>
  </si>
  <si>
    <r>
      <t>●</t>
    </r>
    <r>
      <rPr>
        <sz val="10"/>
        <color indexed="18"/>
        <rFont val="Arial"/>
        <family val="2"/>
      </rPr>
      <t>LCCO2</t>
    </r>
    <r>
      <rPr>
        <sz val="10"/>
        <color indexed="18"/>
        <rFont val="ＭＳ Ｐゴシック"/>
        <family val="3"/>
        <charset val="128"/>
      </rPr>
      <t>計算</t>
    </r>
    <rPh sb="6" eb="8">
      <t>ケイサン</t>
    </rPh>
    <phoneticPr fontId="21"/>
  </si>
  <si>
    <t>LCCO2算定条件シート</t>
    <rPh sb="5" eb="7">
      <t>サンテイ</t>
    </rPh>
    <rPh sb="7" eb="9">
      <t>ジョウケン</t>
    </rPh>
    <phoneticPr fontId="21"/>
  </si>
  <si>
    <t>発生源対策</t>
    <rPh sb="0" eb="3">
      <t>ハッセイゲン</t>
    </rPh>
    <rPh sb="3" eb="5">
      <t>タイサク</t>
    </rPh>
    <phoneticPr fontId="21"/>
  </si>
  <si>
    <r>
      <t xml:space="preserve">4.1.1 </t>
    </r>
    <r>
      <rPr>
        <b/>
        <sz val="10"/>
        <rFont val="ＭＳ Ｐゴシック"/>
        <family val="3"/>
        <charset val="128"/>
      </rPr>
      <t>化学汚染物質</t>
    </r>
    <rPh sb="6" eb="8">
      <t>カガク</t>
    </rPh>
    <rPh sb="8" eb="10">
      <t>オセン</t>
    </rPh>
    <rPh sb="10" eb="12">
      <t>ブッシツ</t>
    </rPh>
    <phoneticPr fontId="21"/>
  </si>
  <si>
    <t>病・ホ・住</t>
    <rPh sb="0" eb="1">
      <t>ヤマイ</t>
    </rPh>
    <rPh sb="4" eb="5">
      <t>ジュウ</t>
    </rPh>
    <phoneticPr fontId="21"/>
  </si>
  <si>
    <r>
      <t xml:space="preserve">4.1.2 </t>
    </r>
    <r>
      <rPr>
        <b/>
        <sz val="10"/>
        <rFont val="ＭＳ Ｐゴシック"/>
        <family val="3"/>
        <charset val="128"/>
      </rPr>
      <t>アスベスト対策</t>
    </r>
    <rPh sb="11" eb="13">
      <t>タイサク</t>
    </rPh>
    <phoneticPr fontId="21"/>
  </si>
  <si>
    <t>既存のみ評価</t>
    <rPh sb="0" eb="2">
      <t>キソン</t>
    </rPh>
    <rPh sb="4" eb="6">
      <t>ヒョウカ</t>
    </rPh>
    <phoneticPr fontId="21"/>
  </si>
  <si>
    <t>吹き付けアスベスト等を一切使用していない。</t>
    <phoneticPr fontId="21"/>
  </si>
  <si>
    <r>
      <t xml:space="preserve">4.1.3 </t>
    </r>
    <r>
      <rPr>
        <b/>
        <sz val="10"/>
        <rFont val="ＭＳ Ｐゴシック"/>
        <family val="3"/>
        <charset val="128"/>
      </rPr>
      <t>ダニ・カビ等</t>
    </r>
    <rPh sb="11" eb="12">
      <t>トウ</t>
    </rPh>
    <phoneticPr fontId="21"/>
  </si>
  <si>
    <t>事・学・物・飲・会・病・ホ・工・住</t>
    <rPh sb="0" eb="1">
      <t>コト</t>
    </rPh>
    <rPh sb="2" eb="3">
      <t>ガク</t>
    </rPh>
    <rPh sb="4" eb="5">
      <t>モノ</t>
    </rPh>
    <rPh sb="6" eb="7">
      <t>イン</t>
    </rPh>
    <rPh sb="8" eb="9">
      <t>カイ</t>
    </rPh>
    <rPh sb="10" eb="11">
      <t>ヤマイ</t>
    </rPh>
    <rPh sb="16" eb="17">
      <t>ジュウ</t>
    </rPh>
    <phoneticPr fontId="21"/>
  </si>
  <si>
    <r>
      <t xml:space="preserve">4.1.4 </t>
    </r>
    <r>
      <rPr>
        <b/>
        <sz val="10"/>
        <rFont val="ＭＳ Ｐゴシック"/>
        <family val="3"/>
        <charset val="128"/>
      </rPr>
      <t>レジオネラ対策</t>
    </r>
    <rPh sb="11" eb="13">
      <t>タイサク</t>
    </rPh>
    <phoneticPr fontId="21"/>
  </si>
  <si>
    <t>事・学・物・飲・会・工・病</t>
    <rPh sb="0" eb="1">
      <t>コト</t>
    </rPh>
    <rPh sb="2" eb="3">
      <t>ガク</t>
    </rPh>
    <rPh sb="4" eb="5">
      <t>モノ</t>
    </rPh>
    <rPh sb="6" eb="7">
      <t>イン</t>
    </rPh>
    <rPh sb="8" eb="9">
      <t>カイ</t>
    </rPh>
    <rPh sb="10" eb="11">
      <t>コウ</t>
    </rPh>
    <rPh sb="12" eb="13">
      <t>ビョウ</t>
    </rPh>
    <phoneticPr fontId="21"/>
  </si>
  <si>
    <t>振動に関する規制基準値</t>
    <rPh sb="0" eb="2">
      <t>シンドウ</t>
    </rPh>
    <rPh sb="3" eb="4">
      <t>カン</t>
    </rPh>
    <rPh sb="6" eb="8">
      <t>キセイ</t>
    </rPh>
    <rPh sb="8" eb="11">
      <t>キジュンチ</t>
    </rPh>
    <phoneticPr fontId="21"/>
  </si>
  <si>
    <t>65dB以下</t>
  </si>
  <si>
    <t>学</t>
    <rPh sb="0" eb="1">
      <t>ガク</t>
    </rPh>
    <phoneticPr fontId="21"/>
  </si>
  <si>
    <t>吸音</t>
    <rPh sb="0" eb="2">
      <t>キュウオン</t>
    </rPh>
    <phoneticPr fontId="21"/>
  </si>
  <si>
    <t>建物全体・共用部分</t>
    <phoneticPr fontId="21"/>
  </si>
  <si>
    <t>事・学・物・飲・会・病・ホ・工</t>
    <rPh sb="4" eb="5">
      <t>モノ</t>
    </rPh>
    <rPh sb="6" eb="7">
      <t>イン</t>
    </rPh>
    <rPh sb="8" eb="9">
      <t>カイ</t>
    </rPh>
    <phoneticPr fontId="21"/>
  </si>
  <si>
    <t>吸音材を使用していない。</t>
    <rPh sb="4" eb="6">
      <t>シヨウ</t>
    </rPh>
    <phoneticPr fontId="21"/>
  </si>
  <si>
    <t>温熱環境</t>
    <rPh sb="0" eb="2">
      <t>オンネツ</t>
    </rPh>
    <rPh sb="2" eb="4">
      <t>カンキョウ</t>
    </rPh>
    <phoneticPr fontId="21"/>
  </si>
  <si>
    <t>室温制御</t>
    <rPh sb="0" eb="2">
      <t>シツオン</t>
    </rPh>
    <rPh sb="2" eb="4">
      <t>セイギョ</t>
    </rPh>
    <phoneticPr fontId="21"/>
  </si>
  <si>
    <t>住居・宿泊部分</t>
  </si>
  <si>
    <t>病(待)・ホ・工・住</t>
    <rPh sb="2" eb="3">
      <t>マ</t>
    </rPh>
    <phoneticPr fontId="21"/>
  </si>
  <si>
    <t>病(診)</t>
    <rPh sb="2" eb="3">
      <t>ミ</t>
    </rPh>
    <phoneticPr fontId="21"/>
  </si>
  <si>
    <t>学（小中高）</t>
    <rPh sb="2" eb="5">
      <t>ショウチュウコウ</t>
    </rPh>
    <phoneticPr fontId="21"/>
  </si>
  <si>
    <t>レベル２を満たさない。</t>
  </si>
  <si>
    <t>居住域の上下温度差や気流速度について特に配慮していない空調方式が計画されている。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</si>
  <si>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1"/>
  </si>
  <si>
    <t>居住域の上下温度差や気流速度について特に配慮していない空調方式が計画されている。</t>
    <phoneticPr fontId="21"/>
  </si>
  <si>
    <t>再生材料を用いた舗装用ブロック（プレキャスト無筋コンクリート）</t>
    <rPh sb="0" eb="2">
      <t>サイセイ</t>
    </rPh>
    <rPh sb="2" eb="4">
      <t>ザイリョウ</t>
    </rPh>
    <rPh sb="5" eb="6">
      <t>モチ</t>
    </rPh>
    <rPh sb="8" eb="11">
      <t>ホソウヨウ</t>
    </rPh>
    <rPh sb="22" eb="24">
      <t>ムキン</t>
    </rPh>
    <phoneticPr fontId="21"/>
  </si>
  <si>
    <t>製材</t>
    <rPh sb="0" eb="2">
      <t>セイザイ</t>
    </rPh>
    <phoneticPr fontId="21"/>
  </si>
  <si>
    <t>雨水の排水溝等</t>
    <rPh sb="0" eb="2">
      <t>アマミズ</t>
    </rPh>
    <rPh sb="3" eb="6">
      <t>ハイスイコウ</t>
    </rPh>
    <rPh sb="6" eb="7">
      <t>トウ</t>
    </rPh>
    <phoneticPr fontId="21"/>
  </si>
  <si>
    <t>耐用性・信頼性</t>
    <rPh sb="4" eb="6">
      <t>シンライ</t>
    </rPh>
    <rPh sb="6" eb="7">
      <t>セイ</t>
    </rPh>
    <phoneticPr fontId="1"/>
  </si>
  <si>
    <t>耐震･免震</t>
    <rPh sb="0" eb="2">
      <t>タイシン</t>
    </rPh>
    <rPh sb="3" eb="4">
      <t>メン</t>
    </rPh>
    <rPh sb="4" eb="5">
      <t>フル</t>
    </rPh>
    <phoneticPr fontId="1"/>
  </si>
  <si>
    <t>免震・制振性能</t>
    <rPh sb="5" eb="7">
      <t>セイノウ</t>
    </rPh>
    <phoneticPr fontId="1"/>
  </si>
  <si>
    <t>部品・部材の耐用年数</t>
    <rPh sb="0" eb="2">
      <t>ブヒン</t>
    </rPh>
    <rPh sb="3" eb="4">
      <t>ブ</t>
    </rPh>
    <rPh sb="4" eb="5">
      <t>ザイ</t>
    </rPh>
    <rPh sb="6" eb="8">
      <t>タイヨウ</t>
    </rPh>
    <rPh sb="8" eb="10">
      <t>ネンスウ</t>
    </rPh>
    <phoneticPr fontId="1"/>
  </si>
  <si>
    <t>躯体材料の耐用年数</t>
    <rPh sb="0" eb="2">
      <t>クタイ</t>
    </rPh>
    <rPh sb="2" eb="4">
      <t>ザイリョウ</t>
    </rPh>
    <rPh sb="5" eb="7">
      <t>タイヨウ</t>
    </rPh>
    <rPh sb="7" eb="9">
      <t>ネンスウ</t>
    </rPh>
    <phoneticPr fontId="1"/>
  </si>
  <si>
    <t>空調換気ダクトの更新必要間隔</t>
    <rPh sb="0" eb="2">
      <t>クウチョウ</t>
    </rPh>
    <rPh sb="2" eb="4">
      <t>カンキ</t>
    </rPh>
    <phoneticPr fontId="1"/>
  </si>
  <si>
    <t>空調・給排水配管の更新必要間隔</t>
    <rPh sb="0" eb="2">
      <t>クウチョウ</t>
    </rPh>
    <rPh sb="3" eb="4">
      <t>キュウ</t>
    </rPh>
    <rPh sb="4" eb="6">
      <t>ハイスイ</t>
    </rPh>
    <rPh sb="6" eb="8">
      <t>ハイカン</t>
    </rPh>
    <phoneticPr fontId="1"/>
  </si>
  <si>
    <t>適切な更新</t>
    <rPh sb="0" eb="2">
      <t>テキセツ</t>
    </rPh>
    <rPh sb="3" eb="5">
      <t>コウシン</t>
    </rPh>
    <phoneticPr fontId="1"/>
  </si>
  <si>
    <t>屋上（屋根）・外壁仕上げ材の更新</t>
    <rPh sb="0" eb="2">
      <t>オクジョウ</t>
    </rPh>
    <rPh sb="3" eb="5">
      <t>ヤネ</t>
    </rPh>
    <rPh sb="7" eb="9">
      <t>ガイヘキ</t>
    </rPh>
    <rPh sb="9" eb="11">
      <t>シア</t>
    </rPh>
    <rPh sb="12" eb="13">
      <t>ザイ</t>
    </rPh>
    <rPh sb="14" eb="16">
      <t>コウシン</t>
    </rPh>
    <phoneticPr fontId="1"/>
  </si>
  <si>
    <t>配管・配線材の更新</t>
    <rPh sb="0" eb="2">
      <t>ハイカン</t>
    </rPh>
    <rPh sb="3" eb="5">
      <t>ハイセン</t>
    </rPh>
    <rPh sb="5" eb="6">
      <t>ザイ</t>
    </rPh>
    <rPh sb="7" eb="9">
      <t>コウシン</t>
    </rPh>
    <phoneticPr fontId="1"/>
  </si>
  <si>
    <t>主要設備機器の更新</t>
    <rPh sb="0" eb="2">
      <t>シュヨウ</t>
    </rPh>
    <rPh sb="2" eb="4">
      <t>セツビ</t>
    </rPh>
    <rPh sb="4" eb="6">
      <t>キキ</t>
    </rPh>
    <rPh sb="7" eb="9">
      <t>コウシン</t>
    </rPh>
    <phoneticPr fontId="1"/>
  </si>
  <si>
    <t>信頼性</t>
    <rPh sb="0" eb="3">
      <t>シンライセイ</t>
    </rPh>
    <phoneticPr fontId="1"/>
  </si>
  <si>
    <t>バックアップスペースの確保</t>
    <rPh sb="11" eb="13">
      <t>カクホ</t>
    </rPh>
    <phoneticPr fontId="1"/>
  </si>
  <si>
    <t>㎡（工場除く）</t>
    <rPh sb="2" eb="4">
      <t>コウジョウ</t>
    </rPh>
    <rPh sb="4" eb="5">
      <t>ノゾ</t>
    </rPh>
    <phoneticPr fontId="21"/>
  </si>
  <si>
    <t>BPIによる評価の場合</t>
    <rPh sb="6" eb="8">
      <t>ヒョウカ</t>
    </rPh>
    <rPh sb="9" eb="11">
      <t>バアイ</t>
    </rPh>
    <phoneticPr fontId="21"/>
  </si>
  <si>
    <t>BPImによる評価の場合</t>
    <rPh sb="7" eb="9">
      <t>ヒョウカ</t>
    </rPh>
    <rPh sb="10" eb="12">
      <t>バアイ</t>
    </rPh>
    <phoneticPr fontId="21"/>
  </si>
  <si>
    <t>％</t>
    <phoneticPr fontId="21"/>
  </si>
  <si>
    <t>旧PAL低減率への換算</t>
    <rPh sb="0" eb="1">
      <t>キュウ</t>
    </rPh>
    <rPh sb="4" eb="6">
      <t>テイゲン</t>
    </rPh>
    <rPh sb="6" eb="7">
      <t>リツ</t>
    </rPh>
    <rPh sb="9" eb="11">
      <t>カンサン</t>
    </rPh>
    <phoneticPr fontId="21"/>
  </si>
  <si>
    <t>PAL*低減率</t>
    <rPh sb="4" eb="6">
      <t>テイゲン</t>
    </rPh>
    <rPh sb="6" eb="7">
      <t>リツ</t>
    </rPh>
    <phoneticPr fontId="21"/>
  </si>
  <si>
    <t>[PAL＊低減率]＜2.5</t>
    <rPh sb="5" eb="7">
      <t>テイゲン</t>
    </rPh>
    <rPh sb="7" eb="8">
      <t>リツ</t>
    </rPh>
    <phoneticPr fontId="21"/>
  </si>
  <si>
    <t>10≦[PAL＊低減率]</t>
    <rPh sb="8" eb="10">
      <t>テイゲン</t>
    </rPh>
    <rPh sb="10" eb="11">
      <t>リツ</t>
    </rPh>
    <phoneticPr fontId="21"/>
  </si>
  <si>
    <t>2.5≦[PAL＊低減率]＜7.5</t>
    <rPh sb="9" eb="11">
      <t>テイゲン</t>
    </rPh>
    <rPh sb="11" eb="12">
      <t>リツ</t>
    </rPh>
    <phoneticPr fontId="21"/>
  </si>
  <si>
    <t>7.5≦[PAL＊低減率]＜10</t>
    <rPh sb="9" eb="11">
      <t>テイゲン</t>
    </rPh>
    <rPh sb="11" eb="12">
      <t>リツ</t>
    </rPh>
    <phoneticPr fontId="21"/>
  </si>
  <si>
    <t>％</t>
    <phoneticPr fontId="21"/>
  </si>
  <si>
    <t>BPIｍ</t>
    <phoneticPr fontId="21"/>
  </si>
  <si>
    <t>非住宅</t>
    <rPh sb="0" eb="1">
      <t>ヒ</t>
    </rPh>
    <rPh sb="1" eb="3">
      <t>ジュウタク</t>
    </rPh>
    <phoneticPr fontId="21"/>
  </si>
  <si>
    <t>※専有部は家電・調理分除く</t>
    <rPh sb="1" eb="3">
      <t>センユウ</t>
    </rPh>
    <rPh sb="3" eb="4">
      <t>ブ</t>
    </rPh>
    <rPh sb="5" eb="7">
      <t>カデン</t>
    </rPh>
    <rPh sb="8" eb="10">
      <t>チョウリ</t>
    </rPh>
    <rPh sb="10" eb="11">
      <t>ブン</t>
    </rPh>
    <rPh sb="11" eb="12">
      <t>ノゾ</t>
    </rPh>
    <phoneticPr fontId="21"/>
  </si>
  <si>
    <t>PAL低減率</t>
    <rPh sb="3" eb="5">
      <t>テイゲン</t>
    </rPh>
    <rPh sb="5" eb="6">
      <t>リツ</t>
    </rPh>
    <phoneticPr fontId="21"/>
  </si>
  <si>
    <t>ERRレベル</t>
    <phoneticPr fontId="21"/>
  </si>
  <si>
    <t>■設計一次エネルギー消費量(2)※</t>
    <rPh sb="1" eb="3">
      <t>ｾｯｹｲ</t>
    </rPh>
    <rPh sb="3" eb="5">
      <t>ｲﾁｼﾞ</t>
    </rPh>
    <rPh sb="10" eb="13">
      <t>ｼｮｳﾋﾘｮｳ</t>
    </rPh>
    <phoneticPr fontId="34" type="noConversion"/>
  </si>
  <si>
    <t>BEI(2)</t>
    <phoneticPr fontId="21"/>
  </si>
  <si>
    <t>←簡易計算から転記してよい</t>
    <rPh sb="1" eb="3">
      <t>カンイ</t>
    </rPh>
    <rPh sb="3" eb="5">
      <t>ケイサン</t>
    </rPh>
    <rPh sb="7" eb="9">
      <t>テンキ</t>
    </rPh>
    <phoneticPr fontId="21"/>
  </si>
  <si>
    <t>一次エネルギー消費率=</t>
    <rPh sb="0" eb="2">
      <t>イチジ</t>
    </rPh>
    <rPh sb="7" eb="9">
      <t>ショウヒ</t>
    </rPh>
    <rPh sb="9" eb="10">
      <t>リツ</t>
    </rPh>
    <phoneticPr fontId="21"/>
  </si>
  <si>
    <t>BEI(1)</t>
    <phoneticPr fontId="21"/>
  </si>
  <si>
    <t>BEI(2)</t>
    <phoneticPr fontId="21"/>
  </si>
  <si>
    <t xml:space="preserve"> 非住宅　小計</t>
    <rPh sb="1" eb="2">
      <t>ヒ</t>
    </rPh>
    <rPh sb="2" eb="4">
      <t>ジュウタク</t>
    </rPh>
    <rPh sb="5" eb="7">
      <t>ショウケイ</t>
    </rPh>
    <phoneticPr fontId="21"/>
  </si>
  <si>
    <t>LR1/2.1　定量評価</t>
    <rPh sb="8" eb="10">
      <t>テイリョウ</t>
    </rPh>
    <rPh sb="10" eb="12">
      <t>ヒョウカ</t>
    </rPh>
    <phoneticPr fontId="21"/>
  </si>
  <si>
    <t>MＪ／年㎡　</t>
    <phoneticPr fontId="21"/>
  </si>
  <si>
    <t>小中学校・集合住宅</t>
    <rPh sb="0" eb="4">
      <t>ショウチュウガッコウ</t>
    </rPh>
    <rPh sb="5" eb="7">
      <t>シュウゴウ</t>
    </rPh>
    <rPh sb="7" eb="9">
      <t>ジュウタク</t>
    </rPh>
    <phoneticPr fontId="21"/>
  </si>
  <si>
    <t>上記以外</t>
    <rPh sb="0" eb="2">
      <t>ジョウキ</t>
    </rPh>
    <rPh sb="2" eb="4">
      <t>イガイ</t>
    </rPh>
    <phoneticPr fontId="21"/>
  </si>
  <si>
    <t xml:space="preserve"> Q2 1.3</t>
  </si>
  <si>
    <t>維持管理に配慮した設計</t>
    <rPh sb="0" eb="2">
      <t>イジ</t>
    </rPh>
    <rPh sb="2" eb="4">
      <t>カンリ</t>
    </rPh>
    <rPh sb="5" eb="7">
      <t>ハイリョ</t>
    </rPh>
    <rPh sb="9" eb="11">
      <t>セッケイ</t>
    </rPh>
    <phoneticPr fontId="21"/>
  </si>
  <si>
    <t>1.3.2</t>
  </si>
  <si>
    <t>清掃管理業務</t>
    <rPh sb="0" eb="2">
      <t>セイソウ</t>
    </rPh>
    <rPh sb="2" eb="4">
      <t>カンリ</t>
    </rPh>
    <rPh sb="4" eb="6">
      <t>ギョウム</t>
    </rPh>
    <phoneticPr fontId="21"/>
  </si>
  <si>
    <t>維持管理用機能の確保</t>
    <rPh sb="0" eb="2">
      <t>イジ</t>
    </rPh>
    <rPh sb="2" eb="5">
      <t>カンリヨウ</t>
    </rPh>
    <rPh sb="5" eb="7">
      <t>キノウ</t>
    </rPh>
    <rPh sb="8" eb="10">
      <t>カクホ</t>
    </rPh>
    <phoneticPr fontId="21"/>
  </si>
  <si>
    <t>1.3.3</t>
  </si>
  <si>
    <t>耐用性・信頼性</t>
    <rPh sb="4" eb="6">
      <t>シンライ</t>
    </rPh>
    <rPh sb="6" eb="7">
      <t>セイ</t>
    </rPh>
    <phoneticPr fontId="21"/>
  </si>
  <si>
    <t xml:space="preserve"> Q2 2</t>
  </si>
  <si>
    <t xml:space="preserve"> Q2 2.1</t>
  </si>
  <si>
    <t>耐震性</t>
  </si>
  <si>
    <t>免震・制振性能</t>
    <rPh sb="5" eb="7">
      <t>セイノウ</t>
    </rPh>
    <phoneticPr fontId="21"/>
  </si>
  <si>
    <t xml:space="preserve"> Q2 2.2</t>
  </si>
  <si>
    <t>外壁仕上げ材の補修必要間隔</t>
  </si>
  <si>
    <t>主要内装仕上げ材の更新必要間隔</t>
  </si>
  <si>
    <t>空調換気ダクトの更新必要間隔</t>
    <rPh sb="0" eb="2">
      <t>クウチョウ</t>
    </rPh>
    <rPh sb="2" eb="4">
      <t>カンキ</t>
    </rPh>
    <phoneticPr fontId="21"/>
  </si>
  <si>
    <t>空調・給排水配管の更新必要間隔</t>
    <rPh sb="0" eb="2">
      <t>クウチョウ</t>
    </rPh>
    <rPh sb="3" eb="4">
      <t>キュウ</t>
    </rPh>
    <rPh sb="4" eb="6">
      <t>ハイスイ</t>
    </rPh>
    <rPh sb="6" eb="8">
      <t>ハイカン</t>
    </rPh>
    <phoneticPr fontId="21"/>
  </si>
  <si>
    <t>主要設備機器の更新必要間隔</t>
  </si>
  <si>
    <t xml:space="preserve"> Q2 2.3</t>
  </si>
  <si>
    <t>主要設備機器の更新</t>
    <rPh sb="0" eb="2">
      <t>シュヨウ</t>
    </rPh>
    <rPh sb="2" eb="4">
      <t>セツビ</t>
    </rPh>
    <rPh sb="4" eb="6">
      <t>キキ</t>
    </rPh>
    <rPh sb="7" eb="9">
      <t>コウシン</t>
    </rPh>
    <phoneticPr fontId="21"/>
  </si>
  <si>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</si>
  <si>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</si>
  <si>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</si>
  <si>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</si>
  <si>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</si>
  <si>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</si>
  <si>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</si>
  <si>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</si>
  <si>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</si>
  <si>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</si>
  <si>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1"/>
  </si>
  <si>
    <t>飲食店</t>
    <rPh sb="0" eb="2">
      <t>インショク</t>
    </rPh>
    <rPh sb="2" eb="3">
      <t>テン</t>
    </rPh>
    <phoneticPr fontId="21"/>
  </si>
  <si>
    <t>集合住宅</t>
    <rPh sb="0" eb="2">
      <t>シュウゴウ</t>
    </rPh>
    <rPh sb="2" eb="4">
      <t>ジュウタク</t>
    </rPh>
    <phoneticPr fontId="21"/>
  </si>
  <si>
    <t>2-2.　合計の計算</t>
    <rPh sb="5" eb="7">
      <t>ゴウケイ</t>
    </rPh>
    <rPh sb="8" eb="10">
      <t>ケイサン</t>
    </rPh>
    <phoneticPr fontId="21"/>
  </si>
  <si>
    <t>参照値（①）</t>
    <rPh sb="0" eb="2">
      <t>サンショウ</t>
    </rPh>
    <rPh sb="2" eb="3">
      <t>チ</t>
    </rPh>
    <phoneticPr fontId="21"/>
  </si>
  <si>
    <t>3-2.　上記+上記以外のオンサイト手法（③）</t>
    <rPh sb="5" eb="7">
      <t>ジョウキ</t>
    </rPh>
    <rPh sb="8" eb="10">
      <t>ジョウキ</t>
    </rPh>
    <rPh sb="10" eb="12">
      <t>イガイ</t>
    </rPh>
    <rPh sb="18" eb="20">
      <t>シュホウ</t>
    </rPh>
    <phoneticPr fontId="21"/>
  </si>
  <si>
    <t>削減量</t>
    <rPh sb="0" eb="2">
      <t>サクゲン</t>
    </rPh>
    <rPh sb="2" eb="3">
      <t>リョウ</t>
    </rPh>
    <phoneticPr fontId="21"/>
  </si>
  <si>
    <t>2)敷地内の舗装面積を小さくするよう努める。</t>
    <phoneticPr fontId="21"/>
  </si>
  <si>
    <t>合計  [1]</t>
    <phoneticPr fontId="21"/>
  </si>
  <si>
    <t>自家消費分</t>
    <phoneticPr fontId="21"/>
  </si>
  <si>
    <t>地域区分Ⅲ</t>
  </si>
  <si>
    <t>1）概要入力</t>
    <rPh sb="2" eb="4">
      <t>ガイヨウ</t>
    </rPh>
    <rPh sb="4" eb="6">
      <t>ニュウリョク</t>
    </rPh>
    <phoneticPr fontId="21"/>
  </si>
  <si>
    <t>地域区分Ⅳ</t>
  </si>
  <si>
    <t>① 建物概要</t>
    <rPh sb="2" eb="4">
      <t>タテモノ</t>
    </rPh>
    <rPh sb="4" eb="6">
      <t>ガイヨウ</t>
    </rPh>
    <phoneticPr fontId="21"/>
  </si>
  <si>
    <t>地域区分Ⅴ</t>
  </si>
  <si>
    <t>地域区分Ⅵ</t>
  </si>
  <si>
    <t>■建物名称</t>
    <rPh sb="1" eb="3">
      <t>ﾀﾃﾓﾉ</t>
    </rPh>
    <rPh sb="3" eb="5">
      <t>ﾒｲｼｮｳ</t>
    </rPh>
    <phoneticPr fontId="34" type="noConversion"/>
  </si>
  <si>
    <t>■建設地・気候区分</t>
    <rPh sb="1" eb="4">
      <t>ｹﾝｾﾂﾁ</t>
    </rPh>
    <rPh sb="5" eb="7">
      <t>ｷｺｳ</t>
    </rPh>
    <rPh sb="7" eb="9">
      <t>ｸﾌﾞﾝ</t>
    </rPh>
    <phoneticPr fontId="34" type="noConversion"/>
  </si>
  <si>
    <t>3.3.1</t>
    <phoneticPr fontId="21"/>
  </si>
  <si>
    <t>照度</t>
    <phoneticPr fontId="21"/>
  </si>
  <si>
    <t>3.3.2</t>
    <phoneticPr fontId="21"/>
  </si>
  <si>
    <t>※個別計算</t>
    <rPh sb="1" eb="3">
      <t>コベツ</t>
    </rPh>
    <rPh sb="3" eb="5">
      <t>ケイサン</t>
    </rPh>
    <phoneticPr fontId="21"/>
  </si>
  <si>
    <t>4500N/㎡以上</t>
    <phoneticPr fontId="21"/>
  </si>
  <si>
    <t>5200N/㎡以上</t>
    <phoneticPr fontId="21"/>
  </si>
  <si>
    <t>3500N/㎡以上</t>
    <phoneticPr fontId="21"/>
  </si>
  <si>
    <t>2900N/㎡以上</t>
    <phoneticPr fontId="21"/>
  </si>
  <si>
    <t>設備の更新性</t>
    <rPh sb="0" eb="2">
      <t>セツビ</t>
    </rPh>
    <rPh sb="3" eb="5">
      <t>コウシン</t>
    </rPh>
    <rPh sb="5" eb="6">
      <t>セイ</t>
    </rPh>
    <phoneticPr fontId="21"/>
  </si>
  <si>
    <t>構造部材を痛めなければ空調配管の更新・修繕ができない。</t>
  </si>
  <si>
    <t>IV 防犯性の配慮</t>
    <rPh sb="7" eb="9">
      <t>ハイリョ</t>
    </rPh>
    <phoneticPr fontId="21"/>
  </si>
  <si>
    <t>新築はなし</t>
    <rPh sb="0" eb="2">
      <t>シンチク</t>
    </rPh>
    <phoneticPr fontId="21"/>
  </si>
  <si>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1"/>
  </si>
  <si>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1"/>
  </si>
  <si>
    <t>評価建物(③)の電力消費量</t>
    <phoneticPr fontId="21"/>
  </si>
  <si>
    <r>
      <t>kg-CO</t>
    </r>
    <r>
      <rPr>
        <vertAlign val="subscript"/>
        <sz val="10"/>
        <rFont val="ＭＳ Ｐゴシック"/>
        <family val="3"/>
        <charset val="128"/>
      </rPr>
      <t>2</t>
    </r>
    <r>
      <rPr>
        <sz val="10"/>
        <rFont val="ＭＳ Ｐゴシック"/>
        <family val="3"/>
        <charset val="128"/>
      </rPr>
      <t>/kWh</t>
    </r>
    <phoneticPr fontId="21"/>
  </si>
  <si>
    <t>実排出量との差</t>
    <phoneticPr fontId="21"/>
  </si>
  <si>
    <t>病院o</t>
    <phoneticPr fontId="21"/>
  </si>
  <si>
    <t>2)外壁面の材料に配慮する。</t>
    <phoneticPr fontId="21"/>
  </si>
  <si>
    <r>
      <t xml:space="preserve">3.2.3 </t>
    </r>
    <r>
      <rPr>
        <b/>
        <sz val="10"/>
        <rFont val="ＭＳ Ｐゴシック"/>
        <family val="3"/>
        <charset val="128"/>
      </rPr>
      <t>冷媒</t>
    </r>
    <rPh sb="6" eb="8">
      <t>レイバイ</t>
    </rPh>
    <phoneticPr fontId="21"/>
  </si>
  <si>
    <t>HCFCの冷媒を使用している。</t>
  </si>
  <si>
    <t>ODP=0の冷媒を使用している。</t>
  </si>
  <si>
    <t>ハロン消火剤の使用が認められるクリティカルユース用途   消防予第87号　消防危第84号　(平成17年4月28日)</t>
    <rPh sb="4" eb="5">
      <t>カ</t>
    </rPh>
    <phoneticPr fontId="21"/>
  </si>
  <si>
    <t>使用用途の種類</t>
  </si>
  <si>
    <t>用途例</t>
  </si>
  <si>
    <t>居室面積の1/10以上の開閉可能な窓を確保している。</t>
    <phoneticPr fontId="21"/>
  </si>
  <si>
    <t>評価点</t>
    <rPh sb="0" eb="3">
      <t>ヒョウカテン</t>
    </rPh>
    <phoneticPr fontId="21"/>
  </si>
  <si>
    <t>重み
係数</t>
    <rPh sb="0" eb="1">
      <t>オモ</t>
    </rPh>
    <phoneticPr fontId="21"/>
  </si>
  <si>
    <t>全体</t>
  </si>
  <si>
    <t>室内環境</t>
  </si>
  <si>
    <t>音環境</t>
    <rPh sb="0" eb="1">
      <t>ｵﾄ</t>
    </rPh>
    <rPh sb="1" eb="3">
      <t>ｶﾝｷｮｳ</t>
    </rPh>
    <phoneticPr fontId="34" type="noConversion"/>
  </si>
  <si>
    <t>騒音</t>
  </si>
  <si>
    <t>室内騒音レベル</t>
    <phoneticPr fontId="21"/>
  </si>
  <si>
    <t>設備騒音対策</t>
    <phoneticPr fontId="21"/>
  </si>
  <si>
    <t>遮音</t>
  </si>
  <si>
    <t>雨水利用率＝</t>
    <rPh sb="0" eb="2">
      <t>アマミズ</t>
    </rPh>
    <rPh sb="2" eb="4">
      <t>リヨウ</t>
    </rPh>
    <rPh sb="4" eb="5">
      <t>リツ</t>
    </rPh>
    <phoneticPr fontId="21"/>
  </si>
  <si>
    <t>雨水利用予測量（m³）</t>
    <rPh sb="4" eb="6">
      <t>ヨソク</t>
    </rPh>
    <phoneticPr fontId="21"/>
  </si>
  <si>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1"/>
  </si>
  <si>
    <t>学(小中高)</t>
    <rPh sb="0" eb="1">
      <t>ガク</t>
    </rPh>
    <rPh sb="2" eb="3">
      <t>ショウ</t>
    </rPh>
    <rPh sb="3" eb="4">
      <t>チュウ</t>
    </rPh>
    <rPh sb="4" eb="5">
      <t>コウ</t>
    </rPh>
    <phoneticPr fontId="21"/>
  </si>
  <si>
    <t>■使用評価マニュアル：</t>
    <rPh sb="1" eb="3">
      <t>シヨウ</t>
    </rPh>
    <rPh sb="3" eb="5">
      <t>ヒョウカ</t>
    </rPh>
    <phoneticPr fontId="21"/>
  </si>
  <si>
    <t>ビルマルチエアコン室外機等からの騒音</t>
    <rPh sb="9" eb="12">
      <t>シツガイキ</t>
    </rPh>
    <rPh sb="12" eb="13">
      <t>トウ</t>
    </rPh>
    <rPh sb="16" eb="18">
      <t>ソウオン</t>
    </rPh>
    <phoneticPr fontId="21"/>
  </si>
  <si>
    <t>項目</t>
    <rPh sb="0" eb="2">
      <t>コウモク</t>
    </rPh>
    <phoneticPr fontId="21"/>
  </si>
  <si>
    <t>住宅</t>
    <rPh sb="0" eb="2">
      <t>ジュウタク</t>
    </rPh>
    <phoneticPr fontId="21"/>
  </si>
  <si>
    <t>宴会場</t>
    <rPh sb="0" eb="3">
      <t>エンカイジョウ</t>
    </rPh>
    <phoneticPr fontId="21"/>
  </si>
  <si>
    <t>重役室・大会議室</t>
    <rPh sb="0" eb="3">
      <t>ジュウヤクシツ</t>
    </rPh>
    <rPh sb="4" eb="8">
      <t>ダイカイギシツ</t>
    </rPh>
    <phoneticPr fontId="21"/>
  </si>
  <si>
    <t>応接室</t>
    <rPh sb="0" eb="3">
      <t>オウセツシツ</t>
    </rPh>
    <phoneticPr fontId="21"/>
  </si>
  <si>
    <t>広さ・収納性</t>
    <rPh sb="0" eb="1">
      <t>ヒロ</t>
    </rPh>
    <rPh sb="3" eb="5">
      <t>シュウノウ</t>
    </rPh>
    <rPh sb="5" eb="6">
      <t>セイ</t>
    </rPh>
    <phoneticPr fontId="21"/>
  </si>
  <si>
    <t>高度情報通信設備対応</t>
    <rPh sb="0" eb="2">
      <t>コウド</t>
    </rPh>
    <rPh sb="2" eb="4">
      <t>ジョウホウ</t>
    </rPh>
    <rPh sb="4" eb="6">
      <t>ツウシン</t>
    </rPh>
    <rPh sb="6" eb="8">
      <t>セツビ</t>
    </rPh>
    <rPh sb="8" eb="10">
      <t>タイオウ</t>
    </rPh>
    <phoneticPr fontId="21"/>
  </si>
  <si>
    <t>バリアフリー計画</t>
    <rPh sb="6" eb="8">
      <t>ケイカク</t>
    </rPh>
    <phoneticPr fontId="21"/>
  </si>
  <si>
    <t>売電分</t>
    <rPh sb="0" eb="2">
      <t>バイデン</t>
    </rPh>
    <rPh sb="2" eb="3">
      <t>ブン</t>
    </rPh>
    <phoneticPr fontId="21"/>
  </si>
  <si>
    <t>修繕・更新・解体</t>
    <rPh sb="3" eb="5">
      <t>コウシン</t>
    </rPh>
    <phoneticPr fontId="21"/>
  </si>
  <si>
    <t>60＜ [騒音レベル]</t>
    <phoneticPr fontId="21"/>
  </si>
  <si>
    <t>　レベル　1</t>
    <phoneticPr fontId="21"/>
  </si>
  <si>
    <t>■レベル　1</t>
    <phoneticPr fontId="21"/>
  </si>
  <si>
    <t>-</t>
    <phoneticPr fontId="21"/>
  </si>
  <si>
    <t>(該当するレベルなし)</t>
  </si>
  <si>
    <t>50＜ [騒音レベル] ≦60</t>
    <phoneticPr fontId="21"/>
  </si>
  <si>
    <t>1.00　＜ [BEIm値]　≦ 1.05</t>
  </si>
  <si>
    <t>0.90　＜ [BEIm値]　≦ 1.00</t>
  </si>
  <si>
    <t>　       [BEIm値]　≦ 0.90</t>
  </si>
  <si>
    <t>モデル建物法[BEIm]での評価</t>
    <rPh sb="3" eb="5">
      <t>タテモノ</t>
    </rPh>
    <rPh sb="5" eb="6">
      <t>ホウ</t>
    </rPh>
    <rPh sb="14" eb="16">
      <t>ヒョウカ</t>
    </rPh>
    <phoneticPr fontId="21"/>
  </si>
  <si>
    <t>[BEI]での評価</t>
    <rPh sb="7" eb="9">
      <t>ヒョウカ</t>
    </rPh>
    <phoneticPr fontId="21"/>
  </si>
  <si>
    <t>レベル1:   [BEI値]　≧　1.10</t>
    <phoneticPr fontId="21"/>
  </si>
  <si>
    <t>■自然エネルギーの直接利用量</t>
    <rPh sb="1" eb="3">
      <t>シゼン</t>
    </rPh>
    <rPh sb="9" eb="11">
      <t>チョクセツ</t>
    </rPh>
    <rPh sb="11" eb="13">
      <t>リヨウ</t>
    </rPh>
    <rPh sb="13" eb="14">
      <t>リョウ</t>
    </rPh>
    <phoneticPr fontId="21"/>
  </si>
  <si>
    <t>■LR1　「省エネルギー計画書」等からの必要事項の転記</t>
    <rPh sb="16" eb="17">
      <t>トウ</t>
    </rPh>
    <phoneticPr fontId="21"/>
  </si>
  <si>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1"/>
  </si>
  <si>
    <t>建物外皮の熱負荷抑制</t>
    <rPh sb="0" eb="2">
      <t>タテモノ</t>
    </rPh>
    <rPh sb="2" eb="4">
      <t>ガイヒ</t>
    </rPh>
    <rPh sb="5" eb="6">
      <t>ネツ</t>
    </rPh>
    <rPh sb="6" eb="8">
      <t>フカ</t>
    </rPh>
    <rPh sb="8" eb="10">
      <t>ヨクセイ</t>
    </rPh>
    <phoneticPr fontId="21"/>
  </si>
  <si>
    <t>商業建物</t>
    <rPh sb="0" eb="2">
      <t>ショウギョウ</t>
    </rPh>
    <rPh sb="2" eb="4">
      <t>タテモノ</t>
    </rPh>
    <phoneticPr fontId="21"/>
  </si>
  <si>
    <t>音楽喫茶店</t>
    <rPh sb="0" eb="2">
      <t>オンガク</t>
    </rPh>
    <rPh sb="2" eb="5">
      <t>キッサテン</t>
    </rPh>
    <phoneticPr fontId="21"/>
  </si>
  <si>
    <t>書籍店</t>
    <rPh sb="0" eb="2">
      <t>ショセキ</t>
    </rPh>
    <rPh sb="2" eb="3">
      <t>テン</t>
    </rPh>
    <phoneticPr fontId="21"/>
  </si>
  <si>
    <t>一般商店</t>
    <rPh sb="0" eb="2">
      <t>イッパン</t>
    </rPh>
    <rPh sb="2" eb="4">
      <t>ショウテン</t>
    </rPh>
    <phoneticPr fontId="21"/>
  </si>
  <si>
    <t>小会議室</t>
    <rPh sb="0" eb="4">
      <t>ショウカイギシツ</t>
    </rPh>
    <phoneticPr fontId="21"/>
  </si>
  <si>
    <t>タイプ・計算室</t>
    <rPh sb="4" eb="6">
      <t>ケイサン</t>
    </rPh>
    <rPh sb="6" eb="7">
      <t>シツ</t>
    </rPh>
    <phoneticPr fontId="21"/>
  </si>
  <si>
    <t>公共建物</t>
    <rPh sb="0" eb="2">
      <t>コウキョウ</t>
    </rPh>
    <rPh sb="2" eb="4">
      <t>タテモノ</t>
    </rPh>
    <phoneticPr fontId="21"/>
  </si>
  <si>
    <t>公会堂</t>
    <rPh sb="0" eb="3">
      <t>コウカイドウ</t>
    </rPh>
    <phoneticPr fontId="21"/>
  </si>
  <si>
    <t>美術館・博物館</t>
    <rPh sb="0" eb="2">
      <t>ビジュツ</t>
    </rPh>
    <rPh sb="2" eb="3">
      <t>カン</t>
    </rPh>
    <rPh sb="4" eb="7">
      <t>ハクブツカン</t>
    </rPh>
    <phoneticPr fontId="21"/>
  </si>
  <si>
    <t>図書閲覧室</t>
    <rPh sb="0" eb="2">
      <t>トショ</t>
    </rPh>
    <rPh sb="2" eb="4">
      <t>エツラン</t>
    </rPh>
    <rPh sb="4" eb="5">
      <t>シツ</t>
    </rPh>
    <phoneticPr fontId="21"/>
  </si>
  <si>
    <t>公会堂兼体育館</t>
    <rPh sb="0" eb="3">
      <t>コウカイドウ</t>
    </rPh>
    <rPh sb="3" eb="4">
      <t>ケン</t>
    </rPh>
    <rPh sb="4" eb="7">
      <t>タイイクカン</t>
    </rPh>
    <phoneticPr fontId="21"/>
  </si>
  <si>
    <t>屋内スポーツ施設（拡）</t>
    <rPh sb="0" eb="2">
      <t>オクナイ</t>
    </rPh>
    <rPh sb="6" eb="8">
      <t>シセツ</t>
    </rPh>
    <rPh sb="9" eb="10">
      <t>ヒロム</t>
    </rPh>
    <phoneticPr fontId="21"/>
  </si>
  <si>
    <t>学校・教会</t>
    <rPh sb="0" eb="2">
      <t>ガッコウ</t>
    </rPh>
    <rPh sb="3" eb="5">
      <t>キョウカイ</t>
    </rPh>
    <phoneticPr fontId="21"/>
  </si>
  <si>
    <t>音楽教室</t>
    <rPh sb="0" eb="2">
      <t>オンガク</t>
    </rPh>
    <rPh sb="2" eb="4">
      <t>キョウシツ</t>
    </rPh>
    <phoneticPr fontId="21"/>
  </si>
  <si>
    <t>3.1　空調設備</t>
    <rPh sb="4" eb="6">
      <t>クウチョウ</t>
    </rPh>
    <rPh sb="6" eb="8">
      <t>セツビ</t>
    </rPh>
    <phoneticPr fontId="21"/>
  </si>
  <si>
    <t>歴史的遺産等</t>
    <phoneticPr fontId="21"/>
  </si>
  <si>
    <t>その他</t>
    <phoneticPr fontId="21"/>
  </si>
  <si>
    <t>プラスチック系発泡断熱材に使用された発泡剤種類</t>
    <phoneticPr fontId="21"/>
  </si>
  <si>
    <t>ＯＤＰ</t>
    <phoneticPr fontId="21"/>
  </si>
  <si>
    <t>CFC-11</t>
    <phoneticPr fontId="21"/>
  </si>
  <si>
    <t>HCFC-141b</t>
    <phoneticPr fontId="21"/>
  </si>
  <si>
    <t>HFC-134a</t>
    <phoneticPr fontId="21"/>
  </si>
  <si>
    <t>HFC-245fa</t>
    <phoneticPr fontId="21"/>
  </si>
  <si>
    <t>悪臭</t>
    <rPh sb="0" eb="2">
      <t>アクシュウ</t>
    </rPh>
    <phoneticPr fontId="21"/>
  </si>
  <si>
    <t>LR3 3.2</t>
  </si>
  <si>
    <t>LR3 3.3</t>
  </si>
  <si>
    <t>光害の抑制</t>
    <rPh sb="0" eb="1">
      <t>ﾋｶﾘ</t>
    </rPh>
    <phoneticPr fontId="34" type="noConversion"/>
  </si>
  <si>
    <t>耐震･免震</t>
    <rPh sb="0" eb="2">
      <t>タイシン</t>
    </rPh>
    <rPh sb="3" eb="4">
      <t>メン</t>
    </rPh>
    <rPh sb="4" eb="5">
      <t>フル</t>
    </rPh>
    <phoneticPr fontId="21"/>
  </si>
  <si>
    <t>耐震性</t>
    <rPh sb="0" eb="3">
      <t>タイシンセイ</t>
    </rPh>
    <phoneticPr fontId="21"/>
  </si>
  <si>
    <t>免震・制振性能</t>
    <rPh sb="0" eb="1">
      <t>メン</t>
    </rPh>
    <rPh sb="1" eb="2">
      <t>シン</t>
    </rPh>
    <rPh sb="3" eb="4">
      <t>セイ</t>
    </rPh>
    <rPh sb="4" eb="5">
      <t>オサム</t>
    </rPh>
    <rPh sb="5" eb="7">
      <t>セイノウ</t>
    </rPh>
    <phoneticPr fontId="21"/>
  </si>
  <si>
    <t>部品・部材の耐用年数</t>
    <rPh sb="0" eb="2">
      <t>ブヒン</t>
    </rPh>
    <rPh sb="3" eb="4">
      <t>ブ</t>
    </rPh>
    <rPh sb="4" eb="5">
      <t>ザイ</t>
    </rPh>
    <rPh sb="6" eb="8">
      <t>タイヨウ</t>
    </rPh>
    <rPh sb="8" eb="10">
      <t>ネンスウ</t>
    </rPh>
    <phoneticPr fontId="21"/>
  </si>
  <si>
    <r>
      <t>LR1</t>
    </r>
    <r>
      <rPr>
        <b/>
        <sz val="14"/>
        <rFont val="ＭＳ Ｐゴシック"/>
        <family val="3"/>
        <charset val="128"/>
      </rPr>
      <t>　エネルギー</t>
    </r>
    <phoneticPr fontId="21"/>
  </si>
  <si>
    <t>レベル３に満たない</t>
    <phoneticPr fontId="2"/>
  </si>
  <si>
    <t>事・学・物・飲・会・病・ホ</t>
    <phoneticPr fontId="21"/>
  </si>
  <si>
    <t>(a)　グリーン電力証書によるカーボンオフセット</t>
    <phoneticPr fontId="21"/>
  </si>
  <si>
    <r>
      <t xml:space="preserve">4.2.4 </t>
    </r>
    <r>
      <rPr>
        <b/>
        <sz val="10"/>
        <rFont val="ＭＳ Ｐゴシック"/>
        <family val="3"/>
        <charset val="128"/>
      </rPr>
      <t>給気計画</t>
    </r>
    <rPh sb="6" eb="7">
      <t>キュウ</t>
    </rPh>
    <rPh sb="7" eb="8">
      <t>キ</t>
    </rPh>
    <rPh sb="8" eb="10">
      <t>ケイカク</t>
    </rPh>
    <phoneticPr fontId="21"/>
  </si>
  <si>
    <t>事・学・物・飲・会・病・ホ・工・住</t>
    <phoneticPr fontId="21"/>
  </si>
  <si>
    <t>レベル３に満たない</t>
    <phoneticPr fontId="21"/>
  </si>
  <si>
    <t>冷暖房平均COPが1.25以上の熱源機器を採用</t>
    <phoneticPr fontId="21"/>
  </si>
  <si>
    <t>レベル３に満たない</t>
    <phoneticPr fontId="2"/>
  </si>
  <si>
    <t>既存なし</t>
    <rPh sb="0" eb="2">
      <t>キソン</t>
    </rPh>
    <phoneticPr fontId="21"/>
  </si>
  <si>
    <t>②①に加えさらに現地測定を行った場合や広域気象データや地形データに基づいた広域大気環境予測システムで補完してより詳細に調査した場合(2ポイント)</t>
  </si>
  <si>
    <t>II敷地外への熱的な影響を低減する対策</t>
  </si>
  <si>
    <t>1.2.4 界床遮音性能（重量衝撃源）</t>
    <phoneticPr fontId="21"/>
  </si>
  <si>
    <t>人のとびはねや走り回る音がうるさい。　</t>
    <phoneticPr fontId="21"/>
  </si>
  <si>
    <t>人のとびはねや走り回る音がかなり気になる。</t>
    <phoneticPr fontId="21"/>
  </si>
  <si>
    <t>人のとびはねや走り回る音がよく聞こえる。</t>
    <phoneticPr fontId="21"/>
  </si>
  <si>
    <t>人のとびはねや走り回る音が聞こえる。</t>
    <phoneticPr fontId="21"/>
  </si>
  <si>
    <t>人のとびはねや走り回る音が小さく聞こえる。</t>
    <phoneticPr fontId="21"/>
  </si>
  <si>
    <t>人のとびはねや走り回る音が聞こえるが意識することはあまりない。</t>
    <phoneticPr fontId="21"/>
  </si>
  <si>
    <t>病・ホ</t>
    <phoneticPr fontId="21"/>
  </si>
  <si>
    <t>建物全体・共用部分</t>
    <phoneticPr fontId="21"/>
  </si>
  <si>
    <t>事</t>
    <phoneticPr fontId="21"/>
  </si>
  <si>
    <t>学(大学等)</t>
    <phoneticPr fontId="21"/>
  </si>
  <si>
    <t>物・飲・会</t>
    <phoneticPr fontId="21"/>
  </si>
  <si>
    <t>住</t>
    <phoneticPr fontId="21"/>
  </si>
  <si>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</si>
  <si>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</si>
  <si>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</si>
  <si>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</si>
  <si>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</si>
  <si>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</si>
  <si>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</si>
  <si>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</si>
  <si>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</si>
  <si>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</si>
  <si>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</si>
  <si>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東京電力株式会社</t>
  </si>
  <si>
    <t>東北電力株式会社</t>
  </si>
  <si>
    <t>北海道電力株式会社</t>
  </si>
  <si>
    <t>北陸電力株式会社</t>
  </si>
  <si>
    <t>←</t>
    <phoneticPr fontId="21"/>
  </si>
  <si>
    <t>■使用評価ソフト：</t>
    <rPh sb="1" eb="3">
      <t>シヨウ</t>
    </rPh>
    <rPh sb="3" eb="5">
      <t>ヒョウカ</t>
    </rPh>
    <phoneticPr fontId="21"/>
  </si>
  <si>
    <r>
      <t>1-1</t>
    </r>
    <r>
      <rPr>
        <b/>
        <sz val="12"/>
        <color indexed="9"/>
        <rFont val="ＭＳ Ｐゴシック"/>
        <family val="3"/>
        <charset val="128"/>
      </rPr>
      <t>　建物概要</t>
    </r>
    <rPh sb="4" eb="5">
      <t>ｹﾝ</t>
    </rPh>
    <rPh sb="5" eb="6">
      <t>ﾓﾉ</t>
    </rPh>
    <rPh sb="6" eb="8">
      <t>ｶﾞｲﾖｳ</t>
    </rPh>
    <phoneticPr fontId="34" type="noConversion"/>
  </si>
  <si>
    <r>
      <t>1-2</t>
    </r>
    <r>
      <rPr>
        <b/>
        <sz val="12"/>
        <color indexed="9"/>
        <rFont val="ＭＳ Ｐゴシック"/>
        <family val="3"/>
        <charset val="128"/>
      </rPr>
      <t>　外観</t>
    </r>
    <rPh sb="4" eb="6">
      <t>ガイカン</t>
    </rPh>
    <phoneticPr fontId="21"/>
  </si>
  <si>
    <t>BEE rank</t>
    <phoneticPr fontId="21"/>
  </si>
  <si>
    <t>radar chart</t>
    <phoneticPr fontId="21"/>
  </si>
  <si>
    <t>建物名称</t>
    <rPh sb="0" eb="2">
      <t>ﾀﾃﾓﾉ</t>
    </rPh>
    <rPh sb="2" eb="4">
      <t>ﾒｲｼｮｳ</t>
    </rPh>
    <phoneticPr fontId="34" type="noConversion"/>
  </si>
  <si>
    <t>階数</t>
    <rPh sb="0" eb="2">
      <t>カイスウ</t>
    </rPh>
    <phoneticPr fontId="21"/>
  </si>
  <si>
    <t>radar chart</t>
  </si>
  <si>
    <t>Score(RoundDown)</t>
    <phoneticPr fontId="21"/>
  </si>
  <si>
    <t>建設地</t>
    <rPh sb="0" eb="3">
      <t>ｹﾝｾﾂﾁ</t>
    </rPh>
    <phoneticPr fontId="34" type="noConversion"/>
  </si>
  <si>
    <t>構造</t>
    <rPh sb="0" eb="2">
      <t>コウゾウ</t>
    </rPh>
    <phoneticPr fontId="21"/>
  </si>
  <si>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1"/>
  </si>
  <si>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</si>
  <si>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1"/>
  </si>
  <si>
    <t>１５年</t>
  </si>
  <si>
    <t>平均居住人員</t>
    <rPh sb="0" eb="2">
      <t>ﾍｲｷﾝ</t>
    </rPh>
    <rPh sb="2" eb="4">
      <t>ｷｮｼﾞｭｳ</t>
    </rPh>
    <rPh sb="4" eb="6">
      <t>ｼﾞﾝｲﾝ</t>
    </rPh>
    <phoneticPr fontId="34" type="noConversion"/>
  </si>
  <si>
    <t>人</t>
    <rPh sb="0" eb="1">
      <t>ニン</t>
    </rPh>
    <phoneticPr fontId="21"/>
  </si>
  <si>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1"/>
  </si>
  <si>
    <t>年間使用時間</t>
    <rPh sb="0" eb="2">
      <t>ﾈﾝｶﾝ</t>
    </rPh>
    <rPh sb="2" eb="4">
      <t>ｼﾖｳ</t>
    </rPh>
    <rPh sb="4" eb="6">
      <t>ｼﾞｶﾝ</t>
    </rPh>
    <phoneticPr fontId="34" type="noConversion"/>
  </si>
  <si>
    <r>
      <t>時間</t>
    </r>
    <r>
      <rPr>
        <sz val="10"/>
        <rFont val="Arial"/>
        <family val="2"/>
      </rPr>
      <t>/</t>
    </r>
    <r>
      <rPr>
        <sz val="10"/>
        <rFont val="ＭＳ Ｐゴシック"/>
        <family val="3"/>
        <charset val="128"/>
      </rPr>
      <t>年</t>
    </r>
    <rPh sb="0" eb="2">
      <t>ジカン</t>
    </rPh>
    <rPh sb="3" eb="4">
      <t>ネン</t>
    </rPh>
    <phoneticPr fontId="21"/>
  </si>
  <si>
    <t>L</t>
    <phoneticPr fontId="21"/>
  </si>
  <si>
    <t>LR3 
敷地外環境</t>
    <rPh sb="5" eb="7">
      <t>シキチ</t>
    </rPh>
    <rPh sb="7" eb="8">
      <t>ガイ</t>
    </rPh>
    <rPh sb="8" eb="10">
      <t>カンキョウ</t>
    </rPh>
    <phoneticPr fontId="21"/>
  </si>
  <si>
    <t>建物用途</t>
    <rPh sb="0" eb="2">
      <t>ﾀﾃﾓﾉ</t>
    </rPh>
    <rPh sb="2" eb="4">
      <t>ﾖｳﾄ</t>
    </rPh>
    <phoneticPr fontId="34" type="noConversion"/>
  </si>
  <si>
    <t>評価の段階</t>
    <rPh sb="0" eb="2">
      <t>ヒョウカ</t>
    </rPh>
    <rPh sb="3" eb="5">
      <t>ダンカイ</t>
    </rPh>
    <phoneticPr fontId="21"/>
  </si>
  <si>
    <t>外観パース等</t>
    <rPh sb="0" eb="2">
      <t>ガイカン</t>
    </rPh>
    <rPh sb="5" eb="6">
      <t>トウ</t>
    </rPh>
    <phoneticPr fontId="21"/>
  </si>
  <si>
    <t>BEE</t>
    <phoneticPr fontId="21"/>
  </si>
  <si>
    <t>LR2 資源・
マテリアル</t>
    <rPh sb="4" eb="6">
      <t>シゲン</t>
    </rPh>
    <phoneticPr fontId="21"/>
  </si>
  <si>
    <t>レベル３を満たさない。</t>
    <phoneticPr fontId="21"/>
  </si>
  <si>
    <t>（該当するレベルなし）</t>
    <phoneticPr fontId="21"/>
  </si>
  <si>
    <t>教室の不足がある</t>
    <phoneticPr fontId="21"/>
  </si>
  <si>
    <t>1人当たりの執務スペースが6㎡以上。</t>
    <phoneticPr fontId="21"/>
  </si>
  <si>
    <t>教室の不足がない</t>
    <phoneticPr fontId="21"/>
  </si>
  <si>
    <t>（該当するレベルなし）</t>
    <phoneticPr fontId="21"/>
  </si>
  <si>
    <t>1人当たりの執務スペースが12㎡以上。</t>
    <phoneticPr fontId="21"/>
  </si>
  <si>
    <t>主要構造部が木造躯体の時</t>
    <phoneticPr fontId="21"/>
  </si>
  <si>
    <t>CO2削減量</t>
    <rPh sb="3" eb="5">
      <t>サクゲン</t>
    </rPh>
    <rPh sb="5" eb="6">
      <t>リョウ</t>
    </rPh>
    <phoneticPr fontId="21"/>
  </si>
  <si>
    <t>算定に用いた排出係数</t>
    <rPh sb="0" eb="2">
      <t>サンテイ</t>
    </rPh>
    <rPh sb="3" eb="4">
      <t>モチ</t>
    </rPh>
    <rPh sb="6" eb="8">
      <t>ハイシュツ</t>
    </rPh>
    <rPh sb="8" eb="10">
      <t>ケイスウ</t>
    </rPh>
    <phoneticPr fontId="21"/>
  </si>
  <si>
    <t>2100N/㎡以上～2900N/㎡未満</t>
    <phoneticPr fontId="21"/>
  </si>
  <si>
    <r>
      <t xml:space="preserve">1.2.1 </t>
    </r>
    <r>
      <rPr>
        <b/>
        <sz val="10"/>
        <rFont val="ＭＳ Ｐゴシック"/>
        <family val="3"/>
        <charset val="128"/>
      </rPr>
      <t>広さ感・景観</t>
    </r>
    <phoneticPr fontId="21"/>
  </si>
  <si>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</si>
  <si>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</si>
  <si>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</si>
  <si>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</si>
  <si>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建物用途</t>
  </si>
  <si>
    <t>官公庁</t>
  </si>
  <si>
    <t>物販店舗等</t>
    <rPh sb="0" eb="2">
      <t>ブッパン</t>
    </rPh>
    <rPh sb="2" eb="4">
      <t>テンポ</t>
    </rPh>
    <rPh sb="4" eb="5">
      <t>トウ</t>
    </rPh>
    <phoneticPr fontId="21"/>
  </si>
  <si>
    <t>その他物販</t>
  </si>
  <si>
    <t>ホテル・旅館</t>
  </si>
  <si>
    <t>学校等</t>
    <rPh sb="0" eb="2">
      <t>ガッコウ</t>
    </rPh>
    <rPh sb="2" eb="3">
      <t>トウ</t>
    </rPh>
    <phoneticPr fontId="21"/>
  </si>
  <si>
    <t>幼稚園・保育園</t>
  </si>
  <si>
    <t>小・中学校</t>
  </si>
  <si>
    <t>北海道</t>
    <rPh sb="0" eb="3">
      <t>ホッカイドウ</t>
    </rPh>
    <phoneticPr fontId="21"/>
  </si>
  <si>
    <t>高校</t>
  </si>
  <si>
    <t>大学・専門学校</t>
  </si>
  <si>
    <t>集会所等</t>
    <rPh sb="0" eb="3">
      <t>シュウカイジョ</t>
    </rPh>
    <rPh sb="3" eb="4">
      <t>トウ</t>
    </rPh>
    <phoneticPr fontId="21"/>
  </si>
  <si>
    <t>劇場・ホール</t>
  </si>
  <si>
    <t>展示施設</t>
  </si>
  <si>
    <t>スポーツ施設</t>
  </si>
  <si>
    <t>エネルギー種別一次エネルギー構成比率</t>
    <rPh sb="5" eb="7">
      <t>シュベツ</t>
    </rPh>
    <rPh sb="7" eb="9">
      <t>イチジ</t>
    </rPh>
    <rPh sb="14" eb="16">
      <t>コウセイ</t>
    </rPh>
    <rPh sb="16" eb="18">
      <t>ヒリツ</t>
    </rPh>
    <phoneticPr fontId="4"/>
  </si>
  <si>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</si>
  <si>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</si>
  <si>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</si>
  <si>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</si>
  <si>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</si>
  <si>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</si>
  <si>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</si>
  <si>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t>
  </si>
  <si>
    <t>※集合住宅は灯油</t>
    <rPh sb="1" eb="3">
      <t>シュウゴウ</t>
    </rPh>
    <rPh sb="3" eb="5">
      <t>ジュウタク</t>
    </rPh>
    <rPh sb="6" eb="8">
      <t>トウユ</t>
    </rPh>
    <phoneticPr fontId="21"/>
  </si>
  <si>
    <t>設備の方式</t>
  </si>
  <si>
    <t>地域区分</t>
  </si>
  <si>
    <t>暖房</t>
  </si>
  <si>
    <t>冷房</t>
  </si>
  <si>
    <t>ａ</t>
  </si>
  <si>
    <t>レベル１</t>
  </si>
  <si>
    <t>Ａ</t>
  </si>
  <si>
    <t>ｂ</t>
  </si>
  <si>
    <t>Ｂ</t>
  </si>
  <si>
    <t>Ｃ</t>
  </si>
  <si>
    <t>専有部</t>
    <rPh sb="0" eb="2">
      <t>センユウ</t>
    </rPh>
    <rPh sb="2" eb="3">
      <t>ブ</t>
    </rPh>
    <phoneticPr fontId="21"/>
  </si>
  <si>
    <t>評価建物</t>
    <rPh sb="0" eb="2">
      <t>ヒョウカ</t>
    </rPh>
    <rPh sb="2" eb="4">
      <t>タテモノ</t>
    </rPh>
    <phoneticPr fontId="21"/>
  </si>
  <si>
    <t>暖房方式</t>
    <rPh sb="0" eb="2">
      <t>ダンボウ</t>
    </rPh>
    <rPh sb="2" eb="4">
      <t>ホウシキ</t>
    </rPh>
    <phoneticPr fontId="21"/>
  </si>
  <si>
    <t>冷房方式</t>
    <rPh sb="0" eb="2">
      <t>レイボウ</t>
    </rPh>
    <rPh sb="2" eb="4">
      <t>ホウシキ</t>
    </rPh>
    <phoneticPr fontId="21"/>
  </si>
  <si>
    <t>上記を満たさない場合はレベル１</t>
    <rPh sb="0" eb="2">
      <t>ジョウキ</t>
    </rPh>
    <rPh sb="3" eb="4">
      <t>ミ</t>
    </rPh>
    <rPh sb="8" eb="10">
      <t>バアイ</t>
    </rPh>
    <phoneticPr fontId="21"/>
  </si>
  <si>
    <t>CO2換算係数</t>
    <rPh sb="3" eb="5">
      <t>カンサン</t>
    </rPh>
    <rPh sb="5" eb="7">
      <t>ケイスウ</t>
    </rPh>
    <phoneticPr fontId="21"/>
  </si>
  <si>
    <t>㎡</t>
  </si>
  <si>
    <t>－</t>
    <phoneticPr fontId="21"/>
  </si>
  <si>
    <t xml:space="preserve">                     高校</t>
    <phoneticPr fontId="21"/>
  </si>
  <si>
    <t xml:space="preserve">         大学・専門学校</t>
    <phoneticPr fontId="21"/>
  </si>
  <si>
    <t>官公庁</t>
    <phoneticPr fontId="21"/>
  </si>
  <si>
    <t>その他物販</t>
    <phoneticPr fontId="21"/>
  </si>
  <si>
    <t>展示施設</t>
    <phoneticPr fontId="21"/>
  </si>
  <si>
    <t>スポーツ施設</t>
    <phoneticPr fontId="21"/>
  </si>
  <si>
    <t>㎡</t>
    <phoneticPr fontId="21"/>
  </si>
  <si>
    <t>小・中学校 (北海道以外）</t>
    <rPh sb="0" eb="1">
      <t>ショウ</t>
    </rPh>
    <rPh sb="2" eb="5">
      <t>チュウガッコウ</t>
    </rPh>
    <rPh sb="7" eb="10">
      <t>ホッカイドウ</t>
    </rPh>
    <rPh sb="10" eb="12">
      <t>イガイ</t>
    </rPh>
    <phoneticPr fontId="21"/>
  </si>
  <si>
    <t xml:space="preserve">                   共用部</t>
    <rPh sb="19" eb="21">
      <t>キョウヨウ</t>
    </rPh>
    <rPh sb="21" eb="22">
      <t>ブ</t>
    </rPh>
    <phoneticPr fontId="21"/>
  </si>
  <si>
    <t>㎡       幼稚園・保育園</t>
    <phoneticPr fontId="21"/>
  </si>
  <si>
    <t>㎡                  事務所</t>
    <phoneticPr fontId="21"/>
  </si>
  <si>
    <t>㎡   デパート・スーパー</t>
    <phoneticPr fontId="21"/>
  </si>
  <si>
    <t>㎡          劇場・ホール</t>
    <phoneticPr fontId="21"/>
  </si>
  <si>
    <t>㎡                  専用部</t>
    <rPh sb="19" eb="21">
      <t>センヨウ</t>
    </rPh>
    <rPh sb="21" eb="22">
      <t>ブ</t>
    </rPh>
    <phoneticPr fontId="21"/>
  </si>
  <si>
    <t>自然換気性能</t>
    <rPh sb="0" eb="2">
      <t>シゼン</t>
    </rPh>
    <rPh sb="2" eb="4">
      <t>カンキ</t>
    </rPh>
    <rPh sb="4" eb="6">
      <t>セイノウ</t>
    </rPh>
    <phoneticPr fontId="21"/>
  </si>
  <si>
    <t>取り入れ外気への配慮</t>
    <rPh sb="0" eb="1">
      <t>ト</t>
    </rPh>
    <rPh sb="2" eb="3">
      <t>イ</t>
    </rPh>
    <rPh sb="4" eb="6">
      <t>ガイキ</t>
    </rPh>
    <rPh sb="8" eb="10">
      <t>ハイリョ</t>
    </rPh>
    <phoneticPr fontId="21"/>
  </si>
  <si>
    <t>給気計画</t>
    <rPh sb="0" eb="1">
      <t>キュウ</t>
    </rPh>
    <rPh sb="1" eb="2">
      <t>キ</t>
    </rPh>
    <rPh sb="2" eb="4">
      <t>ケイカク</t>
    </rPh>
    <phoneticPr fontId="21"/>
  </si>
  <si>
    <t>運用管理</t>
    <rPh sb="0" eb="2">
      <t>ウンヨウ</t>
    </rPh>
    <rPh sb="2" eb="4">
      <t>カンリ</t>
    </rPh>
    <phoneticPr fontId="21"/>
  </si>
  <si>
    <r>
      <t>CO</t>
    </r>
    <r>
      <rPr>
        <vertAlign val="subscript"/>
        <sz val="10"/>
        <rFont val="ＭＳ Ｐゴシック"/>
        <family val="3"/>
        <charset val="128"/>
      </rPr>
      <t>2</t>
    </r>
    <r>
      <rPr>
        <sz val="10"/>
        <rFont val="ＭＳ Ｐゴシック"/>
        <family val="3"/>
        <charset val="128"/>
      </rPr>
      <t>の監視</t>
    </r>
    <rPh sb="4" eb="6">
      <t>カンシ</t>
    </rPh>
    <phoneticPr fontId="21"/>
  </si>
  <si>
    <t>喫煙の制御</t>
    <rPh sb="0" eb="2">
      <t>キツエン</t>
    </rPh>
    <rPh sb="3" eb="5">
      <t>セイギョ</t>
    </rPh>
    <phoneticPr fontId="21"/>
  </si>
  <si>
    <t>機能性</t>
    <rPh sb="0" eb="3">
      <t>ｷﾉｳｾｲ</t>
    </rPh>
    <phoneticPr fontId="34" type="noConversion"/>
  </si>
  <si>
    <t>機能性・使いやすさ</t>
    <rPh sb="0" eb="3">
      <t>キノウセイ</t>
    </rPh>
    <rPh sb="4" eb="5">
      <t>ツカ</t>
    </rPh>
    <phoneticPr fontId="21"/>
  </si>
  <si>
    <t>3.2　換気設備</t>
    <rPh sb="4" eb="6">
      <t>カンキ</t>
    </rPh>
    <rPh sb="6" eb="8">
      <t>セツビ</t>
    </rPh>
    <phoneticPr fontId="21"/>
  </si>
  <si>
    <t>3.3　照明設備</t>
    <rPh sb="4" eb="6">
      <t>ショウメイ</t>
    </rPh>
    <rPh sb="6" eb="8">
      <t>セツビ</t>
    </rPh>
    <phoneticPr fontId="21"/>
  </si>
  <si>
    <t>Hf(高周波点灯専用型）が採用されている。</t>
    <rPh sb="13" eb="15">
      <t>サイヨウ</t>
    </rPh>
    <phoneticPr fontId="2"/>
  </si>
  <si>
    <t>3.4　給湯設備</t>
    <rPh sb="4" eb="6">
      <t>キュウトウ</t>
    </rPh>
    <rPh sb="6" eb="8">
      <t>セツビ</t>
    </rPh>
    <phoneticPr fontId="21"/>
  </si>
  <si>
    <t>3.5　昇降機設備</t>
    <rPh sb="4" eb="7">
      <t>ショウコウキ</t>
    </rPh>
    <rPh sb="7" eb="9">
      <t>セツビ</t>
    </rPh>
    <phoneticPr fontId="21"/>
  </si>
  <si>
    <t>塗膜防水の塗料</t>
    <rPh sb="0" eb="1">
      <t>ヌ</t>
    </rPh>
    <rPh sb="1" eb="2">
      <t>マク</t>
    </rPh>
    <rPh sb="2" eb="4">
      <t>ボウスイ</t>
    </rPh>
    <rPh sb="5" eb="7">
      <t>トリョウ</t>
    </rPh>
    <phoneticPr fontId="21"/>
  </si>
  <si>
    <t>塗料</t>
    <rPh sb="0" eb="2">
      <t>トリョウ</t>
    </rPh>
    <phoneticPr fontId="21"/>
  </si>
  <si>
    <t>建具塗装（木製・金属製）</t>
    <rPh sb="0" eb="2">
      <t>タテグ</t>
    </rPh>
    <rPh sb="2" eb="4">
      <t>トソウ</t>
    </rPh>
    <rPh sb="5" eb="7">
      <t>モクセイ</t>
    </rPh>
    <rPh sb="8" eb="11">
      <t>キンゾクセイ</t>
    </rPh>
    <phoneticPr fontId="21"/>
  </si>
  <si>
    <t>木部塗装（巾木・廻り縁など）</t>
    <rPh sb="0" eb="2">
      <t>モクブ</t>
    </rPh>
    <rPh sb="2" eb="4">
      <t>トソウ</t>
    </rPh>
    <rPh sb="5" eb="6">
      <t>ハバ</t>
    </rPh>
    <rPh sb="6" eb="7">
      <t>キ</t>
    </rPh>
    <rPh sb="8" eb="9">
      <t>マワ</t>
    </rPh>
    <rPh sb="10" eb="11">
      <t>ブチ</t>
    </rPh>
    <phoneticPr fontId="21"/>
  </si>
  <si>
    <t>構造体の塗装</t>
    <rPh sb="0" eb="3">
      <t>コウゾウタイ</t>
    </rPh>
    <rPh sb="4" eb="6">
      <t>トソウ</t>
    </rPh>
    <phoneticPr fontId="21"/>
  </si>
  <si>
    <t>壁塗装</t>
    <rPh sb="0" eb="1">
      <t>カベ</t>
    </rPh>
    <rPh sb="1" eb="3">
      <t>トソウ</t>
    </rPh>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</si>
  <si>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を上回っている</t>
    </r>
    <phoneticPr fontId="21"/>
  </si>
  <si>
    <t>レベル３</t>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</si>
  <si>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以下に抑えられている</t>
    </r>
    <phoneticPr fontId="21"/>
  </si>
  <si>
    <t>LR-3 敷地外環境</t>
    <rPh sb="5" eb="7">
      <t>シキチ</t>
    </rPh>
    <rPh sb="7" eb="8">
      <t>ガイ</t>
    </rPh>
    <rPh sb="8" eb="10">
      <t>カンキョウ</t>
    </rPh>
    <phoneticPr fontId="21"/>
  </si>
  <si>
    <t>熱負荷抑制</t>
    <rPh sb="0" eb="1">
      <t>ネツ</t>
    </rPh>
    <rPh sb="1" eb="3">
      <t>フカ</t>
    </rPh>
    <rPh sb="3" eb="5">
      <t>ヨクセイ</t>
    </rPh>
    <phoneticPr fontId="21"/>
  </si>
  <si>
    <t>水資源</t>
    <rPh sb="0" eb="1">
      <t>ミズ</t>
    </rPh>
    <rPh sb="1" eb="3">
      <t>シゲン</t>
    </rPh>
    <phoneticPr fontId="21"/>
  </si>
  <si>
    <t>LR2</t>
    <phoneticPr fontId="21"/>
  </si>
  <si>
    <t>昼光の建物外壁による反射光（グレア）への対策</t>
    <rPh sb="0" eb="1">
      <t>ﾋﾙ</t>
    </rPh>
    <rPh sb="1" eb="2">
      <t>ﾋｶﾘ</t>
    </rPh>
    <rPh sb="3" eb="5">
      <t>ﾀﾃﾓﾉ</t>
    </rPh>
    <rPh sb="5" eb="7">
      <t>ｶﾞｲﾍｷ</t>
    </rPh>
    <rPh sb="10" eb="13">
      <t>ﾊﾝｼｬｺｳ</t>
    </rPh>
    <rPh sb="20" eb="22">
      <t>ﾀｲｻｸ</t>
    </rPh>
    <phoneticPr fontId="34"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</si>
  <si>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1"/>
  </si>
  <si>
    <t>評価対象</t>
    <rPh sb="0" eb="2">
      <t>ヒョウカ</t>
    </rPh>
    <rPh sb="2" eb="4">
      <t>タイショウ</t>
    </rPh>
    <phoneticPr fontId="21"/>
  </si>
  <si>
    <t>参照値</t>
    <rPh sb="0" eb="2">
      <t>サンショウ</t>
    </rPh>
    <rPh sb="2" eb="3">
      <t>チ</t>
    </rPh>
    <phoneticPr fontId="21"/>
  </si>
  <si>
    <t>LR2/2.3 躯体材料におけるﾘｻｲｸﾙ材（高炉セメント）</t>
    <rPh sb="8" eb="10">
      <t>クタイ</t>
    </rPh>
    <rPh sb="10" eb="12">
      <t>ザイリョウ</t>
    </rPh>
    <rPh sb="21" eb="22">
      <t>ザイ</t>
    </rPh>
    <rPh sb="23" eb="25">
      <t>コウロ</t>
    </rPh>
    <phoneticPr fontId="21"/>
  </si>
  <si>
    <t>1-2.　合計の計算</t>
    <rPh sb="5" eb="7">
      <t>ゴウケイ</t>
    </rPh>
    <rPh sb="8" eb="10">
      <t>ケイサン</t>
    </rPh>
    <phoneticPr fontId="21"/>
  </si>
  <si>
    <t>建物寿命</t>
    <rPh sb="0" eb="2">
      <t>タテモノ</t>
    </rPh>
    <rPh sb="2" eb="4">
      <t>ジュミョウ</t>
    </rPh>
    <phoneticPr fontId="21"/>
  </si>
  <si>
    <t>代表的な資材量</t>
    <rPh sb="0" eb="3">
      <t>ダイヒョウテキ</t>
    </rPh>
    <rPh sb="4" eb="6">
      <t>シザイ</t>
    </rPh>
    <rPh sb="6" eb="7">
      <t>リョウ</t>
    </rPh>
    <phoneticPr fontId="21"/>
  </si>
  <si>
    <t>LR2/2.2 既存建築躯体</t>
    <rPh sb="8" eb="10">
      <t>キソン</t>
    </rPh>
    <rPh sb="10" eb="12">
      <t>ケンチク</t>
    </rPh>
    <rPh sb="12" eb="14">
      <t>クタイ</t>
    </rPh>
    <phoneticPr fontId="21"/>
  </si>
  <si>
    <t>LR2/2.3 ﾘｻｲｸﾙ材（高炉セメント）</t>
    <rPh sb="13" eb="14">
      <t>ザイ</t>
    </rPh>
    <rPh sb="15" eb="17">
      <t>コウロ</t>
    </rPh>
    <phoneticPr fontId="21"/>
  </si>
  <si>
    <t>普通コンクリート</t>
    <rPh sb="0" eb="2">
      <t>フツウ</t>
    </rPh>
    <phoneticPr fontId="21"/>
  </si>
  <si>
    <t>ｍ3/㎡</t>
  </si>
  <si>
    <t>高炉セメントコンクリート</t>
    <rPh sb="0" eb="2">
      <t>コウロ</t>
    </rPh>
    <phoneticPr fontId="21"/>
  </si>
  <si>
    <t>鉄　骨</t>
    <rPh sb="0" eb="1">
      <t>テツ</t>
    </rPh>
    <rPh sb="2" eb="3">
      <t>ホネ</t>
    </rPh>
    <phoneticPr fontId="21"/>
  </si>
  <si>
    <t>ｔ/㎡</t>
  </si>
  <si>
    <t>鉄骨 (電炉）</t>
    <rPh sb="0" eb="1">
      <t>テツ</t>
    </rPh>
    <rPh sb="1" eb="2">
      <t>ホネ</t>
    </rPh>
    <rPh sb="4" eb="6">
      <t>デンロ</t>
    </rPh>
    <phoneticPr fontId="21"/>
  </si>
  <si>
    <t>鉄　筋</t>
    <rPh sb="0" eb="1">
      <t>テツ</t>
    </rPh>
    <rPh sb="2" eb="3">
      <t>スジ</t>
    </rPh>
    <phoneticPr fontId="21"/>
  </si>
  <si>
    <t>㎡</t>
    <phoneticPr fontId="21"/>
  </si>
  <si>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1"/>
  </si>
  <si>
    <t>ERRへの換算</t>
    <rPh sb="5" eb="7">
      <t>カンサン</t>
    </rPh>
    <phoneticPr fontId="21"/>
  </si>
  <si>
    <t>◇算定省令に基づく電気事業者ごとの実排出係数及び代替値</t>
    <phoneticPr fontId="21"/>
  </si>
  <si>
    <t>ｔ-CO2/kWh</t>
    <phoneticPr fontId="21"/>
  </si>
  <si>
    <t xml:space="preserve"> [1]実排出係数 </t>
    <phoneticPr fontId="21"/>
  </si>
  <si>
    <t>排出係数</t>
    <phoneticPr fontId="21"/>
  </si>
  <si>
    <t>N.A.</t>
    <phoneticPr fontId="21"/>
  </si>
  <si>
    <t>(t-CO2/kWh)</t>
    <phoneticPr fontId="21"/>
  </si>
  <si>
    <t>　　①</t>
    <phoneticPr fontId="21"/>
  </si>
  <si>
    <t>電気事業者（一般電気事業者及び特定規模電気事業者（PPS））から供給された電気</t>
    <phoneticPr fontId="21"/>
  </si>
  <si>
    <t>排出係数</t>
    <phoneticPr fontId="21"/>
  </si>
  <si>
    <t>　　②</t>
    <phoneticPr fontId="21"/>
  </si>
  <si>
    <t>　　③</t>
    <phoneticPr fontId="21"/>
  </si>
  <si>
    <t>代替値</t>
    <phoneticPr fontId="21"/>
  </si>
  <si>
    <t>(t-CO2/kWh)</t>
    <phoneticPr fontId="21"/>
  </si>
  <si>
    <t>　（３）上記以外の場合</t>
    <phoneticPr fontId="21"/>
  </si>
  <si>
    <t>SQ</t>
    <phoneticPr fontId="21"/>
  </si>
  <si>
    <t>background</t>
    <phoneticPr fontId="21"/>
  </si>
  <si>
    <t>Score(RoundDown)</t>
    <phoneticPr fontId="21"/>
  </si>
  <si>
    <t>std</t>
    <phoneticPr fontId="21"/>
  </si>
  <si>
    <t>SLR</t>
    <phoneticPr fontId="21"/>
  </si>
  <si>
    <t>Q2</t>
    <phoneticPr fontId="21"/>
  </si>
  <si>
    <t>全般照明方式の場合で室内にやや不快に感じる程度の暗い部分がある。</t>
    <phoneticPr fontId="21"/>
  </si>
  <si>
    <t>全般照明方式の場合で室内にほとんど暗い部分がない。</t>
    <phoneticPr fontId="21"/>
  </si>
  <si>
    <t>病</t>
    <phoneticPr fontId="21"/>
  </si>
  <si>
    <t>照明制御ができない。</t>
    <phoneticPr fontId="21"/>
  </si>
  <si>
    <t>執務者・売り場等について複数単位の大まかな照明制御ができる。</t>
    <phoneticPr fontId="21"/>
  </si>
  <si>
    <t>明るさや学習形態に応じた制御区画ではない。</t>
    <phoneticPr fontId="21"/>
  </si>
  <si>
    <t>照明制御ができない。</t>
    <phoneticPr fontId="21"/>
  </si>
  <si>
    <t>病(診)</t>
    <rPh sb="0" eb="1">
      <t>ビョウ</t>
    </rPh>
    <rPh sb="2" eb="3">
      <t>ミ</t>
    </rPh>
    <phoneticPr fontId="21"/>
  </si>
  <si>
    <r>
      <t xml:space="preserve">2.3.1 </t>
    </r>
    <r>
      <rPr>
        <b/>
        <sz val="10"/>
        <rFont val="ＭＳ Ｐゴシック"/>
        <family val="3"/>
        <charset val="128"/>
      </rPr>
      <t>上下温度差</t>
    </r>
    <rPh sb="6" eb="8">
      <t>ジョウゲ</t>
    </rPh>
    <rPh sb="8" eb="11">
      <t>オンドサ</t>
    </rPh>
    <phoneticPr fontId="21"/>
  </si>
  <si>
    <r>
      <t xml:space="preserve">2.3.2 </t>
    </r>
    <r>
      <rPr>
        <b/>
        <sz val="10"/>
        <rFont val="ＭＳ Ｐゴシック"/>
        <family val="3"/>
        <charset val="128"/>
      </rPr>
      <t>平均気流速度</t>
    </r>
    <rPh sb="6" eb="8">
      <t>ヘイキン</t>
    </rPh>
    <rPh sb="8" eb="10">
      <t>キリュウ</t>
    </rPh>
    <rPh sb="10" eb="12">
      <t>ソクド</t>
    </rPh>
    <phoneticPr fontId="21"/>
  </si>
  <si>
    <t>事・学・物・飲・会・病（待・診）・ホ・工・住</t>
    <rPh sb="0" eb="1">
      <t>コト</t>
    </rPh>
    <rPh sb="2" eb="3">
      <t>ガク</t>
    </rPh>
    <rPh sb="4" eb="5">
      <t>モノ</t>
    </rPh>
    <rPh sb="6" eb="7">
      <t>イン</t>
    </rPh>
    <rPh sb="8" eb="9">
      <t>カイ</t>
    </rPh>
    <rPh sb="10" eb="11">
      <t>ヤマイ</t>
    </rPh>
    <rPh sb="21" eb="22">
      <t>ジュウ</t>
    </rPh>
    <phoneticPr fontId="21"/>
  </si>
  <si>
    <t>0.45ｍ/ｓ＜ [平均気流速度]</t>
  </si>
  <si>
    <t>0.35ｍ/ｓ＜ [平均気流速度] ≦0.45ｍ/ｓ</t>
  </si>
  <si>
    <t>0.25ｍ/ｓ＜ [平均気流速度] ≦0.35ｍ/ｓ</t>
  </si>
  <si>
    <t>0.15ｍ/ｓ＜ [平均気流速度] ≦0.25ｍ/ｓ</t>
  </si>
  <si>
    <t>[上下温度差] ≦2℃</t>
  </si>
  <si>
    <t>[平均気流速度] ≦0.15ｍ/ｓ</t>
  </si>
  <si>
    <r>
      <t>3.2.2</t>
    </r>
    <r>
      <rPr>
        <b/>
        <sz val="10"/>
        <rFont val="ＭＳ Ｐゴシック"/>
        <family val="3"/>
        <charset val="128"/>
      </rPr>
      <t>　砂塵の抑制</t>
    </r>
    <rPh sb="6" eb="8">
      <t>サジン</t>
    </rPh>
    <rPh sb="9" eb="11">
      <t>ヨクセイ</t>
    </rPh>
    <phoneticPr fontId="21"/>
  </si>
  <si>
    <t>学(小中高)</t>
    <rPh sb="2" eb="5">
      <t>ショウチュウコウ</t>
    </rPh>
    <phoneticPr fontId="21"/>
  </si>
  <si>
    <t>（評価ポイント　0）</t>
  </si>
  <si>
    <t>3）校庭を砂塵が発生しない舗装または芝生としている。</t>
  </si>
  <si>
    <r>
      <t xml:space="preserve">3.2.3 </t>
    </r>
    <r>
      <rPr>
        <b/>
        <sz val="10"/>
        <rFont val="ＭＳ Ｐゴシック"/>
        <family val="3"/>
        <charset val="128"/>
      </rPr>
      <t>日照阻害の抑制</t>
    </r>
    <rPh sb="6" eb="8">
      <t>ニッショウ</t>
    </rPh>
    <phoneticPr fontId="21"/>
  </si>
  <si>
    <t>光害の抑制</t>
    <rPh sb="0" eb="1">
      <t>ヒカリ</t>
    </rPh>
    <rPh sb="1" eb="2">
      <t>ガイ</t>
    </rPh>
    <rPh sb="3" eb="5">
      <t>ヨクセイ</t>
    </rPh>
    <phoneticPr fontId="21"/>
  </si>
  <si>
    <t>1)　屋外照明および屋内照明のうち外に漏れる光</t>
  </si>
  <si>
    <t>配管からの騒音（透過騒音）</t>
    <rPh sb="0" eb="2">
      <t>ハイカン</t>
    </rPh>
    <rPh sb="5" eb="7">
      <t>ソウオン</t>
    </rPh>
    <rPh sb="8" eb="10">
      <t>トウカ</t>
    </rPh>
    <rPh sb="10" eb="12">
      <t>ソウオン</t>
    </rPh>
    <phoneticPr fontId="21"/>
  </si>
  <si>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1"/>
  </si>
  <si>
    <t>学・物・飲・会</t>
    <rPh sb="0" eb="1">
      <t>ガク</t>
    </rPh>
    <rPh sb="2" eb="3">
      <t>ブツ</t>
    </rPh>
    <rPh sb="4" eb="5">
      <t>イン</t>
    </rPh>
    <rPh sb="6" eb="7">
      <t>カイ</t>
    </rPh>
    <phoneticPr fontId="21"/>
  </si>
  <si>
    <t>急激な負荷変動に対する考慮は特にしていない。</t>
  </si>
  <si>
    <t>食堂</t>
    <rPh sb="0" eb="2">
      <t>ショクドウ</t>
    </rPh>
    <phoneticPr fontId="21"/>
  </si>
  <si>
    <r>
      <t xml:space="preserve">1.1.2 </t>
    </r>
    <r>
      <rPr>
        <b/>
        <sz val="10"/>
        <rFont val="ＭＳ Ｐゴシック"/>
        <family val="3"/>
        <charset val="128"/>
      </rPr>
      <t>設備騒音対策</t>
    </r>
    <rPh sb="6" eb="8">
      <t>セツビ</t>
    </rPh>
    <rPh sb="8" eb="10">
      <t>ソウオン</t>
    </rPh>
    <rPh sb="10" eb="11">
      <t>タイ</t>
    </rPh>
    <rPh sb="11" eb="12">
      <t>サク</t>
    </rPh>
    <phoneticPr fontId="21"/>
  </si>
  <si>
    <t>建物全体・共用部分</t>
    <phoneticPr fontId="21"/>
  </si>
  <si>
    <t>住</t>
  </si>
  <si>
    <t>同上（固体伝播音）</t>
    <rPh sb="0" eb="2">
      <t>ドウジョウ</t>
    </rPh>
    <rPh sb="3" eb="5">
      <t>コタイ</t>
    </rPh>
    <rPh sb="5" eb="7">
      <t>デンパン</t>
    </rPh>
    <rPh sb="7" eb="8">
      <t>オン</t>
    </rPh>
    <phoneticPr fontId="21"/>
  </si>
  <si>
    <t>ビルマルチエアコン室内機等からの騒音</t>
    <rPh sb="9" eb="12">
      <t>シツナイキ</t>
    </rPh>
    <rPh sb="12" eb="13">
      <t>トウ</t>
    </rPh>
    <rPh sb="16" eb="18">
      <t>ソウオン</t>
    </rPh>
    <phoneticPr fontId="21"/>
  </si>
  <si>
    <t>低騒音タイプの機器の採用など</t>
    <rPh sb="0" eb="3">
      <t>テイソウオン</t>
    </rPh>
    <rPh sb="7" eb="9">
      <t>キキ</t>
    </rPh>
    <rPh sb="10" eb="12">
      <t>サイヨウ</t>
    </rPh>
    <phoneticPr fontId="21"/>
  </si>
  <si>
    <t>１～７地域</t>
    <rPh sb="3" eb="5">
      <t>チイキ</t>
    </rPh>
    <phoneticPr fontId="21"/>
  </si>
  <si>
    <t>1～7地域</t>
    <rPh sb="3" eb="5">
      <t>チイキ</t>
    </rPh>
    <phoneticPr fontId="21"/>
  </si>
  <si>
    <t>レベル</t>
    <phoneticPr fontId="21"/>
  </si>
  <si>
    <t>BPI</t>
    <phoneticPr fontId="21"/>
  </si>
  <si>
    <t>比率</t>
    <rPh sb="0" eb="2">
      <t>ヒリツ</t>
    </rPh>
    <phoneticPr fontId="21"/>
  </si>
  <si>
    <t>（該当するレベルなし）</t>
    <rPh sb="1" eb="3">
      <t>ガイトウ</t>
    </rPh>
    <phoneticPr fontId="21"/>
  </si>
  <si>
    <t>レベル1: [BPI] ≧ 1.03</t>
  </si>
  <si>
    <t>レベル2: [BPI] ＝ 1.00</t>
  </si>
  <si>
    <t>レベル3: [BPI] ＝ 0.97</t>
  </si>
  <si>
    <t>レベル4: [BPI] ＝ 0.90</t>
  </si>
  <si>
    <t>レベル5: [BPI] ≦ 0.80</t>
  </si>
  <si>
    <t>レベル1: [BPI] ≧ 1.03</t>
    <phoneticPr fontId="21"/>
  </si>
  <si>
    <t>レベル4: [BPI] ＝ 0.93</t>
    <phoneticPr fontId="21"/>
  </si>
  <si>
    <t>レベル5: [BPI] ≦ 0.85</t>
    <phoneticPr fontId="21"/>
  </si>
  <si>
    <t>自然エネルギーの利用</t>
    <rPh sb="0" eb="2">
      <t>シゼン</t>
    </rPh>
    <rPh sb="8" eb="10">
      <t>リヨウ</t>
    </rPh>
    <rPh sb="9" eb="10">
      <t>チョクリ</t>
    </rPh>
    <phoneticPr fontId="21"/>
  </si>
  <si>
    <t>1MJ/㎡・年≦　[利用量]　＜15MJ/㎡･年</t>
  </si>
  <si>
    <t>15MJ/㎡・年≦　[利用量]</t>
  </si>
  <si>
    <t>レベル1:   [BEI値]　≧　1.10</t>
  </si>
  <si>
    <t>レベル2:   [BEI値]　＝　1.05</t>
  </si>
  <si>
    <t>レベル3:   [BEI値]　＝　1.00</t>
  </si>
  <si>
    <t>レベル4:   [BEI値]　＝　0.90</t>
  </si>
  <si>
    <t>レベル5:   [BEI値]　≦　0.70</t>
  </si>
  <si>
    <t>事・学・物・飲・会・病(待)・ホ・工・住</t>
    <rPh sb="12" eb="13">
      <t>マ</t>
    </rPh>
    <rPh sb="19" eb="20">
      <t>ジュウ</t>
    </rPh>
    <phoneticPr fontId="21"/>
  </si>
  <si>
    <t>事・学・物・飲・会・病・ホ・工</t>
    <rPh sb="0" eb="1">
      <t>コト</t>
    </rPh>
    <rPh sb="2" eb="3">
      <t>ガク</t>
    </rPh>
    <rPh sb="4" eb="5">
      <t>モノ</t>
    </rPh>
    <rPh sb="6" eb="7">
      <t>イン</t>
    </rPh>
    <rPh sb="8" eb="9">
      <t>カイ</t>
    </rPh>
    <rPh sb="10" eb="11">
      <t>ヤマイ</t>
    </rPh>
    <rPh sb="14" eb="15">
      <t>コウ</t>
    </rPh>
    <phoneticPr fontId="21"/>
  </si>
  <si>
    <t>評価項目</t>
    <phoneticPr fontId="21"/>
  </si>
  <si>
    <t>評価ポイント</t>
    <phoneticPr fontId="21"/>
  </si>
  <si>
    <t>1～2</t>
    <phoneticPr fontId="21"/>
  </si>
  <si>
    <t>LR2 3.2</t>
  </si>
  <si>
    <t>発泡剤（断熱材等）</t>
  </si>
  <si>
    <t>冷媒</t>
  </si>
  <si>
    <t>LR3 2</t>
  </si>
  <si>
    <t>LR3 2.3</t>
  </si>
  <si>
    <t>LR3 3</t>
  </si>
  <si>
    <t>LR3 3.1</t>
  </si>
  <si>
    <t>振動</t>
    <rPh sb="0" eb="2">
      <t>ｼﾝﾄﾞｳ</t>
    </rPh>
    <phoneticPr fontId="34" type="noConversion"/>
  </si>
  <si>
    <t>　レベル　1</t>
    <phoneticPr fontId="21"/>
  </si>
  <si>
    <t>隣棟間隔指標Rwが
　・0.3以上0.4未満の場合(1ポイント)
　・0.4以上0.5未満の場合(2ポイント)
　・0.5以上の場合(3ポイント)</t>
    <phoneticPr fontId="21"/>
  </si>
  <si>
    <t>地表面対策面積率が
　・15％以上30％未満の場合(1ポイント)
　・30％以上45％未満の場合(2ポイント)
　・45％以上の場合(3ポイント)</t>
    <phoneticPr fontId="21"/>
  </si>
  <si>
    <t>屋根面対策面積率が
　・20％未満の場合(1ポイント)
　・20％以上40％未満の場合(2ポイント)
　・40％以上の場合(3ポイント)</t>
    <phoneticPr fontId="21"/>
  </si>
  <si>
    <t>外壁面対策面積率が
　・10％未満の場合(1ポイント)
　・10％以上20％未満の場合(2ポイント)
　・20％以上の場合(3ポイント)</t>
    <phoneticPr fontId="21"/>
  </si>
  <si>
    <t>「LR1エネルギー」のスコア(評価結果)が
　・3.0以上4.0未満(1ポイント)
　・4.0以上4.5未満(2ポイント)
　・4.5以上(3ポイント)</t>
    <phoneticPr fontId="21"/>
  </si>
  <si>
    <t>式修正</t>
    <rPh sb="0" eb="1">
      <t>シキ</t>
    </rPh>
    <rPh sb="1" eb="3">
      <t>シュウセイ</t>
    </rPh>
    <phoneticPr fontId="21"/>
  </si>
  <si>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</si>
  <si>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</si>
  <si>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</si>
  <si>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</si>
  <si>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</si>
  <si>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</si>
  <si>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</si>
  <si>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</si>
  <si>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</si>
  <si>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</si>
  <si>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</si>
  <si>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</si>
  <si>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</si>
  <si>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</si>
  <si>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</si>
  <si>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</si>
  <si>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</si>
  <si>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</si>
  <si>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</si>
  <si>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</si>
  <si>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</si>
  <si>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</si>
  <si>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</si>
  <si>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</si>
  <si>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</si>
  <si>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</si>
  <si>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</si>
  <si>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</si>
  <si>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</si>
  <si>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</si>
  <si>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</si>
  <si>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</si>
  <si>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</si>
  <si>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</si>
  <si>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1"/>
  </si>
  <si>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</si>
  <si>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</si>
  <si>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</si>
  <si>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</si>
  <si>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</si>
  <si>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</si>
  <si>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</si>
  <si>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</si>
  <si>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1"/>
  </si>
  <si>
    <t>事・学・物・飲・会・病・ホ・工</t>
    <rPh sb="14" eb="15">
      <t>コウ</t>
    </rPh>
    <phoneticPr fontId="21"/>
  </si>
  <si>
    <t>敷地内温熱環境の向上</t>
    <phoneticPr fontId="21"/>
  </si>
  <si>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1"/>
  </si>
  <si>
    <t>注2：</t>
    <rPh sb="0" eb="1">
      <t>チュウ</t>
    </rPh>
    <phoneticPr fontId="21"/>
  </si>
  <si>
    <t>注3：</t>
    <rPh sb="0" eb="1">
      <t>チュウ</t>
    </rPh>
    <phoneticPr fontId="21"/>
  </si>
  <si>
    <t>欄に数値またはコメントを記入</t>
    <rPh sb="0" eb="1">
      <t>ラン</t>
    </rPh>
    <rPh sb="2" eb="4">
      <t>スウチ</t>
    </rPh>
    <rPh sb="12" eb="14">
      <t>キニュウ</t>
    </rPh>
    <phoneticPr fontId="21"/>
  </si>
  <si>
    <t>■評価ソフト：</t>
    <rPh sb="1" eb="3">
      <t>ヒョウカ</t>
    </rPh>
    <phoneticPr fontId="21"/>
  </si>
  <si>
    <t>スコアシート</t>
    <phoneticPr fontId="34" type="noConversion"/>
  </si>
  <si>
    <t>解説シートの
採点結果</t>
    <rPh sb="0" eb="2">
      <t>カイセツ</t>
    </rPh>
    <rPh sb="7" eb="9">
      <t>サイテン</t>
    </rPh>
    <rPh sb="9" eb="11">
      <t>ケッカ</t>
    </rPh>
    <phoneticPr fontId="21"/>
  </si>
  <si>
    <t>建物全体・共用部分</t>
    <rPh sb="0" eb="2">
      <t>タテモノ</t>
    </rPh>
    <rPh sb="2" eb="4">
      <t>ゼンタイ</t>
    </rPh>
    <rPh sb="5" eb="7">
      <t>キョウヨウ</t>
    </rPh>
    <rPh sb="7" eb="9">
      <t>ブブン</t>
    </rPh>
    <phoneticPr fontId="21"/>
  </si>
  <si>
    <t>住居・宿泊部分</t>
    <rPh sb="0" eb="2">
      <t>ジュウキョ</t>
    </rPh>
    <rPh sb="3" eb="5">
      <t>シュクハク</t>
    </rPh>
    <rPh sb="5" eb="7">
      <t>ブブン</t>
    </rPh>
    <phoneticPr fontId="21"/>
  </si>
  <si>
    <t>建物全体</t>
    <rPh sb="0" eb="2">
      <t>タテモノ</t>
    </rPh>
    <rPh sb="2" eb="4">
      <t>ゼンタイ</t>
    </rPh>
    <phoneticPr fontId="21"/>
  </si>
  <si>
    <t>住居宿泊</t>
    <rPh sb="0" eb="2">
      <t>ジュウキョ</t>
    </rPh>
    <rPh sb="2" eb="4">
      <t>シュクハク</t>
    </rPh>
    <phoneticPr fontId="21"/>
  </si>
  <si>
    <r>
      <t>Q3</t>
    </r>
    <r>
      <rPr>
        <b/>
        <sz val="14"/>
        <rFont val="ＭＳ Ｐゴシック"/>
        <family val="3"/>
        <charset val="128"/>
      </rPr>
      <t>　室外環境（敷地内）</t>
    </r>
    <phoneticPr fontId="21"/>
  </si>
  <si>
    <t>○</t>
    <phoneticPr fontId="21"/>
  </si>
  <si>
    <t>ON</t>
    <phoneticPr fontId="21"/>
  </si>
  <si>
    <t>はい</t>
    <phoneticPr fontId="21"/>
  </si>
  <si>
    <t>いいえ</t>
    <phoneticPr fontId="21"/>
  </si>
  <si>
    <t>　レベル　1</t>
    <phoneticPr fontId="21"/>
  </si>
  <si>
    <t>■レベル　1</t>
    <phoneticPr fontId="21"/>
  </si>
  <si>
    <t>レベル</t>
    <phoneticPr fontId="21"/>
  </si>
  <si>
    <t>建築物衛生法における特定建築物に該当しない建築物</t>
    <phoneticPr fontId="21"/>
  </si>
  <si>
    <t>―</t>
    <phoneticPr fontId="21"/>
  </si>
  <si>
    <t>①　清掃用資材を保管するスペースを計画している。</t>
    <phoneticPr fontId="21"/>
  </si>
  <si>
    <t>⑥　トイレ毎ないしはフロア毎に清掃用流しを設置している。</t>
    <phoneticPr fontId="21"/>
  </si>
  <si>
    <t>同左</t>
  </si>
  <si>
    <t>国内消費支出分</t>
    <rPh sb="0" eb="2">
      <t>コクナイ</t>
    </rPh>
    <rPh sb="2" eb="4">
      <t>ショウヒ</t>
    </rPh>
    <rPh sb="4" eb="6">
      <t>シシュツ</t>
    </rPh>
    <rPh sb="6" eb="7">
      <t>ブン</t>
    </rPh>
    <phoneticPr fontId="21"/>
  </si>
  <si>
    <t>躯体・基礎の寿命（年）</t>
    <rPh sb="0" eb="2">
      <t>クタイ</t>
    </rPh>
    <rPh sb="3" eb="5">
      <t>キソ</t>
    </rPh>
    <rPh sb="6" eb="8">
      <t>ジュミョウ</t>
    </rPh>
    <rPh sb="9" eb="10">
      <t>ネン</t>
    </rPh>
    <phoneticPr fontId="21"/>
  </si>
  <si>
    <t>Q2/2.2.1 躯体材料</t>
    <rPh sb="9" eb="11">
      <t>クタイ</t>
    </rPh>
    <rPh sb="11" eb="13">
      <t>ザイリョウ</t>
    </rPh>
    <phoneticPr fontId="21"/>
  </si>
  <si>
    <t>再利用なし</t>
    <rPh sb="0" eb="3">
      <t>サイリヨウ</t>
    </rPh>
    <phoneticPr fontId="21"/>
  </si>
  <si>
    <t>既存躯体100％</t>
    <rPh sb="0" eb="2">
      <t>キソン</t>
    </rPh>
    <rPh sb="2" eb="4">
      <t>クタイ</t>
    </rPh>
    <phoneticPr fontId="21"/>
  </si>
  <si>
    <t>高炉ｾﾒﾝﾄ100%</t>
    <rPh sb="0" eb="2">
      <t>コウロ</t>
    </rPh>
    <phoneticPr fontId="21"/>
  </si>
  <si>
    <t>更新周期(年）</t>
    <rPh sb="0" eb="2">
      <t>コウシン</t>
    </rPh>
    <rPh sb="2" eb="4">
      <t>シュウキ</t>
    </rPh>
    <rPh sb="5" eb="6">
      <t>ネン</t>
    </rPh>
    <phoneticPr fontId="21"/>
  </si>
  <si>
    <t>外装</t>
    <rPh sb="0" eb="2">
      <t>ガイソウ</t>
    </rPh>
    <phoneticPr fontId="21"/>
  </si>
  <si>
    <t>年</t>
    <rPh sb="0" eb="1">
      <t>ネン</t>
    </rPh>
    <phoneticPr fontId="21"/>
  </si>
  <si>
    <t>屋根</t>
    <rPh sb="0" eb="2">
      <t>ヤネ</t>
    </rPh>
    <phoneticPr fontId="21"/>
  </si>
  <si>
    <t>内装</t>
    <rPh sb="0" eb="2">
      <t>ナイソウ</t>
    </rPh>
    <phoneticPr fontId="21"/>
  </si>
  <si>
    <t>設備</t>
    <rPh sb="0" eb="2">
      <t>セツビ</t>
    </rPh>
    <phoneticPr fontId="21"/>
  </si>
  <si>
    <t>平均修繕率</t>
    <rPh sb="0" eb="2">
      <t>ヘイキン</t>
    </rPh>
    <rPh sb="2" eb="4">
      <t>シュウゼン</t>
    </rPh>
    <rPh sb="4" eb="5">
      <t>リツ</t>
    </rPh>
    <phoneticPr fontId="21"/>
  </si>
  <si>
    <t>/年</t>
    <rPh sb="1" eb="2">
      <t>ネン</t>
    </rPh>
    <phoneticPr fontId="21"/>
  </si>
  <si>
    <t>参照値（参照建物）</t>
    <rPh sb="0" eb="2">
      <t>サンショウ</t>
    </rPh>
    <rPh sb="2" eb="3">
      <t>チ</t>
    </rPh>
    <rPh sb="4" eb="6">
      <t>サンショウ</t>
    </rPh>
    <rPh sb="6" eb="8">
      <t>タテモノ</t>
    </rPh>
    <phoneticPr fontId="21"/>
  </si>
  <si>
    <t>建物
概要</t>
    <rPh sb="0" eb="2">
      <t>タテモノ</t>
    </rPh>
    <rPh sb="3" eb="5">
      <t>ガイヨウ</t>
    </rPh>
    <phoneticPr fontId="21"/>
  </si>
  <si>
    <t>建物規模</t>
    <rPh sb="0" eb="2">
      <t>タテモノ</t>
    </rPh>
    <rPh sb="2" eb="4">
      <t>キボ</t>
    </rPh>
    <phoneticPr fontId="21"/>
  </si>
  <si>
    <t>構造種別</t>
    <rPh sb="0" eb="2">
      <t>コウゾウ</t>
    </rPh>
    <rPh sb="2" eb="4">
      <t>シュベツ</t>
    </rPh>
    <phoneticPr fontId="21"/>
  </si>
  <si>
    <t>ライフサイクル設定</t>
    <rPh sb="7" eb="9">
      <t>セッテイ</t>
    </rPh>
    <phoneticPr fontId="21"/>
  </si>
  <si>
    <t>想定耐用年数</t>
    <rPh sb="0" eb="2">
      <t>ソウテイ</t>
    </rPh>
    <rPh sb="2" eb="4">
      <t>タイヨウ</t>
    </rPh>
    <rPh sb="4" eb="6">
      <t>ネンスウ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</si>
  <si>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</si>
  <si>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地球温暖化への配慮</t>
    <rPh sb="0" eb="2">
      <t>チキュウ</t>
    </rPh>
    <rPh sb="2" eb="5">
      <t>オンダンカ</t>
    </rPh>
    <rPh sb="7" eb="9">
      <t>ハイリョ</t>
    </rPh>
    <phoneticPr fontId="21"/>
  </si>
  <si>
    <t>自然ｴﾈﾙｷﾞｰ</t>
    <rPh sb="0" eb="2">
      <t>シゼン</t>
    </rPh>
    <phoneticPr fontId="21"/>
  </si>
  <si>
    <t>非再生性材料の削減</t>
    <rPh sb="0" eb="1">
      <t>ヒ</t>
    </rPh>
    <rPh sb="1" eb="3">
      <t>サイセイ</t>
    </rPh>
    <rPh sb="3" eb="4">
      <t>セイ</t>
    </rPh>
    <rPh sb="4" eb="6">
      <t>ザイリョウ</t>
    </rPh>
    <rPh sb="7" eb="9">
      <t>サクゲン</t>
    </rPh>
    <phoneticPr fontId="21"/>
  </si>
  <si>
    <t>地域環境への配慮</t>
    <rPh sb="0" eb="2">
      <t>チイキ</t>
    </rPh>
    <rPh sb="2" eb="4">
      <t>カンキョウ</t>
    </rPh>
    <rPh sb="6" eb="8">
      <t>ハイリョ</t>
    </rPh>
    <phoneticPr fontId="21"/>
  </si>
  <si>
    <t>設備の効率的利用</t>
    <rPh sb="0" eb="2">
      <t>セツビ</t>
    </rPh>
    <rPh sb="3" eb="5">
      <t>コウリツ</t>
    </rPh>
    <rPh sb="5" eb="6">
      <t>テキ</t>
    </rPh>
    <rPh sb="6" eb="8">
      <t>リヨウ</t>
    </rPh>
    <phoneticPr fontId="21"/>
  </si>
  <si>
    <t>汚染物質回避</t>
    <rPh sb="0" eb="2">
      <t>オセン</t>
    </rPh>
    <rPh sb="2" eb="4">
      <t>ブッシツ</t>
    </rPh>
    <rPh sb="4" eb="6">
      <t>カイヒ</t>
    </rPh>
    <phoneticPr fontId="21"/>
  </si>
  <si>
    <t>周辺環境への配慮</t>
    <rPh sb="0" eb="2">
      <t>シュウヘン</t>
    </rPh>
    <rPh sb="2" eb="4">
      <t>カンキョウ</t>
    </rPh>
    <rPh sb="6" eb="8">
      <t>ハイリョ</t>
    </rPh>
    <phoneticPr fontId="21"/>
  </si>
  <si>
    <t>運用ﾏﾈｼﾞﾒﾝﾄ</t>
    <rPh sb="0" eb="2">
      <t>ウンヨウ</t>
    </rPh>
    <phoneticPr fontId="21"/>
  </si>
  <si>
    <r>
      <t>3</t>
    </r>
    <r>
      <rPr>
        <b/>
        <sz val="12"/>
        <color indexed="9"/>
        <rFont val="ＭＳ Ｐゴシック"/>
        <family val="3"/>
        <charset val="128"/>
      </rPr>
      <t>　設計上の配慮事項</t>
    </r>
    <rPh sb="2" eb="4">
      <t>セッケイ</t>
    </rPh>
    <rPh sb="4" eb="5">
      <t>ジョウ</t>
    </rPh>
    <rPh sb="6" eb="8">
      <t>ハイリョ</t>
    </rPh>
    <rPh sb="8" eb="10">
      <t>ジコウ</t>
    </rPh>
    <phoneticPr fontId="21"/>
  </si>
  <si>
    <t>総合</t>
    <rPh sb="0" eb="2">
      <t>ｿｳｺﾞｳ</t>
    </rPh>
    <phoneticPr fontId="34" type="noConversion"/>
  </si>
  <si>
    <t>その他</t>
    <rPh sb="2" eb="3">
      <t>ﾀ</t>
    </rPh>
    <phoneticPr fontId="34"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</si>
  <si>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4" type="noConversion"/>
  </si>
  <si>
    <t>注3</t>
    <rPh sb="0" eb="1">
      <t>チュウ</t>
    </rPh>
    <phoneticPr fontId="21"/>
  </si>
  <si>
    <t>心理性・快適性</t>
    <rPh sb="0" eb="1">
      <t>ｺｺﾛ</t>
    </rPh>
    <rPh sb="1" eb="3">
      <t>ﾘｾｲ</t>
    </rPh>
    <rPh sb="4" eb="7">
      <t>ｶｲﾃｷｾｲ</t>
    </rPh>
    <phoneticPr fontId="34" type="noConversion"/>
  </si>
  <si>
    <t>■レベル　1</t>
    <phoneticPr fontId="21"/>
  </si>
  <si>
    <t>レベル</t>
    <phoneticPr fontId="21"/>
  </si>
  <si>
    <t>建物全体・共用部分</t>
    <phoneticPr fontId="21"/>
  </si>
  <si>
    <t>ホ・住</t>
    <phoneticPr fontId="21"/>
  </si>
  <si>
    <t>病・ホ</t>
    <rPh sb="0" eb="1">
      <t>ビョウ</t>
    </rPh>
    <phoneticPr fontId="21"/>
  </si>
  <si>
    <t>会話等の話の内容がわかる。</t>
    <rPh sb="0" eb="2">
      <t>カイワ</t>
    </rPh>
    <rPh sb="2" eb="3">
      <t>トウ</t>
    </rPh>
    <rPh sb="4" eb="5">
      <t>ハナシ</t>
    </rPh>
    <rPh sb="6" eb="8">
      <t>ナイヨウ</t>
    </rPh>
    <phoneticPr fontId="21"/>
  </si>
  <si>
    <t>　　　　　　　　　　　　　　　　　</t>
  </si>
  <si>
    <t>人の話し声がほとんど聞こえない。</t>
  </si>
  <si>
    <t>事・学・物・飲・会・病・ホ・工・住</t>
    <rPh sb="14" eb="15">
      <t>コウ</t>
    </rPh>
    <rPh sb="16" eb="17">
      <t>ジュウ</t>
    </rPh>
    <phoneticPr fontId="21"/>
  </si>
  <si>
    <t>病・ホ</t>
    <rPh sb="0" eb="1">
      <t>ヤマイ</t>
    </rPh>
    <phoneticPr fontId="21"/>
  </si>
  <si>
    <t>←　直接入力</t>
    <rPh sb="2" eb="4">
      <t>チョクセツ</t>
    </rPh>
    <rPh sb="4" eb="6">
      <t>ニュウリョク</t>
    </rPh>
    <phoneticPr fontId="21"/>
  </si>
  <si>
    <t>延床面積</t>
    <rPh sb="0" eb="4">
      <t>ノベユカメンセキ</t>
    </rPh>
    <phoneticPr fontId="21"/>
  </si>
  <si>
    <t>　</t>
  </si>
  <si>
    <t>○</t>
  </si>
  <si>
    <t>教室の天井高2.7m以上。</t>
    <rPh sb="0" eb="2">
      <t>キョウシツ</t>
    </rPh>
    <rPh sb="3" eb="5">
      <t>テンジョウ</t>
    </rPh>
    <rPh sb="5" eb="6">
      <t>ダカ</t>
    </rPh>
    <rPh sb="10" eb="12">
      <t>イジョウ</t>
    </rPh>
    <phoneticPr fontId="21"/>
  </si>
  <si>
    <t>物</t>
    <rPh sb="0" eb="1">
      <t>モノ</t>
    </rPh>
    <phoneticPr fontId="21"/>
  </si>
  <si>
    <r>
      <t xml:space="preserve">1.2.3 </t>
    </r>
    <r>
      <rPr>
        <b/>
        <sz val="10"/>
        <rFont val="ＭＳ Ｐゴシック"/>
        <family val="3"/>
        <charset val="128"/>
      </rPr>
      <t>内装計画</t>
    </r>
    <rPh sb="6" eb="8">
      <t>ナイソウ</t>
    </rPh>
    <rPh sb="8" eb="10">
      <t>ケイカク</t>
    </rPh>
    <phoneticPr fontId="21"/>
  </si>
  <si>
    <t>その他の燃料
（　　　）</t>
    <rPh sb="2" eb="3">
      <t>タ</t>
    </rPh>
    <rPh sb="4" eb="6">
      <t>ネンリョウ</t>
    </rPh>
    <phoneticPr fontId="21"/>
  </si>
  <si>
    <t>上水使用</t>
    <rPh sb="0" eb="1">
      <t>ウエ</t>
    </rPh>
    <rPh sb="1" eb="2">
      <t>ミズ</t>
    </rPh>
    <rPh sb="2" eb="4">
      <t>シヨウ</t>
    </rPh>
    <phoneticPr fontId="21"/>
  </si>
  <si>
    <t>kg/㎡</t>
  </si>
  <si>
    <t>電力</t>
    <rPh sb="0" eb="2">
      <t>デンリョク</t>
    </rPh>
    <phoneticPr fontId="21"/>
  </si>
  <si>
    <t>搬送熱量/ポンプ消費エネルギー（2次エネルギー基準）</t>
  </si>
  <si>
    <t>空調機搬送ATF</t>
  </si>
  <si>
    <t>搬送熱量/ファン消費エネルギー（2次エネルギー基準）</t>
  </si>
  <si>
    <t>全熱交換器効果</t>
  </si>
  <si>
    <t>■　環境設計の配慮事項</t>
    <rPh sb="2" eb="4">
      <t>カンキョウ</t>
    </rPh>
    <rPh sb="4" eb="6">
      <t>セッケイ</t>
    </rPh>
    <rPh sb="7" eb="9">
      <t>ハイリョ</t>
    </rPh>
    <rPh sb="9" eb="11">
      <t>ジコウ</t>
    </rPh>
    <phoneticPr fontId="21"/>
  </si>
  <si>
    <t>■建物名称</t>
    <rPh sb="1" eb="3">
      <t>タテモノ</t>
    </rPh>
    <rPh sb="3" eb="5">
      <t>メイショウ</t>
    </rPh>
    <phoneticPr fontId="21"/>
  </si>
  <si>
    <t>計画上の配慮事項</t>
    <rPh sb="0" eb="2">
      <t>ケイカク</t>
    </rPh>
    <rPh sb="2" eb="3">
      <t>ジョウ</t>
    </rPh>
    <rPh sb="4" eb="6">
      <t>ハイリョ</t>
    </rPh>
    <rPh sb="6" eb="8">
      <t>ジコウ</t>
    </rPh>
    <phoneticPr fontId="21"/>
  </si>
  <si>
    <t>総合</t>
    <rPh sb="0" eb="2">
      <t>ソウゴウ</t>
    </rPh>
    <phoneticPr fontId="21"/>
  </si>
  <si>
    <t>Q1 
室内環境</t>
    <rPh sb="4" eb="6">
      <t>シツナイ</t>
    </rPh>
    <rPh sb="6" eb="8">
      <t>カンキョウ</t>
    </rPh>
    <phoneticPr fontId="21"/>
  </si>
  <si>
    <t>Q2 
サービス性能</t>
    <rPh sb="8" eb="10">
      <t>セイノウ</t>
    </rPh>
    <phoneticPr fontId="21"/>
  </si>
  <si>
    <t>Q3 
室外環境（敷地内）</t>
    <rPh sb="4" eb="6">
      <t>シツガイ</t>
    </rPh>
    <rPh sb="6" eb="8">
      <t>カンキョウ</t>
    </rPh>
    <rPh sb="9" eb="11">
      <t>シキチ</t>
    </rPh>
    <rPh sb="11" eb="12">
      <t>ナイ</t>
    </rPh>
    <phoneticPr fontId="21"/>
  </si>
  <si>
    <t>LR2 
資源・マテリアル</t>
    <rPh sb="5" eb="7">
      <t>シゲン</t>
    </rPh>
    <phoneticPr fontId="21"/>
  </si>
  <si>
    <t>その他</t>
    <rPh sb="2" eb="3">
      <t>ホカ</t>
    </rPh>
    <phoneticPr fontId="21"/>
  </si>
  <si>
    <t>照度均斉度</t>
    <phoneticPr fontId="21"/>
  </si>
  <si>
    <t>4.1.1</t>
    <phoneticPr fontId="21"/>
  </si>
  <si>
    <t>4.1.2</t>
    <phoneticPr fontId="21"/>
  </si>
  <si>
    <t xml:space="preserve"> アスベスト対策</t>
    <phoneticPr fontId="21"/>
  </si>
  <si>
    <t>4.1.3</t>
    <phoneticPr fontId="21"/>
  </si>
  <si>
    <t>4.1.4</t>
    <phoneticPr fontId="21"/>
  </si>
  <si>
    <t>4.2.1</t>
    <phoneticPr fontId="21"/>
  </si>
  <si>
    <t>4.2.2</t>
    <phoneticPr fontId="21"/>
  </si>
  <si>
    <t>4.2.3</t>
    <phoneticPr fontId="21"/>
  </si>
  <si>
    <t>4.2.4</t>
    <phoneticPr fontId="21"/>
  </si>
  <si>
    <t>給気計画</t>
    <phoneticPr fontId="21"/>
  </si>
  <si>
    <t>4.3.1</t>
    <phoneticPr fontId="21"/>
  </si>
  <si>
    <t>CO2の監視</t>
    <phoneticPr fontId="21"/>
  </si>
  <si>
    <t>4.3.2</t>
    <phoneticPr fontId="21"/>
  </si>
  <si>
    <t>喫煙の制御</t>
    <phoneticPr fontId="21"/>
  </si>
  <si>
    <t>Q2</t>
    <phoneticPr fontId="21"/>
  </si>
  <si>
    <t>サービス性能</t>
    <phoneticPr fontId="21"/>
  </si>
  <si>
    <t>1.1.1</t>
    <phoneticPr fontId="21"/>
  </si>
  <si>
    <t>1.1.2</t>
    <phoneticPr fontId="21"/>
  </si>
  <si>
    <t>高度情報通信設備対応</t>
    <phoneticPr fontId="21"/>
  </si>
  <si>
    <t>1.1.3</t>
    <phoneticPr fontId="21"/>
  </si>
  <si>
    <t>1.2.1</t>
    <phoneticPr fontId="21"/>
  </si>
  <si>
    <t>1.2.2</t>
    <phoneticPr fontId="21"/>
  </si>
  <si>
    <t>1.2.3</t>
    <phoneticPr fontId="21"/>
  </si>
  <si>
    <t xml:space="preserve"> Q2 1.3</t>
    <phoneticPr fontId="21"/>
  </si>
  <si>
    <t>0</t>
    <phoneticPr fontId="21"/>
  </si>
  <si>
    <t>2.1.1</t>
    <phoneticPr fontId="21"/>
  </si>
  <si>
    <t>2.1.2</t>
    <phoneticPr fontId="21"/>
  </si>
  <si>
    <t>2.1.2</t>
    <phoneticPr fontId="21"/>
  </si>
  <si>
    <t>2.2.1</t>
    <phoneticPr fontId="21"/>
  </si>
  <si>
    <t>2.2.1</t>
    <phoneticPr fontId="21"/>
  </si>
  <si>
    <t>2.2.2</t>
    <phoneticPr fontId="21"/>
  </si>
  <si>
    <t>2.2.3</t>
    <phoneticPr fontId="21"/>
  </si>
  <si>
    <t>2.2.4</t>
    <phoneticPr fontId="21"/>
  </si>
  <si>
    <t>2.2.4</t>
    <phoneticPr fontId="21"/>
  </si>
  <si>
    <t>2.2.5</t>
    <phoneticPr fontId="21"/>
  </si>
  <si>
    <t>2.2.5</t>
    <phoneticPr fontId="21"/>
  </si>
  <si>
    <t>2.2.6</t>
    <phoneticPr fontId="21"/>
  </si>
  <si>
    <t xml:space="preserve"> Q2 2</t>
    <phoneticPr fontId="21"/>
  </si>
  <si>
    <t>2.3.1</t>
    <phoneticPr fontId="21"/>
  </si>
  <si>
    <t xml:space="preserve"> Q2 2.3</t>
    <phoneticPr fontId="21"/>
  </si>
  <si>
    <t>2.3.1</t>
    <phoneticPr fontId="21"/>
  </si>
  <si>
    <t>2.3.2</t>
    <phoneticPr fontId="21"/>
  </si>
  <si>
    <t xml:space="preserve"> Q2 2.3</t>
    <phoneticPr fontId="21"/>
  </si>
  <si>
    <t>一次ｴﾈﾙｷﾞｰあたり　非住宅</t>
    <rPh sb="0" eb="2">
      <t>イチジ</t>
    </rPh>
    <rPh sb="12" eb="13">
      <t>ヒ</t>
    </rPh>
    <rPh sb="13" eb="15">
      <t>ジュウタク</t>
    </rPh>
    <phoneticPr fontId="21"/>
  </si>
  <si>
    <t>同上　　住宅（専有部）</t>
    <rPh sb="0" eb="2">
      <t>ドウジョウ</t>
    </rPh>
    <rPh sb="4" eb="6">
      <t>ジュウタク</t>
    </rPh>
    <rPh sb="7" eb="9">
      <t>センユウ</t>
    </rPh>
    <rPh sb="9" eb="10">
      <t>ブ</t>
    </rPh>
    <phoneticPr fontId="21"/>
  </si>
  <si>
    <t>木部の防腐剤</t>
    <rPh sb="0" eb="2">
      <t>モクブ</t>
    </rPh>
    <rPh sb="3" eb="6">
      <t>ボウフザイ</t>
    </rPh>
    <phoneticPr fontId="21"/>
  </si>
  <si>
    <r>
      <t xml:space="preserve">3.2.1 </t>
    </r>
    <r>
      <rPr>
        <b/>
        <sz val="10"/>
        <rFont val="ＭＳ Ｐゴシック"/>
        <family val="3"/>
        <charset val="128"/>
      </rPr>
      <t>消火剤</t>
    </r>
    <rPh sb="6" eb="8">
      <t>ショウカ</t>
    </rPh>
    <rPh sb="8" eb="9">
      <t>ザイ</t>
    </rPh>
    <phoneticPr fontId="21"/>
  </si>
  <si>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1"/>
  </si>
  <si>
    <t>ODP及びGWPが高いハロン消火剤を使用している（クリティカルユース含む）。</t>
    <rPh sb="3" eb="4">
      <t>オヨ</t>
    </rPh>
    <rPh sb="9" eb="10">
      <t>タカ</t>
    </rPh>
    <rPh sb="14" eb="17">
      <t>ショウカザイ</t>
    </rPh>
    <rPh sb="18" eb="20">
      <t>シヨウ</t>
    </rPh>
    <rPh sb="34" eb="35">
      <t>フク</t>
    </rPh>
    <phoneticPr fontId="21"/>
  </si>
  <si>
    <t>ハロゲン化物消火剤を使用している。</t>
    <rPh sb="4" eb="5">
      <t>カ</t>
    </rPh>
    <rPh sb="5" eb="6">
      <t>ブツ</t>
    </rPh>
    <rPh sb="6" eb="9">
      <t>ショウカザイ</t>
    </rPh>
    <rPh sb="10" eb="12">
      <t>シヨウ</t>
    </rPh>
    <phoneticPr fontId="21"/>
  </si>
  <si>
    <t>錆止め</t>
    <rPh sb="0" eb="1">
      <t>サビ</t>
    </rPh>
    <rPh sb="1" eb="2">
      <t>ド</t>
    </rPh>
    <phoneticPr fontId="21"/>
  </si>
  <si>
    <t>躯体</t>
    <rPh sb="0" eb="1">
      <t>ムクロ</t>
    </rPh>
    <rPh sb="1" eb="2">
      <t>タイ</t>
    </rPh>
    <phoneticPr fontId="21"/>
  </si>
  <si>
    <t>躯体以外</t>
    <rPh sb="2" eb="4">
      <t>イガイ</t>
    </rPh>
    <phoneticPr fontId="21"/>
  </si>
  <si>
    <t>塗り床</t>
    <rPh sb="0" eb="1">
      <t>ヌ</t>
    </rPh>
    <rPh sb="2" eb="3">
      <t>ユカ</t>
    </rPh>
    <phoneticPr fontId="21"/>
  </si>
  <si>
    <t>備考　　　　注1：</t>
    <rPh sb="6" eb="7">
      <t>チュウ</t>
    </rPh>
    <phoneticPr fontId="21"/>
  </si>
  <si>
    <t>建材種別</t>
    <rPh sb="0" eb="2">
      <t>ケンザイ</t>
    </rPh>
    <rPh sb="2" eb="4">
      <t>シュベツ</t>
    </rPh>
    <phoneticPr fontId="21"/>
  </si>
  <si>
    <t>接着剤</t>
    <rPh sb="0" eb="3">
      <t>セッチャクザイ</t>
    </rPh>
    <phoneticPr fontId="21"/>
  </si>
  <si>
    <t>ビニル床タイル・シート用接着剤</t>
    <rPh sb="3" eb="4">
      <t>ユカ</t>
    </rPh>
    <rPh sb="11" eb="12">
      <t>ヨウ</t>
    </rPh>
    <rPh sb="12" eb="15">
      <t>セッチャクザイ</t>
    </rPh>
    <phoneticPr fontId="21"/>
  </si>
  <si>
    <t>タイル用接着剤</t>
    <rPh sb="3" eb="4">
      <t>ヨウ</t>
    </rPh>
    <rPh sb="4" eb="7">
      <t>セッチャクザイ</t>
    </rPh>
    <phoneticPr fontId="21"/>
  </si>
  <si>
    <t>壁紙用接着剤</t>
    <rPh sb="0" eb="2">
      <t>カベガミ</t>
    </rPh>
    <rPh sb="2" eb="3">
      <t>ヨウ</t>
    </rPh>
    <rPh sb="3" eb="6">
      <t>セッチャクザイ</t>
    </rPh>
    <phoneticPr fontId="21"/>
  </si>
  <si>
    <t>フローリングボード用接着剤</t>
    <rPh sb="9" eb="10">
      <t>ヨウ</t>
    </rPh>
    <rPh sb="10" eb="13">
      <t>セッチャクザイ</t>
    </rPh>
    <phoneticPr fontId="21"/>
  </si>
  <si>
    <t>シーリング材</t>
    <rPh sb="5" eb="6">
      <t>ザイ</t>
    </rPh>
    <phoneticPr fontId="21"/>
  </si>
  <si>
    <t>サッシ用シーリング</t>
    <rPh sb="3" eb="4">
      <t>ヨウ</t>
    </rPh>
    <phoneticPr fontId="21"/>
  </si>
  <si>
    <t>ガラス用シーリング</t>
    <rPh sb="3" eb="4">
      <t>ヨウ</t>
    </rPh>
    <phoneticPr fontId="21"/>
  </si>
  <si>
    <t>タイル目地シーリング</t>
    <rPh sb="3" eb="5">
      <t>メジ</t>
    </rPh>
    <phoneticPr fontId="21"/>
  </si>
  <si>
    <t>打ち継ぎ目地</t>
    <rPh sb="0" eb="1">
      <t>ウ</t>
    </rPh>
    <rPh sb="2" eb="3">
      <t>ツ</t>
    </rPh>
    <rPh sb="4" eb="5">
      <t>メ</t>
    </rPh>
    <rPh sb="5" eb="6">
      <t>ジ</t>
    </rPh>
    <phoneticPr fontId="21"/>
  </si>
  <si>
    <t>防水工事材料</t>
    <rPh sb="0" eb="2">
      <t>ボウスイ</t>
    </rPh>
    <rPh sb="2" eb="4">
      <t>コウジ</t>
    </rPh>
    <rPh sb="4" eb="6">
      <t>ザイリョウ</t>
    </rPh>
    <phoneticPr fontId="21"/>
  </si>
  <si>
    <t>防水工事のプライマー</t>
    <rPh sb="0" eb="2">
      <t>ボウスイ</t>
    </rPh>
    <rPh sb="2" eb="4">
      <t>コウジ</t>
    </rPh>
    <phoneticPr fontId="21"/>
  </si>
  <si>
    <t>a（傾き）</t>
    <rPh sb="2" eb="3">
      <t>カタム</t>
    </rPh>
    <phoneticPr fontId="21"/>
  </si>
  <si>
    <t>ｂ（切片）</t>
    <rPh sb="2" eb="4">
      <t>セッペン</t>
    </rPh>
    <phoneticPr fontId="21"/>
  </si>
  <si>
    <t>等級3</t>
    <rPh sb="0" eb="2">
      <t>トウキュウ</t>
    </rPh>
    <phoneticPr fontId="21"/>
  </si>
  <si>
    <t>合計＝</t>
    <phoneticPr fontId="21"/>
  </si>
  <si>
    <t>1.2.1</t>
    <phoneticPr fontId="21"/>
  </si>
  <si>
    <t>雨水利用システム導入の有無</t>
    <phoneticPr fontId="21"/>
  </si>
  <si>
    <t>1.2.2</t>
    <phoneticPr fontId="21"/>
  </si>
  <si>
    <t>2.1</t>
    <phoneticPr fontId="21"/>
  </si>
  <si>
    <t>2.1</t>
    <phoneticPr fontId="21"/>
  </si>
  <si>
    <t>2.2</t>
    <phoneticPr fontId="21"/>
  </si>
  <si>
    <t>2.2</t>
    <phoneticPr fontId="21"/>
  </si>
  <si>
    <t>2.3</t>
    <phoneticPr fontId="21"/>
  </si>
  <si>
    <t>2.3</t>
    <phoneticPr fontId="21"/>
  </si>
  <si>
    <t>2.4</t>
    <phoneticPr fontId="21"/>
  </si>
  <si>
    <t>2.4</t>
    <phoneticPr fontId="21"/>
  </si>
  <si>
    <t>2.5</t>
    <phoneticPr fontId="21"/>
  </si>
  <si>
    <t>持続可能な森林から産出された木材</t>
    <phoneticPr fontId="21"/>
  </si>
  <si>
    <t>2.6</t>
    <phoneticPr fontId="21"/>
  </si>
  <si>
    <t>事・学・物・飲・会・病・ホ・工</t>
    <rPh sb="2" eb="3">
      <t>ガク</t>
    </rPh>
    <rPh sb="4" eb="5">
      <t>ブツ</t>
    </rPh>
    <rPh sb="6" eb="7">
      <t>イン</t>
    </rPh>
    <rPh sb="8" eb="9">
      <t>カイ</t>
    </rPh>
    <rPh sb="14" eb="15">
      <t>コウ</t>
    </rPh>
    <phoneticPr fontId="21"/>
  </si>
  <si>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</si>
  <si>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</si>
  <si>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1"/>
  </si>
  <si>
    <t>a.　建設に係るCO2排出量</t>
    <rPh sb="3" eb="5">
      <t>ケンセツ</t>
    </rPh>
    <rPh sb="6" eb="7">
      <t>カカ</t>
    </rPh>
    <rPh sb="11" eb="13">
      <t>ハイシュツ</t>
    </rPh>
    <rPh sb="13" eb="14">
      <t>リョウ</t>
    </rPh>
    <phoneticPr fontId="21"/>
  </si>
  <si>
    <t>kg-CO2/年m2</t>
    <rPh sb="7" eb="8">
      <t>ネン</t>
    </rPh>
    <phoneticPr fontId="21"/>
  </si>
  <si>
    <t>LR2/2.2 削減分</t>
    <rPh sb="8" eb="10">
      <t>サクゲン</t>
    </rPh>
    <rPh sb="10" eb="11">
      <t>ブン</t>
    </rPh>
    <phoneticPr fontId="21"/>
  </si>
  <si>
    <t>LR2/2.3 削減分</t>
    <rPh sb="8" eb="10">
      <t>サクゲン</t>
    </rPh>
    <rPh sb="10" eb="11">
      <t>ブン</t>
    </rPh>
    <phoneticPr fontId="21"/>
  </si>
  <si>
    <t>b.　修繕・更新・解体に係るCO2排出量</t>
    <rPh sb="3" eb="5">
      <t>シュウゼン</t>
    </rPh>
    <rPh sb="6" eb="8">
      <t>コウシン</t>
    </rPh>
    <rPh sb="9" eb="11">
      <t>カイタイ</t>
    </rPh>
    <rPh sb="12" eb="13">
      <t>カカ</t>
    </rPh>
    <rPh sb="17" eb="19">
      <t>ハイシュツ</t>
    </rPh>
    <rPh sb="19" eb="20">
      <t>リョウ</t>
    </rPh>
    <phoneticPr fontId="21"/>
  </si>
  <si>
    <t>削減後</t>
    <rPh sb="0" eb="2">
      <t>サクゲン</t>
    </rPh>
    <rPh sb="2" eb="3">
      <t>ゴ</t>
    </rPh>
    <phoneticPr fontId="21"/>
  </si>
  <si>
    <t>c.　運用に係るCO2排出量</t>
    <rPh sb="3" eb="5">
      <t>ウンヨウ</t>
    </rPh>
    <rPh sb="6" eb="7">
      <t>カカ</t>
    </rPh>
    <rPh sb="11" eb="13">
      <t>ハイシュツ</t>
    </rPh>
    <rPh sb="13" eb="14">
      <t>リョウ</t>
    </rPh>
    <phoneticPr fontId="21"/>
  </si>
  <si>
    <t>電力　（実排出係数）</t>
    <rPh sb="0" eb="2">
      <t>デンリョク</t>
    </rPh>
    <rPh sb="4" eb="5">
      <t>ジツ</t>
    </rPh>
    <rPh sb="5" eb="7">
      <t>ハイシュツ</t>
    </rPh>
    <rPh sb="7" eb="9">
      <t>ケイスウ</t>
    </rPh>
    <phoneticPr fontId="28"/>
  </si>
  <si>
    <t>2300N/㎡以上～2900N/㎡未満</t>
    <phoneticPr fontId="21"/>
  </si>
  <si>
    <t>1800N/㎡以上～2100N/㎡未満</t>
    <phoneticPr fontId="21"/>
  </si>
  <si>
    <t>3500N/㎡以上～4500N/㎡未満</t>
    <phoneticPr fontId="21"/>
  </si>
  <si>
    <t>4200N/㎡以上～5200N/㎡未満</t>
    <phoneticPr fontId="21"/>
  </si>
  <si>
    <t>ウォーターハンマー</t>
  </si>
  <si>
    <t>エアコン室内機等からの騒音</t>
  </si>
  <si>
    <t>低騒音タイプの機器の採用など</t>
  </si>
  <si>
    <t>エアコン室外機からの騒音</t>
  </si>
  <si>
    <t>換気扇からの騒音</t>
    <rPh sb="6" eb="8">
      <t>ソウオン</t>
    </rPh>
    <phoneticPr fontId="21"/>
  </si>
  <si>
    <t>遮音</t>
    <rPh sb="0" eb="2">
      <t>シャオン</t>
    </rPh>
    <phoneticPr fontId="21"/>
  </si>
  <si>
    <r>
      <t xml:space="preserve">1.2.1 </t>
    </r>
    <r>
      <rPr>
        <b/>
        <sz val="10"/>
        <rFont val="ＭＳ Ｐゴシック"/>
        <family val="3"/>
        <charset val="128"/>
      </rPr>
      <t>開口部遮音性能</t>
    </r>
    <rPh sb="6" eb="9">
      <t>カイコウブ</t>
    </rPh>
    <rPh sb="9" eb="11">
      <t>シャオン</t>
    </rPh>
    <phoneticPr fontId="21"/>
  </si>
  <si>
    <t>建物全体・共用部分</t>
    <phoneticPr fontId="21"/>
  </si>
  <si>
    <t>事・学・物・飲・会・病・ホ・工・住</t>
    <rPh sb="4" eb="5">
      <t>ブツ</t>
    </rPh>
    <rPh sb="8" eb="9">
      <t>カイ</t>
    </rPh>
    <phoneticPr fontId="21"/>
  </si>
  <si>
    <t>騒音が気になる。</t>
    <rPh sb="0" eb="2">
      <t>ソウオン</t>
    </rPh>
    <rPh sb="3" eb="4">
      <t>キ</t>
    </rPh>
    <phoneticPr fontId="21"/>
  </si>
  <si>
    <t>騒音がほとんど気にならない。</t>
    <rPh sb="0" eb="2">
      <t>ソウオン</t>
    </rPh>
    <rPh sb="7" eb="8">
      <t>キ</t>
    </rPh>
    <phoneticPr fontId="21"/>
  </si>
  <si>
    <t>騒音が気にならない</t>
    <rPh sb="0" eb="2">
      <t>ソウオン</t>
    </rPh>
    <rPh sb="3" eb="4">
      <t>キ</t>
    </rPh>
    <phoneticPr fontId="21"/>
  </si>
  <si>
    <t>騒音が気にならない。</t>
    <rPh sb="0" eb="2">
      <t>ソウオン</t>
    </rPh>
    <rPh sb="3" eb="4">
      <t>キ</t>
    </rPh>
    <phoneticPr fontId="21"/>
  </si>
  <si>
    <t xml:space="preserve">  レベル 2</t>
  </si>
  <si>
    <t xml:space="preserve">  レベル 3</t>
  </si>
  <si>
    <t xml:space="preserve">  レベル 4</t>
  </si>
  <si>
    <t xml:space="preserve">  レベル 5</t>
  </si>
  <si>
    <t>1.0％≦ [昼光率] ＜1.25％</t>
    <phoneticPr fontId="21"/>
  </si>
  <si>
    <t>1.25％≦ [昼光率]</t>
    <phoneticPr fontId="21"/>
  </si>
  <si>
    <t xml:space="preserve">2.0％≦ [昼光率] </t>
    <phoneticPr fontId="21"/>
  </si>
  <si>
    <t>住居・宿泊部分</t>
    <phoneticPr fontId="21"/>
  </si>
  <si>
    <t>-</t>
    <phoneticPr fontId="21"/>
  </si>
  <si>
    <t>建物全体・共用部分</t>
    <phoneticPr fontId="21"/>
  </si>
  <si>
    <t>-</t>
    <phoneticPr fontId="21"/>
  </si>
  <si>
    <t>昼光利用設備がない。</t>
    <phoneticPr fontId="21"/>
  </si>
  <si>
    <t>効率評価の事例</t>
    <rPh sb="0" eb="2">
      <t>コウリツ</t>
    </rPh>
    <rPh sb="2" eb="4">
      <t>ヒョウカ</t>
    </rPh>
    <rPh sb="5" eb="7">
      <t>ジレイ</t>
    </rPh>
    <phoneticPr fontId="21"/>
  </si>
  <si>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</si>
  <si>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</si>
  <si>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</si>
  <si>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</si>
  <si>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</si>
  <si>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</si>
  <si>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</si>
  <si>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</si>
  <si>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</si>
  <si>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</si>
  <si>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</si>
  <si>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1"/>
  </si>
  <si>
    <t>等級2</t>
    <rPh sb="0" eb="2">
      <t>トウキュウ</t>
    </rPh>
    <phoneticPr fontId="21"/>
  </si>
  <si>
    <t>等級4</t>
    <rPh sb="0" eb="2">
      <t>トウキュウ</t>
    </rPh>
    <phoneticPr fontId="21"/>
  </si>
  <si>
    <t>等級未入力</t>
    <rPh sb="0" eb="2">
      <t>トウキュウ</t>
    </rPh>
    <rPh sb="2" eb="5">
      <t>ミニュウリョク</t>
    </rPh>
    <phoneticPr fontId="21"/>
  </si>
  <si>
    <t>MJ/年㎡</t>
    <rPh sb="3" eb="4">
      <t>ネン</t>
    </rPh>
    <phoneticPr fontId="21"/>
  </si>
  <si>
    <r>
      <t xml:space="preserve">3.3.2 </t>
    </r>
    <r>
      <rPr>
        <b/>
        <sz val="10"/>
        <rFont val="ＭＳ Ｐゴシック"/>
        <family val="3"/>
        <charset val="128"/>
      </rPr>
      <t>照度均斉度</t>
    </r>
    <rPh sb="6" eb="8">
      <t>ショウド</t>
    </rPh>
    <rPh sb="8" eb="10">
      <t>キンセイ</t>
    </rPh>
    <rPh sb="10" eb="11">
      <t>ド</t>
    </rPh>
    <phoneticPr fontId="21"/>
  </si>
  <si>
    <t>事・学・病(診)・ホ・工・住</t>
    <rPh sb="2" eb="3">
      <t>ガク</t>
    </rPh>
    <rPh sb="6" eb="7">
      <t>ミ</t>
    </rPh>
    <phoneticPr fontId="21"/>
  </si>
  <si>
    <t>全般照明方式の場合で室内に許容できる程度の暗い部分がある。タスク・アンビエント照明方式の場合で作業面の明るさと周りの明るさのバランスが不十分。</t>
    <rPh sb="41" eb="43">
      <t>ホウシキ</t>
    </rPh>
    <phoneticPr fontId="21"/>
  </si>
  <si>
    <t>全般照明方式の場合で室内に暗い部分がない。タスク・アンビエント照明方式の場合で作業面の明るさと周りの明るさのバランスが良い。</t>
    <rPh sb="33" eb="35">
      <t>ホウシキ</t>
    </rPh>
    <phoneticPr fontId="21"/>
  </si>
  <si>
    <t>事・学(大学等)・物・病・ホ・工・住</t>
    <rPh sb="2" eb="3">
      <t>ガク</t>
    </rPh>
    <rPh sb="9" eb="10">
      <t>ブツ</t>
    </rPh>
    <rPh sb="17" eb="18">
      <t>ジュウ</t>
    </rPh>
    <phoneticPr fontId="21"/>
  </si>
  <si>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</si>
  <si>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</si>
  <si>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</si>
  <si>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</si>
  <si>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</si>
  <si>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</si>
  <si>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</si>
  <si>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1"/>
  </si>
  <si>
    <t>5年以上～10年未満</t>
  </si>
  <si>
    <t>10年以上～15年未満</t>
  </si>
  <si>
    <t>10年</t>
  </si>
  <si>
    <t>15年</t>
  </si>
  <si>
    <t>ほぼ全てに亜鉛鉄板を使用</t>
    <rPh sb="2" eb="3">
      <t>スベ</t>
    </rPh>
    <rPh sb="5" eb="7">
      <t>アエン</t>
    </rPh>
    <rPh sb="7" eb="9">
      <t>テッパン</t>
    </rPh>
    <rPh sb="10" eb="12">
      <t>シヨウ</t>
    </rPh>
    <phoneticPr fontId="21"/>
  </si>
  <si>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1"/>
  </si>
  <si>
    <r>
      <t>3.3.1</t>
    </r>
    <r>
      <rPr>
        <b/>
        <sz val="10"/>
        <rFont val="ＭＳ Ｐゴシック"/>
        <family val="3"/>
        <charset val="128"/>
      </rPr>
      <t>　屋外照明及び屋内照明のうち外に漏れる光への対策</t>
    </r>
    <phoneticPr fontId="21"/>
  </si>
  <si>
    <t>3.3.2</t>
    <phoneticPr fontId="21"/>
  </si>
  <si>
    <t>昼光の建物外壁による反射光（グレア）への対策</t>
    <phoneticPr fontId="34" type="noConversion"/>
  </si>
  <si>
    <t>d. LCCO2算定条件</t>
    <rPh sb="8" eb="10">
      <t>サンテイ</t>
    </rPh>
    <rPh sb="10" eb="12">
      <t>ジョウケン</t>
    </rPh>
    <phoneticPr fontId="21"/>
  </si>
  <si>
    <r>
      <t xml:space="preserve">2.1.2 </t>
    </r>
    <r>
      <rPr>
        <b/>
        <sz val="10"/>
        <rFont val="ＭＳ Ｐゴシック"/>
        <family val="3"/>
        <charset val="128"/>
      </rPr>
      <t>免震・制振性能</t>
    </r>
    <phoneticPr fontId="21"/>
  </si>
  <si>
    <t>ON</t>
  </si>
  <si>
    <t>-</t>
    <phoneticPr fontId="21"/>
  </si>
  <si>
    <r>
      <t xml:space="preserve">2.1.2 </t>
    </r>
    <r>
      <rPr>
        <b/>
        <sz val="10"/>
        <rFont val="ＭＳ Ｐゴシック"/>
        <family val="3"/>
        <charset val="128"/>
      </rPr>
      <t>外皮性能</t>
    </r>
    <rPh sb="6" eb="8">
      <t>ガイヒ</t>
    </rPh>
    <rPh sb="8" eb="10">
      <t>セイノウ</t>
    </rPh>
    <phoneticPr fontId="21"/>
  </si>
  <si>
    <t>負荷変動・追従制御性</t>
    <phoneticPr fontId="21"/>
  </si>
  <si>
    <r>
      <t xml:space="preserve">2.1.3 </t>
    </r>
    <r>
      <rPr>
        <b/>
        <sz val="10"/>
        <rFont val="ＭＳ Ｐゴシック"/>
        <family val="3"/>
        <charset val="128"/>
      </rPr>
      <t>ゾーン別制御性</t>
    </r>
    <rPh sb="9" eb="10">
      <t>ベツ</t>
    </rPh>
    <rPh sb="10" eb="13">
      <t>セイギョセイ</t>
    </rPh>
    <phoneticPr fontId="21"/>
  </si>
  <si>
    <r>
      <t xml:space="preserve">3.2.1 </t>
    </r>
    <r>
      <rPr>
        <b/>
        <sz val="10"/>
        <rFont val="ＭＳ Ｐゴシック"/>
        <family val="3"/>
        <charset val="128"/>
      </rPr>
      <t>昼光制御</t>
    </r>
    <rPh sb="6" eb="7">
      <t>ヒル</t>
    </rPh>
    <rPh sb="7" eb="8">
      <t>ヒカリ</t>
    </rPh>
    <rPh sb="8" eb="10">
      <t>セイギョ</t>
    </rPh>
    <phoneticPr fontId="21"/>
  </si>
  <si>
    <r>
      <t>3.2.2</t>
    </r>
    <r>
      <rPr>
        <b/>
        <sz val="10"/>
        <rFont val="ＭＳ Ｐゴシック"/>
        <family val="3"/>
        <charset val="128"/>
      </rPr>
      <t>　映り込み対策</t>
    </r>
    <rPh sb="6" eb="7">
      <t>ウツ</t>
    </rPh>
    <rPh sb="8" eb="9">
      <t>コ</t>
    </rPh>
    <rPh sb="10" eb="12">
      <t>タイサク</t>
    </rPh>
    <phoneticPr fontId="21"/>
  </si>
  <si>
    <t xml:space="preserve">1.00 ＜ [BPIm] </t>
    <phoneticPr fontId="21"/>
  </si>
  <si>
    <t>0.97 ＜ [BPIm] ≦1.00</t>
    <phoneticPr fontId="21"/>
  </si>
  <si>
    <t>0.90 ＜ [BPIm] ≦ 0.97</t>
    <phoneticPr fontId="21"/>
  </si>
  <si>
    <t xml:space="preserve">        [BPIm] ≦ 0.90</t>
    <phoneticPr fontId="21"/>
  </si>
  <si>
    <t xml:space="preserve">        [BPIm] ≦ 0.93</t>
    <phoneticPr fontId="21"/>
  </si>
  <si>
    <t>0.93 ＜ [BPIm] ≦ 0.97</t>
    <phoneticPr fontId="21"/>
  </si>
  <si>
    <t>0.97 ＜ [BPIm] ≦ 1.00</t>
    <phoneticPr fontId="21"/>
  </si>
  <si>
    <t>1.00 ＜ [BPIm]</t>
    <phoneticPr fontId="21"/>
  </si>
  <si>
    <t>日本住宅性能表示基準「5-1断熱等性能等級」における等級１に相当</t>
    <rPh sb="14" eb="16">
      <t>ダンネツ</t>
    </rPh>
    <rPh sb="16" eb="17">
      <t>トウ</t>
    </rPh>
    <rPh sb="17" eb="19">
      <t>セイノウ</t>
    </rPh>
    <rPh sb="30" eb="32">
      <t>ソウトウ</t>
    </rPh>
    <phoneticPr fontId="21"/>
  </si>
  <si>
    <t>日本住宅性能表示基準「5-1断熱等性能等級」における等級２に相当</t>
    <phoneticPr fontId="21"/>
  </si>
  <si>
    <t>日本住宅性能表示基準「5-1断熱等性能等級」における等級３に相当</t>
    <phoneticPr fontId="21"/>
  </si>
  <si>
    <t>日本住宅性能表示基準「5-1断熱等性能等級」における等級４に相当</t>
    <phoneticPr fontId="21"/>
  </si>
  <si>
    <t>土壌改良材</t>
  </si>
  <si>
    <t>自然エネルギー利用</t>
    <rPh sb="0" eb="2">
      <t>シゼン</t>
    </rPh>
    <rPh sb="7" eb="9">
      <t>リヨウ</t>
    </rPh>
    <phoneticPr fontId="21"/>
  </si>
  <si>
    <t>採点シートの
採点結果</t>
    <rPh sb="0" eb="2">
      <t>サイテン</t>
    </rPh>
    <rPh sb="7" eb="9">
      <t>サイテン</t>
    </rPh>
    <rPh sb="9" eb="11">
      <t>ケッカ</t>
    </rPh>
    <phoneticPr fontId="21"/>
  </si>
  <si>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1"/>
  </si>
  <si>
    <t>Ａａ0</t>
    <phoneticPr fontId="21"/>
  </si>
  <si>
    <t>レベル４</t>
  </si>
  <si>
    <t>Ａａ4</t>
    <phoneticPr fontId="21"/>
  </si>
  <si>
    <t>Ａｂ0</t>
    <phoneticPr fontId="21"/>
  </si>
  <si>
    <t>Ａｂ4</t>
    <phoneticPr fontId="21"/>
  </si>
  <si>
    <t>Ｂａ0</t>
    <phoneticPr fontId="21"/>
  </si>
  <si>
    <t>Ｂａ4</t>
  </si>
  <si>
    <t>Ｂｂ0</t>
    <phoneticPr fontId="21"/>
  </si>
  <si>
    <t>Ｂｂ4</t>
    <phoneticPr fontId="21"/>
  </si>
  <si>
    <t>Ｃａ0</t>
    <phoneticPr fontId="21"/>
  </si>
  <si>
    <t>Ｃａ4</t>
    <phoneticPr fontId="21"/>
  </si>
  <si>
    <t>Ｃｂ0</t>
    <phoneticPr fontId="21"/>
  </si>
  <si>
    <t>Ｃｂ1</t>
    <phoneticPr fontId="21"/>
  </si>
  <si>
    <t>Ｃｂ4</t>
    <phoneticPr fontId="21"/>
  </si>
  <si>
    <t>■算定プログラムを使わない場合の評価　 (以下の３カ所を必ず選択して下さい）</t>
    <rPh sb="1" eb="3">
      <t>サンテイ</t>
    </rPh>
    <rPh sb="9" eb="10">
      <t>ツカ</t>
    </rPh>
    <rPh sb="13" eb="15">
      <t>バアイ</t>
    </rPh>
    <rPh sb="16" eb="18">
      <t>ヒョウカ</t>
    </rPh>
    <rPh sb="21" eb="23">
      <t>イカ</t>
    </rPh>
    <rPh sb="26" eb="27">
      <t>ショ</t>
    </rPh>
    <rPh sb="28" eb="29">
      <t>カナラ</t>
    </rPh>
    <rPh sb="30" eb="32">
      <t>センタク</t>
    </rPh>
    <rPh sb="34" eb="35">
      <t>クダ</t>
    </rPh>
    <phoneticPr fontId="21"/>
  </si>
  <si>
    <t>算定プログラムによる評価</t>
    <rPh sb="0" eb="2">
      <t>サンテイ</t>
    </rPh>
    <rPh sb="10" eb="12">
      <t>ヒョウカ</t>
    </rPh>
    <phoneticPr fontId="21"/>
  </si>
  <si>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</si>
  <si>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</si>
  <si>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</si>
  <si>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3"/>
  </si>
  <si>
    <t>ａ ：単位住戸全体を冷房する方式</t>
  </si>
  <si>
    <t>ｂ ：居室のみを冷房する方式（間歇運転）</t>
  </si>
  <si>
    <t>採点レベル</t>
    <rPh sb="0" eb="2">
      <t>サイテン</t>
    </rPh>
    <phoneticPr fontId="21"/>
  </si>
  <si>
    <t>合計</t>
    <rPh sb="0" eb="2">
      <t>ゴウケイ</t>
    </rPh>
    <phoneticPr fontId="21"/>
  </si>
  <si>
    <t>■</t>
    <phoneticPr fontId="21"/>
  </si>
  <si>
    <t>「－」の場合</t>
    <phoneticPr fontId="21"/>
  </si>
  <si>
    <t>BEIｍ=</t>
    <phoneticPr fontId="21"/>
  </si>
  <si>
    <t>BEIｍ（ｵﾝｻｲﾄ分含まない）=</t>
    <rPh sb="10" eb="11">
      <t>ブン</t>
    </rPh>
    <rPh sb="11" eb="12">
      <t>フク</t>
    </rPh>
    <phoneticPr fontId="21"/>
  </si>
  <si>
    <t>算定プログラムを使わない場合の評価</t>
    <rPh sb="0" eb="2">
      <t>サンテイ</t>
    </rPh>
    <rPh sb="8" eb="9">
      <t>ツカ</t>
    </rPh>
    <rPh sb="12" eb="14">
      <t>バアイ</t>
    </rPh>
    <rPh sb="15" eb="17">
      <t>ヒョウカ</t>
    </rPh>
    <phoneticPr fontId="21"/>
  </si>
  <si>
    <t>－</t>
  </si>
  <si>
    <t xml:space="preserve"> レベル1：  一次エネルギー消費率が130%以上　</t>
    <phoneticPr fontId="21"/>
  </si>
  <si>
    <t xml:space="preserve"> レベル2：  一次エネルギー消費率が120%</t>
    <phoneticPr fontId="21"/>
  </si>
  <si>
    <t xml:space="preserve"> レベル3：  一次エネルギー消費率が110%</t>
    <phoneticPr fontId="21"/>
  </si>
  <si>
    <t xml:space="preserve"> レベル5：  一次エネルギー消費率が90%以下
　　　　　　　（低炭素基準相当）</t>
    <phoneticPr fontId="21"/>
  </si>
  <si>
    <t xml:space="preserve"> レベル4：  一次エネルギー消費率が100%
                （H25基準相当）</t>
    <phoneticPr fontId="21"/>
  </si>
  <si>
    <t>3a.3b</t>
    <phoneticPr fontId="21"/>
  </si>
  <si>
    <t>3b.c</t>
    <phoneticPr fontId="21"/>
  </si>
  <si>
    <t>㎡</t>
    <phoneticPr fontId="21"/>
  </si>
  <si>
    <t>LR1/3c 仕様基準評価の場合のCO2排出量算出に用いる一次エネルギー消費量</t>
    <rPh sb="7" eb="9">
      <t>シヨウ</t>
    </rPh>
    <rPh sb="9" eb="11">
      <t>キジュン</t>
    </rPh>
    <rPh sb="11" eb="13">
      <t>ヒョウカ</t>
    </rPh>
    <rPh sb="14" eb="16">
      <t>バアイ</t>
    </rPh>
    <phoneticPr fontId="21"/>
  </si>
  <si>
    <t>LR1/3cの</t>
    <phoneticPr fontId="21"/>
  </si>
  <si>
    <t>LR1/2. 自然ｴﾈﾙｷﾞｰ利用</t>
    <rPh sb="7" eb="9">
      <t>シゼン</t>
    </rPh>
    <rPh sb="15" eb="17">
      <t>リヨウ</t>
    </rPh>
    <phoneticPr fontId="21"/>
  </si>
  <si>
    <t>図を貼り付けるときは</t>
    <rPh sb="0" eb="1">
      <t>ズ</t>
    </rPh>
    <rPh sb="2" eb="3">
      <t>ハ</t>
    </rPh>
    <rPh sb="4" eb="5">
      <t>ツ</t>
    </rPh>
    <phoneticPr fontId="21"/>
  </si>
  <si>
    <t>シートの保護を解除してください</t>
    <phoneticPr fontId="21"/>
  </si>
  <si>
    <t>1.05　＜ [BEIm値]　</t>
    <phoneticPr fontId="21"/>
  </si>
  <si>
    <t>対象外</t>
    <rPh sb="0" eb="3">
      <t>タイショウガイ</t>
    </rPh>
    <phoneticPr fontId="21"/>
  </si>
  <si>
    <t>用途別スコア入力</t>
    <rPh sb="0" eb="2">
      <t>ﾖｳﾄ</t>
    </rPh>
    <rPh sb="2" eb="3">
      <t>ﾍﾞﾂ</t>
    </rPh>
    <rPh sb="6" eb="8">
      <t>ﾆｭｳﾘｮｸ</t>
    </rPh>
    <phoneticPr fontId="34" type="noConversion"/>
  </si>
  <si>
    <t>事務所</t>
    <rPh sb="0" eb="2">
      <t>ｼﾞﾑ</t>
    </rPh>
    <rPh sb="2" eb="3">
      <t>ｼｮ</t>
    </rPh>
    <phoneticPr fontId="169" type="noConversion"/>
  </si>
  <si>
    <t>学校</t>
    <rPh sb="0" eb="2">
      <t>ｶﾞｯｺｳ</t>
    </rPh>
    <phoneticPr fontId="169" type="noConversion"/>
  </si>
  <si>
    <t>物販店</t>
    <rPh sb="0" eb="1">
      <t>ﾌﾞﾂ</t>
    </rPh>
    <rPh sb="1" eb="2">
      <t>ﾊﾝ</t>
    </rPh>
    <rPh sb="2" eb="3">
      <t>ﾃﾝ</t>
    </rPh>
    <phoneticPr fontId="169" type="noConversion"/>
  </si>
  <si>
    <t>飲食店</t>
    <rPh sb="0" eb="2">
      <t>ｲﾝｼｮｸ</t>
    </rPh>
    <rPh sb="2" eb="3">
      <t>ﾐｾ</t>
    </rPh>
    <phoneticPr fontId="169" type="noConversion"/>
  </si>
  <si>
    <t>集会所</t>
    <rPh sb="0" eb="3">
      <t>ｼｭｳｶｲｼﾞｮ</t>
    </rPh>
    <phoneticPr fontId="169" type="noConversion"/>
  </si>
  <si>
    <t>工場</t>
    <rPh sb="0" eb="2">
      <t>ｺｳｼﾞｮｳ</t>
    </rPh>
    <phoneticPr fontId="169" type="noConversion"/>
  </si>
  <si>
    <t>病院</t>
    <rPh sb="0" eb="2">
      <t>ﾋﾞｮｳｲﾝ</t>
    </rPh>
    <phoneticPr fontId="169" type="noConversion"/>
  </si>
  <si>
    <t>集合住宅</t>
    <rPh sb="0" eb="2">
      <t>ｼｭｳｺﾞｳ</t>
    </rPh>
    <rPh sb="2" eb="4">
      <t>ｼﾞｭｳﾀｸ</t>
    </rPh>
    <phoneticPr fontId="169" type="noConversion"/>
  </si>
  <si>
    <t>面積加重</t>
    <rPh sb="0" eb="2">
      <t>メンセキ</t>
    </rPh>
    <rPh sb="2" eb="4">
      <t>カジュウ</t>
    </rPh>
    <phoneticPr fontId="21"/>
  </si>
  <si>
    <t>評価点</t>
    <rPh sb="0" eb="2">
      <t>ヒョウカ</t>
    </rPh>
    <rPh sb="2" eb="3">
      <t>テン</t>
    </rPh>
    <phoneticPr fontId="21"/>
  </si>
  <si>
    <t>学校
(小中高)</t>
    <rPh sb="0" eb="2">
      <t>ガッコウ</t>
    </rPh>
    <phoneticPr fontId="21"/>
  </si>
  <si>
    <t>（１）　設計仕様に基づく評価の補正</t>
    <phoneticPr fontId="21"/>
  </si>
  <si>
    <t>（２）　実測結果に基づく評価</t>
    <phoneticPr fontId="21"/>
  </si>
  <si>
    <r>
      <t xml:space="preserve">1. </t>
    </r>
    <r>
      <rPr>
        <b/>
        <sz val="10"/>
        <rFont val="ＭＳ Ｐゴシック"/>
        <family val="3"/>
        <charset val="128"/>
      </rPr>
      <t>エネルギー消費量実績の入力</t>
    </r>
    <rPh sb="8" eb="11">
      <t>ショウヒリョウ</t>
    </rPh>
    <rPh sb="11" eb="13">
      <t>ジッセキ</t>
    </rPh>
    <rPh sb="14" eb="16">
      <t>ニュウリョク</t>
    </rPh>
    <phoneticPr fontId="21"/>
  </si>
  <si>
    <t>GJ/年</t>
    <phoneticPr fontId="21"/>
  </si>
  <si>
    <t>2)　除外部分の入力</t>
    <phoneticPr fontId="21"/>
  </si>
  <si>
    <t>室用途</t>
    <rPh sb="0" eb="1">
      <t>シツ</t>
    </rPh>
    <rPh sb="1" eb="3">
      <t>ヨウト</t>
    </rPh>
    <phoneticPr fontId="21"/>
  </si>
  <si>
    <t>エネルギー消費量</t>
    <rPh sb="5" eb="7">
      <t>ショウヒ</t>
    </rPh>
    <rPh sb="7" eb="8">
      <t>リョウ</t>
    </rPh>
    <phoneticPr fontId="21"/>
  </si>
  <si>
    <t>電算室</t>
    <rPh sb="0" eb="3">
      <t>デンサンシツ</t>
    </rPh>
    <phoneticPr fontId="21"/>
  </si>
  <si>
    <t>3)　評価対象となるエネルギー消費量</t>
    <rPh sb="3" eb="5">
      <t>ヒョウカ</t>
    </rPh>
    <rPh sb="5" eb="7">
      <t>タイショウ</t>
    </rPh>
    <rPh sb="15" eb="18">
      <t>ショウヒリョウ</t>
    </rPh>
    <phoneticPr fontId="21"/>
  </si>
  <si>
    <t>2.　使用状況に準じた延床面積の構成比率の入力</t>
    <rPh sb="3" eb="5">
      <t>シヨウ</t>
    </rPh>
    <rPh sb="5" eb="7">
      <t>ジョウキョウ</t>
    </rPh>
    <rPh sb="8" eb="9">
      <t>ジュン</t>
    </rPh>
    <rPh sb="11" eb="13">
      <t>ノベユカ</t>
    </rPh>
    <rPh sb="13" eb="15">
      <t>メンセキ</t>
    </rPh>
    <rPh sb="16" eb="18">
      <t>コウセイ</t>
    </rPh>
    <rPh sb="18" eb="20">
      <t>ヒリツ</t>
    </rPh>
    <rPh sb="21" eb="23">
      <t>ニュウリョク</t>
    </rPh>
    <phoneticPr fontId="21"/>
  </si>
  <si>
    <t>　　　　3.　地区の選択</t>
    <rPh sb="7" eb="9">
      <t>チク</t>
    </rPh>
    <rPh sb="10" eb="12">
      <t>センタク</t>
    </rPh>
    <phoneticPr fontId="21"/>
  </si>
  <si>
    <t>関東</t>
    <rPh sb="0" eb="2">
      <t>カントウ</t>
    </rPh>
    <phoneticPr fontId="21"/>
  </si>
  <si>
    <t>1)　実績評価の対象面積</t>
    <rPh sb="3" eb="5">
      <t>ジッセキ</t>
    </rPh>
    <rPh sb="5" eb="7">
      <t>ヒョウカ</t>
    </rPh>
    <rPh sb="8" eb="10">
      <t>タイショウ</t>
    </rPh>
    <rPh sb="10" eb="12">
      <t>メンセキ</t>
    </rPh>
    <phoneticPr fontId="21"/>
  </si>
  <si>
    <t>2)　延床面積の構成比率入力</t>
    <rPh sb="3" eb="7">
      <t>ノベユカメンセキ</t>
    </rPh>
    <rPh sb="8" eb="10">
      <t>コウセイ</t>
    </rPh>
    <rPh sb="10" eb="12">
      <t>ヒリツ</t>
    </rPh>
    <rPh sb="12" eb="14">
      <t>ニュウリョク</t>
    </rPh>
    <phoneticPr fontId="21"/>
  </si>
  <si>
    <t>地区選択に基づく境界値aおよびb</t>
    <rPh sb="0" eb="2">
      <t>チク</t>
    </rPh>
    <rPh sb="2" eb="4">
      <t>センタク</t>
    </rPh>
    <rPh sb="5" eb="6">
      <t>モト</t>
    </rPh>
    <rPh sb="8" eb="10">
      <t>キョウカイ</t>
    </rPh>
    <rPh sb="10" eb="11">
      <t>チ</t>
    </rPh>
    <phoneticPr fontId="21"/>
  </si>
  <si>
    <t>用途別面積(㎡)</t>
    <rPh sb="0" eb="2">
      <t>ヨウト</t>
    </rPh>
    <rPh sb="2" eb="3">
      <t>ベツ</t>
    </rPh>
    <rPh sb="3" eb="5">
      <t>メンセキ</t>
    </rPh>
    <phoneticPr fontId="21"/>
  </si>
  <si>
    <t>構成比率</t>
    <rPh sb="0" eb="2">
      <t>コウセイ</t>
    </rPh>
    <rPh sb="2" eb="4">
      <t>ヒリツ</t>
    </rPh>
    <phoneticPr fontId="21"/>
  </si>
  <si>
    <t>境界値a</t>
    <phoneticPr fontId="21"/>
  </si>
  <si>
    <t>境界値b</t>
    <phoneticPr fontId="21"/>
  </si>
  <si>
    <t>電算･情報センター</t>
    <rPh sb="0" eb="2">
      <t>デンサン</t>
    </rPh>
    <rPh sb="3" eb="5">
      <t>ジョウホウ</t>
    </rPh>
    <phoneticPr fontId="21"/>
  </si>
  <si>
    <t>官公庁</t>
    <rPh sb="0" eb="3">
      <t>カンコウチョウ</t>
    </rPh>
    <phoneticPr fontId="21"/>
  </si>
  <si>
    <t>幼稚園・保育園</t>
    <rPh sb="0" eb="3">
      <t>ヨウチエン</t>
    </rPh>
    <rPh sb="4" eb="7">
      <t>ホイクエン</t>
    </rPh>
    <phoneticPr fontId="21"/>
  </si>
  <si>
    <t>小・中学校</t>
    <rPh sb="0" eb="1">
      <t>ショウ</t>
    </rPh>
    <rPh sb="2" eb="3">
      <t>チュウ</t>
    </rPh>
    <rPh sb="3" eb="5">
      <t>ガッコウ</t>
    </rPh>
    <phoneticPr fontId="21"/>
  </si>
  <si>
    <t>高等学校</t>
    <rPh sb="0" eb="2">
      <t>コウトウ</t>
    </rPh>
    <rPh sb="2" eb="4">
      <t>ガッコウ</t>
    </rPh>
    <phoneticPr fontId="21"/>
  </si>
  <si>
    <t>大学・専門学校</t>
    <rPh sb="0" eb="2">
      <t>ダイガク</t>
    </rPh>
    <rPh sb="3" eb="5">
      <t>センモン</t>
    </rPh>
    <rPh sb="5" eb="7">
      <t>ガッコウ</t>
    </rPh>
    <phoneticPr fontId="21"/>
  </si>
  <si>
    <t>研究機関</t>
    <rPh sb="0" eb="2">
      <t>ケンキュウ</t>
    </rPh>
    <rPh sb="2" eb="4">
      <t>キカン</t>
    </rPh>
    <phoneticPr fontId="21"/>
  </si>
  <si>
    <t>ﾃﾞﾊﾟｰﾄ･ｽｰﾊﾟｰ</t>
    <phoneticPr fontId="21"/>
  </si>
  <si>
    <t>物販店</t>
    <phoneticPr fontId="21"/>
  </si>
  <si>
    <t>飲食店</t>
    <phoneticPr fontId="21"/>
  </si>
  <si>
    <t>劇場・ホール</t>
    <rPh sb="0" eb="2">
      <t>ゲキジョウ</t>
    </rPh>
    <phoneticPr fontId="21"/>
  </si>
  <si>
    <t>展示施設</t>
    <rPh sb="0" eb="2">
      <t>テンジ</t>
    </rPh>
    <rPh sb="2" eb="4">
      <t>シセツ</t>
    </rPh>
    <phoneticPr fontId="21"/>
  </si>
  <si>
    <t>スポーツ施設</t>
    <rPh sb="4" eb="6">
      <t>シセツ</t>
    </rPh>
    <phoneticPr fontId="21"/>
  </si>
  <si>
    <t>福祉施設</t>
    <rPh sb="0" eb="2">
      <t>フクシ</t>
    </rPh>
    <rPh sb="2" eb="4">
      <t>シセツ</t>
    </rPh>
    <phoneticPr fontId="21"/>
  </si>
  <si>
    <t>ホテル</t>
    <phoneticPr fontId="21"/>
  </si>
  <si>
    <t>ホテル</t>
    <phoneticPr fontId="21"/>
  </si>
  <si>
    <t>（メインシートより）</t>
    <phoneticPr fontId="21"/>
  </si>
  <si>
    <t>4.　エネルギー消費実績に基づくレベルの上下</t>
    <rPh sb="20" eb="22">
      <t>ジョウゲ</t>
    </rPh>
    <phoneticPr fontId="21"/>
  </si>
  <si>
    <t>㎡</t>
    <phoneticPr fontId="21"/>
  </si>
  <si>
    <t>2)　延床面積あたりのエネルギー消費量実績　</t>
    <rPh sb="3" eb="5">
      <t>ノベユカ</t>
    </rPh>
    <rPh sb="5" eb="7">
      <t>メンセキ</t>
    </rPh>
    <rPh sb="16" eb="18">
      <t>ショウヒ</t>
    </rPh>
    <rPh sb="18" eb="19">
      <t>リョウ</t>
    </rPh>
    <rPh sb="19" eb="21">
      <t>ジッセキ</t>
    </rPh>
    <phoneticPr fontId="21"/>
  </si>
  <si>
    <t>MJ/㎡年</t>
    <phoneticPr fontId="21"/>
  </si>
  <si>
    <t>3)　境界値</t>
    <rPh sb="3" eb="5">
      <t>キョウカイ</t>
    </rPh>
    <rPh sb="5" eb="6">
      <t>チ</t>
    </rPh>
    <phoneticPr fontId="21"/>
  </si>
  <si>
    <t>境界値 a</t>
    <rPh sb="0" eb="2">
      <t>キョウカイ</t>
    </rPh>
    <rPh sb="2" eb="3">
      <t>チ</t>
    </rPh>
    <phoneticPr fontId="21"/>
  </si>
  <si>
    <t>境界値 b</t>
    <rPh sb="0" eb="2">
      <t>キョウカイ</t>
    </rPh>
    <rPh sb="2" eb="3">
      <t>チ</t>
    </rPh>
    <phoneticPr fontId="21"/>
  </si>
  <si>
    <t>MJ/㎡年</t>
    <phoneticPr fontId="21"/>
  </si>
  <si>
    <t>4)　エネルギー消費実績に基づくレベルの上下</t>
    <rPh sb="8" eb="10">
      <t>ショウヒ</t>
    </rPh>
    <rPh sb="10" eb="12">
      <t>ジッセキ</t>
    </rPh>
    <rPh sb="13" eb="14">
      <t>モト</t>
    </rPh>
    <rPh sb="20" eb="22">
      <t>ジョウゲ</t>
    </rPh>
    <phoneticPr fontId="21"/>
  </si>
  <si>
    <t>■エネルギー消費実績に基づく加点・減点の判断基準値　[MJ/㎡年]</t>
    <rPh sb="6" eb="8">
      <t>ショウヒ</t>
    </rPh>
    <rPh sb="8" eb="10">
      <t>ジッセキ</t>
    </rPh>
    <rPh sb="11" eb="12">
      <t>モト</t>
    </rPh>
    <rPh sb="14" eb="16">
      <t>カテン</t>
    </rPh>
    <rPh sb="17" eb="19">
      <t>ゲンテン</t>
    </rPh>
    <rPh sb="20" eb="22">
      <t>ハンダン</t>
    </rPh>
    <rPh sb="22" eb="24">
      <t>キジュン</t>
    </rPh>
    <rPh sb="24" eb="25">
      <t>チ</t>
    </rPh>
    <rPh sb="31" eb="32">
      <t>ネン</t>
    </rPh>
    <phoneticPr fontId="21"/>
  </si>
  <si>
    <t>境界値a</t>
    <rPh sb="0" eb="2">
      <t>キョウカイ</t>
    </rPh>
    <rPh sb="2" eb="3">
      <t>チ</t>
    </rPh>
    <phoneticPr fontId="21"/>
  </si>
  <si>
    <t>東北</t>
    <rPh sb="0" eb="2">
      <t>トウホク</t>
    </rPh>
    <phoneticPr fontId="21"/>
  </si>
  <si>
    <t>中部</t>
    <rPh sb="0" eb="2">
      <t>チュウブ</t>
    </rPh>
    <phoneticPr fontId="21"/>
  </si>
  <si>
    <t>関西</t>
    <rPh sb="0" eb="2">
      <t>カンサイ</t>
    </rPh>
    <phoneticPr fontId="21"/>
  </si>
  <si>
    <t>中国・四国</t>
    <rPh sb="0" eb="2">
      <t>チュウゴク</t>
    </rPh>
    <rPh sb="3" eb="5">
      <t>シコク</t>
    </rPh>
    <phoneticPr fontId="21"/>
  </si>
  <si>
    <t>九州</t>
    <rPh sb="0" eb="2">
      <t>キュウシュウ</t>
    </rPh>
    <phoneticPr fontId="21"/>
  </si>
  <si>
    <t>a</t>
    <phoneticPr fontId="21"/>
  </si>
  <si>
    <t>b</t>
    <phoneticPr fontId="21"/>
  </si>
  <si>
    <t>c</t>
    <phoneticPr fontId="21"/>
  </si>
  <si>
    <t>d</t>
    <phoneticPr fontId="21"/>
  </si>
  <si>
    <t>e</t>
    <phoneticPr fontId="21"/>
  </si>
  <si>
    <t>f</t>
    <phoneticPr fontId="21"/>
  </si>
  <si>
    <t>g</t>
    <phoneticPr fontId="21"/>
  </si>
  <si>
    <t>ﾃﾞﾊﾟｰﾄ･ｽｰﾊﾟｰ</t>
    <phoneticPr fontId="21"/>
  </si>
  <si>
    <t>物販店</t>
    <phoneticPr fontId="21"/>
  </si>
  <si>
    <t>飲食店</t>
    <phoneticPr fontId="21"/>
  </si>
  <si>
    <t>境界値b</t>
    <phoneticPr fontId="21"/>
  </si>
  <si>
    <t>f</t>
    <phoneticPr fontId="21"/>
  </si>
  <si>
    <t>g</t>
    <phoneticPr fontId="21"/>
  </si>
  <si>
    <t>e</t>
  </si>
  <si>
    <t>c</t>
  </si>
  <si>
    <t>g</t>
  </si>
  <si>
    <t>f</t>
  </si>
  <si>
    <t>d</t>
  </si>
  <si>
    <t>b</t>
  </si>
  <si>
    <t>a</t>
  </si>
  <si>
    <t>45＜ [騒音レベル]
（やや騒音を感じる）</t>
    <phoneticPr fontId="21"/>
  </si>
  <si>
    <t>50＜ [騒音レベル]
（騒音を感じる）</t>
    <phoneticPr fontId="21"/>
  </si>
  <si>
    <t>45＜ [騒音レベル] ≦50
（やや騒音を感じる）</t>
    <phoneticPr fontId="21"/>
  </si>
  <si>
    <t>40＜ [騒音レベル] ≦45
（特に気にならない）</t>
    <phoneticPr fontId="21"/>
  </si>
  <si>
    <t>55＜ [騒音レベル]
（騒音を無視できない）</t>
    <phoneticPr fontId="21"/>
  </si>
  <si>
    <t>40＜ [騒音レベル]
（特に気にならない）</t>
    <phoneticPr fontId="21"/>
  </si>
  <si>
    <t>50＜ [騒音レベル] ≦55
（騒音を感じる）</t>
    <phoneticPr fontId="21"/>
  </si>
  <si>
    <t>35＜ [騒音レベル] ≦40
（静か）</t>
    <phoneticPr fontId="21"/>
  </si>
  <si>
    <t>45＜ [騒音レベル]　（やや騒音を感じる）</t>
    <phoneticPr fontId="21"/>
  </si>
  <si>
    <t>40＜ [騒音レベル] ≦45　（特に気にならない）</t>
    <phoneticPr fontId="21"/>
  </si>
  <si>
    <t xml:space="preserve">隣戸の生活がかなり分かる。 </t>
    <phoneticPr fontId="21"/>
  </si>
  <si>
    <t>隣戸住宅の生活がわかるがあまり気にならない。</t>
    <phoneticPr fontId="21"/>
  </si>
  <si>
    <t>隣戸の気配を感じない。</t>
    <phoneticPr fontId="21"/>
  </si>
  <si>
    <t>人の話し声が気になる。(Dr-30未満)</t>
    <phoneticPr fontId="21"/>
  </si>
  <si>
    <t>会話等の話の内容がわかる。(Dr-35未満)</t>
    <phoneticPr fontId="21"/>
  </si>
  <si>
    <t>(Dr-30)</t>
    <phoneticPr fontId="21"/>
  </si>
  <si>
    <t>(Dr-35)</t>
    <phoneticPr fontId="21"/>
  </si>
  <si>
    <t>人の話し声が気にならない。(Dr-35)</t>
    <phoneticPr fontId="21"/>
  </si>
  <si>
    <t>会話等の一般の発生音が小さく聞える。(Dr-40)</t>
    <phoneticPr fontId="21"/>
  </si>
  <si>
    <t>(Dr-40)</t>
    <phoneticPr fontId="21"/>
  </si>
  <si>
    <t>(Dr-45)　　　</t>
    <phoneticPr fontId="21"/>
  </si>
  <si>
    <t>人の話し声がほとんど聞こえない。(Dr-45以上)</t>
    <phoneticPr fontId="21"/>
  </si>
  <si>
    <t>会話等の一般の発生音がほとんど聞えない。(Dr-50以上)</t>
    <phoneticPr fontId="21"/>
  </si>
  <si>
    <t>隣戸の生活がかなり分かる。 (Dr-40未満)</t>
    <phoneticPr fontId="21"/>
  </si>
  <si>
    <t>隣戸住宅の生活がわかるがあまり気にならない。(Dr-45)</t>
    <phoneticPr fontId="21"/>
  </si>
  <si>
    <t>(Dr-50)</t>
    <phoneticPr fontId="21"/>
  </si>
  <si>
    <t>隣戸の気配を感じない。(Dr-55以上)</t>
    <phoneticPr fontId="21"/>
  </si>
  <si>
    <t>住</t>
    <phoneticPr fontId="21"/>
  </si>
  <si>
    <t>(Lr-65)</t>
    <phoneticPr fontId="21"/>
  </si>
  <si>
    <t>(Lr-55)</t>
    <phoneticPr fontId="21"/>
  </si>
  <si>
    <t>(Lr-55)</t>
    <phoneticPr fontId="21"/>
  </si>
  <si>
    <t>(Lr-45)</t>
    <phoneticPr fontId="21"/>
  </si>
  <si>
    <t>人のとびはねや走り回る音はうるさい。（Lr-65より悪い）</t>
  </si>
  <si>
    <t>（Lr-65）</t>
  </si>
  <si>
    <t>人のとびはねや走り回る音はよく聞こえる。（Lr-60）</t>
  </si>
  <si>
    <t>（Lr-55）</t>
  </si>
  <si>
    <t>人のとびはねや走り回る音は小さく聞こえる。（Lr-50 またはそれより良い）</t>
  </si>
  <si>
    <t>人のとびはねや走り回る音がかなり気になる。（Lr-60より悪い）</t>
  </si>
  <si>
    <t>（Lr-60）</t>
  </si>
  <si>
    <t>人のとびはねや走り回る音が聞こえる。（Lr-55）</t>
  </si>
  <si>
    <t>（Lr-50）</t>
  </si>
  <si>
    <t>人のとびはねや走り回る音が聞こえるが意識することはあまりない。（Lr-45 またはそれより良い）</t>
    <phoneticPr fontId="21"/>
  </si>
  <si>
    <t>冷房期：22℃未満　又は　28℃以上の範囲にある。
中間期：21℃未満　又は　27℃以上の範囲にある。
暖房期：20℃以下　又は　26℃より高い範囲にある。</t>
    <phoneticPr fontId="21"/>
  </si>
  <si>
    <t>冷房期：22℃未満　又は　29℃以上の範囲にある。
中間期：20℃未満　又は　28℃以上の範囲にある。
暖房期：18℃以下　又は　27℃より高い範囲にある。</t>
    <phoneticPr fontId="21"/>
  </si>
  <si>
    <t>レベル3を満たさない。</t>
  </si>
  <si>
    <t>冷房期：22℃未満　又は　28℃以上の範囲にある。
中間期：20℃未満　又は　27℃以上の範囲にある。
暖房期：18℃以下　又は　26℃より高い範囲にある。</t>
    <phoneticPr fontId="21"/>
  </si>
  <si>
    <t>(該当するレベルなし)</t>
    <phoneticPr fontId="21"/>
  </si>
  <si>
    <t>冷房期：20℃未満　又は　30℃以上の範囲にある。
中間期：19℃未満　又は　29℃以上の範囲にある。
暖房期：18℃以下　又は　28℃より高い範囲にある。</t>
    <phoneticPr fontId="21"/>
  </si>
  <si>
    <t>事･学(大学等)･物･飲･会･病･ホ･工･住</t>
    <rPh sb="0" eb="1">
      <t>コト</t>
    </rPh>
    <rPh sb="2" eb="3">
      <t>ガク</t>
    </rPh>
    <rPh sb="4" eb="7">
      <t>ダイガクナド</t>
    </rPh>
    <rPh sb="9" eb="10">
      <t>モノ</t>
    </rPh>
    <rPh sb="11" eb="12">
      <t>イン</t>
    </rPh>
    <rPh sb="13" eb="14">
      <t>カイ</t>
    </rPh>
    <rPh sb="15" eb="16">
      <t>ヤマイ</t>
    </rPh>
    <rPh sb="19" eb="20">
      <t>コウ</t>
    </rPh>
    <rPh sb="21" eb="22">
      <t>ジュウ</t>
    </rPh>
    <phoneticPr fontId="21"/>
  </si>
  <si>
    <t>レベル３を満たさない。</t>
    <phoneticPr fontId="21"/>
  </si>
  <si>
    <t>物・飲・病（待・診）・ホ・住</t>
    <rPh sb="2" eb="3">
      <t>イン</t>
    </rPh>
    <rPh sb="4" eb="5">
      <t>ビョウ</t>
    </rPh>
    <rPh sb="13" eb="14">
      <t>ジュウ</t>
    </rPh>
    <phoneticPr fontId="21"/>
  </si>
  <si>
    <t>事・学(大学等)・物・飲・会・病・ホ・工・住</t>
    <rPh sb="2" eb="3">
      <t>ガク</t>
    </rPh>
    <rPh sb="11" eb="12">
      <t>イン</t>
    </rPh>
    <rPh sb="13" eb="14">
      <t>カイ</t>
    </rPh>
    <rPh sb="21" eb="22">
      <t>ジュウ</t>
    </rPh>
    <phoneticPr fontId="21"/>
  </si>
  <si>
    <t>レベル３を満たさない。</t>
    <phoneticPr fontId="21"/>
  </si>
  <si>
    <t>ホルムアルデヒド濃度が75μg/m3以下。</t>
    <phoneticPr fontId="21"/>
  </si>
  <si>
    <t>ホルムアルデヒド濃度が50μg/m3以下。</t>
    <phoneticPr fontId="21"/>
  </si>
  <si>
    <t>レベル３を満たさない</t>
    <phoneticPr fontId="21"/>
  </si>
  <si>
    <t>［二酸化炭素］≦1,500 ppm</t>
    <phoneticPr fontId="21"/>
  </si>
  <si>
    <t>［二酸化炭素］≦　600 ppm</t>
    <phoneticPr fontId="21"/>
  </si>
  <si>
    <t>レベル３を満たさない</t>
  </si>
  <si>
    <t>病・ホ</t>
    <phoneticPr fontId="21"/>
  </si>
  <si>
    <t>評価内容</t>
    <phoneticPr fontId="21"/>
  </si>
  <si>
    <t>1) 業務仕様</t>
    <phoneticPr fontId="21"/>
  </si>
  <si>
    <t>清掃管理および設備管理仕様書の基本方針において環境配慮を明示している。</t>
  </si>
  <si>
    <r>
      <t>2)</t>
    </r>
    <r>
      <rPr>
        <sz val="9"/>
        <rFont val="ＭＳ Ｐゴシック"/>
        <family val="3"/>
        <charset val="128"/>
      </rPr>
      <t xml:space="preserve"> 契約形態</t>
    </r>
    <phoneticPr fontId="21"/>
  </si>
  <si>
    <t>安定した品質を維持するために業務契約期間を2年以上としている。</t>
  </si>
  <si>
    <r>
      <t>3)</t>
    </r>
    <r>
      <rPr>
        <sz val="9"/>
        <rFont val="ＭＳ Ｐゴシック"/>
        <family val="3"/>
        <charset val="128"/>
      </rPr>
      <t xml:space="preserve"> 業務手順</t>
    </r>
    <phoneticPr fontId="21"/>
  </si>
  <si>
    <t>清掃管理と設備管理における業務標準手順書を用意している。</t>
  </si>
  <si>
    <t>4) インスペクション</t>
    <phoneticPr fontId="21"/>
  </si>
  <si>
    <t>清掃および設備の維持管理状態のインスペクション記録がある。</t>
  </si>
  <si>
    <r>
      <t>5)</t>
    </r>
    <r>
      <rPr>
        <sz val="9"/>
        <rFont val="ＭＳ Ｐゴシック"/>
        <family val="3"/>
        <charset val="128"/>
      </rPr>
      <t xml:space="preserve"> 計画</t>
    </r>
    <phoneticPr fontId="21"/>
  </si>
  <si>
    <t>外気に接するガラス･照明の清掃を含めた計画書がある。</t>
  </si>
  <si>
    <r>
      <t>6)</t>
    </r>
    <r>
      <rPr>
        <sz val="9"/>
        <rFont val="ＭＳ Ｐゴシック"/>
        <family val="3"/>
        <charset val="128"/>
      </rPr>
      <t xml:space="preserve"> 業務員への教育</t>
    </r>
    <phoneticPr fontId="21"/>
  </si>
  <si>
    <t>年1回以上の環境等をテーマにしたトレーニングの計画と記録がある。</t>
  </si>
  <si>
    <t>7) EMS</t>
    <phoneticPr fontId="21"/>
  </si>
  <si>
    <t>管理者が外部評価による環境マネジメントシステム(EMS)の認証を得ている。</t>
  </si>
  <si>
    <r>
      <t>1)</t>
    </r>
    <r>
      <rPr>
        <sz val="9"/>
        <rFont val="ＭＳ Ｐゴシック"/>
        <family val="3"/>
        <charset val="128"/>
      </rPr>
      <t xml:space="preserve"> 頻度</t>
    </r>
    <phoneticPr fontId="21"/>
  </si>
  <si>
    <t>施設清掃や設備点検･清掃の箇所別頻度の設定がなされている。</t>
  </si>
  <si>
    <r>
      <t>2)</t>
    </r>
    <r>
      <rPr>
        <sz val="9"/>
        <rFont val="ＭＳ Ｐゴシック"/>
        <family val="3"/>
        <charset val="128"/>
      </rPr>
      <t xml:space="preserve"> 役割</t>
    </r>
    <phoneticPr fontId="21"/>
  </si>
  <si>
    <t>施設清掃と設備点検･清掃における各責任者･委託先が決められている。</t>
  </si>
  <si>
    <r>
      <t>3)</t>
    </r>
    <r>
      <rPr>
        <sz val="9"/>
        <rFont val="ＭＳ Ｐゴシック"/>
        <family val="3"/>
        <charset val="128"/>
      </rPr>
      <t xml:space="preserve"> 手順</t>
    </r>
    <phoneticPr fontId="21"/>
  </si>
  <si>
    <t>施設清掃と設備点検･清掃における作業手順書やマニュアルを用意している。</t>
  </si>
  <si>
    <r>
      <t>4)</t>
    </r>
    <r>
      <rPr>
        <sz val="9"/>
        <rFont val="ＭＳ Ｐゴシック"/>
        <family val="3"/>
        <charset val="128"/>
      </rPr>
      <t xml:space="preserve"> 点検</t>
    </r>
    <phoneticPr fontId="21"/>
  </si>
  <si>
    <t>施設清掃と設備点検･清掃の点検記録がある。</t>
  </si>
  <si>
    <r>
      <t>5)</t>
    </r>
    <r>
      <rPr>
        <sz val="9"/>
        <rFont val="ＭＳ Ｐゴシック"/>
        <family val="3"/>
        <charset val="128"/>
      </rPr>
      <t xml:space="preserve"> 実施</t>
    </r>
    <phoneticPr fontId="21"/>
  </si>
  <si>
    <t>施設清掃や設備点検･清掃の実施記録がある。</t>
  </si>
  <si>
    <r>
      <t>6)</t>
    </r>
    <r>
      <rPr>
        <sz val="9"/>
        <rFont val="ＭＳ Ｐゴシック"/>
        <family val="3"/>
        <charset val="128"/>
      </rPr>
      <t xml:space="preserve"> 共有</t>
    </r>
    <phoneticPr fontId="21"/>
  </si>
  <si>
    <t>施設清掃と設備点検･清掃の点検結果を共有する機会を設けている。</t>
  </si>
  <si>
    <t>ある程度の長さのエントランスマットを設置している。</t>
    <phoneticPr fontId="21"/>
  </si>
  <si>
    <t>① 清掃業務において効果的な方法を採用している。</t>
    <phoneticPr fontId="21"/>
  </si>
  <si>
    <t>② 清掃業務において環境影響の少ない方法を採用している。</t>
    <phoneticPr fontId="21"/>
  </si>
  <si>
    <t>② 希釈をする洗浄剤の希釈方法を明記している。</t>
    <phoneticPr fontId="21"/>
  </si>
  <si>
    <t>② 清掃資材専用の保管スペースがある。</t>
    <phoneticPr fontId="21"/>
  </si>
  <si>
    <t>① トイレ清掃では除菌剤配合洗剤を使用している。</t>
    <phoneticPr fontId="21"/>
  </si>
  <si>
    <t>② 感染防止を考慮した嘔吐物の処理方法がある。</t>
    <phoneticPr fontId="21"/>
  </si>
  <si>
    <t>評価内容</t>
    <phoneticPr fontId="21"/>
  </si>
  <si>
    <t>水素イオン濃度（pH）</t>
  </si>
  <si>
    <t>原液＝pH5～pH9である事。</t>
  </si>
  <si>
    <t>ⅰ 床用保護剤</t>
  </si>
  <si>
    <t>厚生労働省策定の「室内濃度に関する指針値」対象物質である揮発性有機化合物(VOC)を原料に含まない事。</t>
  </si>
  <si>
    <t>LD50：＞2,000mg/kgである事。</t>
  </si>
  <si>
    <t>ⅱ 床用洗浄剤
ⅲ トイレ用洗浄剤
ⅳ ガラス用洗浄剤</t>
    <phoneticPr fontId="21"/>
  </si>
  <si>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</si>
  <si>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</si>
  <si>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建築物衛生法における特定建築物に該当しない建築物</t>
    <phoneticPr fontId="21"/>
  </si>
  <si>
    <t>空調管理は何も実施していない。</t>
    <phoneticPr fontId="21"/>
  </si>
  <si>
    <t>ねずみ等の点検・防除は何も実施していない。</t>
    <phoneticPr fontId="21"/>
  </si>
  <si>
    <t>給水・給湯管理（飲用・炊事用・浴用等）は何も実施していない。</t>
    <phoneticPr fontId="21"/>
  </si>
  <si>
    <t>合計＝</t>
    <phoneticPr fontId="21"/>
  </si>
  <si>
    <t>ポイント</t>
    <phoneticPr fontId="21"/>
  </si>
  <si>
    <t>-1（レベル2）</t>
    <phoneticPr fontId="21"/>
  </si>
  <si>
    <t>レベル3を満たさない。</t>
    <rPh sb="5" eb="6">
      <t>ミ</t>
    </rPh>
    <phoneticPr fontId="21"/>
  </si>
  <si>
    <t>Is値＝0.6以上　または　建築基準法に定められた耐震性を有する。</t>
    <phoneticPr fontId="21"/>
  </si>
  <si>
    <t>Is値=0.7以上　または　建築基準法に定められた25％増の耐震性を有する。</t>
    <phoneticPr fontId="21"/>
  </si>
  <si>
    <t>建築基準法に定められた50％増の耐震性を有する。あるいは損傷制御設計が行われている。</t>
    <phoneticPr fontId="21"/>
  </si>
  <si>
    <t>レベル2を満たさない。</t>
    <rPh sb="5" eb="6">
      <t>ミ</t>
    </rPh>
    <phoneticPr fontId="21"/>
  </si>
  <si>
    <t>主要機器は耐用年数以内である。</t>
    <phoneticPr fontId="21"/>
  </si>
  <si>
    <t>主要機器は耐用年数以内である。</t>
    <phoneticPr fontId="21"/>
  </si>
  <si>
    <t>I 生物資源の保存</t>
    <phoneticPr fontId="21"/>
  </si>
  <si>
    <t>1) 地域の生態系にとって有益な生物資源を保存している。</t>
    <phoneticPr fontId="21"/>
  </si>
  <si>
    <t>II 緑の量の確保</t>
    <phoneticPr fontId="21"/>
  </si>
  <si>
    <t>III 緑の質の維持</t>
    <phoneticPr fontId="21"/>
  </si>
  <si>
    <t>1)自生種の保全に配慮した緑地が形成されている。</t>
    <phoneticPr fontId="21"/>
  </si>
  <si>
    <t>2)敷地や建物の植栽条件に応じた適切な緑地が形成されている。</t>
    <phoneticPr fontId="21"/>
  </si>
  <si>
    <t>3)野生小動物の生息域の確保に配慮した緑地が形成されている。</t>
    <phoneticPr fontId="21"/>
  </si>
  <si>
    <t>IV 生物資源の管理と利用</t>
    <phoneticPr fontId="21"/>
  </si>
  <si>
    <t>3)建物利用者や地域住民が生物とふれあい自然に親しめる環境や施設等を確保している。</t>
    <phoneticPr fontId="21"/>
  </si>
  <si>
    <t>V その他</t>
    <phoneticPr fontId="21"/>
  </si>
  <si>
    <t>生物環境の保全</t>
    <rPh sb="2" eb="4">
      <t>カンキョウ</t>
    </rPh>
    <phoneticPr fontId="21"/>
  </si>
  <si>
    <t>VI 建物利用者等の参加性</t>
    <rPh sb="3" eb="5">
      <t>タテモノ</t>
    </rPh>
    <rPh sb="5" eb="8">
      <t>リヨウシャ</t>
    </rPh>
    <rPh sb="8" eb="9">
      <t>トウ</t>
    </rPh>
    <rPh sb="10" eb="13">
      <t>サンカセイ</t>
    </rPh>
    <phoneticPr fontId="21"/>
  </si>
  <si>
    <t>VII その他</t>
    <phoneticPr fontId="21"/>
  </si>
  <si>
    <t>9）その他（記述）</t>
    <phoneticPr fontId="21"/>
  </si>
  <si>
    <t>各種モニタリング設備が活用されていない。</t>
    <phoneticPr fontId="21"/>
  </si>
  <si>
    <t>セキュリティ連動による消灯効果/換気停止の効果等</t>
    <rPh sb="11" eb="13">
      <t>ショウトウ</t>
    </rPh>
    <phoneticPr fontId="21"/>
  </si>
  <si>
    <t>‐</t>
    <phoneticPr fontId="21"/>
  </si>
  <si>
    <t>20％≦　［雨水利用率］　</t>
    <phoneticPr fontId="21"/>
  </si>
  <si>
    <t>雑排水等を利用しており実測値がある。</t>
  </si>
  <si>
    <t>雑排水等の利用率が50%以上。</t>
  </si>
  <si>
    <r>
      <t xml:space="preserve">1.2.2 </t>
    </r>
    <r>
      <rPr>
        <b/>
        <sz val="10"/>
        <rFont val="ＭＳ Ｐゴシック"/>
        <family val="3"/>
        <charset val="128"/>
      </rPr>
      <t>雑排水等利用率</t>
    </r>
    <rPh sb="9" eb="10">
      <t>トウ</t>
    </rPh>
    <rPh sb="11" eb="12">
      <t>ヨウ</t>
    </rPh>
    <rPh sb="12" eb="13">
      <t>リツ</t>
    </rPh>
    <phoneticPr fontId="21"/>
  </si>
  <si>
    <r>
      <t xml:space="preserve">1.2.1 </t>
    </r>
    <r>
      <rPr>
        <b/>
        <sz val="10"/>
        <rFont val="ＭＳ Ｐゴシック"/>
        <family val="3"/>
        <charset val="128"/>
      </rPr>
      <t>雨水利用率</t>
    </r>
    <rPh sb="10" eb="11">
      <t>リツ</t>
    </rPh>
    <phoneticPr fontId="21"/>
  </si>
  <si>
    <t>従来敷地に建っていた建物の躯体等が再利用されていない。</t>
    <rPh sb="15" eb="16">
      <t>トウ</t>
    </rPh>
    <phoneticPr fontId="21"/>
  </si>
  <si>
    <t>従来敷地に建っていた建物の躯体等が再利用されている。</t>
    <rPh sb="15" eb="16">
      <t>トウ</t>
    </rPh>
    <phoneticPr fontId="21"/>
  </si>
  <si>
    <t>耐火・耐熱・防音材</t>
    <phoneticPr fontId="21"/>
  </si>
  <si>
    <t>鉄骨周りの耐火被覆など</t>
    <phoneticPr fontId="21"/>
  </si>
  <si>
    <t>-</t>
    <phoneticPr fontId="21"/>
  </si>
  <si>
    <t>現在断熱材等に使用されている発泡剤の種類が特定できる。</t>
    <phoneticPr fontId="21"/>
  </si>
  <si>
    <t>ODP＝0.01未満の発泡剤を用いた現在断熱材等をに使用してされている。発泡剤の種類が把握できない。</t>
    <phoneticPr fontId="21"/>
  </si>
  <si>
    <t>1)地域の温熱環境状況に関する継続的な調査の実施</t>
    <phoneticPr fontId="21"/>
  </si>
  <si>
    <t>I温熱環境の調査</t>
    <phoneticPr fontId="21"/>
  </si>
  <si>
    <t>指導される規模に満たない流出抑制対策である。</t>
    <phoneticPr fontId="21"/>
  </si>
  <si>
    <t>指導される規模の流出抑制対策を実施している。</t>
    <phoneticPr fontId="21"/>
  </si>
  <si>
    <t>事・学・物・飲・会・病・ホ・工</t>
    <rPh sb="0" eb="1">
      <t>コト</t>
    </rPh>
    <rPh sb="2" eb="3">
      <t>ガク</t>
    </rPh>
    <rPh sb="4" eb="5">
      <t>モノ</t>
    </rPh>
    <rPh sb="6" eb="7">
      <t>イン</t>
    </rPh>
    <rPh sb="8" eb="9">
      <t>カイ</t>
    </rPh>
    <rPh sb="10" eb="11">
      <t>ヤマイ</t>
    </rPh>
    <phoneticPr fontId="21"/>
  </si>
  <si>
    <t>2)室内および室外にゴミの多種分別回収が可能なストックスペースを有している場合</t>
    <rPh sb="32" eb="33">
      <t>ユウ</t>
    </rPh>
    <phoneticPr fontId="21"/>
  </si>
  <si>
    <t>4)有価物の計画的な回収を実施している場合（集団回収など）</t>
    <rPh sb="13" eb="15">
      <t>ジッシ</t>
    </rPh>
    <phoneticPr fontId="21"/>
  </si>
  <si>
    <t>I ゴミの種類や量の推計</t>
    <phoneticPr fontId="21"/>
  </si>
  <si>
    <t>II 分別回収を推進するための空間整備や設備の設置</t>
    <phoneticPr fontId="21"/>
  </si>
  <si>
    <t>3)室内や室外にゴミの分別回収容器・ボックスを設置している</t>
    <phoneticPr fontId="21"/>
  </si>
  <si>
    <t>1～2</t>
    <phoneticPr fontId="21"/>
  </si>
  <si>
    <t>7)ビン・缶類などの減容化・減量化対策を計画している場合</t>
    <phoneticPr fontId="21"/>
  </si>
  <si>
    <t>レベル４を満たさない</t>
    <phoneticPr fontId="21"/>
  </si>
  <si>
    <t>集合住宅以外の評価(3.1a. 3.1b)</t>
    <rPh sb="0" eb="2">
      <t>シュウゴウ</t>
    </rPh>
    <rPh sb="2" eb="4">
      <t>ジュウタク</t>
    </rPh>
    <rPh sb="4" eb="6">
      <t>イガイ</t>
    </rPh>
    <rPh sb="7" eb="9">
      <t>ヒョウカ</t>
    </rPh>
    <phoneticPr fontId="21"/>
  </si>
  <si>
    <t>集合住宅の評価(3.1c)</t>
    <rPh sb="0" eb="2">
      <t>シュウゴウ</t>
    </rPh>
    <rPh sb="2" eb="4">
      <t>ジュウタク</t>
    </rPh>
    <rPh sb="5" eb="7">
      <t>ヒョウカ</t>
    </rPh>
    <phoneticPr fontId="21"/>
  </si>
  <si>
    <t>実績値を用いた総合評価</t>
  </si>
  <si>
    <t>実績値を用いた総合評価</t>
    <phoneticPr fontId="21"/>
  </si>
  <si>
    <t>LR1 3.1</t>
    <phoneticPr fontId="21"/>
  </si>
  <si>
    <t>LR1 3.1</t>
    <phoneticPr fontId="21"/>
  </si>
  <si>
    <t>LR1 3.2</t>
    <phoneticPr fontId="21"/>
  </si>
  <si>
    <t>スコア-1.0</t>
  </si>
  <si>
    <t>1.0以上1.5未満</t>
  </si>
  <si>
    <t>1.5以上2.0未満</t>
  </si>
  <si>
    <t>2.0以上2.5未満</t>
  </si>
  <si>
    <t>2.5以上3.0未満</t>
  </si>
  <si>
    <t>3.0以上3.5未満</t>
  </si>
  <si>
    <t>3.5以上4.0未満</t>
  </si>
  <si>
    <t>加点あり</t>
    <rPh sb="0" eb="2">
      <t>カテン</t>
    </rPh>
    <phoneticPr fontId="21"/>
  </si>
  <si>
    <t>（１）によるスコア</t>
    <phoneticPr fontId="21"/>
  </si>
  <si>
    <t>減点あり</t>
    <rPh sb="0" eb="2">
      <t>ゲンテン</t>
    </rPh>
    <phoneticPr fontId="21"/>
  </si>
  <si>
    <t>上下なし</t>
    <rPh sb="0" eb="2">
      <t>ジョウゲ</t>
    </rPh>
    <phoneticPr fontId="21"/>
  </si>
  <si>
    <t>ﾃﾞﾊﾟｰﾄ･ｽｰﾊﾟｰ</t>
  </si>
  <si>
    <t>LR1/3.1　設計仕様に基づく評価</t>
    <rPh sb="8" eb="10">
      <t>セッケイ</t>
    </rPh>
    <rPh sb="10" eb="12">
      <t>シヨウ</t>
    </rPh>
    <rPh sb="13" eb="14">
      <t>モト</t>
    </rPh>
    <rPh sb="16" eb="18">
      <t>ヒョウカ</t>
    </rPh>
    <phoneticPr fontId="21"/>
  </si>
  <si>
    <t>LR1/3.2　実績値を用いた総合評価</t>
    <phoneticPr fontId="21"/>
  </si>
  <si>
    <r>
      <t>3.1</t>
    </r>
    <r>
      <rPr>
        <b/>
        <sz val="12"/>
        <rFont val="ＭＳ Ｐゴシック"/>
        <family val="3"/>
        <charset val="128"/>
      </rPr>
      <t>　設計仕様に基づく評価</t>
    </r>
    <phoneticPr fontId="21"/>
  </si>
  <si>
    <r>
      <t>3.2</t>
    </r>
    <r>
      <rPr>
        <b/>
        <sz val="12"/>
        <rFont val="ＭＳ Ｐゴシック"/>
        <family val="3"/>
        <charset val="128"/>
      </rPr>
      <t>　実績値を用いた総合評価</t>
    </r>
    <phoneticPr fontId="21"/>
  </si>
  <si>
    <t>工場</t>
    <rPh sb="0" eb="2">
      <t>コウジョウ</t>
    </rPh>
    <phoneticPr fontId="21"/>
  </si>
  <si>
    <t>厨房</t>
    <rPh sb="0" eb="2">
      <t>チュウボウ</t>
    </rPh>
    <phoneticPr fontId="21"/>
  </si>
  <si>
    <t>その他</t>
    <rPh sb="2" eb="3">
      <t>ホカ</t>
    </rPh>
    <phoneticPr fontId="4"/>
  </si>
  <si>
    <t>評価建物</t>
    <rPh sb="0" eb="2">
      <t>ヒョウカ</t>
    </rPh>
    <rPh sb="2" eb="4">
      <t>タテモノ</t>
    </rPh>
    <phoneticPr fontId="21"/>
  </si>
  <si>
    <t>BEI＊</t>
    <phoneticPr fontId="21"/>
  </si>
  <si>
    <t>加点有無</t>
    <rPh sb="0" eb="2">
      <t>カテン</t>
    </rPh>
    <rPh sb="2" eb="4">
      <t>ウム</t>
    </rPh>
    <phoneticPr fontId="21"/>
  </si>
  <si>
    <t>※備考；　非住宅部分の延床面積</t>
    <rPh sb="1" eb="3">
      <t>ビコウ</t>
    </rPh>
    <rPh sb="5" eb="6">
      <t>ヒ</t>
    </rPh>
    <rPh sb="6" eb="8">
      <t>ジュウタク</t>
    </rPh>
    <rPh sb="8" eb="10">
      <t>ブブン</t>
    </rPh>
    <phoneticPr fontId="21"/>
  </si>
  <si>
    <t>換算係数(参照値)</t>
    <rPh sb="0" eb="2">
      <t>カンサン</t>
    </rPh>
    <rPh sb="2" eb="4">
      <t>ケイスウ</t>
    </rPh>
    <rPh sb="5" eb="7">
      <t>サンショウ</t>
    </rPh>
    <rPh sb="7" eb="8">
      <t>チ</t>
    </rPh>
    <phoneticPr fontId="23"/>
  </si>
  <si>
    <t>㎡</t>
    <phoneticPr fontId="21"/>
  </si>
  <si>
    <t>対象部分の床面積(㎡)</t>
    <rPh sb="0" eb="2">
      <t>タイショウ</t>
    </rPh>
    <rPh sb="2" eb="4">
      <t>ブブン</t>
    </rPh>
    <rPh sb="5" eb="6">
      <t>ユカ</t>
    </rPh>
    <rPh sb="6" eb="8">
      <t>メンセキ</t>
    </rPh>
    <phoneticPr fontId="21"/>
  </si>
  <si>
    <t>②工場部分（給湯・照明のみ対象）※</t>
    <rPh sb="1" eb="3">
      <t>コウジョウ</t>
    </rPh>
    <rPh sb="3" eb="5">
      <t>ブブン</t>
    </rPh>
    <rPh sb="6" eb="8">
      <t>キュウトウ</t>
    </rPh>
    <rPh sb="9" eb="11">
      <t>ショウメイ</t>
    </rPh>
    <rPh sb="13" eb="15">
      <t>タイショウ</t>
    </rPh>
    <phoneticPr fontId="21"/>
  </si>
  <si>
    <t>　※運用CO2算定のための入力項目</t>
    <rPh sb="2" eb="4">
      <t>ウンヨウ</t>
    </rPh>
    <rPh sb="7" eb="9">
      <t>サンテイ</t>
    </rPh>
    <rPh sb="13" eb="15">
      <t>ニュウリョク</t>
    </rPh>
    <rPh sb="15" eb="17">
      <t>コウモク</t>
    </rPh>
    <phoneticPr fontId="21"/>
  </si>
  <si>
    <t>①非住宅部分全体（集合住宅除く）</t>
    <rPh sb="1" eb="2">
      <t>ヒ</t>
    </rPh>
    <rPh sb="2" eb="4">
      <t>ジュウタク</t>
    </rPh>
    <rPh sb="4" eb="6">
      <t>ブブン</t>
    </rPh>
    <rPh sb="6" eb="8">
      <t>ゼンタイ</t>
    </rPh>
    <rPh sb="9" eb="11">
      <t>シュウゴウ</t>
    </rPh>
    <rPh sb="11" eb="13">
      <t>ジュウタク</t>
    </rPh>
    <rPh sb="13" eb="14">
      <t>ノゾ</t>
    </rPh>
    <phoneticPr fontId="21"/>
  </si>
  <si>
    <t>1)　建物全体のエネルギー消費量実績の入力</t>
    <rPh sb="3" eb="5">
      <t>タテモノ</t>
    </rPh>
    <rPh sb="5" eb="7">
      <t>ゼンタイ</t>
    </rPh>
    <rPh sb="13" eb="15">
      <t>ショウヒ</t>
    </rPh>
    <rPh sb="15" eb="16">
      <t>リョウ</t>
    </rPh>
    <rPh sb="16" eb="18">
      <t>ジッセキ</t>
    </rPh>
    <rPh sb="19" eb="21">
      <t>ニュウリョク</t>
    </rPh>
    <phoneticPr fontId="21"/>
  </si>
  <si>
    <t>③評価対象となる建物のエネルギー種別一次エネルギー構成比率（集合住宅除く）※</t>
    <rPh sb="1" eb="3">
      <t>ヒョウカ</t>
    </rPh>
    <rPh sb="3" eb="5">
      <t>タイショウ</t>
    </rPh>
    <rPh sb="8" eb="10">
      <t>タテモノ</t>
    </rPh>
    <rPh sb="16" eb="18">
      <t>シュベツ</t>
    </rPh>
    <rPh sb="18" eb="20">
      <t>イチジ</t>
    </rPh>
    <rPh sb="25" eb="27">
      <t>コウセイ</t>
    </rPh>
    <rPh sb="27" eb="29">
      <t>ヒリツ</t>
    </rPh>
    <rPh sb="30" eb="32">
      <t>シュウゴウ</t>
    </rPh>
    <rPh sb="32" eb="34">
      <t>ジュウタク</t>
    </rPh>
    <rPh sb="34" eb="35">
      <t>ノゾ</t>
    </rPh>
    <phoneticPr fontId="21"/>
  </si>
  <si>
    <t>仕様基準でLR1/3.1cを評価した場合</t>
    <rPh sb="0" eb="2">
      <t>シヨウ</t>
    </rPh>
    <rPh sb="2" eb="4">
      <t>キジュン</t>
    </rPh>
    <rPh sb="14" eb="16">
      <t>ヒョウカ</t>
    </rPh>
    <rPh sb="18" eb="20">
      <t>バアイ</t>
    </rPh>
    <phoneticPr fontId="21"/>
  </si>
  <si>
    <t>全体</t>
    <phoneticPr fontId="21"/>
  </si>
  <si>
    <t>-</t>
    <phoneticPr fontId="21"/>
  </si>
  <si>
    <t>(1)補正</t>
    <rPh sb="3" eb="5">
      <t>ホセイ</t>
    </rPh>
    <phoneticPr fontId="21"/>
  </si>
  <si>
    <t>(2)実測値</t>
    <rPh sb="3" eb="6">
      <t>ジッソクチ</t>
    </rPh>
    <phoneticPr fontId="21"/>
  </si>
  <si>
    <t>エネルギー消費量の実績値（工場用途は照明と給湯分）</t>
    <rPh sb="5" eb="8">
      <t>ショウヒリョウ</t>
    </rPh>
    <rPh sb="9" eb="11">
      <t>ジッセキ</t>
    </rPh>
    <rPh sb="11" eb="12">
      <t>チ</t>
    </rPh>
    <rPh sb="13" eb="15">
      <t>コウジョウ</t>
    </rPh>
    <rPh sb="15" eb="17">
      <t>ヨウト</t>
    </rPh>
    <rPh sb="18" eb="20">
      <t>ショウメイ</t>
    </rPh>
    <rPh sb="21" eb="23">
      <t>キュウトウ</t>
    </rPh>
    <rPh sb="23" eb="24">
      <t>ブン</t>
    </rPh>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</si>
  <si>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</si>
  <si>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</si>
  <si>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/ｔ</t>
    </r>
    <phoneticPr fontId="21"/>
  </si>
  <si>
    <r>
      <t>kg-CO</t>
    </r>
    <r>
      <rPr>
        <vertAlign val="subscript"/>
        <sz val="10"/>
        <rFont val="ＭＳ Ｐゴシック"/>
        <family val="3"/>
        <charset val="128"/>
      </rPr>
      <t>2</t>
    </r>
    <r>
      <rPr>
        <sz val="10"/>
        <rFont val="ＭＳ Ｐゴシック"/>
        <family val="3"/>
        <charset val="128"/>
      </rPr>
      <t>/㎡</t>
    </r>
    <phoneticPr fontId="21"/>
  </si>
  <si>
    <t>○○</t>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</si>
  <si>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</si>
  <si>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</si>
  <si>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</si>
  <si>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t>新築</t>
    <rPh sb="0" eb="2">
      <t>シンチク</t>
    </rPh>
    <phoneticPr fontId="21"/>
  </si>
  <si>
    <t>既存</t>
    <rPh sb="0" eb="2">
      <t>キゾン</t>
    </rPh>
    <phoneticPr fontId="21"/>
  </si>
  <si>
    <t>商業地域，防火地域</t>
    <rPh sb="0" eb="2">
      <t>ショウギョウ</t>
    </rPh>
    <rPh sb="2" eb="4">
      <t>チイキ</t>
    </rPh>
    <rPh sb="5" eb="7">
      <t>ボウカ</t>
    </rPh>
    <rPh sb="7" eb="9">
      <t>チイキ</t>
    </rPh>
    <phoneticPr fontId="21"/>
  </si>
  <si>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1"/>
  </si>
  <si>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1"/>
  </si>
  <si>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1"/>
  </si>
  <si>
    <t xml:space="preserve"> 事務所，庁舎，図書館，博物館，郵便局 など</t>
    <rPh sb="1" eb="3">
      <t>ジム</t>
    </rPh>
    <rPh sb="3" eb="4">
      <t>ショ</t>
    </rPh>
    <rPh sb="5" eb="7">
      <t>チョウシャ</t>
    </rPh>
    <rPh sb="8" eb="11">
      <t>トショカン</t>
    </rPh>
    <rPh sb="12" eb="15">
      <t>ハクブツカン</t>
    </rPh>
    <rPh sb="16" eb="19">
      <t>ユウビンキョク</t>
    </rPh>
    <phoneticPr fontId="21"/>
  </si>
  <si>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1"/>
  </si>
  <si>
    <t xml:space="preserve"> 百貨店，マーケット など</t>
    <rPh sb="1" eb="4">
      <t>ヒャッカテン</t>
    </rPh>
    <phoneticPr fontId="21"/>
  </si>
  <si>
    <t xml:space="preserve"> 飲食店，食堂，喫茶店 など</t>
    <rPh sb="1" eb="3">
      <t>インショク</t>
    </rPh>
    <rPh sb="3" eb="4">
      <t>テン</t>
    </rPh>
    <rPh sb="5" eb="7">
      <t>ショクドウ</t>
    </rPh>
    <rPh sb="8" eb="11">
      <t>キッサテン</t>
    </rPh>
    <phoneticPr fontId="21"/>
  </si>
  <si>
    <t xml:space="preserve"> 公会堂，集会場，ボーリング場，体育館，劇場，映画館，展示施設 など</t>
    <rPh sb="1" eb="4">
      <t>コウカイドウ</t>
    </rPh>
    <rPh sb="5" eb="8">
      <t>シュウカイジョウ</t>
    </rPh>
    <rPh sb="14" eb="15">
      <t>ジョウ</t>
    </rPh>
    <rPh sb="16" eb="19">
      <t>タイイクカン</t>
    </rPh>
    <rPh sb="20" eb="22">
      <t>ゲキジョウ</t>
    </rPh>
    <rPh sb="23" eb="26">
      <t>エイガカン</t>
    </rPh>
    <rPh sb="27" eb="29">
      <t>テンジ</t>
    </rPh>
    <rPh sb="29" eb="31">
      <t>シセツ</t>
    </rPh>
    <phoneticPr fontId="21"/>
  </si>
  <si>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1"/>
  </si>
  <si>
    <t xml:space="preserve"> 病院，老人ホーム，身体障害者福祉ホームなど</t>
    <rPh sb="1" eb="3">
      <t>ビョウイン</t>
    </rPh>
    <rPh sb="4" eb="6">
      <t>ロウジン</t>
    </rPh>
    <rPh sb="10" eb="12">
      <t>シンタイ</t>
    </rPh>
    <rPh sb="12" eb="15">
      <t>ショウガイシャ</t>
    </rPh>
    <rPh sb="15" eb="17">
      <t>フクシ</t>
    </rPh>
    <phoneticPr fontId="21"/>
  </si>
  <si>
    <t xml:space="preserve"> ホテル，旅館など</t>
    <rPh sb="5" eb="7">
      <t>リョカン</t>
    </rPh>
    <phoneticPr fontId="21"/>
  </si>
  <si>
    <t>このグラフは，LR3中の「地球温暖化への配慮」の内容を，一般的な建物（参照値）と比べたライフサイクルCO2 排出量の目安で示したものです</t>
    <rPh sb="32" eb="34">
      <t>タテモノ</t>
    </rPh>
    <phoneticPr fontId="21"/>
  </si>
  <si>
    <t>このグラフは，一般的な建物（参照値）と比べたライフサイクルCO2 排出量を評価者自身の計算（個別計算）により算出した結果を示しています。LCCO2の算定条件等については，「LCCO2算定条件シート（個別計算）」を参照されたい</t>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1"/>
  </si>
  <si>
    <t>＜実施設計段階，竣工段階で詳細な評価を行う場合に記入＞</t>
  </si>
  <si>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1"/>
  </si>
  <si>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1"/>
  </si>
  <si>
    <t>(3)の評価はオプションとし，実施設計段階および竣工段階で可能な範囲で記入する。</t>
  </si>
  <si>
    <t>色欄について，プルダウンメニューから選択，または数値・コメントを記入のこと</t>
    <rPh sb="0" eb="1">
      <t>イロ</t>
    </rPh>
    <rPh sb="1" eb="2">
      <t>ラン</t>
    </rPh>
    <rPh sb="18" eb="20">
      <t>センタク</t>
    </rPh>
    <rPh sb="24" eb="26">
      <t>スウチ</t>
    </rPh>
    <rPh sb="32" eb="34">
      <t>キニュウ</t>
    </rPh>
    <phoneticPr fontId="21"/>
  </si>
  <si>
    <t>↓Q1とQ2の1は対象外の為，入力不要です。</t>
  </si>
  <si>
    <t>地域性への配慮，快適性の向上</t>
  </si>
  <si>
    <t>風害，砂塵，日照阻害の抑制</t>
    <rPh sb="0" eb="2">
      <t>ﾌｳｶﾞｲ</t>
    </rPh>
    <rPh sb="3" eb="5">
      <t>ｻｼﾞﾝ</t>
    </rPh>
    <rPh sb="6" eb="8">
      <t>ﾆｯｼｮｳ</t>
    </rPh>
    <rPh sb="8" eb="10">
      <t>ｿｶﾞｲ</t>
    </rPh>
    <rPh sb="11" eb="13">
      <t>ﾖｸｾｲ</t>
    </rPh>
    <phoneticPr fontId="34" type="noConversion"/>
  </si>
  <si>
    <t>　（１）評価条件として，与えられた排出係数を用いる場合</t>
  </si>
  <si>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1"/>
  </si>
  <si>
    <t>吹出し口，吸込み口からの騒音</t>
    <rPh sb="12" eb="14">
      <t>ソウオン</t>
    </rPh>
    <phoneticPr fontId="21"/>
  </si>
  <si>
    <t>低騒音型吹出し口，低騒音型吸込み口，位置，風量・風速の適正化など</t>
  </si>
  <si>
    <t>防音カバー，位置など</t>
  </si>
  <si>
    <t>防音カバー，機械室の吸音・遮音，位置など</t>
  </si>
  <si>
    <t>防振架台，防振支持など</t>
    <rPh sb="7" eb="9">
      <t>シジ</t>
    </rPh>
    <phoneticPr fontId="21"/>
  </si>
  <si>
    <t>消音ダクト，消音エルボ，消音ボックス，防音管巻き，位置など</t>
  </si>
  <si>
    <t>防音管巻き，位置など</t>
    <rPh sb="0" eb="2">
      <t>ボウオン</t>
    </rPh>
    <rPh sb="2" eb="3">
      <t>カン</t>
    </rPh>
    <rPh sb="3" eb="4">
      <t>マ</t>
    </rPh>
    <rPh sb="6" eb="8">
      <t>イチ</t>
    </rPh>
    <phoneticPr fontId="21"/>
  </si>
  <si>
    <t>防振吊り，防振支持，フレキシブルジョイント，貫通部の防振施工など</t>
  </si>
  <si>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1"/>
  </si>
  <si>
    <t>（屋外）冷却塔，室外機等からの騒音</t>
  </si>
  <si>
    <t>防音塀，遮蔽体，防振支持，位置など</t>
    <rPh sb="0" eb="2">
      <t>ボウオン</t>
    </rPh>
    <rPh sb="2" eb="3">
      <t>ヘイ</t>
    </rPh>
    <phoneticPr fontId="21"/>
  </si>
  <si>
    <t>位置，風量・風速の適正化など</t>
  </si>
  <si>
    <t>防音塀，遮蔽体，防振支持，位置など</t>
    <rPh sb="0" eb="2">
      <t>ボウオン</t>
    </rPh>
    <rPh sb="2" eb="3">
      <t>ヘイ</t>
    </rPh>
    <rPh sb="4" eb="6">
      <t>シャヘイ</t>
    </rPh>
    <rPh sb="6" eb="7">
      <t>タイ</t>
    </rPh>
    <rPh sb="8" eb="12">
      <t>ボウシンシジ</t>
    </rPh>
    <rPh sb="13" eb="15">
      <t>イチ</t>
    </rPh>
    <phoneticPr fontId="21"/>
  </si>
  <si>
    <t>トイレ，浴室等の給配水音，排水音，使用音</t>
    <rPh sb="11" eb="12">
      <t>オン</t>
    </rPh>
    <rPh sb="13" eb="15">
      <t>ハイスイ</t>
    </rPh>
    <rPh sb="15" eb="16">
      <t>オン</t>
    </rPh>
    <rPh sb="17" eb="19">
      <t>シヨウ</t>
    </rPh>
    <rPh sb="19" eb="20">
      <t>オン</t>
    </rPh>
    <phoneticPr fontId="21"/>
  </si>
  <si>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1"/>
  </si>
  <si>
    <t>適正な水圧，ウォーターハンマー防止器の採用など</t>
  </si>
  <si>
    <t>防振ゴム，防振マット，低騒音タイプの機器</t>
  </si>
  <si>
    <t>テレビ，ラジオ，会話等の一般の発生音がかなり聞こえる。</t>
  </si>
  <si>
    <t>テレビ，ラジオ，会話等の一般の発生音が小さく聞こえる。</t>
  </si>
  <si>
    <t>テレビ，ラジオ，会話等の一般の発生音が通常では聞こえない。</t>
  </si>
  <si>
    <t>テレビ，ラジオ，会話等の一般の発生音がかなり聞こえる。(Dr-40未満)</t>
  </si>
  <si>
    <t>テレビ，ラジオ，会話等の一般の発生音が小さく聞こえる。(Dr-45)</t>
  </si>
  <si>
    <t>テレビ，ラジオ，会話等の一般の発生音が通常では聞こえない。(Dr-55以上)</t>
  </si>
  <si>
    <t>椅子の移動音，物の落下音がかなりうるさい。　</t>
  </si>
  <si>
    <t>椅子の移動音，物の落下音がかなり気になる。</t>
  </si>
  <si>
    <t>椅子の移動音，物の落下音が小さく聞こえる。　</t>
  </si>
  <si>
    <t>椅子の移動音，物の落下音が小さく聞こえる。</t>
  </si>
  <si>
    <t>椅子の移動音，物の落下音がほとんど聞こえない。</t>
  </si>
  <si>
    <t>椅子の移動音，物の落下音がかなりうるさい。(Lr-65より悪い)</t>
  </si>
  <si>
    <t>椅子の移動音，物の落下音がかなり気になる。(Lr-55より悪い)</t>
  </si>
  <si>
    <t>椅子の移動音，物の落下音がかなり気になる。(Lr-60)</t>
  </si>
  <si>
    <t>椅子の移動音，物の落下音が小さく聞こえる。(Lr-50)</t>
  </si>
  <si>
    <t>椅子の移動音，物の落下音が小さく聞こえる。(Lr-50 またはそれより良い)</t>
  </si>
  <si>
    <t>椅子の移動音，物の落下音がほとんど聞こえない。(Lr-40 またはそれより良い)</t>
  </si>
  <si>
    <t>壁，床，天井のうち一面に吸音材を使用している。</t>
    <rPh sb="9" eb="11">
      <t>イチメン</t>
    </rPh>
    <rPh sb="16" eb="18">
      <t>シヨウ</t>
    </rPh>
    <phoneticPr fontId="21"/>
  </si>
  <si>
    <t>壁，床，天井のうち二面に吸音材を使用している。</t>
  </si>
  <si>
    <t>壁，床，天井に吸音材を使用している。</t>
  </si>
  <si>
    <t>冬期20℃，夏期28℃と多少我慢を強いる室温設定。</t>
  </si>
  <si>
    <t>冬期21℃，夏期28℃と程度と多少我慢を強いる室温設定。</t>
    <rPh sb="12" eb="14">
      <t>テイド</t>
    </rPh>
    <phoneticPr fontId="21"/>
  </si>
  <si>
    <t>冬期10℃以上，夏期30℃以下と多少我慢を強いる室温設定。</t>
  </si>
  <si>
    <t>冬期18℃，夏期28℃程度と多少我慢を強いる室温設定。</t>
  </si>
  <si>
    <t>各室において冬期18℃，夏期28℃程度を強いる設定としている。</t>
  </si>
  <si>
    <t>一般的な冬期22℃，夏期26℃の設定。</t>
  </si>
  <si>
    <t>一般的な冬期23℃，夏期26℃の設定。</t>
  </si>
  <si>
    <t>一般的な冬期18～20℃，夏期25～28℃の設定。</t>
  </si>
  <si>
    <t>冬期18℃以上，夏期28℃以下の範囲を設定している。</t>
  </si>
  <si>
    <t>一般的な冬期20℃，夏期26℃の設定。</t>
  </si>
  <si>
    <t>各居室において一般的な冬期22℃，夏期26℃を設定している。</t>
  </si>
  <si>
    <t>冬期20℃以上 ，夏期25℃以下の設定。</t>
    <rPh sb="5" eb="7">
      <t>イジョウ</t>
    </rPh>
    <rPh sb="14" eb="16">
      <t>イカ</t>
    </rPh>
    <phoneticPr fontId="21"/>
  </si>
  <si>
    <t>ASHRAE快適域やPOEM-Oを参考に冬期22℃～24℃，夏期24℃～26℃の範囲を設定している。</t>
  </si>
  <si>
    <t>冬期22℃以上，夏期24℃以下の設定。</t>
    <rPh sb="5" eb="7">
      <t>イジョウ</t>
    </rPh>
    <rPh sb="13" eb="15">
      <t>イカ</t>
    </rPh>
    <phoneticPr fontId="21"/>
  </si>
  <si>
    <t>ASHRAE快適域やPOEM-Oを参考に冬期20℃～22℃，夏期24℃～26℃の範囲を設定している。</t>
  </si>
  <si>
    <t>各居室において冬期22～24℃，夏期24～26℃の範囲を設定している。</t>
  </si>
  <si>
    <t>冷房期：20℃以上，22℃未満　又は　28℃以上，30℃未満の範囲にある。
中間期：19℃以上，21℃未満　又は　27℃以上，29℃未満の範囲にある。
暖房期：18℃より高く，20℃以下　又は　26℃より高く，28℃以下の範囲にある。</t>
  </si>
  <si>
    <t>冷房期：22℃以上，24℃未満　又は　26℃以上，28℃未満の範囲にある。
中間期：21℃以上，23℃未満　又は　25℃以上，27℃未満の範囲にある。
暖房期：20℃より高く，22℃以下　又は　24℃より高く，26℃以下の範囲にある。</t>
  </si>
  <si>
    <t>冷房期：22℃以上，24℃未満　又は　27℃以上，29℃未満の範囲にある。
中間期：20℃以上，23℃未満　又は　25℃以上，28℃未満の範囲にある。
暖房期：18℃より高く，20℃以下　又は　24℃より高く，26℃以下の範囲にある。</t>
  </si>
  <si>
    <t>10℃以上，30℃以下の範囲にある。</t>
    <rPh sb="9" eb="11">
      <t>イカ</t>
    </rPh>
    <phoneticPr fontId="21"/>
  </si>
  <si>
    <t>冷房期：22℃以上，24℃未満　又は　26℃以上，28℃未満の範囲にある。
中間期：20℃以上，23℃未満　又は　25℃以上，27℃未満の範囲にある。
暖房期：18℃より高く，20℃以下　又は　22℃より高く，26℃以下の範囲にある。</t>
  </si>
  <si>
    <t>冷房期：24℃以上，26℃未満の範囲にある。
中間期：23℃以上，25℃未満の範囲にある。
暖房期：22℃より高く，24℃以下の範囲にある。</t>
  </si>
  <si>
    <t>冷房期：24℃以上，26℃未満の範囲にある。
中間期：23℃以上，25℃未満の範囲にある。
暖房期：23℃より高く，25℃以下の範囲にある。</t>
  </si>
  <si>
    <t>夏期：25℃以上，28℃以下の範囲にある。
冬期：18℃以上，20℃以下の範囲にある。</t>
    <rPh sb="0" eb="1">
      <t>ナツ</t>
    </rPh>
    <rPh sb="12" eb="14">
      <t>イカ</t>
    </rPh>
    <rPh sb="22" eb="23">
      <t>フユ</t>
    </rPh>
    <rPh sb="23" eb="24">
      <t>キ</t>
    </rPh>
    <phoneticPr fontId="21"/>
  </si>
  <si>
    <t>冷房期：24℃以上，26℃未満の範囲にある。
中間期：23℃以上，25℃未満の範囲にある。
暖房期：20℃より高く，22℃以下の範囲にある。</t>
  </si>
  <si>
    <t>一般的な負荷変動を考慮し，ある程度制御可能なシステムになっている。</t>
  </si>
  <si>
    <t>窓,外壁,屋根や床（特にピロティ）において室内への熱の侵入に対しての配慮が十分でなく，日射遮蔽性能や断熱性能が低い。</t>
  </si>
  <si>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1"/>
  </si>
  <si>
    <t>日本住宅性能表示基準「5-1断熱等性能等級」における等級2相当の屋根・外壁・床の部材構成，開口部の仕様を設定している。</t>
  </si>
  <si>
    <t>窓,外壁,屋根や床（特にピロティ）において，室内への熱の侵入に対しての配慮がなされており，実用上，日射遮蔽性能および断熱性能に問題がない。</t>
  </si>
  <si>
    <t>日本住宅性能表示基準「5-1断熱等性能等級」における等級3相当の屋根・外壁・床の部材構成，開口部の仕様を設定している。</t>
  </si>
  <si>
    <t>窓,外壁,屋根や床（特にピロティ）において，室内への熱の侵入に対して，十分な配慮がなされており，最良の日射遮蔽性能および断熱性能を有する。</t>
  </si>
  <si>
    <t>日本住宅性能表示基準「5-1断熱等性能等級」における等級4相当の屋根・外壁・床の部材構成，開口部の仕様を設定している。</t>
  </si>
  <si>
    <t>窓システム，外壁，屋根や床（特にピロティ）において熱の侵入に対して配慮が無く，断熱性能が低い。
（窓システムSC：0.7程度，U=6.0(W/m2K) 程度，外壁・その他：U=3.0(W/m2K) 程度）</t>
  </si>
  <si>
    <t>窓システム，外壁，屋根や床（特にピロティ）において熱の侵入に対して配慮が無く，断熱性能が低い。（窓システムSC：0.7程度，U=6.0(W/m2K)程度，外壁その他：U=3.0(W/m2K)程度）</t>
  </si>
  <si>
    <t>窓システム，外壁，屋根や床（特にピロティ）において，室内への熱の侵入に対しての配慮がなされており，実用上，日射遮蔽性能および断熱性能に問題がない。
（窓システムSC：0.5程度，U=4.0(W/m2K) 程度，外壁・その他：U=2.0(W/m2K) 程度）</t>
  </si>
  <si>
    <t>窓システム，外壁，屋根や床（特にピロティ）において，室内への熱の侵入に対しての配慮がなされており，実用上，日射遮蔽性能および断熱性能に問題がない。（窓システムSC：0.5程度，U=4.0(W/m2K)程度，外壁その他：U=2.0(W/m2K)程度）</t>
  </si>
  <si>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</si>
  <si>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窓システム，外壁，屋根や床（特にピロティ）において，室内への熱の侵入に対して，十分な配慮がなされており，最良の日射遮蔽性能および断熱性能を有する。（窓システムSC：0.2程度，U=3.0(W/m2K)程度，外壁その他：U=1.0(W/m2K)程度）</t>
  </si>
  <si>
    <t>方位別やペリメータとインテリア別などの区別が無く，１系統で空調システムが計画されており，季節別に冷暖切り替えが必要である。</t>
  </si>
  <si>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</si>
  <si>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</si>
  <si>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</si>
  <si>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</si>
  <si>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</si>
  <si>
    <t>レベル３程度の空調のゾーニングがなされており，さらにゾーン別に冷房・暖房の選択が可能な空調システムとしている。</t>
  </si>
  <si>
    <t>レベル３程度の空調ゾーニングがなされ，さらにゾーン別に冷房・暖房の選択が可能な空調システムが計画されている。</t>
  </si>
  <si>
    <t>二重ダクト方式（ＡＨＵで４管式），４管式ＦＣＵ方式，タスク・アンビエント空調方式（ゾーニングのグレード，冷暖同時の双方を評価）</t>
  </si>
  <si>
    <t>方位別やペリメータとインテリア別など空調系統が分かれている上，さらに細かな空調ゾーニング（概ね40m2以下）がされている。さらにゾーン別に冷房・暖房の選択が自由な空調システムとしている。</t>
  </si>
  <si>
    <t>同一フロアで，熱負荷別に売り場・テナント用に細かくゾーニングがなされており，各ゾーン単位で冷房・暖房が可能な空調システムが計画されている。</t>
  </si>
  <si>
    <t>マルチユニット型ヒートポンプ方式（冷暖同時），二重ダクト方式（ＡＨＵで４管式），４管式ＦＣＵ方式レベル３，４以上の細かなゾーニング（４０m2程度）による。</t>
  </si>
  <si>
    <t>比例制御，多位置制御による温度・湿度制御になっている。</t>
  </si>
  <si>
    <t>在室者は手元で，Low-Middle-Highの風量切り替えが可能である。</t>
  </si>
  <si>
    <t>在室者は手元で，直接温度設定やLow-Middle-Highの風量調整が可能である。ただし，熱源側は季節に応じて冷暖切り替えである。</t>
  </si>
  <si>
    <t>在室者は手元で，直接，温度設定や風量調整が可能である。（熱源側は冷暖同時）</t>
  </si>
  <si>
    <t>住戸内の温度を設定しつつ，各室において温度の個別設定が可能。</t>
  </si>
  <si>
    <t>時間外や休日時には，空調運転を行わない。</t>
  </si>
  <si>
    <t>同一フロアで熱負荷別に複数にゾーニングがなされておらず，代表的なゾーン監視のためにセンサー等の監視システムが設置されている。</t>
  </si>
  <si>
    <t>時間外や休日時には，居住者のフロア全体が空調可能なシステムとなっている。</t>
  </si>
  <si>
    <t>同一フロアで熱負荷別に複数にゾーニングがなされており，複数ゾーン監視のために制御センサとは別に複数の監視・計測用センサがある監視システムが設置されている。</t>
  </si>
  <si>
    <t>時間外や休日時には，居住者のゾーンのみ空調可能なシステムとなっている。</t>
  </si>
  <si>
    <t>同一フロアで，売り場・テナント用に細かくゾーニングがなされており，それを細かく監視するために制御センサとは別に複数の監視・計測用センサがある監視システムが設置されている。</t>
  </si>
  <si>
    <t>加湿機能を有し，かつ一般的な冬期40％，夏期50％の設定で計画されている。</t>
  </si>
  <si>
    <t>加湿機能を有し，かつ一般的な冬期40～70％，夏期50～65％。の範囲で計画されている。　　　　　　　　　　</t>
  </si>
  <si>
    <t>一般的な冬期30～45％，夏期55％～80％の範囲で計画されている。</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</si>
  <si>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</si>
  <si>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</si>
  <si>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加湿・除湿機能を有し，かつASHRAE快適域やPOEM-Oを参考に45％～55％の範囲で計画されている。</t>
  </si>
  <si>
    <t>加湿・除湿機能を有し，ASHRAE快適域やPOEM-Oを参考に45％～55％の範囲で計画されている。</t>
  </si>
  <si>
    <t>加湿・除湿機能を有し，45％～55％の快適範囲を設定し，なおかつ，熱橋となる部分の断熱補強，防湿層，通気層の設置等の結露防止対策がとられている。</t>
  </si>
  <si>
    <t>冬期：35％以上，45％未満　かつ　夏期：55％より大きく，75％以下の範囲にある。</t>
  </si>
  <si>
    <t>冬期：30％以上，45％未満　かつ　夏期：55％より大きく，80％以下の範囲にある。</t>
  </si>
  <si>
    <t>加湿機能を有し，かつ一般的な夏期50％，冬期40％の湿度を実現する設備容量が確保されている。</t>
  </si>
  <si>
    <t>45％以上，55％以下の範囲にある。</t>
  </si>
  <si>
    <t>加湿機能・除湿機能を有し，かつ45％～55％の範囲の湿度を実現することが可能な設備容量が確保されている。</t>
  </si>
  <si>
    <t>空調居住域の上下温度差，気流速度や非空調部屋との室間温度差などについて特に配慮していない空調方式が計画されている。</t>
  </si>
  <si>
    <t>通常の空調方式であるが，居住域の上下温度差や気流速度に配慮した給排気計画がなされている。</t>
  </si>
  <si>
    <t>通常の空調方式であるが，居住域の上下温度差や気流速度および診療室内の間仕切りなどに配慮した給排気計画がなされている。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</si>
  <si>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</si>
  <si>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t>
  </si>
  <si>
    <t>空調居住域の上下温度差，気流速度や非空調部屋との室間温度差などが少なくなるように配慮された空調方式が計画されている。</t>
  </si>
  <si>
    <t>空調居住域の上下温度差，気流速度や非空調部屋との室間温度差などについて特に配慮していない空調方式が採用されている。</t>
  </si>
  <si>
    <t>通常の空調方式であるが，居住域の上下温度差や気流速度に配慮した給排気計画がされている。上下温度差及び気流速度の目標値をおおよそ5℃以内，0.35m/s程度に設定している。</t>
  </si>
  <si>
    <t>通常の空調方式であるが，居住域の上下温度差や気流速度および診療室内の間仕切りなどに配慮した給排気計画がされている。上下温度差及び気流速度の目標値をおおよそ5℃以内，0.35m/s程度に設定している。</t>
  </si>
  <si>
    <t>空調居住域の上下温度差，気流速度の目標値をおおよそ4℃以内，0.4m/s程度に設定している。トイレ・浴室などを含めた非空調部分でもスポット的空調対応が可能で，室間温度差を軽減することができる。</t>
  </si>
  <si>
    <t>居住域の上下温度差や気流速度が少なくなるように配慮された空調方式＊が採用されている。あるいは，その他の空調方式で，上下温度差および気流速度の目標値をおおよそ2℃以内，0.15m/s程度に設定している。</t>
    <rPh sb="49" eb="50">
      <t>タ</t>
    </rPh>
    <rPh sb="51" eb="53">
      <t>クウチョウ</t>
    </rPh>
    <rPh sb="53" eb="55">
      <t>ホウシキ</t>
    </rPh>
    <phoneticPr fontId="21"/>
  </si>
  <si>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1"/>
  </si>
  <si>
    <t>居住域の上下温度差や気流速度が少なくなるように配慮された空調方式＊が採用されている。上下温度差および気流速度の目標値をおおよそ2℃以内，0.15m/s程度に設定している。</t>
  </si>
  <si>
    <t>空調居住域の上下温度差，気流速度の目標値をおおよそ2℃以内，0.2m/s程度に設定している。トイレ・浴室などを含めた全室が空調可能とし，室間温度差を無くすことができる。</t>
  </si>
  <si>
    <t>＊　例えば，天井・床輻射冷暖房方式や床吹出し方式などを指す。</t>
  </si>
  <si>
    <t>南，東の両面に窓がある。</t>
  </si>
  <si>
    <t>昼光利用設備が２種類以上ある，または高度な機能を有する。</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</si>
  <si>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</si>
  <si>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</si>
  <si>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</si>
  <si>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反射板形状の工夫，ルーバー・透光性カバーなどにより十分にグレアを制限している器具。G1，G0，V分類の器具。</t>
  </si>
  <si>
    <t>スクリーン，オーニング，庇によりグレアを制御。</t>
  </si>
  <si>
    <t>ブラインドによりグレアを制御，もしくはスクリーン，オーニング，庇のうち2種類を組み合わせてグレアを制御。</t>
  </si>
  <si>
    <t>カーテン，スクリーン，オーニング，庇によりグレアを制御。</t>
  </si>
  <si>
    <t>ブラインドに，スクリーン，オーニング，庇のうち１種類以上を組合せてグレアを制御。</t>
  </si>
  <si>
    <t>ブラインドによりグレアを制御，もしくはカーテン，スクリーン，オーニング，庇のうち，２種類以上を組み合わせてグレアを制御。</t>
  </si>
  <si>
    <t>ブラインドによりグレアを制御，もしくはカーテン，スクリーン，オーニング，庇のうち，２種類以上を組み合わせて制御。</t>
  </si>
  <si>
    <t>ブラインドに，カーテン，スクリーン，オーニング，庇のうち，１種類以上を組み合わせてグレアを制御。</t>
  </si>
  <si>
    <t>ブラインドに，カーテン，スクリーン，オーニング，庇のうち，１種類以上を組み合わせて制御。</t>
  </si>
  <si>
    <t>児童生徒等から見て，黒板の外側15°以内の範囲に輝きの強い光源（昼光の場合は窓）がない。</t>
  </si>
  <si>
    <t>見え方を妨害するような光沢が，黒板及び机上面にない。</t>
  </si>
  <si>
    <t>見え方を妨害するような電灯や明るい窓等が，テレビ及びコンピュータ等の画面に映じていない。</t>
  </si>
  <si>
    <t>[照度]＜300lx，または1000lx≦[照度]</t>
  </si>
  <si>
    <t>全般照明方式の場合で，300lx≦[照度] ＜500lx。
タスク・アンビエント照明方式もしくはこれに準ずる照明方式の場合で，タスク照度が300lx以上500lx未満，またはアンビエント照度がタスク照度の1/3未満もしくは2/3以上。</t>
  </si>
  <si>
    <t>300lx≦　[照度] ＜500lx，
または　750lx≦　[照度]</t>
  </si>
  <si>
    <t>全般照明方式の場合で，照度が500lx以上1000lx未満。
タスク・アンビエント照明方式もしくはこれに準ずる照明方式の場合で，タスク照度が500lx以上1000lx未満，かつアンビエント照度がタスク照度の1/3以上2/3未満。</t>
  </si>
  <si>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</si>
  <si>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1"/>
  </si>
  <si>
    <t>タスク・アンビエント照明方式もしくはこれに準ずる照明方式の場合で，タスク照度が500lx以上1000lx未満，かつアンビエント照度がタスク照度の1/3以上2/3未満，かつ壁面の鉛直面照度もしくは天井面の水平面照度が100lx以上。</t>
  </si>
  <si>
    <t>レベル３を満たし，かつ複数の機器の使い分けが可能</t>
    <rPh sb="11" eb="13">
      <t>フクスウ</t>
    </rPh>
    <rPh sb="14" eb="16">
      <t>キキ</t>
    </rPh>
    <rPh sb="17" eb="18">
      <t>ツカ</t>
    </rPh>
    <rPh sb="19" eb="20">
      <t>ワ</t>
    </rPh>
    <rPh sb="22" eb="24">
      <t>カノウ</t>
    </rPh>
    <phoneticPr fontId="21"/>
  </si>
  <si>
    <t>明るさや学習形態に応じた制御区画であり，在室者自らが点灯・消灯によって制御できる</t>
  </si>
  <si>
    <t>各執務者・売り場等の部分について，細かな照明制御ができる，または，自動照明制御ができる。</t>
  </si>
  <si>
    <t>レベル３を満たしている。かつ，部分的に自動調光ができる。</t>
  </si>
  <si>
    <t>室内の複数部分に対して細かい照明制御ができる，または，自動照明制御ができる。</t>
    <rPh sb="27" eb="29">
      <t>ジドウ</t>
    </rPh>
    <rPh sb="29" eb="31">
      <t>ショウメイ</t>
    </rPh>
    <rPh sb="31" eb="33">
      <t>セイギョ</t>
    </rPh>
    <phoneticPr fontId="21"/>
  </si>
  <si>
    <t>制御区画が分かれていない，かつ，照明制御盤・器具等で調整できない。</t>
  </si>
  <si>
    <t>４作業単位で照明制御できる，または，照明制御盤・器具等で調整できる。</t>
    <rPh sb="6" eb="8">
      <t>ショウメイ</t>
    </rPh>
    <phoneticPr fontId="21"/>
  </si>
  <si>
    <t>複数ベッド単位で照明制御できる，または，照明制御盤・器具等で調整できる。</t>
    <rPh sb="8" eb="10">
      <t>ショウメイ</t>
    </rPh>
    <rPh sb="10" eb="12">
      <t>セイギョ</t>
    </rPh>
    <rPh sb="20" eb="22">
      <t>ショウメイ</t>
    </rPh>
    <rPh sb="22" eb="25">
      <t>セイギョバン</t>
    </rPh>
    <phoneticPr fontId="21"/>
  </si>
  <si>
    <t>室内全体に対して照明制御盤，器具等による大まかな調整ができる。</t>
  </si>
  <si>
    <t>１作業単位で照明制御できる，かつ，端末・リモコン等で調整できる，または自動照明制御ができる。</t>
    <rPh sb="6" eb="8">
      <t>ショウメイ</t>
    </rPh>
    <rPh sb="35" eb="37">
      <t>ジドウ</t>
    </rPh>
    <rPh sb="37" eb="39">
      <t>ショウメイ</t>
    </rPh>
    <rPh sb="39" eb="41">
      <t>セイギョ</t>
    </rPh>
    <phoneticPr fontId="21"/>
  </si>
  <si>
    <t>ベッド単位の細かい照明制御ができる，または，自動照明制御ができる。</t>
  </si>
  <si>
    <t>室内の複数部分に対して端末，リモコン等で細かな照明制御ができる，または，自動照明制御ができる。</t>
    <rPh sb="23" eb="25">
      <t>ショウメイ</t>
    </rPh>
    <rPh sb="36" eb="38">
      <t>ジドウ</t>
    </rPh>
    <rPh sb="38" eb="40">
      <t>ショウメイ</t>
    </rPh>
    <rPh sb="40" eb="42">
      <t>セイギョ</t>
    </rPh>
    <phoneticPr fontId="21"/>
  </si>
  <si>
    <t>ホルムアルデヒド濃度が100μg/m3以下。測定によらない場合，建築基準法を満たしている。</t>
  </si>
  <si>
    <t>ホルムアルデヒド濃度が100μg/m3以下。
かつ，トルエン濃度が260μg/m3以下。</t>
  </si>
  <si>
    <t>ホルムアルデヒド濃度が75μg/m3以下。
かつ，トルエン濃度が195μg/m3以下。</t>
  </si>
  <si>
    <t>ホルムアルデヒド濃度が50μg/m3以下。
かつ，トルエン濃度が130μg/m3以下。</t>
  </si>
  <si>
    <t>吹き付けアスベスト等を使用しているが，封じ込め又は囲い込みが行われている。</t>
  </si>
  <si>
    <t>内装は，床・壁の50％以上～65％未満の面積において，ダニ・カビの発生を抑制，あるいは清掃・メンテナンスに配慮したものとなっている。</t>
  </si>
  <si>
    <t>内装は，床・壁の50％以上～65％未満の面積において，ダニ・カビの発生を抑制，あるいは清掃・メンテナンスに配慮したものとなっている。</t>
    <rPh sb="17" eb="19">
      <t>ミマン</t>
    </rPh>
    <phoneticPr fontId="21"/>
  </si>
  <si>
    <t>内装は，床・壁の65％以上～80％未満の面積において，ダニ・カビの発生を抑制，あるいは清掃・メンテナンスに配慮したものとなっている。</t>
  </si>
  <si>
    <t>内装は，床・壁の80％以上の面積において，ダニ・カビの発生を抑制，あるいは清掃・メンテナンスに配慮したものとなっている。</t>
  </si>
  <si>
    <t>レベル３の基準に加え，定期的に掃除を行っている，などの運用面の取組を行っている。</t>
  </si>
  <si>
    <t>冷却塔の水処理，飛散対策等が最低限施されており，給湯器も最低限の対策が施されている。</t>
  </si>
  <si>
    <t>冷却塔がない。または，冷却塔の水処理，飛散対策等が十分に施されており，給湯器は最低限の対策が施されている。</t>
  </si>
  <si>
    <t>確実な対策を行うために，レベル４を超える特別な配慮を行っている。かつ，それらの設備のメンテナンスが容易な計画となっている。</t>
  </si>
  <si>
    <t>［CO2濃度］ ≦1,000 ppm，かつ ［粉塵濃度］ ≦0.15 mg/㎥</t>
  </si>
  <si>
    <t>［CO2濃度］　≦800 ppm，かつ［粉塵濃度］　≦0.12 mg/㎥</t>
  </si>
  <si>
    <t>レベル３の基準に加え，定期的に換気(窓開け)を行っている，などの運用面の取組を評価</t>
  </si>
  <si>
    <t>［CO2濃度］　≦600 ppm，　かつ　［粉塵濃度］　≦0.08 mg/㎥</t>
  </si>
  <si>
    <t>窓が開閉不可能な居室において，自然換気有効開口がない，または25cm2/m2未満。あるいは窓が開閉可能な居室において，自然換気有効開口面積が居室床面積の1/50以上</t>
  </si>
  <si>
    <t>窓が開閉不可能な居室において自然換気有効開口がない，または50cm2/m2未満。あるいは窓が開閉可能な居室において，自然換気有効開口面積が居室床面積の1/20以上</t>
  </si>
  <si>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</si>
  <si>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</si>
  <si>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</si>
  <si>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</si>
  <si>
    <t>空気取り入れ口は敷地周囲の状況を勘案して，汚染源のない方位に設けられている。かつ，各種排気口と異なる方位か，または3ｍ以上離れて設置されている。</t>
  </si>
  <si>
    <t>空気取り入れ口は敷地周囲の状況を勘案して，汚染源のない方位に設けられている。</t>
  </si>
  <si>
    <t>空気取り入れ口は敷地周囲の状況を勘案して，汚染源のない方位に設けられている。かつ，各種排気口と6ｍ以上離れて設置されている。</t>
  </si>
  <si>
    <t>空気取り入れ口は敷地周囲の状況を勘案して，汚染源のない方位に設けられている。かつ，各種排気口と異なる方位で，かつ6ｍ以上離れて設置されている。</t>
  </si>
  <si>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</si>
  <si>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</si>
  <si>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</si>
  <si>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</si>
  <si>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</si>
  <si>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CO2監視が中央で常時行えるシステムとなっている。かつ，空気質を適正に維持するための管理マニュアル等が整備されており，有効に機能している。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</si>
  <si>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</si>
  <si>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個室8㎡/床で，かつ多床室6㎡/床以上。</t>
  </si>
  <si>
    <t>シングル15㎡以上，かつツイン22㎡以上。</t>
  </si>
  <si>
    <t>シングル22㎡以上，かつツイン32㎡以上。</t>
  </si>
  <si>
    <t>個室10㎡/床で，かつ多床室8㎡/床以上。</t>
  </si>
  <si>
    <t>シングル30㎡以上，かつツイン40㎡以上。</t>
  </si>
  <si>
    <t>ＯＡフロア等によりレイアウト変更に対応できるようになっており，かつＯＡ機器用コンセント容量が30ＶＡ/ｍ2以上となっている。加えて，通信に関しては，ビル内へ光ファイバーが引き込まれている。</t>
  </si>
  <si>
    <t>各住戸または各客室に電話，放送に対応した通信回線が引き込まれている。</t>
  </si>
  <si>
    <t>レベル２を満たすとともに，レベル４に満たないインターネットサービスが提供されている。</t>
  </si>
  <si>
    <t>ＯＡフロア等によりレイアウト変更に対応できるようになっており，かつＯＡ機器用コンセント容量が40ＶＡ/ｍ2以上となっている。加えて，通信に関しては，レベル３を満たすとともに，複数の通信事業者の回線がビル内へ引き込まれており，各階への通信事業者用配線スペースが別途，確保されている。また，これらの更新履歴が図面に反映され，保存されている。</t>
  </si>
  <si>
    <t>各住戸または各客室に100Mbitクラスのブロードバンドが利用可能な環境が整備されていること。また，これらの更新履歴が図面に反映され，保存されている。</t>
  </si>
  <si>
    <t>ＯＡフロア等によりレイアウト変更に対応できるようになっており，かつＯＡ機器用コンセント容量が50ＶＡ/ｍ2以上となっている。加えて，通信に関しては，レベル４を満たすとともに，各階へはGigabit通信回線が引き込まれており，別途，フロア間通信のためのテナントEPSが確保されている。また，これらの更新履歴が図面に反映され，保存されている。</t>
  </si>
  <si>
    <t>各住戸または各客室にGbitクラスのブロードバンドが利用可能な環境が整備されていること。また，これらの更新履歴が図面に反映され，保存されている。</t>
  </si>
  <si>
    <t>事務室の天井高2.5m以上となっており，かつ，すべての執務者が十分な屋外の情報を得られるように窓が設置されている。</t>
  </si>
  <si>
    <t>事務室の天井高2.7m以上となっており，かつ，すべての執務者が十分な屋外の情報を得られるように窓が設置されている。</t>
  </si>
  <si>
    <t>事務室の天井高2.9m以上となっており，かつ，すべての執務者が十分な屋外の情報を得られるように窓が設置されている。</t>
  </si>
  <si>
    <t>延床面積500㎡以下の建築物は
レベル3とする。
注）500㎡以下の建物は直接入力により，レベル3を選択してください。</t>
  </si>
  <si>
    <t>①　内装仕上げ：内壁面は防汚性の高い仕上げ方法や建材，塗装，コーティングを採用している。</t>
  </si>
  <si>
    <t>②　内装仕上げ：床面は防汚性の高い建材，塗装，コーティングを採用している。</t>
  </si>
  <si>
    <t>⑤　内装設計：風除室の１次扉と２次扉が同時に開かないように距離を確保し，または土砂などの進入を防ぐ為の設計をしている。</t>
  </si>
  <si>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1"/>
  </si>
  <si>
    <t>⑨　外装設計：害鳥（鳩・烏・椋鳥など）への糞害予防，対策を実施している。</t>
  </si>
  <si>
    <t>⑪　内装・外構設計：外構，管理用区域を含む動線は極力段差の無い（５mm程度）設計をしている。</t>
  </si>
  <si>
    <t>①　建物の延床面積に対し，十分なスペースの清掃員控え室の設置をしている。</t>
    <rPh sb="2" eb="4">
      <t>タテモノ</t>
    </rPh>
    <phoneticPr fontId="21"/>
  </si>
  <si>
    <t>②　建物の延床面積に対し，十分なスペースの清掃用具室と管理倉庫の設置をしている。</t>
    <rPh sb="2" eb="4">
      <t>タテモノ</t>
    </rPh>
    <rPh sb="27" eb="29">
      <t>カンリ</t>
    </rPh>
    <rPh sb="29" eb="31">
      <t>ソウコ</t>
    </rPh>
    <phoneticPr fontId="21"/>
  </si>
  <si>
    <t>③　清掃用具室に洗い場を設置し，安全な排水設備への排水経路を確保している。</t>
  </si>
  <si>
    <t>②　清掃用資材の洗い場を設置し，安全な排水設備への排水経路を確保している。
※病院建築物においては上記に加え，病床数に応じた清掃資材用の洗濯機を設置するスペースを確保している。</t>
  </si>
  <si>
    <t>④　衛生面からモップ，ウェスを洗濯・乾燥させるスペースを計画している。</t>
  </si>
  <si>
    <t>③　水を使用し清掃する箇所（トイレ，ゴミ庫，厨房）には２／１００程度の適度な勾配を計画している。</t>
  </si>
  <si>
    <t>⑤　廃棄物・リサイクル・粗大ゴミのスペースを建物の延床面積に対し，十分に確保しており，かつ，搬出が容易な計画となっている。</t>
    <rPh sb="22" eb="24">
      <t>タテモノ</t>
    </rPh>
    <phoneticPr fontId="21"/>
  </si>
  <si>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1"/>
  </si>
  <si>
    <t>⑦　床材に応じた清掃器具を想定し，それに合わせた数量，設置間隔で清掃作業用電源レイアウトの設計をしている。</t>
    <rPh sb="37" eb="39">
      <t>デンゲン</t>
    </rPh>
    <phoneticPr fontId="21"/>
  </si>
  <si>
    <t>⑧　外部ガラスや外壁，給排気口，照明など高所の維持管理作業を安全に行える設計をしている。</t>
  </si>
  <si>
    <t>⑦　外部ガラスや給排気口，照明など高所の維持管理作業を安全に行える設計をしている。</t>
  </si>
  <si>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1"/>
  </si>
  <si>
    <t>⑩　バルブ等の日常的に調整が必要な機器は，操作が容易な位置に設定されている。</t>
  </si>
  <si>
    <t>⑨　バルブ等の日常的に調整が必要な機器は，操作が容易な位置に設定されている。</t>
  </si>
  <si>
    <t>⑬　上記以外に維持管理用機能の確保を考慮したポイントを明確にし，実施している。</t>
  </si>
  <si>
    <t>⑫　上記以外に維持管理用機能の確保を考慮したポイントを明確にし，実施している。</t>
  </si>
  <si>
    <t>大掃除は，定期に行われていること。（毎学年３回）</t>
    <rPh sb="0" eb="3">
      <t>オオソウジ</t>
    </rPh>
    <rPh sb="5" eb="7">
      <t>テイキ</t>
    </rPh>
    <rPh sb="8" eb="9">
      <t>オコナ</t>
    </rPh>
    <rPh sb="18" eb="21">
      <t>マイガクネン</t>
    </rPh>
    <rPh sb="22" eb="23">
      <t>カイ</t>
    </rPh>
    <phoneticPr fontId="21"/>
  </si>
  <si>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1"/>
  </si>
  <si>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1"/>
  </si>
  <si>
    <t>充分な長さのエントランスマットを設置している。(外部，内部含む5ｍ以上)</t>
  </si>
  <si>
    <t>① トイレ，共用部，厨房，玄関マットは毎日，清掃を実施する事としている。</t>
  </si>
  <si>
    <t>① 環境ラベル取得製品の採用。(エコマーク，グリーンマークなど)</t>
  </si>
  <si>
    <t>① 環境ラベル取得製品を採用している。（エコマーク，グリーンマークなど）</t>
  </si>
  <si>
    <t>② 清掃用ケミカルのⅰ 床用保護剤，ⅱ 床用洗浄剤(カーペット含む)，ⅲ トイレ用洗浄剤，ⅳ ガラス用洗浄剤の4製品に関して，環境負荷と安全に配慮した製品を採用している。(判定表を参照)</t>
  </si>
  <si>
    <t>③ トイレ，共用部，厨房などの清掃に使用するケミカルの2種類以上についてMSDS（化学物質安全データシート）を保管している。</t>
  </si>
  <si>
    <t>手袋，メガネ，マスクなどの保護具の着用を促している。</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</si>
  <si>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</si>
  <si>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1"/>
  </si>
  <si>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1"/>
  </si>
  <si>
    <t>建築物環境衛生管理基準レベルの空調管理を実施し，記録を保管している。</t>
  </si>
  <si>
    <t>建築物環境衛生管理基準を満たし，6ヶ月に1回の点検および防除を行っている。</t>
    <rPh sb="18" eb="19">
      <t>ゲツ</t>
    </rPh>
    <rPh sb="21" eb="22">
      <t>カイ</t>
    </rPh>
    <rPh sb="23" eb="25">
      <t>テンケン</t>
    </rPh>
    <rPh sb="28" eb="30">
      <t>ボウジョ</t>
    </rPh>
    <rPh sb="31" eb="32">
      <t>オコナ</t>
    </rPh>
    <phoneticPr fontId="21"/>
  </si>
  <si>
    <t>各建築物に適用されている法律，規則，基準などに則り，ねずみ等の点検・防除を定期的に実施している。
※法律，規則，基準などがない建築物の場合は年1回のねずみ等の点検・防除を実施している。</t>
  </si>
  <si>
    <t>建築物環境衛生管理基準レベルのねずみ等の点検・防除を実施し，記録を保管している。</t>
  </si>
  <si>
    <t>建築物環境衛生管理基準レベルの給水・給湯管理（飲用・炊事用・浴用等）を実施し，記録を保管している。</t>
  </si>
  <si>
    <t>制振装置を導入し，強風時の居住性向上に配慮している。</t>
  </si>
  <si>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</si>
  <si>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</si>
  <si>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1"/>
  </si>
  <si>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1"/>
  </si>
  <si>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1"/>
  </si>
  <si>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1"/>
  </si>
  <si>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1"/>
  </si>
  <si>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</si>
  <si>
    <t>③災害時，下水道が機能しないことを想定し，汚水（雑排水）の一時的貯留機能が確保できるピットを設けている。</t>
  </si>
  <si>
    <t>耐震クラスB（大地震後に人命の安全および二次災害の防止が図られている。）または，動的解析を行った上で設計用水平震度KHを1.0以上としている。</t>
  </si>
  <si>
    <t>耐震クラスA（Bクラスに加えて，大きな補修をすることなく重要な機能が確保できる。）または，動的解析を行った上で設計用水平震度KHを1.5以上としている。</t>
  </si>
  <si>
    <t>耐震クラスS（Aクラスに加え，大きな補修をすることなく全ての機能が確保できる。）または，動的解析を行った上で設計用水平震度KHを2.0以上としている。</t>
  </si>
  <si>
    <t>①光ケーブル，メタルケーブル，携帯電話網，PHS網など，通信手段の多様化を図っている。</t>
  </si>
  <si>
    <t>②異なる電話局からの引き込みなどの，引き込みの2ルート化を図っている。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</si>
  <si>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</si>
  <si>
    <t>④災害時の有線電話，FAX，地域防災無線が設置されている。</t>
  </si>
  <si>
    <t>3.3ｍ以上，3.5ｍ未満</t>
  </si>
  <si>
    <t>3.1ｍ以上，3.3ｍ未満</t>
  </si>
  <si>
    <t>2.7ｍ以上，2.8ｍ未満</t>
  </si>
  <si>
    <t>3.5ｍ以上，3.7ｍ未満</t>
  </si>
  <si>
    <t>2.8ｍ以上，2.9ｍ未満</t>
  </si>
  <si>
    <t>3.7ｍ以上，3.9ｍ未満</t>
  </si>
  <si>
    <t>2.9ｍ以上，3.0ｍ未満</t>
  </si>
  <si>
    <t>構造部材，仕上げ材を痛めなければ修繕，更新できない。</t>
  </si>
  <si>
    <t>構造部材を痛めることなく修繕できるが，更新できない。</t>
  </si>
  <si>
    <t>将来用（更新用）スペース，ルートの確保されることなどによって，構造部材を痛めることなくほぼ全ての空調配管の更新・修繕ができる。 または中央式空調設備を持たない。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</si>
  <si>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</si>
  <si>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</si>
  <si>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</si>
  <si>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t>ISS ，設備階の設置などによって，仕上げ材を痛めることなく空調配管の更新・修繕が容易にできる。</t>
  </si>
  <si>
    <t>構造部材，仕上げ材を痛めることなく修繕，更新できる。</t>
  </si>
  <si>
    <t>構造部材だけでなく，仕上げ材を痛めることなく電気配線の更新・修繕ができる。</t>
  </si>
  <si>
    <t>主要設備機器の更新に対応したルート又はマシンハッチが確保されておらず，更新・修繕時に建物機能を維持できない状況。</t>
  </si>
  <si>
    <t>主要設備機器の更新に対応したルート又はマシンハッチが確保されているが，更新・修繕時に建物機能を維持できない状況。</t>
  </si>
  <si>
    <t>主要設備機器の更新に対応した仮設スペースが確保でき，かつ更新・修繕時に建物機能を維持できる状況。</t>
  </si>
  <si>
    <t>主要設備機器の更新に対応したルート又はマシンハッチが確保され，かつ更新・修繕時に建物機能を維持できる状況。</t>
  </si>
  <si>
    <t>1) 外構緑化指数が，10％以上20％未満を示す規模の外構緑化を行い，なおかつ中高木を植栽している。（1ポイント）</t>
  </si>
  <si>
    <t>　外構緑化指数が，20％以上50％未満を示す規模の外構緑化を行っている。 （2ポイント）</t>
  </si>
  <si>
    <t>　外構緑化指数が，50%以上を示す規模の外構緑化を行っている。（3ポイント）</t>
  </si>
  <si>
    <t>2)建物緑化指数が，5％以上20％未満を示す規模の建築物の緑化を行っている。 （1ポイント）</t>
  </si>
  <si>
    <t>　建物緑化指数が，20％以上を示す規模の建築物の緑化を行っている。 （2ポイント）</t>
  </si>
  <si>
    <t>1)設計当初の緑化計画目標・方針，敷地及びその周辺における生物環境に関わる立地環境特性等を把握・確認し，管理・運営方針を継続的に見直している。</t>
  </si>
  <si>
    <t>2)緑地等の適切な育成管理・維持管理の実施に加え，極力農薬等化学物質を使用しない維持管理手法を採用している。</t>
  </si>
  <si>
    <t>地域性への配慮，快適性の向上</t>
    <rPh sb="0" eb="3">
      <t>チイキセイ</t>
    </rPh>
    <rPh sb="5" eb="7">
      <t>ハイリョ</t>
    </rPh>
    <rPh sb="8" eb="11">
      <t>カイテキセイ</t>
    </rPh>
    <rPh sb="12" eb="14">
      <t>コウジョウ</t>
    </rPh>
    <phoneticPr fontId="21"/>
  </si>
  <si>
    <t>I 地域固有の風土，歴史，文化の
継承</t>
  </si>
  <si>
    <t>1）歴史的な建築空間等の保全
歴史的な建築内外部空間や遺構を保存，復元，再生し，地域文化に貢献している。（まちなみ・景観で評価している部分はここで重複して評価しない）</t>
  </si>
  <si>
    <t>アルコーブ・ピロティ・庇などの空間を設けるなどの建築的な工夫を取入れて，雨宿り，待合わせに供する等，都市空間の活動上のアメニティ向上に貢献している。
または，</t>
  </si>
  <si>
    <t>広場や歩道状空地，路地などのスペースを確保し，憩いの場に供するなど地域の活動上のアメニティ向上に貢献している。</t>
  </si>
  <si>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</si>
  <si>
    <t>例えば，環境教育を地域住民・NPO・企業と連携して行えるような地域に開放できる室があり，地域の生態系，環境の保全，エコスクール等について学習できる場として貢献している</t>
  </si>
  <si>
    <t>中庭やテラス，バルコニー，サンルーム，アルコーブ，屋根付広場，風光ボイド，アトリウム，等のように風や光が通り抜ける開放的な空間をうまく内部空間と連続させている。
または，</t>
  </si>
  <si>
    <t>玄関廻り，バルコニー廻り等のプライバシーと公共性の接点の部分に，風光ボイド，花台，パーゴラ，奥行きのあるバルコニー等のしつらえによって，生活感が滲み出るような豊かな中間領域を形成している。</t>
  </si>
  <si>
    <t>建物外部の広場などのスペースにおいて，視線を遮らない様な樹木の配置，夜間照明の設置，防犯カメラの設置，防犯に役立つ窓の配置などを行い，防犯性に配慮している。
または，</t>
  </si>
  <si>
    <t>広場や歩道状空地がない場合，建物周囲において，視線の行き届かない袋小路や通路などの死角空間を作らないようにし，また防犯に役立つ窓の配置をするなどして，防犯性に配慮している。</t>
  </si>
  <si>
    <t>または，
敷地周囲に境界壁等を設ける場合，視線を遮るような連続した塀等を作らず，見通しの良いフェンスや背の低い生垣等を設けて防犯性・防災性に配慮している。</t>
  </si>
  <si>
    <t>8）建物利用者等の参加性
施設利用者満足度評価（POE）の実施，コーポラティブ住宅等，設計プロセスに建物利用者が参加している。</t>
  </si>
  <si>
    <t>または
居住者や入居者が植栽管理・清掃活動，運用計画の立案を直接行うなど，建物の維持管理に対して居住者が参加している。</t>
  </si>
  <si>
    <t>I 敷地内の歩行者空間等へ風を導き，暑熱環境を緩和する</t>
  </si>
  <si>
    <t>1)敷地周辺の風の状況を把握し，敷地内の歩行者空間等へ風を導く建築物の配置・形状計画とする</t>
  </si>
  <si>
    <t>2)芝生・草地・低木等の緑地や通路等の空地を設けることにより，風の通り道を確保する。</t>
  </si>
  <si>
    <t>空地率が，
　　・40％以上60％未満の場合　 (1ポイント)
　　・60％以上80％未満の場合　 (2ポイント)
　　・80％以上 (3ポイント)</t>
  </si>
  <si>
    <t>II夏期における日陰を形成し，敷地内歩行者空間等の暑熱環境を緩和する</t>
  </si>
  <si>
    <t>1)中・高木の植栽やピロティ，庇，パーゴラ等を設けることにより，日陰の形成に努める。</t>
  </si>
  <si>
    <t>中・高木，ピロティ等の水平投影面積率が，
　　・10％以上20％未満の場合　 (1ポイント)
　　・20％以上30％未満の場合　 (2ポイント)
　　・30％以上の場合 (3ポイント)</t>
  </si>
  <si>
    <t>III敷地内に緑地や水面等を確保し，敷地内歩行者空間等の暑熱環境を緩和する</t>
  </si>
  <si>
    <t>1)緑地や水面を確保することにより，地表面温度や地表面近傍の気温等の上昇を抑制する。</t>
  </si>
  <si>
    <t>緑被率，水被率，中・高木の水平投影面積率の合計が，
　　・10％以上20％未満の場合  (1ポイント)
　　・20％以上30％未満の場合 (2ポイント)
　　・30％以上の場合 (3ポイント)</t>
  </si>
  <si>
    <t>舗装面積率が，
　　・20％以上30％未満の場合 (1ポイント)
　　・10％以上20％未満の場合 (2ポイント)
　　・10％未満の場合　 (3ポイント)</t>
  </si>
  <si>
    <t>IV建築外装材料に配慮し，敷地内歩行空間等の暑熱環境を緩和する</t>
  </si>
  <si>
    <t>1)屋上(人工地盤を含む)のうち，人が出入りできる部分の緑化に努める。</t>
  </si>
  <si>
    <t>　　・人が出入りできる屋上があり，一部緑化している場合(2ポイント)
　　・人が出入りできる屋上を広範囲で緑化している場合(3ポイント)</t>
  </si>
  <si>
    <t>外壁面対策面積率が，
　　・10％未満の場合で何らかの対策がある場合  (1ポイント)
　　・10％以上20％未満の場合 (2ポイント)
　　・20％以上の場合 (3ポイント)</t>
  </si>
  <si>
    <t>V建築設備に伴う排熱の位置等に配慮し，敷地内歩行者空間等の暑熱環境を緩和する</t>
  </si>
  <si>
    <t>1)主たる建築設備(空調設備)に伴う排熱は，建築物の高い位置からの放出に努める。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3" eb="65">
      <t>セツビ</t>
    </rPh>
    <rPh sb="65" eb="67">
      <t>ヨウリョウ</t>
    </rPh>
    <rPh sb="71" eb="73">
      <t>テイド</t>
    </rPh>
    <rPh sb="73" eb="75">
      <t>イジョウ</t>
    </rPh>
    <rPh sb="82" eb="84">
      <t>イジョウ</t>
    </rPh>
    <rPh sb="91" eb="93">
      <t>イチ</t>
    </rPh>
    <rPh sb="94" eb="96">
      <t>セッチ</t>
    </rPh>
    <rPh sb="109" eb="111">
      <t>レイキャク</t>
    </rPh>
    <rPh sb="111" eb="112">
      <t>トウ</t>
    </rPh>
    <rPh sb="113" eb="116">
      <t>シツガイキ</t>
    </rPh>
    <rPh sb="117" eb="119">
      <t>セッチ</t>
    </rPh>
    <rPh sb="137" eb="139">
      <t>イジョウ</t>
    </rPh>
    <rPh sb="140" eb="142">
      <t>イチ</t>
    </rPh>
    <rPh sb="143" eb="145">
      <t>セッチ</t>
    </rPh>
    <phoneticPr fontId="21"/>
  </si>
  <si>
    <t>2)主たる建築設備(燃焼設備)に伴う高温排熱は，建築物の高い位置からの放出に努める。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1" eb="63">
      <t>セツビ</t>
    </rPh>
    <rPh sb="63" eb="65">
      <t>ヨウリョウ</t>
    </rPh>
    <rPh sb="69" eb="71">
      <t>テイド</t>
    </rPh>
    <rPh sb="71" eb="73">
      <t>イジョウ</t>
    </rPh>
    <rPh sb="80" eb="82">
      <t>イジョウ</t>
    </rPh>
    <rPh sb="90" eb="92">
      <t>イチ</t>
    </rPh>
    <rPh sb="93" eb="95">
      <t>セッチ</t>
    </rPh>
    <rPh sb="109" eb="111">
      <t>コウオン</t>
    </rPh>
    <rPh sb="111" eb="113">
      <t>ハイネツ</t>
    </rPh>
    <rPh sb="114" eb="116">
      <t>ホウシュツ</t>
    </rPh>
    <rPh sb="116" eb="117">
      <t>ブ</t>
    </rPh>
    <rPh sb="118" eb="120">
      <t>セッチ</t>
    </rPh>
    <rPh sb="138" eb="140">
      <t>イジョウ</t>
    </rPh>
    <rPh sb="141" eb="143">
      <t>イチ</t>
    </rPh>
    <rPh sb="144" eb="146">
      <t>セッチ</t>
    </rPh>
    <phoneticPr fontId="21"/>
  </si>
  <si>
    <t>厚さが20mm以上の吹付け硬質ｳﾚﾀﾝﾌｫｰﾑ断熱材その他これに相当する断熱性能を使用し，且つ複層ガラスを使用している</t>
    <rPh sb="45" eb="46">
      <t>カ</t>
    </rPh>
    <phoneticPr fontId="21"/>
  </si>
  <si>
    <t>厚さが40mm以上の吹付け硬質ｳﾚﾀﾝﾌｫｰﾑ断熱材その他これに相当する断熱性能を使用し，且つ複層ガラスを使用している</t>
    <rPh sb="45" eb="46">
      <t>カ</t>
    </rPh>
    <phoneticPr fontId="21"/>
  </si>
  <si>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1"/>
  </si>
  <si>
    <t>厚さが20mm以上の吹付け硬質ｳﾚﾀﾝﾌｫｰﾑ断熱材その他これに相当する断熱性能を使用し，且つ低放射複層ガラスを使用している</t>
    <rPh sb="45" eb="46">
      <t>カ</t>
    </rPh>
    <phoneticPr fontId="21"/>
  </si>
  <si>
    <t>厚さが40mm以上の吹付け硬質ｳﾚﾀﾝﾌｫｰﾑ断熱材その他これに相当する断熱性能を使用し，且つ低放射複層ガラスを使用している</t>
    <rPh sb="45" eb="46">
      <t>カ</t>
    </rPh>
    <phoneticPr fontId="21"/>
  </si>
  <si>
    <t>高性能熱反ガラスを使用し，且つ水平庇１．０ｍ以上が計画されている。</t>
    <rPh sb="9" eb="11">
      <t>シヨウ</t>
    </rPh>
    <rPh sb="13" eb="14">
      <t>カ</t>
    </rPh>
    <rPh sb="15" eb="17">
      <t>スイヘイ</t>
    </rPh>
    <rPh sb="17" eb="18">
      <t>ヒサシ</t>
    </rPh>
    <rPh sb="25" eb="27">
      <t>ケイカク</t>
    </rPh>
    <phoneticPr fontId="21"/>
  </si>
  <si>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1"/>
  </si>
  <si>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1"/>
  </si>
  <si>
    <t>自然エネルギーの直接利用量（採光や通風など）を評価する。太陽光発電やソーラーパネル等などの電気や熱に変換して利用するものについては，「3．設備システムの高効率化」で評価する。</t>
    <rPh sb="0" eb="2">
      <t>シゼン</t>
    </rPh>
    <rPh sb="8" eb="10">
      <t>チョクセツ</t>
    </rPh>
    <rPh sb="10" eb="12">
      <t>リヨウ</t>
    </rPh>
    <rPh sb="12" eb="13">
      <t>リョウ</t>
    </rPh>
    <rPh sb="14" eb="16">
      <t>サイコウ</t>
    </rPh>
    <rPh sb="17" eb="19">
      <t>ツウフウ</t>
    </rPh>
    <rPh sb="23" eb="25">
      <t>ヒョウカ</t>
    </rPh>
    <rPh sb="28" eb="30">
      <t>タイヨウ</t>
    </rPh>
    <rPh sb="30" eb="31">
      <t>ヒカリ</t>
    </rPh>
    <rPh sb="31" eb="33">
      <t>ハツデン</t>
    </rPh>
    <rPh sb="41" eb="42">
      <t>トウ</t>
    </rPh>
    <rPh sb="45" eb="47">
      <t>デンキ</t>
    </rPh>
    <rPh sb="48" eb="49">
      <t>ネツ</t>
    </rPh>
    <rPh sb="50" eb="52">
      <t>ヘンカン</t>
    </rPh>
    <rPh sb="54" eb="56">
      <t>リヨウ</t>
    </rPh>
    <rPh sb="69" eb="71">
      <t>セツビ</t>
    </rPh>
    <rPh sb="76" eb="79">
      <t>コウコウリツ</t>
    </rPh>
    <rPh sb="79" eb="80">
      <t>カ</t>
    </rPh>
    <rPh sb="82" eb="84">
      <t>ヒョウカ</t>
    </rPh>
    <phoneticPr fontId="21"/>
  </si>
  <si>
    <t>0MJ/㎡・年≦　[利用量]　＜1MJ/㎡・年　※利用なし，モニュメントの計画含む</t>
  </si>
  <si>
    <t>レベル３に対する，採光・通風が行えない。</t>
    <rPh sb="5" eb="6">
      <t>タイ</t>
    </rPh>
    <phoneticPr fontId="21"/>
  </si>
  <si>
    <t>教室・専有部のほぼ全体（80%以上）が，外皮に２方向面しており，有効な採光・通風が確保されている。</t>
    <rPh sb="0" eb="2">
      <t>キョウシツ</t>
    </rPh>
    <rPh sb="3" eb="5">
      <t>センユウ</t>
    </rPh>
    <rPh sb="5" eb="6">
      <t>ブ</t>
    </rPh>
    <phoneticPr fontId="21"/>
  </si>
  <si>
    <t>上記の他，換気ボイドなど，効果を促進させる建築的工夫がなされ，その影響範囲が，建物の過半（50%以上）に及ぶもの</t>
    <rPh sb="0" eb="1">
      <t>ジョウ</t>
    </rPh>
    <rPh sb="39" eb="41">
      <t>タテモノ</t>
    </rPh>
    <phoneticPr fontId="21"/>
  </si>
  <si>
    <t>レベル４に加え，利用量が15MJ/㎡・年以上となる場合。</t>
    <rPh sb="8" eb="10">
      <t>リヨウ</t>
    </rPh>
    <rPh sb="10" eb="11">
      <t>リョウ</t>
    </rPh>
    <rPh sb="19" eb="20">
      <t>トシ</t>
    </rPh>
    <rPh sb="20" eb="22">
      <t>イジョウ</t>
    </rPh>
    <rPh sb="25" eb="27">
      <t>バアイ</t>
    </rPh>
    <phoneticPr fontId="21"/>
  </si>
  <si>
    <t>上記の工夫が，建物の大半（80%以上）に及ぶもの</t>
    <rPh sb="0" eb="1">
      <t>ジョウ</t>
    </rPh>
    <rPh sb="7" eb="9">
      <t>タテモノ</t>
    </rPh>
    <phoneticPr fontId="21"/>
  </si>
  <si>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1"/>
  </si>
  <si>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</si>
  <si>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1"/>
  </si>
  <si>
    <t>その他：その他，自然を活用した有効なシステムが計画されていること。</t>
    <rPh sb="2" eb="3">
      <t>タ</t>
    </rPh>
    <phoneticPr fontId="21"/>
  </si>
  <si>
    <t>「住宅に係るエネルギーの合理化に関する設計，施工及び維持保全の指針（平成25年国土交通省告示第907号）」に定められる</t>
  </si>
  <si>
    <t>「一次エネルギー消費量に関する基準」を満たし，且つ日本住宅性能表示基準「5-1断熱等性能等級」における等級４を満たす場合はレベル４と評価することができる。</t>
  </si>
  <si>
    <t>[3.1a，3.1bによる設備システムの高効率化のスコア]が2.0点未満</t>
  </si>
  <si>
    <t>[3,1a，3.1bによる設備システムの高効率化のスコア]が2.0点以上</t>
  </si>
  <si>
    <t>レベル３に加え，空調対象面積の50％以上に全熱交換器を採用</t>
  </si>
  <si>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1"/>
  </si>
  <si>
    <t>＜７種類の制御方式＞
カード・センサー等による在室検知制御，明るさ感知による自動点滅制御，適正照度制御（初期照度補正），タイムスケジュール制御，昼光利用照明制御，ゾーニング制御，局所制御</t>
  </si>
  <si>
    <t>レベル３に加え，７種類のうち２種類以上採用されている。</t>
  </si>
  <si>
    <t>レベル３に加え，７種類のうち４種類以上採用されている。</t>
  </si>
  <si>
    <t>建物で消費される各種エネルギー消費量を年間に渡って把握し，消費原単位等を用いてのベンチマーク比較を行っていること。</t>
    <rPh sb="49" eb="50">
      <t>オコナ</t>
    </rPh>
    <phoneticPr fontId="21"/>
  </si>
  <si>
    <t>レベル３に加え，主要な用途別エネルギー消費の内訳※1) を把握して，消費特性の傾向把握・分析を行い，妥当性の確認を行っていること。</t>
    <rPh sb="57" eb="58">
      <t>オコナ</t>
    </rPh>
    <phoneticPr fontId="21"/>
  </si>
  <si>
    <t>エネルギー消費に関する表示機器，負荷低減装置等を採用している。</t>
  </si>
  <si>
    <t>レベル４に加え，主要な設備システムに関しては，システム効率※2) の評価を行うことにより，システムの性能の評価を実施していること。</t>
    <rPh sb="56" eb="58">
      <t>ジッシ</t>
    </rPh>
    <phoneticPr fontId="21"/>
  </si>
  <si>
    <t xml:space="preserve">※1) 概ね，エネルギー消費全体の半分以上の用途構成の把握が可能なモニタリングが計画されていること。
</t>
  </si>
  <si>
    <t>※2) 概ね4種類以上の効率評価を行えること。また，空調や照明，換気など系統数が多い場合は，代表系統での評価から全体の推定を行なうことも可</t>
  </si>
  <si>
    <t>削減熱量，エネルギー量</t>
  </si>
  <si>
    <t>昼光利用，人感センサーなどによる削減エネルギー量</t>
  </si>
  <si>
    <t>空調CO2制御効果，換気CO2制御効果，タスクアンビエント空調効果，タスクアンビエント照明効果など</t>
  </si>
  <si>
    <t>※効率評価に関しては，機器/器具付随の制御用センサーのデータを用いた評価も可とする。</t>
  </si>
  <si>
    <t>運用管理の組織，体制，管理方針が計画されていない。</t>
  </si>
  <si>
    <t>運用管理の組織，体制，管理方針が計画通りに実行されている。</t>
  </si>
  <si>
    <t>レベル３に加えて，建物全体のエネルギー消費量の目標値に対して，実績値が把握されている。</t>
  </si>
  <si>
    <t>レベル３に加え，省エネに関する住まい方について一般的な説明がすまい手になされている。</t>
    <rPh sb="5" eb="6">
      <t>クワ</t>
    </rPh>
    <phoneticPr fontId="21"/>
  </si>
  <si>
    <t>レベル４に加えて，BEMSデータの活用による，運用時の設備性能検証システム（コミッショニング），設備診断システム，最適運転支援システム（アドバイザリーシステムなど）の運用支援システムを活用している。または，これら支援システムと同等の性能検証，診断，運用改善が行われている。</t>
  </si>
  <si>
    <t>レベル３に加え，当該住宅に採用された設備や仕様に関して，個別の建物・生活スタイルごとに対応した適切な説明がすまい手になされている。</t>
    <rPh sb="5" eb="6">
      <t>クワ</t>
    </rPh>
    <phoneticPr fontId="21"/>
  </si>
  <si>
    <t>うち，その他エネルギー消費量（家電・調理分）</t>
    <rPh sb="5" eb="6">
      <t>ホカ</t>
    </rPh>
    <rPh sb="11" eb="14">
      <t>ショウヒリョウ</t>
    </rPh>
    <rPh sb="15" eb="17">
      <t>カデン</t>
    </rPh>
    <rPh sb="18" eb="20">
      <t>チョウリ</t>
    </rPh>
    <rPh sb="20" eb="21">
      <t>ブン</t>
    </rPh>
    <phoneticPr fontId="21"/>
  </si>
  <si>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1"/>
  </si>
  <si>
    <t>ろ（30㎡以上，60㎡未満）</t>
    <rPh sb="5" eb="7">
      <t>イジョウ</t>
    </rPh>
    <rPh sb="11" eb="13">
      <t>ミマン</t>
    </rPh>
    <phoneticPr fontId="21"/>
  </si>
  <si>
    <t>は（60㎡以上，90㎡未満）</t>
    <rPh sb="5" eb="7">
      <t>イジョウ</t>
    </rPh>
    <rPh sb="11" eb="13">
      <t>ミマン</t>
    </rPh>
    <phoneticPr fontId="21"/>
  </si>
  <si>
    <t>に（90㎡以上，120㎡未満）</t>
    <rPh sb="5" eb="7">
      <t>イジョウ</t>
    </rPh>
    <rPh sb="12" eb="14">
      <t>ミマン</t>
    </rPh>
    <phoneticPr fontId="21"/>
  </si>
  <si>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1"/>
  </si>
  <si>
    <t>■エネルギー消費実績に基づくレベルの加点・減点（工場，集合住宅を除く）</t>
    <rPh sb="24" eb="26">
      <t>コウジョウ</t>
    </rPh>
    <rPh sb="27" eb="29">
      <t>シュウゴウ</t>
    </rPh>
    <rPh sb="29" eb="31">
      <t>ジュウタク</t>
    </rPh>
    <rPh sb="32" eb="33">
      <t>ノゾ</t>
    </rPh>
    <phoneticPr fontId="21"/>
  </si>
  <si>
    <t>色欄について，プルダウンメニューから選択，または数値を記入</t>
    <rPh sb="0" eb="1">
      <t>イロ</t>
    </rPh>
    <rPh sb="1" eb="2">
      <t>ラン</t>
    </rPh>
    <rPh sb="18" eb="20">
      <t>センタク</t>
    </rPh>
    <rPh sb="24" eb="26">
      <t>スウチ</t>
    </rPh>
    <rPh sb="27" eb="29">
      <t>キニュウ</t>
    </rPh>
    <phoneticPr fontId="21"/>
  </si>
  <si>
    <t>1)　実績評価の対象面積（工場，集合住宅を除く）</t>
    <rPh sb="3" eb="5">
      <t>ジッセキ</t>
    </rPh>
    <rPh sb="5" eb="7">
      <t>ヒョウカ</t>
    </rPh>
    <rPh sb="8" eb="10">
      <t>タイショウ</t>
    </rPh>
    <rPh sb="10" eb="12">
      <t>メンセキ</t>
    </rPh>
    <phoneticPr fontId="21"/>
  </si>
  <si>
    <t>※加点条件；[実績値]&lt;境界値a，　減点条件；[実績値]&gt;境界値b</t>
    <rPh sb="1" eb="3">
      <t>カテン</t>
    </rPh>
    <rPh sb="3" eb="5">
      <t>ジョウケン</t>
    </rPh>
    <rPh sb="7" eb="9">
      <t>ジッセキ</t>
    </rPh>
    <rPh sb="9" eb="10">
      <t>チ</t>
    </rPh>
    <rPh sb="12" eb="14">
      <t>キョウカイ</t>
    </rPh>
    <rPh sb="14" eb="15">
      <t>チ</t>
    </rPh>
    <rPh sb="18" eb="20">
      <t>ゲンテン</t>
    </rPh>
    <rPh sb="20" eb="22">
      <t>ジョウケン</t>
    </rPh>
    <phoneticPr fontId="21"/>
  </si>
  <si>
    <t>節水コマに加えて，省水型機器（例えば擬音，節水型便器など）などを用いている。</t>
  </si>
  <si>
    <t>［雨水利用率］　＝0％
又は雨水を利用しているが，実測値がない場合</t>
  </si>
  <si>
    <t>雑排水等を利用しているが実測値がない，または雑排水等を利用していない。</t>
  </si>
  <si>
    <t>雨水利用をしており，実測値がある</t>
  </si>
  <si>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1"/>
  </si>
  <si>
    <t>プレストレスコンクリートの使用　（部材断面を小さくする事で，使用材料の削減に寄与）</t>
  </si>
  <si>
    <t>レベル５は，スコアシートに採用したリサイクル資材名を記述</t>
    <rPh sb="13" eb="15">
      <t>サイヨウ</t>
    </rPh>
    <rPh sb="22" eb="24">
      <t>シザイ</t>
    </rPh>
    <rPh sb="24" eb="25">
      <t>メイ</t>
    </rPh>
    <rPh sb="26" eb="28">
      <t>キジュツ</t>
    </rPh>
    <phoneticPr fontId="21"/>
  </si>
  <si>
    <t>該当資材がグリーン購入法における「特定調達品目」または「エコマーク商品」に認定されている場合，採用とみなす。</t>
  </si>
  <si>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1"/>
  </si>
  <si>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1"/>
  </si>
  <si>
    <t>レベル３以上は，スコアシートに採用したリサイクル資材名を記述</t>
    <rPh sb="4" eb="6">
      <t>イジョウ</t>
    </rPh>
    <rPh sb="15" eb="17">
      <t>サイヨウ</t>
    </rPh>
    <rPh sb="24" eb="26">
      <t>シザイ</t>
    </rPh>
    <rPh sb="26" eb="27">
      <t>メイ</t>
    </rPh>
    <rPh sb="28" eb="30">
      <t>キジュツ</t>
    </rPh>
    <phoneticPr fontId="21"/>
  </si>
  <si>
    <t>エコマークを取得した間伐材，再・未利用材などを使用した製品（エコマーク商品類型115）</t>
  </si>
  <si>
    <t>エコマークを取得した建築製品（外装，外溝関係用資材）（エコマーク商品類型137）</t>
  </si>
  <si>
    <t>内装材と設備が錯綜せず，解体・改修・更新の際に，容易にそれぞれを取り外すことができる。</t>
  </si>
  <si>
    <t>構造部材あるいはそのユニットが容易に分解でき，再利用できる。</t>
  </si>
  <si>
    <t>消火設備が全く無い場合やスプリンクラーのみの場合，ガス消火設備がない場合は対象外とする
消火器は対象外とする</t>
  </si>
  <si>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1"/>
  </si>
  <si>
    <t>現在断熱材等に使用されている発泡剤の種類が特定できる，かつODP=0.01以上の発泡剤を断熱材等に使用していない場合。あるいは発泡剤を用いた断熱材等を使用していないことが把握できる場合。</t>
  </si>
  <si>
    <t>冷媒ガスを使用していない場合は，評価対象外</t>
  </si>
  <si>
    <t>自然冷媒・新冷凍システム（ODP=0）を使用し，かつGWP50未満の冷媒を使用している。</t>
  </si>
  <si>
    <t>通信機械室，無線機室，電話交換室，磁気ﾃﾞｨｽｸ室，電算機室，ﾃﾚｯｸｽ室，電話局切換室，通信機調整室，ﾃﾞｰﾀﾌﾟﾘﾝﾄ室</t>
  </si>
  <si>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</si>
  <si>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</si>
  <si>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</si>
  <si>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重要文化財，美術品保管庫，展覧室，展示室</t>
  </si>
  <si>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1"/>
  </si>
  <si>
    <t>ライフサイクルCO2排出率が，一般的な建物（参照値）に対して１２５％以上</t>
    <rPh sb="19" eb="21">
      <t>タテモノ</t>
    </rPh>
    <phoneticPr fontId="21"/>
  </si>
  <si>
    <t>ライフサイクルCO2排出率が，一般的な建物（参照値）と同等</t>
    <rPh sb="19" eb="21">
      <t>タテモノ</t>
    </rPh>
    <phoneticPr fontId="21"/>
  </si>
  <si>
    <t>ライフサイクルCO2排出率が，一般的な建物（参照値）に対して５０％以下</t>
    <rPh sb="19" eb="21">
      <t>タテモノ</t>
    </rPh>
    <phoneticPr fontId="21"/>
  </si>
  <si>
    <t>NOx，SOx，ばいじんについて，発生源におけるガス又はばいじんの濃度が，大気汚染防止法，低NOx型小規模燃焼機器の推奨ガイドライン（環境省）ならびに地域の条例等で定められる現行の排出基準を上回っている。</t>
  </si>
  <si>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</si>
  <si>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</si>
  <si>
    <t>燃焼機器を使用しておらず，対象建築物の仮想閉空間から外部空間に対して大気汚染物質を全く発生しない。</t>
  </si>
  <si>
    <t>①現地の風向や風速，温熱環境などを継続的に調査し，経年的な変化を把握している。（2ポイント）</t>
  </si>
  <si>
    <t>指導される規模を満たしており，かつそれ以上の雨水処理対策を実施している。</t>
    <rPh sb="20" eb="21">
      <t>ウエ</t>
    </rPh>
    <phoneticPr fontId="21"/>
  </si>
  <si>
    <t>水質汚濁防止法あるいは下水道法，または地方公共団体で定める排出基準を満たしていない。</t>
  </si>
  <si>
    <t>水質汚濁防止法あるいは下水道法，または地方公共団体等で定める排出基準のうち厳しい基準を満たしている。</t>
    <rPh sb="37" eb="38">
      <t>キビ</t>
    </rPh>
    <rPh sb="40" eb="42">
      <t>キジュン</t>
    </rPh>
    <phoneticPr fontId="21"/>
  </si>
  <si>
    <t>排出基準を満たした上でそれ以上の特別な工夫を実施し，汚水処理負荷を高く抑制している。</t>
  </si>
  <si>
    <t>1) 建物利用者のための適切な量の自転車置場（バイク置場を含む）の確保，駐輪場利用者の利便性への配慮（出し入れし易さ，利用し易い位置にあるなど）</t>
  </si>
  <si>
    <t>1)ゴミ処理負荷低減対策の計画のために，敷地内（室内・室外）から日常的に発生するゴミの種類や量を計測している場合。</t>
  </si>
  <si>
    <t>III ゴミの減容化・減量化，あるいは堆肥化するための設備の設置</t>
  </si>
  <si>
    <t>6)生ゴミの減容化・減量化，堆肥化対策を計画している場合（ディスポーザー，生ゴミの自家処理・コンポスト化，バイオマス利用など）</t>
    <rPh sb="58" eb="60">
      <t>リヨウ</t>
    </rPh>
    <phoneticPr fontId="21"/>
  </si>
  <si>
    <t>*1）規制基準は現行の値とし，現行基準以前に設置された施設についても現行の基準で評価する（昼間，朝・夕，夜間とも）。
*2)レベル５については，[現行の基準値－10dB]以下に抑えられている場合とする（昼間，朝・夕，夜間とも）。</t>
  </si>
  <si>
    <t>昼間（am8時～pm7時），朝・夕（am6時～am8時，pm7時～pm10時），夜間（pm10時～翌朝6時）のいずれの計測時も下記を満たしていること</t>
  </si>
  <si>
    <t>*1）規制基準は現行の値とし，現行基準以前に設置された施設についても現行の基準で評価する（昼間，夜間とも）。
*2)レベル５については，（現行の基準値－5dB）以下に抑えられている場合とする（昼間，夜間とも）。</t>
  </si>
  <si>
    <t>昼間（am8時～pm7時），夜間（pm7時～翌朝8時）のいずれの時間も下記の基準を満たしていること</t>
  </si>
  <si>
    <t>風害・砂塵，日照阻害の抑制</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</si>
  <si>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1"/>
  </si>
  <si>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</si>
  <si>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</si>
  <si>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</si>
  <si>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</si>
  <si>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t>1）校庭の周囲に防砂林や防砂ネットを整備し，砂塵の飛散を抑制している。</t>
  </si>
  <si>
    <t>2)校庭の周囲を建物で囲い，砂塵の発生や飛散を抑制している。</t>
  </si>
  <si>
    <t>1）校庭にスプリンクラーを設置し，砂塵の発生を抑制している。</t>
  </si>
  <si>
    <t>日影規制を満たしている，または当該敷地に日影規制が無い場合。</t>
  </si>
  <si>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</si>
  <si>
    <t>「広告物照明の扱い」の配慮事項の過半を満たしている場合，または広告物照明を行っていない（2ポイント）</t>
  </si>
  <si>
    <t>風害，日照阻害の抑制</t>
  </si>
  <si>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1"/>
  </si>
  <si>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1"/>
  </si>
  <si>
    <t>＜参考＞　個別計算にあたって，利用できる計算値</t>
    <rPh sb="1" eb="3">
      <t>サンコウ</t>
    </rPh>
    <rPh sb="5" eb="7">
      <t>コベツ</t>
    </rPh>
    <rPh sb="7" eb="9">
      <t>ケイサン</t>
    </rPh>
    <rPh sb="15" eb="17">
      <t>リヨウ</t>
    </rPh>
    <rPh sb="20" eb="23">
      <t>ケイサンチ</t>
    </rPh>
    <phoneticPr fontId="21"/>
  </si>
  <si>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1"/>
  </si>
  <si>
    <t>S造，</t>
    <rPh sb="1" eb="2">
      <t>ゾウ</t>
    </rPh>
    <phoneticPr fontId="21"/>
  </si>
  <si>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1"/>
  </si>
  <si>
    <t>「家庭部門エネルギー種別最終エネルギー消費（平成23年度におけるエネルギー需給実績，資源エネルギー庁）」</t>
  </si>
  <si>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1"/>
  </si>
  <si>
    <t>部材の再利用可能性向上への取組</t>
    <rPh sb="9" eb="11">
      <t>コウジョウ</t>
    </rPh>
    <phoneticPr fontId="21"/>
  </si>
  <si>
    <t>騒音対策を行っていない（評価する取組においてなんら取組がない）</t>
  </si>
  <si>
    <t>若干の対策を行っている（評価する取組において2項目以上を採用）</t>
  </si>
  <si>
    <t>若干の対策を行っている（評価する取組において1項目以上を採用）</t>
  </si>
  <si>
    <t>対策を行っている（評価する取組において4項目以上を採用）</t>
  </si>
  <si>
    <t>対策を行っている（評価する取組において2項目以上を採用）</t>
  </si>
  <si>
    <t>対策を行っている（評価する取組において2～3項目以上を採用）</t>
  </si>
  <si>
    <t>やや高度な対策を行っている（評価する取組において6項目以上を採用）</t>
  </si>
  <si>
    <t>やや高度な対策を行っている（評価する取組において3項目以上を採用）</t>
  </si>
  <si>
    <t>高度な対策を行っている（評価する取組において全ての項目を採用）</t>
  </si>
  <si>
    <t>A.住宅以外の建築物における設備騒音対策の評価する取組</t>
    <rPh sb="2" eb="4">
      <t>ジュウタク</t>
    </rPh>
    <rPh sb="4" eb="6">
      <t>イガイ</t>
    </rPh>
    <rPh sb="7" eb="10">
      <t>ケンチクブツ</t>
    </rPh>
    <rPh sb="14" eb="16">
      <t>セツビ</t>
    </rPh>
    <rPh sb="16" eb="18">
      <t>ソウオン</t>
    </rPh>
    <rPh sb="18" eb="20">
      <t>タイサク</t>
    </rPh>
    <rPh sb="21" eb="23">
      <t>ヒョウカ</t>
    </rPh>
    <phoneticPr fontId="21"/>
  </si>
  <si>
    <t>B．住宅における設備騒音対策の評価する取組</t>
    <rPh sb="2" eb="4">
      <t>ジュウタク</t>
    </rPh>
    <rPh sb="8" eb="10">
      <t>セツビ</t>
    </rPh>
    <rPh sb="10" eb="12">
      <t>ソウオン</t>
    </rPh>
    <rPh sb="12" eb="14">
      <t>タイサク</t>
    </rPh>
    <rPh sb="15" eb="17">
      <t>ヒョウカ</t>
    </rPh>
    <phoneticPr fontId="21"/>
  </si>
  <si>
    <t>特定建築物に該当する場合の取組で評価する</t>
  </si>
  <si>
    <t>評価する取組</t>
    <rPh sb="0" eb="2">
      <t>ヒョウカ</t>
    </rPh>
    <phoneticPr fontId="21"/>
  </si>
  <si>
    <t>1.3.1 総合的な取組</t>
    <rPh sb="6" eb="9">
      <t>ソウゴウテキ</t>
    </rPh>
    <phoneticPr fontId="21"/>
  </si>
  <si>
    <t>Ⅰ 建築物衛生法における特定建築物の場合に評価する取組</t>
    <rPh sb="2" eb="5">
      <t>ケンチクブツ</t>
    </rPh>
    <rPh sb="5" eb="8">
      <t>エイセイホウ</t>
    </rPh>
    <rPh sb="12" eb="14">
      <t>トクテイ</t>
    </rPh>
    <rPh sb="14" eb="17">
      <t>ケンチクブツ</t>
    </rPh>
    <rPh sb="18" eb="20">
      <t>バアイ</t>
    </rPh>
    <rPh sb="21" eb="23">
      <t>ヒョウカ</t>
    </rPh>
    <phoneticPr fontId="21"/>
  </si>
  <si>
    <t>Ⅱ 建築物衛生法における特定建築物に該当しない建築物の場合に評価する取組</t>
  </si>
  <si>
    <t>建築基準法施行細則第8条（建築設備等の定期報告）に基づく換気設備定期点検を年1回実施し，改善している。
※特定行政庁が規定する特殊建築物に該当しない場合は取組「0点」として評価する。</t>
  </si>
  <si>
    <t>「水道法」に基づき，受水槽の清掃や水質の外部検査を年1回実施し，改善している。
※直結式給水で受水槽がない場合は取組「0点」として評価する。</t>
  </si>
  <si>
    <t>評価する取組がない。</t>
  </si>
  <si>
    <t>評価する取組が1つ。または中央式空調換気設備を持たない場合。</t>
  </si>
  <si>
    <t>評価する取組がない。</t>
    <rPh sb="0" eb="2">
      <t>ヒョウカ</t>
    </rPh>
    <phoneticPr fontId="21"/>
  </si>
  <si>
    <t>評価する取組が2つ。</t>
  </si>
  <si>
    <t>評価する取組が1つ。</t>
  </si>
  <si>
    <t>評価する取組が1つ。</t>
    <rPh sb="0" eb="2">
      <t>ヒョウカ</t>
    </rPh>
    <phoneticPr fontId="21"/>
  </si>
  <si>
    <t>評価する取組が3つ以上。</t>
  </si>
  <si>
    <t>評価する取組が2つ以上。</t>
  </si>
  <si>
    <t>評価する取組が2つ以上。</t>
    <rPh sb="0" eb="2">
      <t>ヒョウカ</t>
    </rPh>
    <rPh sb="9" eb="11">
      <t>イジョウ</t>
    </rPh>
    <phoneticPr fontId="21"/>
  </si>
  <si>
    <t>評価する取組が3つ。</t>
  </si>
  <si>
    <t>評価する取組が4つ以上。</t>
  </si>
  <si>
    <t>評価する取組が1つまたは2つ。</t>
  </si>
  <si>
    <t>評価する取組が4つ以上。</t>
    <rPh sb="9" eb="11">
      <t>イジョウ</t>
    </rPh>
    <phoneticPr fontId="21"/>
  </si>
  <si>
    <t>地域性・アメニティへの配慮に関して取組を行っていない。(評価ポイント0)</t>
  </si>
  <si>
    <t>地域性・アメニティへの配慮に関して取組が十分とはいえない。(評価ポイント1～2)</t>
  </si>
  <si>
    <t>地域性・アメニティへの配慮に関して標準的な取組が行われている。(評価ポイント3～4)</t>
  </si>
  <si>
    <t>地域性・アメニティへの配慮に関して比較的多くの取組が行われている。(評価ポイント5)</t>
  </si>
  <si>
    <t>地域性・アメニティへの配慮に関して充実した取組が行われている。(評価ポイント6以上）</t>
  </si>
  <si>
    <t>評価する取組表の評価ポイントの合計値が0ポイント</t>
  </si>
  <si>
    <t>評価する取組表の評価ポイントの合計値が1～5ポイント</t>
  </si>
  <si>
    <t>評価する取組表の評価ポイントの合計値が6～11ポイント</t>
  </si>
  <si>
    <t>評価する取組表の評価ポイントの合計値が12～17ポイント</t>
  </si>
  <si>
    <t>評価する取組表の評価ポイントの合計値が18ポイント以上</t>
  </si>
  <si>
    <t xml:space="preserve">評価する取組のうち，何れの手法も採用していない。または，何れかの手法が採用されているが，有効性は検討されていない。
 </t>
    <rPh sb="10" eb="11">
      <t>イズ</t>
    </rPh>
    <rPh sb="13" eb="15">
      <t>シュホウ</t>
    </rPh>
    <rPh sb="16" eb="18">
      <t>サイヨウ</t>
    </rPh>
    <phoneticPr fontId="21"/>
  </si>
  <si>
    <t>評価する取組のうち，何れかの手法が有効性を検討した上で採用されている。（但し，モニュメントの計画を除く。）</t>
  </si>
  <si>
    <t>評価する取組　</t>
  </si>
  <si>
    <t>取組なし。</t>
  </si>
  <si>
    <t>エネルギーを管理する仕組みがあり，それにより消費エネルギーの削減が可能である取組がなされている。</t>
  </si>
  <si>
    <t>建築物の取組（②）</t>
    <rPh sb="0" eb="3">
      <t>ケンチクブツ</t>
    </rPh>
    <phoneticPr fontId="21"/>
  </si>
  <si>
    <t>主要構造部が非木造躯体（RC造/SRC造/S造）である場合で，評価する取組表の評価ポイントの合計値が0ポイント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1"/>
  </si>
  <si>
    <t>主要構造部が非木造躯体（RC造/SRC造/S造）である場合で，評価する取組表の評価ポイントの合計値が1ポイント以上</t>
    <rPh sb="55" eb="57">
      <t>イジョウ</t>
    </rPh>
    <phoneticPr fontId="21"/>
  </si>
  <si>
    <t>主要構造部が非木造躯体（RC造/SRC造/S造）である場合で，評価する取組表の評価ポイントの合計値が3ポイント以上</t>
    <rPh sb="55" eb="57">
      <t>イジョウ</t>
    </rPh>
    <phoneticPr fontId="21"/>
  </si>
  <si>
    <t>主要構造部が非木造躯体（RC造/SRC造/S造）である場合で，評価する取組表の評価ポイントの合計値が5ポイント以上</t>
    <rPh sb="55" eb="57">
      <t>イジョウ</t>
    </rPh>
    <phoneticPr fontId="21"/>
  </si>
  <si>
    <t>取組毎に
1ポイント</t>
  </si>
  <si>
    <t>部材の再利用可能性向上への取組</t>
    <rPh sb="0" eb="2">
      <t>ブザイ</t>
    </rPh>
    <rPh sb="3" eb="11">
      <t>サイリヨウカノウセイコウジョウ</t>
    </rPh>
    <phoneticPr fontId="21"/>
  </si>
  <si>
    <t>解体時におけるリサイクルを促進する対策として，評価する取組をひとつも行っていない。</t>
  </si>
  <si>
    <t>解体時におけるリサイクルを促進する対策として，評価する取組を1ポイント以上実施している。</t>
  </si>
  <si>
    <t>解体時におけるリサイクルを促進する対策として，評価する取組を2ポイント以上実施している。</t>
  </si>
  <si>
    <t xml:space="preserve">評価する取組表の評価ポイントの合計値が6～12ポイント </t>
  </si>
  <si>
    <t>評価する取組表の評価ポイントの合計値が13～19ポイント</t>
  </si>
  <si>
    <t>評価する取組表の評価ポイントの合計値が20ポイント以上</t>
  </si>
  <si>
    <t>評価する取組表の評価ポイントの合計値が1ポイント</t>
  </si>
  <si>
    <t>評価する取組表の評価ポイントの合計値が2ポイント</t>
  </si>
  <si>
    <t>評価する取組表の評価ポイントの合計値が3ポイント</t>
  </si>
  <si>
    <t>評価する取組表の評価ポイントの合計値が4ポイント以上</t>
  </si>
  <si>
    <t>I 自転車の利用（代替交通手段の利用）に関する取組</t>
  </si>
  <si>
    <t>II 駐車場の確保に関する取組</t>
  </si>
  <si>
    <t>評価する取組表の評価ポイントの合計値が1ポイント以下</t>
  </si>
  <si>
    <t>評価する取組表の評価ポイントの合計値が4ポイント</t>
  </si>
  <si>
    <t>評価する取組表の評価ポイントの合計値が5ポイント以上</t>
  </si>
  <si>
    <t>評価する取組表の評価ポイントの合計値が4ポイント以上</t>
    <rPh sb="24" eb="26">
      <t>イジョウ</t>
    </rPh>
    <phoneticPr fontId="21"/>
  </si>
  <si>
    <t>校庭からの砂塵に対する取組が十分ではない。（評価ポイント1）</t>
  </si>
  <si>
    <t>校庭からの砂塵に対して，標準的な取組が行われている。（評価ポイント2）</t>
  </si>
  <si>
    <t>校庭からの砂塵に対して，標準以上の取組が行われている。（評価ポイント3）</t>
  </si>
  <si>
    <t>校庭からの砂塵に対して，充実した取組が行われている。（評価ポイント4以上）</t>
    <rPh sb="34" eb="36">
      <t>イジョウ</t>
    </rPh>
    <phoneticPr fontId="21"/>
  </si>
  <si>
    <t>I 校庭からの砂塵の飛散を抑制する取組</t>
  </si>
  <si>
    <t>建物外壁（ガラスを含む）の反射光（グレア）の発生を低減させる取組を行っている。</t>
  </si>
  <si>
    <t>レベル4に加え，シミュレーションの実施等により大幅な低減効果を確認するなど，より高度な取組を行っている。</t>
  </si>
  <si>
    <t>3-1.　建築物の取組（②）</t>
    <rPh sb="5" eb="8">
      <t>ケンチクブツ</t>
    </rPh>
    <phoneticPr fontId="21"/>
  </si>
  <si>
    <t>総合的な取組</t>
    <rPh sb="0" eb="3">
      <t>ソウゴウテキ</t>
    </rPh>
    <phoneticPr fontId="21"/>
  </si>
  <si>
    <t>①参照値／
②建築物の取組</t>
  </si>
  <si>
    <t>レベル３を満たし，かつ，カーテンを使用する，などの運用面の取組を行っている。</t>
  </si>
  <si>
    <t>評価する取組のうち２つの項目に該当する。</t>
  </si>
  <si>
    <t>評価する取組のうち３つの項目に該当する。</t>
  </si>
  <si>
    <t>評価する取組のうち４つの項目に該当する。</t>
  </si>
  <si>
    <t>照明計画と内装計画が一体として計画されるよう，内装計画の段階で，具体的な取組がある。（例えば，用途に適した雰囲気を演出するための間接照明の採用や光源の色温度の計画を内装計画と合わせて実施している等）</t>
    <rPh sb="43" eb="44">
      <t>タト</t>
    </rPh>
    <rPh sb="47" eb="49">
      <t>ヨウト</t>
    </rPh>
    <rPh sb="50" eb="51">
      <t>テキ</t>
    </rPh>
    <rPh sb="53" eb="56">
      <t>フンイキ</t>
    </rPh>
    <rPh sb="57" eb="59">
      <t>エンシュツ</t>
    </rPh>
    <rPh sb="64" eb="66">
      <t>カンセツ</t>
    </rPh>
    <rPh sb="66" eb="68">
      <t>ショウメイ</t>
    </rPh>
    <rPh sb="69" eb="71">
      <t>サイヨウ</t>
    </rPh>
    <rPh sb="72" eb="73">
      <t>ヒカリ</t>
    </rPh>
    <rPh sb="73" eb="74">
      <t>ゲン</t>
    </rPh>
    <rPh sb="75" eb="76">
      <t>イロ</t>
    </rPh>
    <rPh sb="76" eb="78">
      <t>オンド</t>
    </rPh>
    <rPh sb="79" eb="81">
      <t>ケイカク</t>
    </rPh>
    <rPh sb="82" eb="84">
      <t>ナイソウ</t>
    </rPh>
    <rPh sb="84" eb="86">
      <t>ケイカク</t>
    </rPh>
    <rPh sb="87" eb="88">
      <t>ア</t>
    </rPh>
    <rPh sb="91" eb="93">
      <t>ジッシ</t>
    </rPh>
    <rPh sb="97" eb="98">
      <t>トウ</t>
    </rPh>
    <phoneticPr fontId="21"/>
  </si>
  <si>
    <t>維持管理の環境配慮において，取組がなされていない。(評価ポイント2以下)</t>
  </si>
  <si>
    <t>維持管理の環境配慮において，取組が十分とは言えない。(評価ポイント3～5)</t>
  </si>
  <si>
    <t>維持管理の環境配慮において，取組が標準的である。(評価ポイント6～8)</t>
  </si>
  <si>
    <t>維持管理の環境配慮において，取組が標準以上である。(評価ポイント9～11)</t>
  </si>
  <si>
    <t>維持管理の環境配慮において，充実した取組が行われている。(評価ポイント12以上)</t>
  </si>
  <si>
    <t>⑫　その他：上記以外の部分にて維持管理に配慮した設計の取組をしている。</t>
  </si>
  <si>
    <t>清掃管理業務の取組において，取組が十分とは言えない。(評価ポイント0～1)</t>
  </si>
  <si>
    <t>清掃管理業務の取組において，取組が標準的である。(評価ポイント2～4)</t>
  </si>
  <si>
    <t>清掃管理業務の取組において，取組が標準以上である。(評価ポイント5～8)</t>
  </si>
  <si>
    <t>清掃管理業務の取組において，充実した取組が行われている。(評価ポイント9以上)</t>
  </si>
  <si>
    <t>3つの設備管理業務の取組ポイントで-１(ﾚﾍﾞﾙ2)の取組がひとつでもある場合</t>
  </si>
  <si>
    <t>3つの設備管理業務の取組ポイントが 0点</t>
    <rPh sb="3" eb="5">
      <t>セツビ</t>
    </rPh>
    <rPh sb="5" eb="7">
      <t>カンリ</t>
    </rPh>
    <rPh sb="7" eb="9">
      <t>ギョウム</t>
    </rPh>
    <rPh sb="19" eb="20">
      <t>テン</t>
    </rPh>
    <phoneticPr fontId="21"/>
  </si>
  <si>
    <t>3つの設備管理業務の取組ポイントが 1～2点</t>
    <rPh sb="3" eb="5">
      <t>セツビ</t>
    </rPh>
    <rPh sb="5" eb="7">
      <t>カンリ</t>
    </rPh>
    <rPh sb="7" eb="9">
      <t>ギョウム</t>
    </rPh>
    <rPh sb="21" eb="22">
      <t>テン</t>
    </rPh>
    <phoneticPr fontId="21"/>
  </si>
  <si>
    <t>3つの設備管理業務の取組ポイントが 3点</t>
    <rPh sb="3" eb="5">
      <t>セツビ</t>
    </rPh>
    <rPh sb="5" eb="7">
      <t>カンリ</t>
    </rPh>
    <rPh sb="7" eb="9">
      <t>ギョウム</t>
    </rPh>
    <rPh sb="19" eb="20">
      <t>テン</t>
    </rPh>
    <phoneticPr fontId="21"/>
  </si>
  <si>
    <t>生物環境の保全に関して配慮に欠け，取組が不十分である。(評価ポイント0～2)</t>
    <rPh sb="2" eb="4">
      <t>カンキョウ</t>
    </rPh>
    <phoneticPr fontId="21"/>
  </si>
  <si>
    <t>生物環境の保全に関して配慮されているが，取組が十分とはいえない。(評価ポイント3～5)</t>
  </si>
  <si>
    <t>生物環境の保全に関して配慮されており，標準的な取組が行われている。(評価ポイント6～8)</t>
  </si>
  <si>
    <t>生物環境の保全に関して配慮されており，比較的多くの取組が行われている。(評価ポイント9～11)</t>
  </si>
  <si>
    <t>生物環境の保全に関して十分配慮されており，充実した取組が行われている。(評価ポイント12以上）</t>
  </si>
  <si>
    <t>1)上記の評価項目以外に生物環境の保全と創出に資する独自の取組を行っている。</t>
    <rPh sb="14" eb="16">
      <t>カンキョウ</t>
    </rPh>
    <phoneticPr fontId="21"/>
  </si>
  <si>
    <t>学校施設として標準的な取組をしている</t>
    <rPh sb="0" eb="2">
      <t>ガッコウ</t>
    </rPh>
    <rPh sb="2" eb="4">
      <t>シセツ</t>
    </rPh>
    <rPh sb="7" eb="10">
      <t>ヒョウジュンテキ</t>
    </rPh>
    <phoneticPr fontId="21"/>
  </si>
  <si>
    <t>評価建物のLR1の取組による省エネルギー量から推計</t>
    <rPh sb="0" eb="2">
      <t>ヒョウカ</t>
    </rPh>
    <rPh sb="2" eb="4">
      <t>タテモノ</t>
    </rPh>
    <rPh sb="14" eb="15">
      <t>ショウ</t>
    </rPh>
    <rPh sb="20" eb="21">
      <t>リョウ</t>
    </rPh>
    <rPh sb="21" eb="22">
      <t>スイリョウ</t>
    </rPh>
    <rPh sb="23" eb="25">
      <t>スイケイ</t>
    </rPh>
    <phoneticPr fontId="21"/>
  </si>
  <si>
    <t>重点
項目等</t>
    <rPh sb="0" eb="2">
      <t>ジュウテン</t>
    </rPh>
    <rPh sb="3" eb="5">
      <t>コウモク</t>
    </rPh>
    <rPh sb="5" eb="6">
      <t>トウ</t>
    </rPh>
    <phoneticPr fontId="21"/>
  </si>
  <si>
    <t>重点項目に対する全国版評価基準の見直し</t>
    <rPh sb="0" eb="2">
      <t>ジュウテン</t>
    </rPh>
    <rPh sb="2" eb="4">
      <t>コウモク</t>
    </rPh>
    <rPh sb="5" eb="6">
      <t>タイ</t>
    </rPh>
    <rPh sb="8" eb="11">
      <t>ゼンコクバン</t>
    </rPh>
    <rPh sb="11" eb="13">
      <t>ヒョウカ</t>
    </rPh>
    <rPh sb="13" eb="15">
      <t>キジュン</t>
    </rPh>
    <rPh sb="16" eb="18">
      <t>ミナオ</t>
    </rPh>
    <phoneticPr fontId="21"/>
  </si>
  <si>
    <t>●自然</t>
    <rPh sb="0" eb="2">
      <t>シゼン</t>
    </rPh>
    <phoneticPr fontId="21"/>
  </si>
  <si>
    <t>Ａ（全国版準用）</t>
    <rPh sb="1" eb="4">
      <t>ゼンコクバン</t>
    </rPh>
    <rPh sb="4" eb="6">
      <t>ジュンヨウ</t>
    </rPh>
    <phoneticPr fontId="21"/>
  </si>
  <si>
    <t>Ｂ（推奨内容）</t>
    <rPh sb="1" eb="3">
      <t>スイショウ</t>
    </rPh>
    <rPh sb="3" eb="5">
      <t>ナイヨウ</t>
    </rPh>
    <phoneticPr fontId="21"/>
  </si>
  <si>
    <t>●自然</t>
    <rPh sb="1" eb="3">
      <t>シゼン</t>
    </rPh>
    <phoneticPr fontId="21"/>
  </si>
  <si>
    <t>●大切</t>
    <rPh sb="1" eb="3">
      <t>タイセツ</t>
    </rPh>
    <phoneticPr fontId="21"/>
  </si>
  <si>
    <t>Ｄ（独自基準）</t>
    <rPh sb="1" eb="3">
      <t>ドクジ</t>
    </rPh>
    <rPh sb="3" eb="5">
      <t>キジュン</t>
    </rPh>
    <phoneticPr fontId="21"/>
  </si>
  <si>
    <t>●とも</t>
    <phoneticPr fontId="21"/>
  </si>
  <si>
    <t>Ｃ（独自加点）</t>
    <rPh sb="2" eb="4">
      <t>ドクジ</t>
    </rPh>
    <rPh sb="3" eb="5">
      <t>カテン</t>
    </rPh>
    <phoneticPr fontId="21"/>
  </si>
  <si>
    <t>●とも，自然</t>
    <rPh sb="4" eb="6">
      <t>シゼン</t>
    </rPh>
    <phoneticPr fontId="21"/>
  </si>
  <si>
    <t>Ａ’（全国版準用）</t>
    <rPh sb="2" eb="5">
      <t>ゼンコクバン</t>
    </rPh>
    <rPh sb="5" eb="7">
      <t>ジュンヨウ</t>
    </rPh>
    <phoneticPr fontId="21"/>
  </si>
  <si>
    <t>○</t>
    <phoneticPr fontId="21"/>
  </si>
  <si>
    <t>Ｃ（独自加点）
Ｄ（独自基準）</t>
    <rPh sb="2" eb="4">
      <t>ドクジ</t>
    </rPh>
    <rPh sb="4" eb="6">
      <t>カテン</t>
    </rPh>
    <phoneticPr fontId="21"/>
  </si>
  <si>
    <t>●とも，自然</t>
    <rPh sb="3" eb="5">
      <t>シゼン</t>
    </rPh>
    <phoneticPr fontId="21"/>
  </si>
  <si>
    <t>●とも</t>
    <phoneticPr fontId="21"/>
  </si>
  <si>
    <t>Ｂ（推奨内容）
Ｄ（独自基準）</t>
    <rPh sb="1" eb="3">
      <t>スイショウ</t>
    </rPh>
    <rPh sb="3" eb="5">
      <t>ナイヨウ</t>
    </rPh>
    <rPh sb="8" eb="10">
      <t>ドクジ</t>
    </rPh>
    <rPh sb="10" eb="12">
      <t>キジュン</t>
    </rPh>
    <phoneticPr fontId="21"/>
  </si>
  <si>
    <t>Ａ’（全国版準用）
Ｂ（推奨内容）</t>
    <phoneticPr fontId="21"/>
  </si>
  <si>
    <t>「低炭素景観の創出」「独自システム」に寄与する関連項目の取組</t>
    <rPh sb="11" eb="13">
      <t>ドクジ</t>
    </rPh>
    <phoneticPr fontId="21"/>
  </si>
  <si>
    <t>住居・宿泊部分</t>
    <phoneticPr fontId="21"/>
  </si>
  <si>
    <t>昼光利用設備として，デザインされた格子状ルーバーやライトシェルフ，軒，庇，及び坪庭，縁等を使用している。</t>
    <rPh sb="0" eb="1">
      <t>チュウ</t>
    </rPh>
    <rPh sb="1" eb="2">
      <t>ヒカリ</t>
    </rPh>
    <rPh sb="2" eb="4">
      <t>リヨウ</t>
    </rPh>
    <rPh sb="4" eb="6">
      <t>セツビ</t>
    </rPh>
    <rPh sb="37" eb="38">
      <t>オヨ</t>
    </rPh>
    <rPh sb="39" eb="41">
      <t>ツボニワ</t>
    </rPh>
    <rPh sb="42" eb="43">
      <t>エン</t>
    </rPh>
    <rPh sb="43" eb="44">
      <t>ナド</t>
    </rPh>
    <rPh sb="45" eb="47">
      <t>シヨウ</t>
    </rPh>
    <phoneticPr fontId="21"/>
  </si>
  <si>
    <t>同左</t>
    <rPh sb="0" eb="1">
      <t>ドウ</t>
    </rPh>
    <rPh sb="1" eb="2">
      <t>サ</t>
    </rPh>
    <phoneticPr fontId="21"/>
  </si>
  <si>
    <t>建物全体・共用部分</t>
    <phoneticPr fontId="21"/>
  </si>
  <si>
    <t>住居・宿泊部分</t>
    <phoneticPr fontId="21"/>
  </si>
  <si>
    <t>昼光制御設備として，デザインされた格子状ルーバーや簾条スクリーン，軒，庇等を使用している。</t>
    <rPh sb="2" eb="4">
      <t>セイギョ</t>
    </rPh>
    <rPh sb="4" eb="6">
      <t>セツビ</t>
    </rPh>
    <rPh sb="25" eb="26">
      <t>スダレ</t>
    </rPh>
    <rPh sb="26" eb="27">
      <t>ジョウ</t>
    </rPh>
    <phoneticPr fontId="21"/>
  </si>
  <si>
    <t>建物全体・共用部分</t>
    <phoneticPr fontId="21"/>
  </si>
  <si>
    <t>物・飲・会・病・ホ・事・学・工・住</t>
    <rPh sb="0" eb="1">
      <t>モノ</t>
    </rPh>
    <rPh sb="2" eb="3">
      <t>イン</t>
    </rPh>
    <rPh sb="4" eb="5">
      <t>カイ</t>
    </rPh>
    <rPh sb="6" eb="7">
      <t>ヤマイ</t>
    </rPh>
    <phoneticPr fontId="21"/>
  </si>
  <si>
    <t>レベル３を満たさない。</t>
    <phoneticPr fontId="21"/>
  </si>
  <si>
    <t>-</t>
    <phoneticPr fontId="21"/>
  </si>
  <si>
    <t>バリアフリー条例の整備基準（義務）を満たしている，又は同等の整備と認められる。</t>
    <phoneticPr fontId="21"/>
  </si>
  <si>
    <t>バリアフリー条例の整備基準（努力）を満たしている，又は同等の整備と認められる。</t>
    <phoneticPr fontId="21"/>
  </si>
  <si>
    <t>バリアフリー条例の整備基準（努力）を超えて更に十分な配慮を行っており，ユニバーサルなデザインとなっている。</t>
    <phoneticPr fontId="21"/>
  </si>
  <si>
    <t>住居・宿泊部分</t>
    <phoneticPr fontId="21"/>
  </si>
  <si>
    <t>(加点後)</t>
    <phoneticPr fontId="21"/>
  </si>
  <si>
    <t>事・工</t>
    <phoneticPr fontId="21"/>
  </si>
  <si>
    <t>レベル２を満たさない。</t>
    <phoneticPr fontId="21"/>
  </si>
  <si>
    <t>(該当するレベルなし)</t>
    <phoneticPr fontId="21"/>
  </si>
  <si>
    <t>売場の天井高3.0m以上。</t>
    <phoneticPr fontId="21"/>
  </si>
  <si>
    <t>教室の天井高3.0m以上。</t>
    <phoneticPr fontId="21"/>
  </si>
  <si>
    <t>住居・宿泊部の天井高2.3m以上。</t>
    <phoneticPr fontId="21"/>
  </si>
  <si>
    <t>売場の天井高3.3m以上。</t>
    <phoneticPr fontId="21"/>
  </si>
  <si>
    <t>教室の天井高3.1m以上。</t>
    <phoneticPr fontId="21"/>
  </si>
  <si>
    <t>住居・宿泊部の天井高2.5m以上。</t>
    <phoneticPr fontId="21"/>
  </si>
  <si>
    <t>売場の天井高3.6m以上。</t>
    <phoneticPr fontId="21"/>
  </si>
  <si>
    <t>教室の天井高3.2m以上。</t>
    <phoneticPr fontId="21"/>
  </si>
  <si>
    <t>住居・宿泊部の天井高2.7m以上。</t>
    <phoneticPr fontId="21"/>
  </si>
  <si>
    <t>加点条件</t>
    <rPh sb="0" eb="2">
      <t>カテン</t>
    </rPh>
    <rPh sb="2" eb="4">
      <t>ジョウケン</t>
    </rPh>
    <phoneticPr fontId="21"/>
  </si>
  <si>
    <t>その１</t>
    <phoneticPr fontId="21"/>
  </si>
  <si>
    <t>敷地や建物内に緑などの自然を配し，すべての利用者がそれを感じることができるよう窓等が適切に設置されている。</t>
    <phoneticPr fontId="21"/>
  </si>
  <si>
    <t>その1</t>
    <phoneticPr fontId="21"/>
  </si>
  <si>
    <t>その2</t>
    <phoneticPr fontId="21"/>
  </si>
  <si>
    <t>吹抜や借景を取り入れた窓の設置などの工夫により，空間の広がりを感じられるような計画としている。</t>
    <phoneticPr fontId="21"/>
  </si>
  <si>
    <t>その2</t>
    <phoneticPr fontId="21"/>
  </si>
  <si>
    <t>加点数</t>
    <rPh sb="0" eb="2">
      <t>カテン</t>
    </rPh>
    <rPh sb="2" eb="3">
      <t>スウ</t>
    </rPh>
    <phoneticPr fontId="21"/>
  </si>
  <si>
    <t>レベル</t>
    <phoneticPr fontId="21"/>
  </si>
  <si>
    <t>加点数</t>
    <phoneticPr fontId="21"/>
  </si>
  <si>
    <t>レベル</t>
    <phoneticPr fontId="21"/>
  </si>
  <si>
    <t>「独自システム」に寄与する関連項目の取組</t>
    <rPh sb="1" eb="3">
      <t>ドクジ</t>
    </rPh>
    <phoneticPr fontId="21"/>
  </si>
  <si>
    <t>京都重点項目による加点により，レベル5を超える。</t>
    <rPh sb="0" eb="2">
      <t>キョウト</t>
    </rPh>
    <rPh sb="2" eb="4">
      <t>ジュウテン</t>
    </rPh>
    <rPh sb="4" eb="6">
      <t>コウモク</t>
    </rPh>
    <rPh sb="9" eb="11">
      <t>カテン</t>
    </rPh>
    <rPh sb="20" eb="21">
      <t>コ</t>
    </rPh>
    <phoneticPr fontId="21"/>
  </si>
  <si>
    <t>「低炭素景観の創出」の関連項目</t>
    <rPh sb="1" eb="4">
      <t>テイタンソ</t>
    </rPh>
    <rPh sb="4" eb="6">
      <t>ケイカン</t>
    </rPh>
    <rPh sb="7" eb="9">
      <t>ソウシュツ</t>
    </rPh>
    <rPh sb="11" eb="13">
      <t>カンレン</t>
    </rPh>
    <rPh sb="13" eb="15">
      <t>コウモク</t>
    </rPh>
    <phoneticPr fontId="21"/>
  </si>
  <si>
    <t>(加点後)</t>
    <phoneticPr fontId="21"/>
  </si>
  <si>
    <t>周辺のまちなみや景観に対して配慮が行われておらず，まちなみや景観から突出し，調和していない。</t>
    <phoneticPr fontId="21"/>
  </si>
  <si>
    <t>－</t>
    <phoneticPr fontId="21"/>
  </si>
  <si>
    <t>-</t>
    <phoneticPr fontId="21"/>
  </si>
  <si>
    <t>（該当するレベルなし）</t>
    <phoneticPr fontId="21"/>
  </si>
  <si>
    <t>京都市の景観計画区域にあり，届出が行われている。または，届出の義務はないが，標準的な配慮が行われている。</t>
    <phoneticPr fontId="21"/>
  </si>
  <si>
    <t>景観地区，風致地区にあり，認定または許可を得ている。</t>
    <phoneticPr fontId="21"/>
  </si>
  <si>
    <t>伝統的建造物群保存地区，歴史的景観保全修景地区等，様式が定められた地区にあり，基準に適合している。</t>
    <rPh sb="6" eb="7">
      <t>グン</t>
    </rPh>
    <rPh sb="15" eb="17">
      <t>ケイカン</t>
    </rPh>
    <rPh sb="17" eb="19">
      <t>ホゼン</t>
    </rPh>
    <phoneticPr fontId="21"/>
  </si>
  <si>
    <t>その1</t>
    <phoneticPr fontId="21"/>
  </si>
  <si>
    <t>「低炭素景観の創出」に寄与する関連項目の過半数について取り組んでいる。</t>
    <rPh sb="1" eb="4">
      <t>テイタンソ</t>
    </rPh>
    <rPh sb="4" eb="6">
      <t>ケイカン</t>
    </rPh>
    <rPh sb="7" eb="9">
      <t>ソウシュツ</t>
    </rPh>
    <rPh sb="11" eb="13">
      <t>キヨ</t>
    </rPh>
    <rPh sb="15" eb="17">
      <t>カンレン</t>
    </rPh>
    <rPh sb="17" eb="19">
      <t>コウモク</t>
    </rPh>
    <rPh sb="20" eb="23">
      <t>カハンスウ</t>
    </rPh>
    <rPh sb="27" eb="28">
      <t>ト</t>
    </rPh>
    <rPh sb="29" eb="30">
      <t>ク</t>
    </rPh>
    <phoneticPr fontId="21"/>
  </si>
  <si>
    <t>その2</t>
    <phoneticPr fontId="21"/>
  </si>
  <si>
    <t>地域への配慮など，特に優れていると認められている。(具体的には，Q3/3.1（地域性への配慮，快適性への向上）がレベル5である。)</t>
    <rPh sb="0" eb="2">
      <t>チイキ</t>
    </rPh>
    <rPh sb="4" eb="6">
      <t>ハイリョ</t>
    </rPh>
    <rPh sb="9" eb="10">
      <t>トク</t>
    </rPh>
    <rPh sb="11" eb="12">
      <t>スグ</t>
    </rPh>
    <rPh sb="17" eb="18">
      <t>ミト</t>
    </rPh>
    <rPh sb="26" eb="29">
      <t>グタイテキ</t>
    </rPh>
    <rPh sb="39" eb="41">
      <t>チイキ</t>
    </rPh>
    <rPh sb="41" eb="42">
      <t>セイ</t>
    </rPh>
    <rPh sb="44" eb="46">
      <t>ハイリョ</t>
    </rPh>
    <rPh sb="47" eb="50">
      <t>カイテキセイ</t>
    </rPh>
    <rPh sb="52" eb="54">
      <t>コウジョウ</t>
    </rPh>
    <phoneticPr fontId="21"/>
  </si>
  <si>
    <t>レベル</t>
    <phoneticPr fontId="21"/>
  </si>
  <si>
    <t>「低炭素景観の創出」に寄与する関連項目の取組</t>
    <phoneticPr fontId="21"/>
  </si>
  <si>
    <t>該当</t>
    <rPh sb="0" eb="2">
      <t>ガイトウ</t>
    </rPh>
    <phoneticPr fontId="21"/>
  </si>
  <si>
    <t>景観要素として評価する内容</t>
    <phoneticPr fontId="21"/>
  </si>
  <si>
    <t>低炭素景観との関係性</t>
    <phoneticPr fontId="21"/>
  </si>
  <si>
    <t>条件</t>
    <rPh sb="0" eb="2">
      <t>ジョウケン</t>
    </rPh>
    <phoneticPr fontId="21"/>
  </si>
  <si>
    <t>Q1/3.1.3</t>
    <phoneticPr fontId="21"/>
  </si>
  <si>
    <t>昼光利用設備</t>
    <phoneticPr fontId="21"/>
  </si>
  <si>
    <t>坪庭や軒，縁など</t>
  </si>
  <si>
    <t>伝統的意匠要素を形だけではなく，環境制御装置として評価（環境制御と意匠要素の融合を評価）</t>
    <phoneticPr fontId="21"/>
  </si>
  <si>
    <t>推奨内容として挙げている昼光利用設備を，１種類以上採用している。</t>
  </si>
  <si>
    <t>昼光制御</t>
    <phoneticPr fontId="21"/>
  </si>
  <si>
    <t>格子ルーバーや簾状スクリーン，軒</t>
  </si>
  <si>
    <t>同上</t>
    <rPh sb="0" eb="2">
      <t>ドウジョウ</t>
    </rPh>
    <phoneticPr fontId="21"/>
  </si>
  <si>
    <t>レベル３以上で，かつ，推奨内容として挙げている昼光制御設備を，１種類以上採用している。</t>
  </si>
  <si>
    <t>Q3/1</t>
    <phoneticPr fontId="21"/>
  </si>
  <si>
    <t>生物環境の
保全と創出</t>
    <phoneticPr fontId="21"/>
  </si>
  <si>
    <t>既存樹木の保全，緑化の量・質（自生種等）</t>
    <phoneticPr fontId="21"/>
  </si>
  <si>
    <t>既存の自然環境の保全は都市の持続可能性を高め低炭素化に貢献するとともに，都市景観としても評価可能</t>
    <phoneticPr fontId="21"/>
  </si>
  <si>
    <t>レベル３以上で，かつ，評価項目Ⅰ，評価項目Ⅱ，評価項目Ⅳの1)または2)のうち2項目以上について取り組んでいる場合。</t>
  </si>
  <si>
    <t>Q3/3.2</t>
    <phoneticPr fontId="21"/>
  </si>
  <si>
    <t>敷地内温熱
環境の向上</t>
    <phoneticPr fontId="21"/>
  </si>
  <si>
    <t>通風等を考慮した空地の確保，緑化等</t>
    <phoneticPr fontId="21"/>
  </si>
  <si>
    <t>敷地内温熱環境の改善措置が形となってあらわれたものを評価</t>
    <phoneticPr fontId="21"/>
  </si>
  <si>
    <t>レベル４以上の場合</t>
    <phoneticPr fontId="21"/>
  </si>
  <si>
    <t>LR3/2.2</t>
    <phoneticPr fontId="21"/>
  </si>
  <si>
    <t>温熱環境悪化
の改善</t>
    <phoneticPr fontId="21"/>
  </si>
  <si>
    <t>通風のための空地確保，緑化，軒・庇による日射遮蔽，保水・浸透性の確保，室外機による廃熱の配慮等</t>
    <phoneticPr fontId="21"/>
  </si>
  <si>
    <t>周辺温熱環境の改善措置が形や材料となってあらわれたものを評価。
空調等の室外機は，景観上統御すべき要素であるが，その統御を，見え方だけでなく，周囲の空気環境という点からも評価。また，周囲の自然環境利用促進にも繋がる。</t>
    <phoneticPr fontId="21"/>
  </si>
  <si>
    <t>LR3/3.3.2</t>
    <phoneticPr fontId="21"/>
  </si>
  <si>
    <t>外壁による
グレア対策</t>
    <phoneticPr fontId="21"/>
  </si>
  <si>
    <t>格子状ルーバー等によるガラス面の反射防止，自然素材使用による外壁の反射防止</t>
    <phoneticPr fontId="21"/>
  </si>
  <si>
    <t>光害防止に伝統的意匠要素や自然素材を用いたものを景観及び環境両面から評価</t>
    <phoneticPr fontId="21"/>
  </si>
  <si>
    <t>レベル３以上で，かつ，推奨内容の取組を１以上実施している場合</t>
  </si>
  <si>
    <t>該当項目数＝</t>
    <rPh sb="0" eb="2">
      <t>ガイトウ</t>
    </rPh>
    <rPh sb="2" eb="4">
      <t>コウモク</t>
    </rPh>
    <rPh sb="4" eb="5">
      <t>スウ</t>
    </rPh>
    <phoneticPr fontId="21"/>
  </si>
  <si>
    <t>事・学・物・飲・会・病・ホ・工・住</t>
    <phoneticPr fontId="21"/>
  </si>
  <si>
    <t>格子状ルーバーや簾状スクリーンによりガラス面等の反射光を抑制している，または外壁に反射率の低い自然素材を採用している等の推奨内容の取組を，１以上実施している。</t>
    <rPh sb="0" eb="2">
      <t>コウシ</t>
    </rPh>
    <rPh sb="2" eb="3">
      <t>ジョウ</t>
    </rPh>
    <rPh sb="8" eb="9">
      <t>スダレ</t>
    </rPh>
    <rPh sb="9" eb="10">
      <t>ジョウ</t>
    </rPh>
    <rPh sb="21" eb="22">
      <t>メン</t>
    </rPh>
    <rPh sb="22" eb="23">
      <t>ナド</t>
    </rPh>
    <rPh sb="24" eb="27">
      <t>ハンシャコウ</t>
    </rPh>
    <rPh sb="28" eb="30">
      <t>ヨクセイ</t>
    </rPh>
    <rPh sb="38" eb="40">
      <t>ガイヘキ</t>
    </rPh>
    <rPh sb="41" eb="44">
      <t>ハンシャリツ</t>
    </rPh>
    <rPh sb="45" eb="46">
      <t>ヒク</t>
    </rPh>
    <rPh sb="47" eb="49">
      <t>シゼン</t>
    </rPh>
    <rPh sb="49" eb="51">
      <t>ソザイ</t>
    </rPh>
    <rPh sb="52" eb="54">
      <t>サイヨウ</t>
    </rPh>
    <rPh sb="58" eb="59">
      <t>ナド</t>
    </rPh>
    <rPh sb="60" eb="62">
      <t>スイショウ</t>
    </rPh>
    <rPh sb="72" eb="74">
      <t>ジッシ</t>
    </rPh>
    <phoneticPr fontId="21"/>
  </si>
  <si>
    <t>1)地域文化への協力
伝統的な行事の存続に理解を示し，例えば地蔵盆や地域の祭等が開催できるスペースを地域に提供している。</t>
    <rPh sb="2" eb="4">
      <t>チイキ</t>
    </rPh>
    <rPh sb="4" eb="6">
      <t>ブンカ</t>
    </rPh>
    <rPh sb="8" eb="10">
      <t>キョウリョク</t>
    </rPh>
    <phoneticPr fontId="21"/>
  </si>
  <si>
    <t>I 地域固有の風土，歴史，文化の継承
＋
II 空間・施設機能の提供による地域貢献</t>
  </si>
  <si>
    <t>2)地域意見の反映
設計プロセスにおいて，地域住民とワークショップを行うなどの取組により，地域の意向が反映されている。</t>
    <rPh sb="2" eb="4">
      <t>チイキ</t>
    </rPh>
    <rPh sb="4" eb="6">
      <t>イケン</t>
    </rPh>
    <rPh sb="7" eb="9">
      <t>ハンエイ</t>
    </rPh>
    <phoneticPr fontId="21"/>
  </si>
  <si>
    <t>主要構造部が木造躯体である場合で，主要構造部に「持続可能な森林から産出された木材」を使用している。</t>
    <phoneticPr fontId="21"/>
  </si>
  <si>
    <t>「独自システム」の評価に寄与する関連項目の取組</t>
    <rPh sb="1" eb="3">
      <t>ドクジ</t>
    </rPh>
    <rPh sb="9" eb="11">
      <t>ヒョウカ</t>
    </rPh>
    <phoneticPr fontId="21"/>
  </si>
  <si>
    <t>事・学・物・飲・会・病・ホ・工・住</t>
    <phoneticPr fontId="21"/>
  </si>
  <si>
    <t>事・学・物・飲・会・病・ホ・工・住</t>
    <phoneticPr fontId="21"/>
  </si>
  <si>
    <t>「持続可能な森林から産出された木材」のうち，地域産木材を使用している。</t>
    <rPh sb="22" eb="24">
      <t>チイキ</t>
    </rPh>
    <rPh sb="24" eb="25">
      <t>サン</t>
    </rPh>
    <rPh sb="25" eb="27">
      <t>モクザイ</t>
    </rPh>
    <rPh sb="28" eb="30">
      <t>シヨウ</t>
    </rPh>
    <phoneticPr fontId="21"/>
  </si>
  <si>
    <t>木材を使用していない。</t>
    <phoneticPr fontId="21"/>
  </si>
  <si>
    <t>持続可能な森林から産出された木材を使用していない。</t>
    <phoneticPr fontId="21"/>
  </si>
  <si>
    <t>持続可能な森林から産出された木材を使用しているが，使用比率10％未満。
又は木造建築で持続可能な森林から産出された木材を使用していることが確認できない場合。</t>
  </si>
  <si>
    <t>持続可能な森林から産出された木材の使用比率が10％以上50％未満。</t>
  </si>
  <si>
    <t>持続可能な森林から産出された木材の使用比率が50％以上。</t>
  </si>
  <si>
    <t xml:space="preserve">校庭の有無  </t>
    <rPh sb="0" eb="2">
      <t>コウテイ</t>
    </rPh>
    <rPh sb="3" eb="5">
      <t>ウム</t>
    </rPh>
    <phoneticPr fontId="21"/>
  </si>
  <si>
    <t>ない</t>
  </si>
  <si>
    <t>ＯＡフロア等によりレイアウト変更に対応できるようになっており，かつＯＡ機器用コンセント容量が30ＶＡ/ｍ2以上となっている。加えて，通信に関しては，レベル２を満たすとともに，2.5坪当たり１台の情報通信機器（電話１台，PC１台）を想定した通信回線が各階に引き込まれている。</t>
    <rPh sb="79" eb="80">
      <t>ミ</t>
    </rPh>
    <phoneticPr fontId="21"/>
  </si>
  <si>
    <t>内装に自然素材，伝統技術を多用している。
（CASBEE京都における「自然素材」とは，「木材，植物素材（竹，籐，麻，い草等），石材，土等でつくられた材料」と定義し，「伝統技術」とは京都で引き継がれてきた左官等の技術を指す。）</t>
  </si>
  <si>
    <t>内装に地域産木材を多用している。</t>
  </si>
  <si>
    <t>-</t>
    <phoneticPr fontId="21"/>
  </si>
  <si>
    <t>-</t>
    <phoneticPr fontId="21"/>
  </si>
  <si>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1"/>
  </si>
  <si>
    <r>
      <t>CASBEE</t>
    </r>
    <r>
      <rPr>
        <b/>
        <sz val="10"/>
        <rFont val="ＭＳ Ｐゴシック"/>
        <family val="3"/>
        <charset val="128"/>
      </rPr>
      <t>京都</t>
    </r>
    <r>
      <rPr>
        <b/>
        <sz val="10"/>
        <rFont val="Arial"/>
        <family val="2"/>
      </rPr>
      <t>-</t>
    </r>
    <r>
      <rPr>
        <b/>
        <sz val="10"/>
        <rFont val="ＭＳ Ｐゴシック"/>
        <family val="3"/>
        <charset val="128"/>
      </rPr>
      <t>既存</t>
    </r>
    <r>
      <rPr>
        <b/>
        <sz val="10"/>
        <rFont val="Arial"/>
        <family val="2"/>
      </rPr>
      <t>2015(v.1.0)</t>
    </r>
    <phoneticPr fontId="21"/>
  </si>
  <si>
    <r>
      <t>CASBEE</t>
    </r>
    <r>
      <rPr>
        <b/>
        <sz val="10"/>
        <rFont val="ＭＳ Ｐゴシック"/>
        <family val="3"/>
        <charset val="128"/>
      </rPr>
      <t>京都</t>
    </r>
    <r>
      <rPr>
        <b/>
        <sz val="10"/>
        <rFont val="Arial"/>
        <family val="2"/>
      </rPr>
      <t>-</t>
    </r>
    <r>
      <rPr>
        <b/>
        <sz val="10"/>
        <rFont val="ＭＳ Ｐゴシック"/>
        <family val="3"/>
        <charset val="128"/>
      </rPr>
      <t>既存</t>
    </r>
    <r>
      <rPr>
        <b/>
        <sz val="10"/>
        <rFont val="Arial"/>
        <family val="2"/>
      </rPr>
      <t>(2015</t>
    </r>
    <r>
      <rPr>
        <b/>
        <sz val="10"/>
        <rFont val="ＭＳ Ｐゴシック"/>
        <family val="3"/>
        <charset val="128"/>
      </rPr>
      <t>年版</t>
    </r>
    <r>
      <rPr>
        <b/>
        <sz val="10"/>
        <rFont val="Arial"/>
        <family val="2"/>
      </rPr>
      <t>)</t>
    </r>
    <rPh sb="6" eb="8">
      <t>キョウト</t>
    </rPh>
    <rPh sb="9" eb="11">
      <t>キソン</t>
    </rPh>
    <rPh sb="16" eb="18">
      <t>ネンバン</t>
    </rPh>
    <phoneticPr fontId="21"/>
  </si>
  <si>
    <t xml:space="preserve">     小・中学校</t>
    <phoneticPr fontId="21"/>
  </si>
  <si>
    <t>Q1/1.1</t>
  </si>
  <si>
    <t>Q1/1.2.1</t>
    <phoneticPr fontId="21"/>
  </si>
  <si>
    <t>Q1/1.2.2</t>
    <phoneticPr fontId="21"/>
  </si>
  <si>
    <t>Q1/1.2.3</t>
    <phoneticPr fontId="21"/>
  </si>
  <si>
    <t>Q1/1.2.4</t>
    <phoneticPr fontId="21"/>
  </si>
  <si>
    <t>Q1/1.3</t>
    <phoneticPr fontId="21"/>
  </si>
  <si>
    <t>Q1/2.1.1</t>
    <phoneticPr fontId="21"/>
  </si>
  <si>
    <t>Q1/2.1.2</t>
    <phoneticPr fontId="21"/>
  </si>
  <si>
    <t>Q1/2.1.3</t>
    <phoneticPr fontId="21"/>
  </si>
  <si>
    <t>Q1/2.2</t>
    <phoneticPr fontId="21"/>
  </si>
  <si>
    <t>Q1/2.3.1</t>
    <phoneticPr fontId="21"/>
  </si>
  <si>
    <t>Q1/2.3.2</t>
    <phoneticPr fontId="21"/>
  </si>
  <si>
    <t>Q1/3.1.1</t>
    <phoneticPr fontId="21"/>
  </si>
  <si>
    <t>Q1/3.1.2</t>
    <phoneticPr fontId="21"/>
  </si>
  <si>
    <t>Q1/3.1.3</t>
    <phoneticPr fontId="21"/>
  </si>
  <si>
    <t>Q1/3.2.2</t>
    <phoneticPr fontId="21"/>
  </si>
  <si>
    <t>Q1/3.2.1</t>
    <phoneticPr fontId="21"/>
  </si>
  <si>
    <t>Q1/3.3</t>
    <phoneticPr fontId="21"/>
  </si>
  <si>
    <t>Q1/3.4</t>
    <phoneticPr fontId="21"/>
  </si>
  <si>
    <t>Q1/4.1.1</t>
    <phoneticPr fontId="21"/>
  </si>
  <si>
    <t>Q1/4.1.2</t>
    <phoneticPr fontId="21"/>
  </si>
  <si>
    <t>Q1/4.2.1</t>
    <phoneticPr fontId="21"/>
  </si>
  <si>
    <t>Q1/4.2.2</t>
    <phoneticPr fontId="21"/>
  </si>
  <si>
    <t>Q1/4.2.3</t>
    <phoneticPr fontId="21"/>
  </si>
  <si>
    <t>Q1/4.3.1</t>
    <phoneticPr fontId="21"/>
  </si>
  <si>
    <t>Q1/4.3.2</t>
    <phoneticPr fontId="21"/>
  </si>
  <si>
    <t>Q2/1.1.1</t>
    <phoneticPr fontId="21"/>
  </si>
  <si>
    <t>Q2/1.1.3</t>
    <phoneticPr fontId="21"/>
  </si>
  <si>
    <t>Q2/1.1.2</t>
    <phoneticPr fontId="21"/>
  </si>
  <si>
    <t>Q2/1.2.1</t>
    <phoneticPr fontId="21"/>
  </si>
  <si>
    <t>Q2/1.2.2</t>
    <phoneticPr fontId="21"/>
  </si>
  <si>
    <t>Q2/1.2.3</t>
    <phoneticPr fontId="21"/>
  </si>
  <si>
    <t>Q2/1.3.1</t>
    <phoneticPr fontId="21"/>
  </si>
  <si>
    <t>Q2/1.3.2</t>
    <phoneticPr fontId="21"/>
  </si>
  <si>
    <t>Q2/1.3.3</t>
    <phoneticPr fontId="21"/>
  </si>
  <si>
    <t>Q2/2.1.1</t>
    <phoneticPr fontId="21"/>
  </si>
  <si>
    <t>Q2/2.1.2</t>
    <phoneticPr fontId="21"/>
  </si>
  <si>
    <t>Q2/2.2.1</t>
    <phoneticPr fontId="21"/>
  </si>
  <si>
    <t>Q2/2.2.2</t>
    <phoneticPr fontId="21"/>
  </si>
  <si>
    <t>Q2/2.2.3</t>
    <phoneticPr fontId="21"/>
  </si>
  <si>
    <t>Q2/2.2.4</t>
    <phoneticPr fontId="21"/>
  </si>
  <si>
    <t>Q2/2.2.5</t>
    <phoneticPr fontId="21"/>
  </si>
  <si>
    <t>Q2/2.2.6</t>
    <phoneticPr fontId="21"/>
  </si>
  <si>
    <t>Q2/2.3.1</t>
    <phoneticPr fontId="21"/>
  </si>
  <si>
    <t>Q2/2.3.2</t>
    <phoneticPr fontId="21"/>
  </si>
  <si>
    <t>Q2/2.3.3</t>
    <phoneticPr fontId="21"/>
  </si>
  <si>
    <t>Q2/2.4.1</t>
    <phoneticPr fontId="21"/>
  </si>
  <si>
    <t>Q2/2.4.2</t>
    <phoneticPr fontId="21"/>
  </si>
  <si>
    <t>Q2/2.4.3</t>
    <phoneticPr fontId="21"/>
  </si>
  <si>
    <t>Q2/2.4.4</t>
    <phoneticPr fontId="21"/>
  </si>
  <si>
    <t>Q2/2.4.5</t>
    <phoneticPr fontId="21"/>
  </si>
  <si>
    <t>Q2/3.1.1</t>
    <phoneticPr fontId="21"/>
  </si>
  <si>
    <t>Q2/3.1.2</t>
    <phoneticPr fontId="21"/>
  </si>
  <si>
    <t>Q2/3.2</t>
    <phoneticPr fontId="21"/>
  </si>
  <si>
    <t>Q2/3.3.1</t>
    <phoneticPr fontId="21"/>
  </si>
  <si>
    <t>Q2/3.3.2</t>
    <phoneticPr fontId="21"/>
  </si>
  <si>
    <t>Q2/3.3.3</t>
    <phoneticPr fontId="21"/>
  </si>
  <si>
    <t>Q2/3.3.4</t>
    <phoneticPr fontId="21"/>
  </si>
  <si>
    <t>Q2/3.3.5</t>
    <phoneticPr fontId="21"/>
  </si>
  <si>
    <t>Q2/3.3.6</t>
    <phoneticPr fontId="21"/>
  </si>
  <si>
    <t>Q3/1</t>
    <phoneticPr fontId="21"/>
  </si>
  <si>
    <t>Q3/2</t>
    <phoneticPr fontId="21"/>
  </si>
  <si>
    <t>Q3/3.1</t>
    <phoneticPr fontId="21"/>
  </si>
  <si>
    <t>Q3/3.2</t>
    <phoneticPr fontId="21"/>
  </si>
  <si>
    <t>LR1/1</t>
  </si>
  <si>
    <t>LR1/2</t>
    <phoneticPr fontId="21"/>
  </si>
  <si>
    <t>LR2/1.1</t>
    <phoneticPr fontId="21"/>
  </si>
  <si>
    <t>LR2/1.2.1</t>
    <phoneticPr fontId="21"/>
  </si>
  <si>
    <t>LR2/1.2.2</t>
    <phoneticPr fontId="21"/>
  </si>
  <si>
    <t>LR2/2.1</t>
    <phoneticPr fontId="21"/>
  </si>
  <si>
    <t>LR2/2.2</t>
    <phoneticPr fontId="21"/>
  </si>
  <si>
    <t>LR2/2.3</t>
    <phoneticPr fontId="21"/>
  </si>
  <si>
    <t>LR2/2.4</t>
    <phoneticPr fontId="21"/>
  </si>
  <si>
    <t>LR2/2.5</t>
    <phoneticPr fontId="21"/>
  </si>
  <si>
    <t>LR2/2.6</t>
    <phoneticPr fontId="21"/>
  </si>
  <si>
    <t>LR2/3.1</t>
    <phoneticPr fontId="21"/>
  </si>
  <si>
    <t>LR2/3.2.1</t>
    <phoneticPr fontId="21"/>
  </si>
  <si>
    <t>LR2/3.2.2</t>
    <phoneticPr fontId="21"/>
  </si>
  <si>
    <t>LR2/3.2.3</t>
    <phoneticPr fontId="21"/>
  </si>
  <si>
    <t>LR3/1</t>
    <phoneticPr fontId="21"/>
  </si>
  <si>
    <t>LR3/2.1</t>
    <phoneticPr fontId="21"/>
  </si>
  <si>
    <t>LR3/2.2</t>
    <phoneticPr fontId="21"/>
  </si>
  <si>
    <t>LR3/2.3.1</t>
    <phoneticPr fontId="21"/>
  </si>
  <si>
    <t>LR3/2.3.2</t>
    <phoneticPr fontId="21"/>
  </si>
  <si>
    <t>LR3/2.3.3</t>
    <phoneticPr fontId="21"/>
  </si>
  <si>
    <t>LR3/2.3.4</t>
    <phoneticPr fontId="21"/>
  </si>
  <si>
    <t>LR3/3.1.1</t>
    <phoneticPr fontId="21"/>
  </si>
  <si>
    <t>LR3/3.1.2</t>
    <phoneticPr fontId="21"/>
  </si>
  <si>
    <t>LR3/3.1.3</t>
    <phoneticPr fontId="21"/>
  </si>
  <si>
    <t>LR3/3.2.1</t>
    <phoneticPr fontId="21"/>
  </si>
  <si>
    <t>LR3/3.2.2</t>
    <phoneticPr fontId="21"/>
  </si>
  <si>
    <t>LR3/3.2.3</t>
    <phoneticPr fontId="21"/>
  </si>
  <si>
    <t>LR3/3.3.1</t>
    <phoneticPr fontId="21"/>
  </si>
  <si>
    <t>LR3/3.3.2</t>
    <phoneticPr fontId="21"/>
  </si>
  <si>
    <t>高評価根拠資料一覧</t>
    <rPh sb="0" eb="3">
      <t>コウヒョウカ</t>
    </rPh>
    <rPh sb="3" eb="5">
      <t>コンキョ</t>
    </rPh>
    <rPh sb="5" eb="7">
      <t>シリョウ</t>
    </rPh>
    <rPh sb="7" eb="9">
      <t>イチラン</t>
    </rPh>
    <phoneticPr fontId="21"/>
  </si>
  <si>
    <t>環境配慮設計の概要記入欄</t>
    <rPh sb="0" eb="2">
      <t>カンキョウ</t>
    </rPh>
    <rPh sb="2" eb="4">
      <t>ハイリョ</t>
    </rPh>
    <rPh sb="4" eb="6">
      <t>セッケイ</t>
    </rPh>
    <rPh sb="7" eb="9">
      <t>ガイヨウ</t>
    </rPh>
    <rPh sb="9" eb="11">
      <t>キニュウ</t>
    </rPh>
    <rPh sb="11" eb="12">
      <t>ラン</t>
    </rPh>
    <phoneticPr fontId="21"/>
  </si>
  <si>
    <t>根拠資料</t>
    <rPh sb="0" eb="2">
      <t>コンキョ</t>
    </rPh>
    <rPh sb="2" eb="4">
      <t>シリョウ</t>
    </rPh>
    <phoneticPr fontId="21"/>
  </si>
  <si>
    <t>図面番号</t>
    <rPh sb="0" eb="2">
      <t>ズメン</t>
    </rPh>
    <rPh sb="2" eb="4">
      <t>バンゴウ</t>
    </rPh>
    <phoneticPr fontId="21"/>
  </si>
  <si>
    <t>C</t>
    <phoneticPr fontId="21"/>
  </si>
  <si>
    <t>★★</t>
    <phoneticPr fontId="21"/>
  </si>
  <si>
    <t>1　建物概要</t>
    <rPh sb="2" eb="3">
      <t>ｹﾝ</t>
    </rPh>
    <rPh sb="3" eb="4">
      <t>ﾓﾉ</t>
    </rPh>
    <rPh sb="4" eb="6">
      <t>ｶﾞｲﾖｳ</t>
    </rPh>
    <phoneticPr fontId="34" type="noConversion"/>
  </si>
  <si>
    <t>建物名称</t>
    <rPh sb="0" eb="2">
      <t>タテモノ</t>
    </rPh>
    <rPh sb="2" eb="4">
      <t>メイショウ</t>
    </rPh>
    <phoneticPr fontId="21"/>
  </si>
  <si>
    <t>延床面積</t>
    <rPh sb="0" eb="1">
      <t>ノベ</t>
    </rPh>
    <rPh sb="1" eb="4">
      <t>ユカメンセキ</t>
    </rPh>
    <phoneticPr fontId="177"/>
  </si>
  <si>
    <t>用途</t>
    <rPh sb="0" eb="2">
      <t>ヨウト</t>
    </rPh>
    <phoneticPr fontId="177"/>
  </si>
  <si>
    <t>使用CASBEE評価マニュアル</t>
  </si>
  <si>
    <t>2　重点項目への取組度</t>
    <rPh sb="2" eb="4">
      <t>ｼﾞｭｳﾃﾝ</t>
    </rPh>
    <rPh sb="4" eb="6">
      <t>ｺｳﾓｸ</t>
    </rPh>
    <rPh sb="10" eb="11">
      <t>ﾄﾞ</t>
    </rPh>
    <phoneticPr fontId="34" type="noConversion"/>
  </si>
  <si>
    <t>取組度</t>
    <rPh sb="2" eb="3">
      <t>ド</t>
    </rPh>
    <phoneticPr fontId="21"/>
  </si>
  <si>
    <t>3　設計上の配慮事項とCASBEEのスコア</t>
    <rPh sb="2" eb="4">
      <t>セッケイ</t>
    </rPh>
    <rPh sb="4" eb="5">
      <t>ジョウ</t>
    </rPh>
    <rPh sb="6" eb="8">
      <t>ハイリョ</t>
    </rPh>
    <rPh sb="8" eb="10">
      <t>ジコウ</t>
    </rPh>
    <phoneticPr fontId="21"/>
  </si>
  <si>
    <t>大切に使う</t>
    <rPh sb="0" eb="2">
      <t>タイセツ</t>
    </rPh>
    <rPh sb="3" eb="4">
      <t>ツカ</t>
    </rPh>
    <phoneticPr fontId="21"/>
  </si>
  <si>
    <t>合計点</t>
    <rPh sb="0" eb="2">
      <t>ゴウケイ</t>
    </rPh>
    <rPh sb="2" eb="3">
      <t>テン</t>
    </rPh>
    <phoneticPr fontId="21"/>
  </si>
  <si>
    <t>■長寿命化</t>
    <rPh sb="1" eb="2">
      <t>チョウ</t>
    </rPh>
    <rPh sb="2" eb="4">
      <t>ジュミョウ</t>
    </rPh>
    <rPh sb="4" eb="5">
      <t>カ</t>
    </rPh>
    <phoneticPr fontId="177"/>
  </si>
  <si>
    <t>合計点</t>
    <rPh sb="0" eb="2">
      <t>ゴウケイ</t>
    </rPh>
    <rPh sb="2" eb="3">
      <t>テン</t>
    </rPh>
    <phoneticPr fontId="177"/>
  </si>
  <si>
    <t>◇メンテナンスの容易性</t>
    <rPh sb="8" eb="11">
      <t>ヨウイセイ</t>
    </rPh>
    <phoneticPr fontId="21"/>
  </si>
  <si>
    <t>◇物理的長寿命</t>
    <rPh sb="1" eb="4">
      <t>ブツリテキ</t>
    </rPh>
    <rPh sb="4" eb="5">
      <t>チョウ</t>
    </rPh>
    <rPh sb="5" eb="7">
      <t>ジュミョウ</t>
    </rPh>
    <phoneticPr fontId="21"/>
  </si>
  <si>
    <t>Q2/3.3平均</t>
    <rPh sb="6" eb="8">
      <t>ヘイキン</t>
    </rPh>
    <phoneticPr fontId="21"/>
  </si>
  <si>
    <t>　Q2/　3.3.1　空調配管の更新性</t>
    <rPh sb="11" eb="13">
      <t>クウチョウ</t>
    </rPh>
    <rPh sb="13" eb="15">
      <t>ハイカン</t>
    </rPh>
    <rPh sb="16" eb="19">
      <t>コウシンセイ</t>
    </rPh>
    <phoneticPr fontId="21"/>
  </si>
  <si>
    <t>　Q2/　2.2.1　躯体材料の耐用年数</t>
    <rPh sb="11" eb="13">
      <t>クタイ</t>
    </rPh>
    <rPh sb="13" eb="15">
      <t>ザイリョウ</t>
    </rPh>
    <rPh sb="16" eb="18">
      <t>タイヨウ</t>
    </rPh>
    <rPh sb="18" eb="20">
      <t>ネンスウ</t>
    </rPh>
    <phoneticPr fontId="21"/>
  </si>
  <si>
    <t>　Q2/　3.3.2　給排水管の更新性</t>
    <rPh sb="11" eb="12">
      <t>キュウ</t>
    </rPh>
    <rPh sb="12" eb="15">
      <t>ハイスイカン</t>
    </rPh>
    <rPh sb="16" eb="19">
      <t>コウシンセイ</t>
    </rPh>
    <phoneticPr fontId="21"/>
  </si>
  <si>
    <t>　Q2/　3.3.3　電気配線の更新性</t>
    <rPh sb="11" eb="13">
      <t>デンキ</t>
    </rPh>
    <rPh sb="13" eb="15">
      <t>ハイセン</t>
    </rPh>
    <rPh sb="16" eb="19">
      <t>コウシンセイ</t>
    </rPh>
    <phoneticPr fontId="21"/>
  </si>
  <si>
    <t>　Q2/　3.3.4　通信配線の更新性</t>
    <rPh sb="11" eb="13">
      <t>ツウシン</t>
    </rPh>
    <rPh sb="13" eb="15">
      <t>ハイセン</t>
    </rPh>
    <rPh sb="16" eb="19">
      <t>コウシンセイ</t>
    </rPh>
    <phoneticPr fontId="21"/>
  </si>
  <si>
    <t>◇社会的長寿命</t>
    <rPh sb="1" eb="3">
      <t>シャカイ</t>
    </rPh>
    <rPh sb="3" eb="4">
      <t>テキ</t>
    </rPh>
    <rPh sb="4" eb="5">
      <t>チョウ</t>
    </rPh>
    <rPh sb="5" eb="7">
      <t>ジュミョウ</t>
    </rPh>
    <phoneticPr fontId="21"/>
  </si>
  <si>
    <t>　Q2/　3.3.5　設備機器の更新性</t>
    <rPh sb="11" eb="13">
      <t>セツビ</t>
    </rPh>
    <rPh sb="13" eb="15">
      <t>キキ</t>
    </rPh>
    <rPh sb="16" eb="19">
      <t>コウシンセイ</t>
    </rPh>
    <phoneticPr fontId="21"/>
  </si>
  <si>
    <t>　Q2/　1.1.3　バリアフリー計画</t>
    <rPh sb="17" eb="19">
      <t>ケイカク</t>
    </rPh>
    <phoneticPr fontId="21"/>
  </si>
  <si>
    <t>　Q2/　3.1.2　空間の形状・自由さ</t>
    <rPh sb="11" eb="13">
      <t>クウカン</t>
    </rPh>
    <rPh sb="14" eb="16">
      <t>ケイジョウ</t>
    </rPh>
    <rPh sb="17" eb="19">
      <t>ジユウ</t>
    </rPh>
    <phoneticPr fontId="21"/>
  </si>
  <si>
    <t>　＜自由記述＞</t>
  </si>
  <si>
    <t>■省資源</t>
    <rPh sb="1" eb="4">
      <t>ショウシゲン</t>
    </rPh>
    <phoneticPr fontId="177"/>
  </si>
  <si>
    <t>　LR2/　2.1　材料使用量の削減</t>
    <rPh sb="10" eb="12">
      <t>ザイリョウ</t>
    </rPh>
    <rPh sb="12" eb="15">
      <t>シヨウリョウ</t>
    </rPh>
    <rPh sb="16" eb="18">
      <t>サクゲン</t>
    </rPh>
    <phoneticPr fontId="21"/>
  </si>
  <si>
    <t>スコア</t>
  </si>
  <si>
    <t>　LR2/　2.3　躯体材料におけるリサイクル材の使用</t>
    <rPh sb="10" eb="12">
      <t>クタイ</t>
    </rPh>
    <rPh sb="12" eb="14">
      <t>ザイリョウ</t>
    </rPh>
    <rPh sb="23" eb="24">
      <t>ザイ</t>
    </rPh>
    <rPh sb="25" eb="27">
      <t>シヨウ</t>
    </rPh>
    <phoneticPr fontId="21"/>
  </si>
  <si>
    <t>　LR2/　2.6　部材の再利用可能性向上への取組</t>
    <rPh sb="10" eb="12">
      <t>ブザイ</t>
    </rPh>
    <rPh sb="13" eb="16">
      <t>サイリヨウ</t>
    </rPh>
    <rPh sb="16" eb="19">
      <t>カノウセイ</t>
    </rPh>
    <rPh sb="19" eb="21">
      <t>コウジョウ</t>
    </rPh>
    <phoneticPr fontId="21"/>
  </si>
  <si>
    <t>＜自由記述＞</t>
  </si>
  <si>
    <t>◆独自加点項目</t>
    <rPh sb="1" eb="3">
      <t>ドクジ</t>
    </rPh>
    <rPh sb="3" eb="5">
      <t>カテン</t>
    </rPh>
    <rPh sb="5" eb="7">
      <t>コウモク</t>
    </rPh>
    <phoneticPr fontId="21"/>
  </si>
  <si>
    <t>　LR2/　2.1　材料使用量の削減</t>
  </si>
  <si>
    <t>「持続可能な森林から産出された木材」のうち，地域産木材を使用している。</t>
  </si>
  <si>
    <t>　LR2/　2.3　躯体材料におけるリサイクル材の使用</t>
  </si>
  <si>
    <t>「持続可能な森林から産出された木材」のうち，地域産木材を使用している。</t>
    <rPh sb="28" eb="30">
      <t>シヨウ</t>
    </rPh>
    <phoneticPr fontId="21"/>
  </si>
  <si>
    <t>ともに住まう</t>
    <rPh sb="3" eb="4">
      <t>ス</t>
    </rPh>
    <phoneticPr fontId="21"/>
  </si>
  <si>
    <t>■自然とともに住まう</t>
    <rPh sb="1" eb="3">
      <t>シゼン</t>
    </rPh>
    <rPh sb="7" eb="8">
      <t>ス</t>
    </rPh>
    <phoneticPr fontId="177"/>
  </si>
  <si>
    <t>■地域とともに住まう</t>
    <rPh sb="1" eb="3">
      <t>チイキ</t>
    </rPh>
    <rPh sb="7" eb="8">
      <t>ス</t>
    </rPh>
    <phoneticPr fontId="177"/>
  </si>
  <si>
    <t>◇自然を感じられる計画</t>
    <rPh sb="1" eb="3">
      <t>シゼン</t>
    </rPh>
    <rPh sb="4" eb="5">
      <t>カン</t>
    </rPh>
    <rPh sb="9" eb="11">
      <t>ケイカク</t>
    </rPh>
    <phoneticPr fontId="21"/>
  </si>
  <si>
    <t>◇地域環境やコミュニティーへの配慮</t>
    <rPh sb="1" eb="3">
      <t>チイキ</t>
    </rPh>
    <rPh sb="3" eb="5">
      <t>カンキョウ</t>
    </rPh>
    <rPh sb="15" eb="17">
      <t>ハイリョ</t>
    </rPh>
    <phoneticPr fontId="21"/>
  </si>
  <si>
    <t>　Q2/　1.2.1　広さ感・景観</t>
    <rPh sb="11" eb="12">
      <t>ヒロ</t>
    </rPh>
    <rPh sb="13" eb="14">
      <t>カン</t>
    </rPh>
    <rPh sb="15" eb="17">
      <t>ケイカン</t>
    </rPh>
    <phoneticPr fontId="21"/>
  </si>
  <si>
    <t>　Q3/　3.1　地域性への配慮，快適性の向上</t>
    <rPh sb="9" eb="12">
      <t>チイキセイ</t>
    </rPh>
    <rPh sb="14" eb="16">
      <t>ハイリョ</t>
    </rPh>
    <rPh sb="17" eb="20">
      <t>カイテキセイ</t>
    </rPh>
    <rPh sb="21" eb="23">
      <t>コウジョウ</t>
    </rPh>
    <phoneticPr fontId="21"/>
  </si>
  <si>
    <t>　Q3/　1　生物環境の保全</t>
    <rPh sb="7" eb="9">
      <t>セイブツ</t>
    </rPh>
    <rPh sb="9" eb="11">
      <t>カンキョウ</t>
    </rPh>
    <rPh sb="12" eb="14">
      <t>ホゼン</t>
    </rPh>
    <phoneticPr fontId="21"/>
  </si>
  <si>
    <t>　LR3/　2.2　温熱環境悪化の改善</t>
    <rPh sb="10" eb="12">
      <t>オンネツ</t>
    </rPh>
    <rPh sb="12" eb="14">
      <t>カンキョウ</t>
    </rPh>
    <rPh sb="14" eb="16">
      <t>アッカ</t>
    </rPh>
    <rPh sb="17" eb="19">
      <t>カイゼン</t>
    </rPh>
    <phoneticPr fontId="21"/>
  </si>
  <si>
    <t>　Q3/　3.2　敷地内温熱環境の向上</t>
    <rPh sb="9" eb="11">
      <t>シキチ</t>
    </rPh>
    <rPh sb="11" eb="12">
      <t>ナイ</t>
    </rPh>
    <rPh sb="12" eb="14">
      <t>オンネツ</t>
    </rPh>
    <rPh sb="14" eb="16">
      <t>カンキョウ</t>
    </rPh>
    <rPh sb="17" eb="19">
      <t>コウジョウ</t>
    </rPh>
    <phoneticPr fontId="21"/>
  </si>
  <si>
    <t>　LR3/　3.3.2　昼光の建物外壁による反射光（グレア）への対策</t>
    <rPh sb="12" eb="14">
      <t>チュウコウ</t>
    </rPh>
    <rPh sb="15" eb="17">
      <t>タテモノ</t>
    </rPh>
    <rPh sb="17" eb="19">
      <t>ガイヘキ</t>
    </rPh>
    <rPh sb="22" eb="24">
      <t>ハンシャ</t>
    </rPh>
    <rPh sb="24" eb="25">
      <t>コウ</t>
    </rPh>
    <rPh sb="32" eb="34">
      <t>タイサク</t>
    </rPh>
    <phoneticPr fontId="21"/>
  </si>
  <si>
    <t>■歴史とともに住まう</t>
    <rPh sb="1" eb="3">
      <t>レキシ</t>
    </rPh>
    <rPh sb="7" eb="8">
      <t>ス</t>
    </rPh>
    <phoneticPr fontId="177"/>
  </si>
  <si>
    <t>◇歴史性への配慮</t>
    <rPh sb="1" eb="3">
      <t>レキシ</t>
    </rPh>
    <rPh sb="3" eb="4">
      <t>セイ</t>
    </rPh>
    <rPh sb="6" eb="8">
      <t>ハイリョ</t>
    </rPh>
    <phoneticPr fontId="21"/>
  </si>
  <si>
    <t>　Q2/　1.2.3　内装計画</t>
    <rPh sb="11" eb="13">
      <t>ナイソウ</t>
    </rPh>
    <rPh sb="13" eb="15">
      <t>ケイカク</t>
    </rPh>
    <phoneticPr fontId="21"/>
  </si>
  <si>
    <t>◆独自加点項目</t>
    <rPh sb="1" eb="3">
      <t>ドクジ</t>
    </rPh>
    <rPh sb="3" eb="5">
      <t>カテン</t>
    </rPh>
    <phoneticPr fontId="21"/>
  </si>
  <si>
    <t>　Q2/　1.2.1 広さ感・景観</t>
    <rPh sb="11" eb="12">
      <t>ヒロ</t>
    </rPh>
    <rPh sb="13" eb="14">
      <t>カン</t>
    </rPh>
    <rPh sb="15" eb="17">
      <t>ケイカン</t>
    </rPh>
    <phoneticPr fontId="177"/>
  </si>
  <si>
    <t>格子状ルーバーや簾状スクリーンによりガラス面等の反射光を抑制している，または外壁に反射率の低い自然素材を採用している等の推奨内容の取組を，１以上実施している。</t>
  </si>
  <si>
    <t>自然からつくる</t>
    <rPh sb="0" eb="2">
      <t>シゼン</t>
    </rPh>
    <phoneticPr fontId="21"/>
  </si>
  <si>
    <t>合計点</t>
  </si>
  <si>
    <t>■自然材料の利用</t>
    <rPh sb="1" eb="3">
      <t>シゼン</t>
    </rPh>
    <rPh sb="3" eb="5">
      <t>ザイリョウ</t>
    </rPh>
    <rPh sb="6" eb="8">
      <t>リヨウ</t>
    </rPh>
    <phoneticPr fontId="177"/>
  </si>
  <si>
    <t>　LR2/　2.5　持続可能な森林から産出された木材</t>
    <rPh sb="10" eb="12">
      <t>ジゾク</t>
    </rPh>
    <rPh sb="12" eb="14">
      <t>カノウ</t>
    </rPh>
    <rPh sb="15" eb="17">
      <t>シンリン</t>
    </rPh>
    <rPh sb="19" eb="21">
      <t>サンシュツ</t>
    </rPh>
    <rPh sb="24" eb="26">
      <t>モクザイ</t>
    </rPh>
    <phoneticPr fontId="21"/>
  </si>
  <si>
    <t>　Q1/　3.1.1　昼光率</t>
    <rPh sb="11" eb="13">
      <t>チュウコウ</t>
    </rPh>
    <rPh sb="13" eb="14">
      <t>リツ</t>
    </rPh>
    <phoneticPr fontId="21"/>
  </si>
  <si>
    <t>　Q1/　3.1.3　昼光利用設備</t>
    <rPh sb="11" eb="13">
      <t>チュウコウ</t>
    </rPh>
    <rPh sb="13" eb="15">
      <t>リヨウ</t>
    </rPh>
    <rPh sb="15" eb="17">
      <t>セツビ</t>
    </rPh>
    <phoneticPr fontId="21"/>
  </si>
  <si>
    <t>　Q1/　4.2.2　自然換気性能</t>
    <rPh sb="11" eb="13">
      <t>シゼン</t>
    </rPh>
    <rPh sb="13" eb="15">
      <t>カンキ</t>
    </rPh>
    <rPh sb="15" eb="17">
      <t>セイノウ</t>
    </rPh>
    <phoneticPr fontId="21"/>
  </si>
  <si>
    <t>　LR2/　2.5 持続可能な森林から産出された木材</t>
    <rPh sb="10" eb="12">
      <t>ジゾク</t>
    </rPh>
    <rPh sb="12" eb="14">
      <t>カノウ</t>
    </rPh>
    <rPh sb="15" eb="17">
      <t>シンリン</t>
    </rPh>
    <rPh sb="19" eb="21">
      <t>サンシュツ</t>
    </rPh>
    <rPh sb="24" eb="26">
      <t>モクザイ</t>
    </rPh>
    <phoneticPr fontId="177"/>
  </si>
  <si>
    <t>4　低炭素景観の創出に関する評価（Ｑ３／２）</t>
    <rPh sb="2" eb="5">
      <t>テイタンソ</t>
    </rPh>
    <rPh sb="5" eb="7">
      <t>ケイカン</t>
    </rPh>
    <rPh sb="8" eb="10">
      <t>ソウシュツ</t>
    </rPh>
    <rPh sb="11" eb="12">
      <t>カン</t>
    </rPh>
    <rPh sb="14" eb="16">
      <t>ヒョウカ</t>
    </rPh>
    <phoneticPr fontId="177"/>
  </si>
  <si>
    <t>取組数</t>
    <rPh sb="0" eb="1">
      <t>ト</t>
    </rPh>
    <rPh sb="1" eb="2">
      <t>ク</t>
    </rPh>
    <rPh sb="2" eb="3">
      <t>スウ</t>
    </rPh>
    <phoneticPr fontId="21"/>
  </si>
  <si>
    <r>
      <t>５　ライフサイクルCO</t>
    </r>
    <r>
      <rPr>
        <b/>
        <vertAlign val="subscript"/>
        <sz val="12"/>
        <color indexed="9"/>
        <rFont val="ＭＳ Ｐゴシック"/>
        <family val="3"/>
        <charset val="128"/>
      </rPr>
      <t>2</t>
    </r>
    <r>
      <rPr>
        <b/>
        <sz val="12"/>
        <color indexed="9"/>
        <rFont val="ＭＳ Ｐゴシック"/>
        <family val="3"/>
        <charset val="128"/>
      </rPr>
      <t>とCO</t>
    </r>
    <r>
      <rPr>
        <b/>
        <vertAlign val="subscript"/>
        <sz val="12"/>
        <color indexed="9"/>
        <rFont val="ＭＳ Ｐゴシック"/>
        <family val="3"/>
        <charset val="128"/>
      </rPr>
      <t>2</t>
    </r>
    <r>
      <rPr>
        <b/>
        <sz val="12"/>
        <color indexed="9"/>
        <rFont val="ＭＳ Ｐゴシック"/>
        <family val="3"/>
        <charset val="128"/>
      </rPr>
      <t>削減率</t>
    </r>
    <rPh sb="16" eb="18">
      <t>サクゲン</t>
    </rPh>
    <rPh sb="18" eb="19">
      <t>リツ</t>
    </rPh>
    <phoneticPr fontId="177"/>
  </si>
  <si>
    <r>
      <t>ｋｇ-CO</t>
    </r>
    <r>
      <rPr>
        <vertAlign val="subscript"/>
        <sz val="9"/>
        <rFont val="ＭＳ Ｐゴシック"/>
        <family val="3"/>
        <charset val="128"/>
      </rPr>
      <t>2</t>
    </r>
    <r>
      <rPr>
        <sz val="9"/>
        <rFont val="ＭＳ Ｐゴシック"/>
        <family val="3"/>
        <charset val="128"/>
      </rPr>
      <t>/年㎡</t>
    </r>
    <rPh sb="7" eb="8">
      <t>ネン</t>
    </rPh>
    <phoneticPr fontId="177"/>
  </si>
  <si>
    <r>
      <t>（ライフサイクルCO</t>
    </r>
    <r>
      <rPr>
        <vertAlign val="subscript"/>
        <sz val="9"/>
        <rFont val="ＭＳ Ｐゴシック"/>
        <family val="3"/>
        <charset val="128"/>
      </rPr>
      <t>2</t>
    </r>
    <r>
      <rPr>
        <sz val="9"/>
        <rFont val="ＭＳ Ｐゴシック"/>
        <family val="3"/>
        <charset val="128"/>
      </rPr>
      <t>参照値）</t>
    </r>
    <rPh sb="11" eb="13">
      <t>サンショウ</t>
    </rPh>
    <rPh sb="13" eb="14">
      <t>チ</t>
    </rPh>
    <phoneticPr fontId="21"/>
  </si>
  <si>
    <r>
      <t>CO</t>
    </r>
    <r>
      <rPr>
        <vertAlign val="subscript"/>
        <sz val="9"/>
        <rFont val="ＭＳ Ｐゴシック"/>
        <family val="3"/>
        <charset val="128"/>
      </rPr>
      <t>2</t>
    </r>
    <r>
      <rPr>
        <sz val="9"/>
        <rFont val="ＭＳ Ｐゴシック"/>
        <family val="3"/>
        <charset val="128"/>
      </rPr>
      <t>削減量</t>
    </r>
    <rPh sb="5" eb="6">
      <t>リョウ</t>
    </rPh>
    <phoneticPr fontId="177"/>
  </si>
  <si>
    <r>
      <t>６　ウッドマイレージＣＯ</t>
    </r>
    <r>
      <rPr>
        <b/>
        <vertAlign val="subscript"/>
        <sz val="12"/>
        <color indexed="9"/>
        <rFont val="ＭＳ Ｐゴシック"/>
        <family val="3"/>
        <charset val="128"/>
      </rPr>
      <t>２</t>
    </r>
    <r>
      <rPr>
        <b/>
        <sz val="12"/>
        <color indexed="9"/>
        <rFont val="ＭＳ Ｐゴシック"/>
        <family val="3"/>
        <charset val="128"/>
      </rPr>
      <t>とＣＯ</t>
    </r>
    <r>
      <rPr>
        <b/>
        <vertAlign val="subscript"/>
        <sz val="12"/>
        <color indexed="9"/>
        <rFont val="ＭＳ Ｐゴシック"/>
        <family val="3"/>
        <charset val="128"/>
      </rPr>
      <t>２</t>
    </r>
    <r>
      <rPr>
        <b/>
        <sz val="12"/>
        <color indexed="9"/>
        <rFont val="ＭＳ Ｐゴシック"/>
        <family val="3"/>
        <charset val="128"/>
      </rPr>
      <t>削減率</t>
    </r>
    <rPh sb="17" eb="19">
      <t>サクゲン</t>
    </rPh>
    <rPh sb="19" eb="20">
      <t>リツ</t>
    </rPh>
    <phoneticPr fontId="177"/>
  </si>
  <si>
    <t>７　京都にふさわしい維持管理</t>
    <rPh sb="2" eb="4">
      <t>キョウト</t>
    </rPh>
    <rPh sb="10" eb="12">
      <t>イジ</t>
    </rPh>
    <rPh sb="12" eb="14">
      <t>カンリ</t>
    </rPh>
    <phoneticPr fontId="177"/>
  </si>
  <si>
    <t>：「ウッドマイレージ計算書」から転記</t>
    <rPh sb="10" eb="13">
      <t>ケイサンショ</t>
    </rPh>
    <rPh sb="16" eb="18">
      <t>テンキ</t>
    </rPh>
    <phoneticPr fontId="21"/>
  </si>
  <si>
    <t>：自由記述入力欄</t>
    <rPh sb="1" eb="3">
      <t>ジユウ</t>
    </rPh>
    <rPh sb="3" eb="5">
      <t>キジュツ</t>
    </rPh>
    <rPh sb="5" eb="7">
      <t>ニュウリョク</t>
    </rPh>
    <rPh sb="7" eb="8">
      <t>ラン</t>
    </rPh>
    <phoneticPr fontId="21"/>
  </si>
  <si>
    <t>★★★★</t>
    <phoneticPr fontId="21"/>
  </si>
  <si>
    <t>B-</t>
    <phoneticPr fontId="21"/>
  </si>
  <si>
    <t>B+</t>
    <phoneticPr fontId="21"/>
  </si>
  <si>
    <t>★★★</t>
    <phoneticPr fontId="21"/>
  </si>
  <si>
    <t>★</t>
    <phoneticPr fontId="21"/>
  </si>
  <si>
    <t>BEE</t>
    <phoneticPr fontId="21"/>
  </si>
  <si>
    <t>S</t>
    <phoneticPr fontId="21"/>
  </si>
  <si>
    <t>★★★★★</t>
    <phoneticPr fontId="21"/>
  </si>
  <si>
    <t xml:space="preserve">使用CASBEE評価ソフト </t>
    <phoneticPr fontId="21"/>
  </si>
  <si>
    <t>キーワード</t>
    <phoneticPr fontId="21"/>
  </si>
  <si>
    <t>1　大切に使う</t>
    <phoneticPr fontId="21"/>
  </si>
  <si>
    <t>2　ともに住まう</t>
    <phoneticPr fontId="21"/>
  </si>
  <si>
    <t>3　自然からつくる</t>
    <phoneticPr fontId="21"/>
  </si>
  <si>
    <t>スコア</t>
    <phoneticPr fontId="21"/>
  </si>
  <si>
    <t>　＜自由記述＞</t>
    <phoneticPr fontId="21"/>
  </si>
  <si>
    <t>(注　上記5項目のスコアの平均が合計点に加算される）</t>
    <rPh sb="1" eb="2">
      <t>チュウ</t>
    </rPh>
    <rPh sb="3" eb="5">
      <t>ジョウキ</t>
    </rPh>
    <rPh sb="6" eb="8">
      <t>コウモク</t>
    </rPh>
    <rPh sb="13" eb="15">
      <t>ヘイキン</t>
    </rPh>
    <rPh sb="16" eb="18">
      <t>ゴウケイ</t>
    </rPh>
    <rPh sb="18" eb="19">
      <t>テン</t>
    </rPh>
    <rPh sb="20" eb="22">
      <t>カサン</t>
    </rPh>
    <phoneticPr fontId="21"/>
  </si>
  <si>
    <t>　</t>
    <phoneticPr fontId="21"/>
  </si>
  <si>
    <t>合計点</t>
    <phoneticPr fontId="21"/>
  </si>
  <si>
    <t>　LR3/　3.3.2 昼光の建物外壁による反射光（グレア）への対策</t>
    <phoneticPr fontId="177"/>
  </si>
  <si>
    <t>■自然環境の利用</t>
    <phoneticPr fontId="177"/>
  </si>
  <si>
    <t>Q1/3.1.3 昼光利用設備</t>
    <phoneticPr fontId="21"/>
  </si>
  <si>
    <t>Q3/1 生物環境の保全と創出</t>
    <phoneticPr fontId="21"/>
  </si>
  <si>
    <t>Q3/3.2 敷地内温熱環境の向上</t>
    <phoneticPr fontId="21"/>
  </si>
  <si>
    <t>LR3/2.2 温熱環境悪化の改善　</t>
    <phoneticPr fontId="21"/>
  </si>
  <si>
    <t>LR3/3.3.2 昼光の建物外壁による反射光（グレア）への対策</t>
    <phoneticPr fontId="21"/>
  </si>
  <si>
    <t>　Q1/　3.1.3 昼光利用設備</t>
    <phoneticPr fontId="177"/>
  </si>
  <si>
    <t>デザインされた格子状ルーバーやライトシェルフ，軒，庇等，推奨内容の昼光利用設備を採用している。</t>
    <phoneticPr fontId="21"/>
  </si>
  <si>
    <t>低炭素景観</t>
    <rPh sb="0" eb="3">
      <t>テイタンソ</t>
    </rPh>
    <rPh sb="3" eb="5">
      <t>ケイカン</t>
    </rPh>
    <phoneticPr fontId="21"/>
  </si>
  <si>
    <r>
      <t>ライフサイクルCO</t>
    </r>
    <r>
      <rPr>
        <vertAlign val="subscript"/>
        <sz val="9"/>
        <rFont val="ＭＳ Ｐゴシック"/>
        <family val="3"/>
        <charset val="128"/>
      </rPr>
      <t>2</t>
    </r>
    <phoneticPr fontId="177"/>
  </si>
  <si>
    <t>ライフサイクル</t>
    <phoneticPr fontId="177"/>
  </si>
  <si>
    <r>
      <t>CO</t>
    </r>
    <r>
      <rPr>
        <b/>
        <vertAlign val="subscript"/>
        <sz val="11"/>
        <rFont val="ＭＳ Ｐゴシック"/>
        <family val="3"/>
        <charset val="128"/>
      </rPr>
      <t>2</t>
    </r>
    <r>
      <rPr>
        <b/>
        <sz val="11"/>
        <rFont val="ＭＳ Ｐゴシック"/>
        <family val="3"/>
        <charset val="128"/>
      </rPr>
      <t>削減率</t>
    </r>
    <phoneticPr fontId="177"/>
  </si>
  <si>
    <r>
      <t>ウッドマイレージCO</t>
    </r>
    <r>
      <rPr>
        <vertAlign val="subscript"/>
        <sz val="9"/>
        <rFont val="ＭＳ Ｐゴシック"/>
        <family val="3"/>
        <charset val="128"/>
      </rPr>
      <t>2</t>
    </r>
    <phoneticPr fontId="177"/>
  </si>
  <si>
    <r>
      <t>ｋｇ-CO</t>
    </r>
    <r>
      <rPr>
        <vertAlign val="subscript"/>
        <sz val="9"/>
        <rFont val="ＭＳ Ｐゴシック"/>
        <family val="3"/>
        <charset val="128"/>
      </rPr>
      <t>2</t>
    </r>
    <phoneticPr fontId="177"/>
  </si>
  <si>
    <t>ウッドマイレージ</t>
    <phoneticPr fontId="177"/>
  </si>
  <si>
    <r>
      <t>CO</t>
    </r>
    <r>
      <rPr>
        <vertAlign val="subscript"/>
        <sz val="9"/>
        <rFont val="ＭＳ Ｐゴシック"/>
        <family val="3"/>
        <charset val="128"/>
      </rPr>
      <t>2</t>
    </r>
    <r>
      <rPr>
        <sz val="9"/>
        <rFont val="ＭＳ Ｐゴシック"/>
        <family val="3"/>
        <charset val="128"/>
      </rPr>
      <t>削減効果</t>
    </r>
    <phoneticPr fontId="177"/>
  </si>
  <si>
    <t>町家型1　木部の塗装がよく維持されている。</t>
    <rPh sb="0" eb="2">
      <t>マチヤ</t>
    </rPh>
    <rPh sb="2" eb="3">
      <t>ガタ</t>
    </rPh>
    <rPh sb="5" eb="7">
      <t>モクブ</t>
    </rPh>
    <rPh sb="8" eb="10">
      <t>トソウ</t>
    </rPh>
    <rPh sb="13" eb="15">
      <t>イジ</t>
    </rPh>
    <phoneticPr fontId="21"/>
  </si>
  <si>
    <t>近代建築型1　目地から白華等が起こっていない。</t>
    <rPh sb="0" eb="2">
      <t>キンダイ</t>
    </rPh>
    <rPh sb="2" eb="4">
      <t>ケンチク</t>
    </rPh>
    <rPh sb="4" eb="5">
      <t>ガタ</t>
    </rPh>
    <rPh sb="7" eb="9">
      <t>メジ</t>
    </rPh>
    <rPh sb="11" eb="13">
      <t>ハッカ</t>
    </rPh>
    <rPh sb="13" eb="14">
      <t>トウ</t>
    </rPh>
    <rPh sb="15" eb="16">
      <t>オ</t>
    </rPh>
    <phoneticPr fontId="21"/>
  </si>
  <si>
    <t>町家型2　壁の左官仕上げがよく維持されている。</t>
    <rPh sb="0" eb="2">
      <t>マチヤ</t>
    </rPh>
    <rPh sb="2" eb="3">
      <t>ガタ</t>
    </rPh>
    <rPh sb="5" eb="6">
      <t>カベ</t>
    </rPh>
    <rPh sb="7" eb="9">
      <t>サカン</t>
    </rPh>
    <rPh sb="9" eb="11">
      <t>シア</t>
    </rPh>
    <rPh sb="15" eb="17">
      <t>イジ</t>
    </rPh>
    <phoneticPr fontId="21"/>
  </si>
  <si>
    <t>近代建築型2　仕上材表面がよく清掃管理されている。</t>
    <rPh sb="0" eb="2">
      <t>キンダイ</t>
    </rPh>
    <rPh sb="2" eb="4">
      <t>ケンチク</t>
    </rPh>
    <rPh sb="4" eb="5">
      <t>ガタ</t>
    </rPh>
    <rPh sb="7" eb="9">
      <t>シア</t>
    </rPh>
    <rPh sb="9" eb="10">
      <t>ザイ</t>
    </rPh>
    <rPh sb="10" eb="12">
      <t>ヒョウメン</t>
    </rPh>
    <rPh sb="15" eb="17">
      <t>セイソウ</t>
    </rPh>
    <rPh sb="17" eb="19">
      <t>カンリ</t>
    </rPh>
    <phoneticPr fontId="21"/>
  </si>
  <si>
    <t>町家型3　建築当初の良さを包括的に継承・向上している。</t>
    <rPh sb="0" eb="2">
      <t>マチヤ</t>
    </rPh>
    <rPh sb="2" eb="3">
      <t>ガタ</t>
    </rPh>
    <rPh sb="5" eb="7">
      <t>ケンチク</t>
    </rPh>
    <rPh sb="7" eb="9">
      <t>トウショ</t>
    </rPh>
    <rPh sb="10" eb="11">
      <t>ヨ</t>
    </rPh>
    <rPh sb="13" eb="16">
      <t>ホウカツテキ</t>
    </rPh>
    <rPh sb="17" eb="19">
      <t>ケイショウ</t>
    </rPh>
    <rPh sb="20" eb="22">
      <t>コウジョウ</t>
    </rPh>
    <phoneticPr fontId="21"/>
  </si>
  <si>
    <t>近代建築型3　建築当初の良さを包括的に継承・向上している。</t>
    <rPh sb="0" eb="2">
      <t>キンダイ</t>
    </rPh>
    <rPh sb="2" eb="4">
      <t>ケンチク</t>
    </rPh>
    <rPh sb="4" eb="5">
      <t>ガタ</t>
    </rPh>
    <rPh sb="7" eb="9">
      <t>ケンチク</t>
    </rPh>
    <rPh sb="9" eb="11">
      <t>トウショ</t>
    </rPh>
    <rPh sb="12" eb="13">
      <t>ヨ</t>
    </rPh>
    <rPh sb="15" eb="18">
      <t>ホウカツテキ</t>
    </rPh>
    <rPh sb="19" eb="21">
      <t>ケイショウ</t>
    </rPh>
    <rPh sb="22" eb="24">
      <t>コウジョウ</t>
    </rPh>
    <phoneticPr fontId="21"/>
  </si>
  <si>
    <t>町家型4　環境配慮技術が良好に維持管理されている。</t>
    <rPh sb="0" eb="2">
      <t>マチヤ</t>
    </rPh>
    <rPh sb="2" eb="3">
      <t>ガタ</t>
    </rPh>
    <rPh sb="5" eb="7">
      <t>カンキョウ</t>
    </rPh>
    <rPh sb="7" eb="9">
      <t>ハイリョ</t>
    </rPh>
    <rPh sb="9" eb="11">
      <t>ギジュツ</t>
    </rPh>
    <rPh sb="12" eb="14">
      <t>リョウコウ</t>
    </rPh>
    <rPh sb="15" eb="17">
      <t>イジ</t>
    </rPh>
    <rPh sb="17" eb="19">
      <t>カンリ</t>
    </rPh>
    <phoneticPr fontId="21"/>
  </si>
  <si>
    <t>近代建築型4　中間期の通風が確保されている。</t>
    <rPh sb="0" eb="2">
      <t>キンダイ</t>
    </rPh>
    <rPh sb="2" eb="4">
      <t>ケンチク</t>
    </rPh>
    <rPh sb="4" eb="5">
      <t>ガタ</t>
    </rPh>
    <phoneticPr fontId="21"/>
  </si>
  <si>
    <t>町家型5　中間期の通風が確保されている。</t>
    <rPh sb="0" eb="2">
      <t>マチヤ</t>
    </rPh>
    <rPh sb="2" eb="3">
      <t>ガタ</t>
    </rPh>
    <rPh sb="5" eb="8">
      <t>チュウカンキ</t>
    </rPh>
    <rPh sb="9" eb="11">
      <t>ツウフウ</t>
    </rPh>
    <rPh sb="12" eb="14">
      <t>カクホ</t>
    </rPh>
    <phoneticPr fontId="21"/>
  </si>
  <si>
    <t>　LR2/　2.4　躯体材料以外におけるリサイクル材の使用</t>
    <rPh sb="10" eb="12">
      <t>クタイ</t>
    </rPh>
    <rPh sb="12" eb="14">
      <t>ザイリョウ</t>
    </rPh>
    <rPh sb="14" eb="16">
      <t>イガイ</t>
    </rPh>
    <rPh sb="25" eb="26">
      <t>ザイ</t>
    </rPh>
    <rPh sb="27" eb="29">
      <t>シヨウ</t>
    </rPh>
    <phoneticPr fontId="21"/>
  </si>
  <si>
    <t>　LR2/　2.4　躯体材料以外におけるリサイクル材の使用</t>
    <phoneticPr fontId="21"/>
  </si>
  <si>
    <t>評価項目Ⅰ，評価項目Ⅱ，評価項Ⅳの1)または2)のうち2項目以上について取り組んでいる。</t>
    <phoneticPr fontId="21"/>
  </si>
  <si>
    <t>　Q1/　3.2.1　昼光制御</t>
    <rPh sb="11" eb="13">
      <t>チュウコウ</t>
    </rPh>
    <rPh sb="13" eb="15">
      <t>セイギョ</t>
    </rPh>
    <phoneticPr fontId="21"/>
  </si>
  <si>
    <t>　LR1/　2　自然エネルギー利用</t>
    <rPh sb="8" eb="10">
      <t>シゼン</t>
    </rPh>
    <rPh sb="15" eb="17">
      <t>リヨウ</t>
    </rPh>
    <phoneticPr fontId="21"/>
  </si>
  <si>
    <t>　LR2/　1.2.1　雨水利用システム</t>
    <rPh sb="12" eb="14">
      <t>ウスイ</t>
    </rPh>
    <rPh sb="14" eb="16">
      <t>リヨウ</t>
    </rPh>
    <phoneticPr fontId="21"/>
  </si>
  <si>
    <t>　Q1/　3.2.1 昼光制御</t>
    <phoneticPr fontId="21"/>
  </si>
  <si>
    <t>　LR1/　3 設備システムの高効率化</t>
    <phoneticPr fontId="21"/>
  </si>
  <si>
    <t>評価する取組みのうち、何れかの手法が採用されている。（但し、モニュメントの計画を除く）</t>
    <rPh sb="0" eb="2">
      <t>ヒョウカ</t>
    </rPh>
    <rPh sb="4" eb="5">
      <t>ト</t>
    </rPh>
    <rPh sb="5" eb="6">
      <t>ク</t>
    </rPh>
    <rPh sb="11" eb="12">
      <t>イズ</t>
    </rPh>
    <rPh sb="15" eb="17">
      <t>シュホウ</t>
    </rPh>
    <rPh sb="18" eb="20">
      <t>サイヨウ</t>
    </rPh>
    <rPh sb="27" eb="28">
      <t>タダ</t>
    </rPh>
    <rPh sb="37" eb="39">
      <t>ケイカク</t>
    </rPh>
    <rPh sb="40" eb="41">
      <t>ノゾ</t>
    </rPh>
    <phoneticPr fontId="21"/>
  </si>
  <si>
    <t>上記の内容に加え、利用量が15MJ/㎡・年以上となる場合。</t>
    <rPh sb="0" eb="2">
      <t>ジョウキ</t>
    </rPh>
    <rPh sb="3" eb="5">
      <t>ナイヨウ</t>
    </rPh>
    <rPh sb="6" eb="7">
      <t>クワ</t>
    </rPh>
    <rPh sb="9" eb="11">
      <t>リヨウ</t>
    </rPh>
    <rPh sb="11" eb="12">
      <t>リョウ</t>
    </rPh>
    <rPh sb="20" eb="23">
      <t>ネンイジョウ</t>
    </rPh>
    <rPh sb="26" eb="28">
      <t>バアイ</t>
    </rPh>
    <phoneticPr fontId="21"/>
  </si>
  <si>
    <t>上記の内容に加え，利用量が15MJ/㎡・年以上となる場合。</t>
    <rPh sb="0" eb="2">
      <t>ジョウキ</t>
    </rPh>
    <rPh sb="3" eb="5">
      <t>ナイヨウ</t>
    </rPh>
    <phoneticPr fontId="21"/>
  </si>
  <si>
    <t>事・学・物・飲・会・病・ホ・工・住</t>
    <phoneticPr fontId="21"/>
  </si>
  <si>
    <t>評価する取組みのうち，何れかの手法が採用されている。（但し，モニュメントの計画を除く）</t>
    <phoneticPr fontId="21"/>
  </si>
  <si>
    <t>NO.</t>
    <phoneticPr fontId="21"/>
  </si>
  <si>
    <t>評価する取組み　</t>
    <phoneticPr fontId="21"/>
  </si>
  <si>
    <t>Q1/3.2.1 昼光制御</t>
    <phoneticPr fontId="21"/>
  </si>
  <si>
    <t>評　価　ソ　フ　ト（標準システム）</t>
    <rPh sb="0" eb="1">
      <t>ヒョウ</t>
    </rPh>
    <rPh sb="2" eb="3">
      <t>アタイ</t>
    </rPh>
    <rPh sb="10" eb="12">
      <t>ヒョウジュン</t>
    </rPh>
    <phoneticPr fontId="21"/>
  </si>
  <si>
    <t>Q1/3.2.1</t>
    <phoneticPr fontId="21"/>
  </si>
  <si>
    <t>総合的な取組</t>
    <phoneticPr fontId="21"/>
  </si>
  <si>
    <t>清掃管理業務</t>
    <phoneticPr fontId="21"/>
  </si>
  <si>
    <r>
      <t xml:space="preserve">1.3.2 </t>
    </r>
    <r>
      <rPr>
        <b/>
        <sz val="10"/>
        <rFont val="ＭＳ Ｐゴシック"/>
        <family val="3"/>
        <charset val="128"/>
      </rPr>
      <t>清掃管理業務</t>
    </r>
    <rPh sb="6" eb="8">
      <t>セイソウ</t>
    </rPh>
    <rPh sb="8" eb="10">
      <t>カンリ</t>
    </rPh>
    <rPh sb="10" eb="12">
      <t>ギョウム</t>
    </rPh>
    <phoneticPr fontId="21"/>
  </si>
  <si>
    <t>※高評価項目が自動的に抽出されます。着色されている欄を記入の上，提出して下さい。</t>
    <rPh sb="1" eb="4">
      <t>コウヒョウカ</t>
    </rPh>
    <rPh sb="4" eb="6">
      <t>コウモク</t>
    </rPh>
    <rPh sb="7" eb="10">
      <t>ジドウテキ</t>
    </rPh>
    <rPh sb="11" eb="13">
      <t>チュウシュツ</t>
    </rPh>
    <rPh sb="18" eb="20">
      <t>チャクショク</t>
    </rPh>
    <rPh sb="25" eb="26">
      <t>ラン</t>
    </rPh>
    <rPh sb="27" eb="29">
      <t>キニュウ</t>
    </rPh>
    <rPh sb="30" eb="31">
      <t>ウエ</t>
    </rPh>
    <rPh sb="32" eb="34">
      <t>テイシュツ</t>
    </rPh>
    <rPh sb="36" eb="37">
      <t>クダ</t>
    </rPh>
    <phoneticPr fontId="21"/>
  </si>
  <si>
    <t>Q1/1.2.1</t>
    <phoneticPr fontId="21"/>
  </si>
  <si>
    <t>全てのサッシにT-2以上を採用</t>
    <rPh sb="0" eb="1">
      <t>スベ</t>
    </rPh>
    <rPh sb="10" eb="12">
      <t>イジョウ</t>
    </rPh>
    <rPh sb="13" eb="15">
      <t>サイヨウ</t>
    </rPh>
    <phoneticPr fontId="21"/>
  </si>
  <si>
    <t>特記仕様書</t>
    <rPh sb="0" eb="2">
      <t>トッキ</t>
    </rPh>
    <rPh sb="2" eb="5">
      <t>シヨウショ</t>
    </rPh>
    <phoneticPr fontId="21"/>
  </si>
  <si>
    <t>A-1</t>
    <phoneticPr fontId="21"/>
  </si>
  <si>
    <t>LR2/3.1</t>
    <phoneticPr fontId="21"/>
  </si>
  <si>
    <t>PRTR法対象物質を含有しない建材採用</t>
    <rPh sb="4" eb="5">
      <t>ホウ</t>
    </rPh>
    <rPh sb="5" eb="7">
      <t>タイショウ</t>
    </rPh>
    <rPh sb="7" eb="9">
      <t>ブッシツ</t>
    </rPh>
    <rPh sb="10" eb="12">
      <t>ガンユウ</t>
    </rPh>
    <rPh sb="15" eb="17">
      <t>ケンザイ</t>
    </rPh>
    <rPh sb="17" eb="19">
      <t>サイヨウ</t>
    </rPh>
    <phoneticPr fontId="21"/>
  </si>
  <si>
    <t>MSDSシート</t>
    <phoneticPr fontId="21"/>
  </si>
  <si>
    <t>別添１</t>
    <rPh sb="0" eb="2">
      <t>ベッテン</t>
    </rPh>
    <phoneticPr fontId="21"/>
  </si>
  <si>
    <t xml:space="preserve">注）　設計における総合的なコンセプトを簡潔に記載してください。
</t>
    <rPh sb="3" eb="5">
      <t>セッケイ</t>
    </rPh>
    <phoneticPr fontId="21"/>
  </si>
  <si>
    <t xml:space="preserve">注）　「Q1　室内環境」に対する配慮事項を簡潔に記載してください。
</t>
    <rPh sb="16" eb="18">
      <t>ハイリョ</t>
    </rPh>
    <rPh sb="18" eb="20">
      <t>ジコウ</t>
    </rPh>
    <phoneticPr fontId="21"/>
  </si>
  <si>
    <t xml:space="preserve">注）　「Q2　サービス性能」に対する配慮事項を簡潔に記載してください。
</t>
    <phoneticPr fontId="21"/>
  </si>
  <si>
    <t xml:space="preserve">注）　「Q3　室外環境（敷地内）」に対する配慮事項を簡潔に記載してください。
</t>
    <phoneticPr fontId="21"/>
  </si>
  <si>
    <t xml:space="preserve">注）　「LR1　エネルギー」に対する配慮事項を簡潔に記載してください。
</t>
    <phoneticPr fontId="21"/>
  </si>
  <si>
    <t xml:space="preserve">注）　「LR2　資源・マテリアル」に対する配慮事項を簡潔に記載してください。
</t>
    <phoneticPr fontId="21"/>
  </si>
  <si>
    <t xml:space="preserve">注）　「LR3　敷地外環境」に対する配慮事項を簡潔に記載してください。
</t>
    <phoneticPr fontId="21"/>
  </si>
  <si>
    <t xml:space="preserve">注）　上記の６つのカテゴリー以外に，建設工事における廃棄物削減・リサイクル，歴史的建造物の保存など，建物自体の環境性能としてＣＡＳＢＥＥで評価し難い環境配慮の取組があれば，ここに記載してください。
</t>
    <rPh sb="18" eb="20">
      <t>ケンセツ</t>
    </rPh>
    <rPh sb="45" eb="47">
      <t>ホゾン</t>
    </rPh>
    <phoneticPr fontId="21"/>
  </si>
  <si>
    <t>主要構造部が木造躯体である場合で，「持続可能な森林から産出された木材」を使用しており，うち地域産木材を使用している。</t>
    <phoneticPr fontId="21"/>
  </si>
  <si>
    <t>主要構造部が木造躯体である場合で，「持続可能な森林から産出された木材」を使用しており，うち地域産木材を使用している。</t>
    <phoneticPr fontId="21"/>
  </si>
  <si>
    <t>主要構造部に使用した「持続可能な森林から産出された木材」のうち，地域産木材を使用している。</t>
    <phoneticPr fontId="21"/>
  </si>
  <si>
    <t>主要構造部に使用した「持続可能な森林から産出された木材」のうち，地域産木材を使用している。</t>
    <phoneticPr fontId="21"/>
  </si>
  <si>
    <t>太陽光利用：電力設備に代わり，太陽光発電を利用した，システムが実施されていること。（例）太陽光パネルなど</t>
    <rPh sb="0" eb="3">
      <t>タイヨウコウ</t>
    </rPh>
    <rPh sb="3" eb="5">
      <t>リヨウ</t>
    </rPh>
    <rPh sb="6" eb="8">
      <t>デンリョク</t>
    </rPh>
    <rPh sb="8" eb="10">
      <t>セツビ</t>
    </rPh>
    <rPh sb="11" eb="12">
      <t>カ</t>
    </rPh>
    <rPh sb="15" eb="18">
      <t>タイヨウコウ</t>
    </rPh>
    <rPh sb="18" eb="20">
      <t>ハツデン</t>
    </rPh>
    <rPh sb="21" eb="23">
      <t>リヨウ</t>
    </rPh>
    <rPh sb="42" eb="43">
      <t>レイ</t>
    </rPh>
    <rPh sb="44" eb="47">
      <t>タイヨウコウ</t>
    </rPh>
    <phoneticPr fontId="21"/>
  </si>
  <si>
    <t>太陽熱利用：熱源設備において，温熱負荷低減に有効な太陽熱利用システムが実施されていること。（例）ソーラーパネル，真空式温水器</t>
    <rPh sb="0" eb="3">
      <t>タイヨウネツ</t>
    </rPh>
    <rPh sb="3" eb="5">
      <t>リヨウ</t>
    </rPh>
    <rPh sb="6" eb="8">
      <t>ネツゲン</t>
    </rPh>
    <rPh sb="8" eb="10">
      <t>セツビ</t>
    </rPh>
    <rPh sb="15" eb="17">
      <t>オンネツ</t>
    </rPh>
    <rPh sb="17" eb="19">
      <t>フカ</t>
    </rPh>
    <rPh sb="19" eb="21">
      <t>テイゲン</t>
    </rPh>
    <rPh sb="22" eb="24">
      <t>ユウコウ</t>
    </rPh>
    <rPh sb="25" eb="28">
      <t>タイヨウネツ</t>
    </rPh>
    <rPh sb="28" eb="30">
      <t>リヨウ</t>
    </rPh>
    <rPh sb="46" eb="47">
      <t>レイ</t>
    </rPh>
    <rPh sb="56" eb="58">
      <t>シンクウ</t>
    </rPh>
    <rPh sb="58" eb="59">
      <t>シキ</t>
    </rPh>
    <rPh sb="59" eb="62">
      <t>オンスイキ</t>
    </rPh>
    <phoneticPr fontId="21"/>
  </si>
  <si>
    <t>未利用熱利用：熱源設備において，熱源効率の向上に有効な未利用熱システムが実施されている事。（例）井水利用ヒートポンプ，河川水利用ヒートポンプなど</t>
    <rPh sb="0" eb="3">
      <t>ミリヨウ</t>
    </rPh>
    <rPh sb="3" eb="4">
      <t>ネツ</t>
    </rPh>
    <rPh sb="4" eb="6">
      <t>リヨウ</t>
    </rPh>
    <rPh sb="7" eb="9">
      <t>ネツゲン</t>
    </rPh>
    <rPh sb="9" eb="11">
      <t>セツビ</t>
    </rPh>
    <rPh sb="16" eb="18">
      <t>ネツゲン</t>
    </rPh>
    <rPh sb="18" eb="20">
      <t>コウリツ</t>
    </rPh>
    <rPh sb="21" eb="23">
      <t>コウジョウ</t>
    </rPh>
    <rPh sb="24" eb="26">
      <t>ユウコウ</t>
    </rPh>
    <rPh sb="27" eb="30">
      <t>ミリヨウ</t>
    </rPh>
    <rPh sb="30" eb="31">
      <t>ネツ</t>
    </rPh>
    <rPh sb="43" eb="44">
      <t>コト</t>
    </rPh>
    <rPh sb="46" eb="47">
      <t>レイ</t>
    </rPh>
    <rPh sb="48" eb="49">
      <t>イ</t>
    </rPh>
    <rPh sb="49" eb="50">
      <t>スイ</t>
    </rPh>
    <rPh sb="50" eb="52">
      <t>リヨウ</t>
    </rPh>
    <rPh sb="59" eb="61">
      <t>カセン</t>
    </rPh>
    <rPh sb="61" eb="62">
      <t>スイ</t>
    </rPh>
    <rPh sb="62" eb="64">
      <t>リヨウ</t>
    </rPh>
    <phoneticPr fontId="21"/>
  </si>
  <si>
    <t>その他：その他，自然を活用した有効なシステムが実施されている事。</t>
    <rPh sb="30" eb="31">
      <t>コト</t>
    </rPh>
    <phoneticPr fontId="21"/>
  </si>
  <si>
    <t>京都市○○区○○</t>
    <rPh sb="0" eb="3">
      <t>キョウトシ</t>
    </rPh>
    <rPh sb="5" eb="6">
      <t>ク</t>
    </rPh>
    <phoneticPr fontId="21"/>
  </si>
  <si>
    <t>竣工</t>
  </si>
  <si>
    <t>LR1/3</t>
    <phoneticPr fontId="21"/>
  </si>
  <si>
    <t>LR1/4.1</t>
    <phoneticPr fontId="21"/>
  </si>
  <si>
    <t>LR1/4.2</t>
    <phoneticPr fontId="21"/>
  </si>
</sst>
</file>

<file path=xl/styles.xml><?xml version="1.0" encoding="utf-8"?>
<styleSheet xmlns="http://schemas.openxmlformats.org/spreadsheetml/2006/main">
  <numFmts count="53">
    <numFmt numFmtId="176" formatCode="0;0;&quot;&quot;"/>
    <numFmt numFmtId="177" formatCode="0.0_ "/>
    <numFmt numFmtId="178" formatCode="0.00_ "/>
    <numFmt numFmtId="179" formatCode="0.00_);[Red]\(0.00\)"/>
    <numFmt numFmtId="180" formatCode="0.00;0.00;&quot;適用外&quot;"/>
    <numFmt numFmtId="181" formatCode=";;&quot;&quot;"/>
    <numFmt numFmtId="182" formatCode="0;0;&quot;－&quot;"/>
    <numFmt numFmtId="183" formatCode="#,##0_ "/>
    <numFmt numFmtId="184" formatCode="0.0"/>
    <numFmt numFmtId="185" formatCode="0.0;0.0;&quot;-&quot;\ "/>
    <numFmt numFmtId="186" formatCode="0.00;0.00;&quot;-&quot;\ "/>
    <numFmt numFmtId="187" formatCode="0.0;0.0;&quot;－&quot;"/>
    <numFmt numFmtId="188" formatCode="#,##0.0;[Red]\-#,##0.0"/>
    <numFmt numFmtId="189" formatCode="0.00;0.00;&quot;－&quot;"/>
    <numFmt numFmtId="190" formatCode="0.000_ "/>
    <numFmt numFmtId="191" formatCode="0.000_);[Red]\(0.000\)"/>
    <numFmt numFmtId="192" formatCode="0_ "/>
    <numFmt numFmtId="193" formatCode="#,###&quot;㎡&quot;"/>
    <numFmt numFmtId="194" formatCode="&quot;レベル &quot;#"/>
    <numFmt numFmtId="195" formatCode="#&quot;ポイント&quot;"/>
    <numFmt numFmtId="196" formatCode="#&quot;点&quot;"/>
    <numFmt numFmtId="197" formatCode="0.00;0.00;&quot;&quot;\ "/>
    <numFmt numFmtId="198" formatCode="0.00;0.00;&quot;-&quot;"/>
    <numFmt numFmtId="199" formatCode="&quot;レベル &quot;#.0"/>
    <numFmt numFmtId="200" formatCode="&quot;レベル &quot;#0.0"/>
    <numFmt numFmtId="201" formatCode="&quot;レベル &quot;#.0;0.0;&quot;レベル&quot;"/>
    <numFmt numFmtId="202" formatCode="0.00;0.00;&quot;対象外&quot;"/>
    <numFmt numFmtId="203" formatCode="&quot;レベル &quot;#0.0;0.00;&quot;対象外&quot;"/>
    <numFmt numFmtId="204" formatCode="0.0;_Ā"/>
    <numFmt numFmtId="205" formatCode="0.000;_Ā"/>
    <numFmt numFmtId="206" formatCode="#&quot; ポイント&quot;;0.0;&quot;0 ポイント&quot;"/>
    <numFmt numFmtId="207" formatCode="#&quot; ポイント&quot;;\-#&quot; ポイント&quot;;&quot;0 ポイント&quot;"/>
    <numFmt numFmtId="208" formatCode="#&quot; ポイント&quot;;;0&quot; ポイント&quot;"/>
    <numFmt numFmtId="209" formatCode="&quot;レベル &quot;#;0;&quot;レベル&quot;"/>
    <numFmt numFmtId="210" formatCode="0.0000"/>
    <numFmt numFmtId="211" formatCode="#&quot;年&quot;"/>
    <numFmt numFmtId="212" formatCode="#,##0.000;[Red]\-#,##0.000"/>
    <numFmt numFmtId="213" formatCode="0.0000_ "/>
    <numFmt numFmtId="214" formatCode="0.0_);[Red]\(0.0\)"/>
    <numFmt numFmtId="215" formatCode="0.000000_ "/>
    <numFmt numFmtId="216" formatCode="General;General;"/>
    <numFmt numFmtId="217" formatCode="0.0;\-0.0&quot; ポイント&quot;;&quot;0 ポイント&quot;"/>
    <numFmt numFmtId="218" formatCode="0.00000_ "/>
    <numFmt numFmtId="219" formatCode="&quot;レベル &quot;#0.0;&quot;対象外&quot;"/>
    <numFmt numFmtId="220" formatCode="0.000"/>
    <numFmt numFmtId="221" formatCode="&quot;レベル &quot;#.00;0.00;&quot;レベル&quot;"/>
    <numFmt numFmtId="222" formatCode="#,##0_);[Red]\(#,##0\)"/>
    <numFmt numFmtId="223" formatCode="0.0;0.0;&quot;-&quot;"/>
    <numFmt numFmtId="224" formatCode="#&quot;項目&quot;"/>
    <numFmt numFmtId="225" formatCode="#&quot;／6項目&quot;"/>
    <numFmt numFmtId="226" formatCode="#,##0.0000_);\(#,##0.0000\)"/>
    <numFmt numFmtId="227" formatCode="0_);\(0\)"/>
    <numFmt numFmtId="228" formatCode="&quot;/&quot;0"/>
  </numFmts>
  <fonts count="18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sz val="11"/>
      <color indexed="23"/>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b/>
      <sz val="10"/>
      <color theme="1" tint="0.249977111117893"/>
      <name val="ＭＳ Ｐゴシック"/>
      <family val="3"/>
      <charset val="128"/>
    </font>
    <font>
      <sz val="11"/>
      <color theme="1"/>
      <name val="ＭＳ Ｐゴシック"/>
      <family val="3"/>
      <charset val="128"/>
      <scheme val="minor"/>
    </font>
    <font>
      <sz val="8"/>
      <color theme="1"/>
      <name val="ＭＳ Ｐゴシック"/>
      <family val="3"/>
      <charset val="128"/>
      <scheme val="minor"/>
    </font>
    <font>
      <sz val="10.5"/>
      <name val="ＭＳ Ｐゴシック"/>
      <family val="3"/>
      <charset val="128"/>
    </font>
    <font>
      <sz val="50"/>
      <name val="ＭＳ Ｐゴシック"/>
      <family val="3"/>
      <charset val="128"/>
    </font>
    <font>
      <sz val="24"/>
      <name val="ＭＳ Ｐゴシック"/>
      <family val="3"/>
      <charset val="128"/>
    </font>
    <font>
      <b/>
      <sz val="20"/>
      <name val="ＭＳ Ｐゴシック"/>
      <family val="3"/>
      <charset val="128"/>
    </font>
    <font>
      <sz val="6"/>
      <name val="ＭＳ 明朝"/>
      <family val="1"/>
      <charset val="128"/>
    </font>
    <font>
      <sz val="12"/>
      <color indexed="9"/>
      <name val="ＭＳ Ｐゴシック"/>
      <family val="3"/>
      <charset val="128"/>
    </font>
    <font>
      <sz val="14"/>
      <color indexed="9"/>
      <name val="ＭＳ Ｐゴシック"/>
      <family val="3"/>
      <charset val="128"/>
    </font>
    <font>
      <sz val="9"/>
      <color rgb="FF000000"/>
      <name val="MS UI Gothic"/>
      <family val="3"/>
      <charset val="128"/>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CC"/>
        <bgColor indexed="64"/>
      </patternFill>
    </fill>
    <fill>
      <patternFill patternType="solid">
        <fgColor theme="9"/>
        <bgColor indexed="64"/>
      </patternFill>
    </fill>
    <fill>
      <patternFill patternType="solid">
        <fgColor rgb="FFCCFFFF"/>
        <bgColor indexed="64"/>
      </patternFill>
    </fill>
    <fill>
      <patternFill patternType="solid">
        <fgColor theme="0" tint="-0.249977111117893"/>
        <bgColor indexed="64"/>
      </patternFill>
    </fill>
    <fill>
      <patternFill patternType="solid">
        <fgColor indexed="51"/>
        <bgColor indexed="64"/>
      </patternFill>
    </fill>
    <fill>
      <patternFill patternType="solid">
        <fgColor indexed="44"/>
        <bgColor indexed="64"/>
      </patternFill>
    </fill>
    <fill>
      <patternFill patternType="solid">
        <fgColor indexed="26"/>
        <bgColor indexed="26"/>
      </patternFill>
    </fill>
    <fill>
      <patternFill patternType="solid">
        <fgColor theme="0" tint="-0.24994659260841701"/>
        <bgColor indexed="64"/>
      </patternFill>
    </fill>
    <fill>
      <patternFill patternType="solid">
        <fgColor rgb="FFC0C0C0"/>
        <bgColor indexed="64"/>
      </patternFill>
    </fill>
    <fill>
      <patternFill patternType="solid">
        <fgColor theme="0" tint="-0.14999847407452621"/>
        <bgColor indexed="64"/>
      </patternFill>
    </fill>
    <fill>
      <patternFill patternType="solid">
        <fgColor rgb="FF99CC00"/>
        <bgColor indexed="64"/>
      </patternFill>
    </fill>
    <fill>
      <patternFill patternType="solid">
        <fgColor theme="0"/>
        <bgColor indexed="64"/>
      </patternFill>
    </fill>
    <fill>
      <patternFill patternType="solid">
        <fgColor theme="3" tint="0.79998168889431442"/>
        <bgColor indexed="64"/>
      </patternFill>
    </fill>
  </fills>
  <borders count="29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medium">
        <color indexed="64"/>
      </left>
      <right/>
      <top style="medium">
        <color indexed="23"/>
      </top>
      <bottom style="thin">
        <color indexed="64"/>
      </bottom>
      <diagonal/>
    </border>
    <border>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right style="hair">
        <color indexed="64"/>
      </right>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hair">
        <color indexed="64"/>
      </right>
      <top/>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9"/>
      </bottom>
      <diagonal/>
    </border>
    <border>
      <left style="medium">
        <color indexed="64"/>
      </left>
      <right style="medium">
        <color indexed="64"/>
      </right>
      <top/>
      <bottom style="medium">
        <color indexed="9"/>
      </bottom>
      <diagonal/>
    </border>
    <border>
      <left style="medium">
        <color indexed="64"/>
      </left>
      <right style="medium">
        <color indexed="64"/>
      </right>
      <top style="medium">
        <color indexed="9"/>
      </top>
      <bottom style="medium">
        <color indexed="9"/>
      </bottom>
      <diagonal/>
    </border>
    <border>
      <left/>
      <right/>
      <top style="thin">
        <color indexed="64"/>
      </top>
      <bottom style="thin">
        <color indexed="9"/>
      </bottom>
      <diagonal/>
    </border>
    <border>
      <left style="medium">
        <color indexed="64"/>
      </left>
      <right style="medium">
        <color indexed="64"/>
      </right>
      <top style="thin">
        <color indexed="64"/>
      </top>
      <bottom style="thin">
        <color indexed="9"/>
      </bottom>
      <diagonal/>
    </border>
    <border>
      <left/>
      <right/>
      <top style="thin">
        <color indexed="9"/>
      </top>
      <bottom/>
      <diagonal/>
    </border>
    <border>
      <left style="medium">
        <color indexed="64"/>
      </left>
      <right style="medium">
        <color indexed="64"/>
      </right>
      <top style="thin">
        <color indexed="9"/>
      </top>
      <bottom/>
      <diagonal/>
    </border>
    <border>
      <left/>
      <right/>
      <top/>
      <bottom style="thin">
        <color indexed="9"/>
      </bottom>
      <diagonal/>
    </border>
    <border>
      <left style="medium">
        <color indexed="64"/>
      </left>
      <right style="medium">
        <color indexed="64"/>
      </right>
      <top/>
      <bottom style="thin">
        <color indexed="9"/>
      </bottom>
      <diagonal/>
    </border>
    <border>
      <left/>
      <right/>
      <top style="thin">
        <color indexed="9"/>
      </top>
      <bottom style="thin">
        <color indexed="64"/>
      </bottom>
      <diagonal/>
    </border>
    <border>
      <left style="medium">
        <color indexed="64"/>
      </left>
      <right style="medium">
        <color indexed="64"/>
      </right>
      <top style="thin">
        <color indexed="9"/>
      </top>
      <bottom style="thin">
        <color indexed="64"/>
      </bottom>
      <diagonal/>
    </border>
    <border>
      <left style="medium">
        <color indexed="64"/>
      </left>
      <right style="medium">
        <color indexed="64"/>
      </right>
      <top style="thin">
        <color indexed="9"/>
      </top>
      <bottom style="thin">
        <color indexed="9"/>
      </bottom>
      <diagonal/>
    </border>
    <border>
      <left/>
      <right/>
      <top style="thin">
        <color indexed="9"/>
      </top>
      <bottom style="thin">
        <color indexed="9"/>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style="medium">
        <color rgb="FFFF0000"/>
      </right>
      <top style="thin">
        <color indexed="64"/>
      </top>
      <bottom/>
      <diagonal/>
    </border>
    <border>
      <left style="medium">
        <color indexed="10"/>
      </left>
      <right/>
      <top/>
      <bottom/>
      <diagonal/>
    </border>
    <border>
      <left/>
      <right style="medium">
        <color rgb="FFFF0000"/>
      </right>
      <top/>
      <bottom/>
      <diagonal/>
    </border>
    <border>
      <left style="medium">
        <color indexed="10"/>
      </left>
      <right style="medium">
        <color indexed="10"/>
      </right>
      <top/>
      <bottom style="medium">
        <color indexed="10"/>
      </bottom>
      <diagonal/>
    </border>
    <border>
      <left/>
      <right/>
      <top style="medium">
        <color indexed="10"/>
      </top>
      <bottom style="medium">
        <color indexed="64"/>
      </bottom>
      <diagonal/>
    </border>
    <border>
      <left style="medium">
        <color rgb="FF00B0F0"/>
      </left>
      <right/>
      <top style="thin">
        <color rgb="FF00B0F0"/>
      </top>
      <bottom/>
      <diagonal/>
    </border>
    <border>
      <left style="medium">
        <color rgb="FF00B0F0"/>
      </left>
      <right style="thin">
        <color indexed="64"/>
      </right>
      <top style="medium">
        <color indexed="64"/>
      </top>
      <bottom/>
      <diagonal/>
    </border>
    <border>
      <left style="medium">
        <color rgb="FF00B0F0"/>
      </left>
      <right/>
      <top style="medium">
        <color rgb="FF00B0F0"/>
      </top>
      <bottom/>
      <diagonal/>
    </border>
    <border>
      <left style="medium">
        <color rgb="FF00B0F0"/>
      </left>
      <right style="thin">
        <color indexed="64"/>
      </right>
      <top/>
      <bottom style="medium">
        <color indexed="64"/>
      </bottom>
      <diagonal/>
    </border>
    <border>
      <left/>
      <right/>
      <top style="medium">
        <color rgb="FF00B0F0"/>
      </top>
      <bottom/>
      <diagonal/>
    </border>
    <border>
      <left style="medium">
        <color indexed="10"/>
      </left>
      <right style="medium">
        <color indexed="10"/>
      </right>
      <top style="medium">
        <color indexed="10"/>
      </top>
      <bottom style="medium">
        <color indexed="10"/>
      </bottom>
      <diagonal/>
    </border>
    <border>
      <left/>
      <right style="medium">
        <color rgb="FFFF0000"/>
      </right>
      <top style="medium">
        <color rgb="FFFF0000"/>
      </top>
      <bottom/>
      <diagonal/>
    </border>
    <border>
      <left style="medium">
        <color indexed="10"/>
      </left>
      <right style="medium">
        <color indexed="10"/>
      </right>
      <top style="medium">
        <color indexed="10"/>
      </top>
      <bottom/>
      <diagonal/>
    </border>
    <border>
      <left/>
      <right style="medium">
        <color indexed="10"/>
      </right>
      <top/>
      <bottom/>
      <diagonal/>
    </border>
    <border>
      <left/>
      <right style="medium">
        <color indexed="10"/>
      </right>
      <top/>
      <bottom style="medium">
        <color indexed="64"/>
      </bottom>
      <diagonal/>
    </border>
    <border>
      <left style="medium">
        <color indexed="10"/>
      </left>
      <right style="medium">
        <color indexed="10"/>
      </right>
      <top style="medium">
        <color indexed="10"/>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0">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19" fillId="0" borderId="0"/>
    <xf numFmtId="0" fontId="20" fillId="4" borderId="0" applyNumberFormat="0" applyBorder="0" applyAlignment="0" applyProtection="0">
      <alignment vertical="center"/>
    </xf>
    <xf numFmtId="0" fontId="171" fillId="0" borderId="0">
      <alignment vertical="center"/>
    </xf>
    <xf numFmtId="0" fontId="33" fillId="0" borderId="0">
      <alignment vertical="center"/>
    </xf>
  </cellStyleXfs>
  <cellXfs count="4023">
    <xf numFmtId="0" fontId="0" fillId="0" borderId="0" xfId="0">
      <alignment vertical="center"/>
    </xf>
    <xf numFmtId="0" fontId="0" fillId="0" borderId="10" xfId="0" applyBorder="1">
      <alignment vertical="center"/>
    </xf>
    <xf numFmtId="0" fontId="0" fillId="0" borderId="15" xfId="0" applyBorder="1">
      <alignment vertical="center"/>
    </xf>
    <xf numFmtId="0" fontId="6" fillId="27" borderId="0" xfId="0" applyFont="1" applyFill="1" applyProtection="1">
      <alignment vertical="center"/>
    </xf>
    <xf numFmtId="0" fontId="11" fillId="27" borderId="0" xfId="0" applyFont="1" applyFill="1" applyAlignment="1" applyProtection="1">
      <alignment vertical="center"/>
    </xf>
    <xf numFmtId="0" fontId="24"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center"/>
      <protection hidden="1"/>
    </xf>
    <xf numFmtId="0" fontId="24"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6" fillId="27" borderId="0" xfId="0" applyFont="1" applyFill="1" applyBorder="1" applyAlignment="1">
      <alignment horizontal="left" vertical="center"/>
    </xf>
    <xf numFmtId="0" fontId="27"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8" fillId="27" borderId="0" xfId="0" applyFont="1" applyFill="1" applyBorder="1" applyAlignment="1">
      <alignment horizontal="left" vertical="center"/>
    </xf>
    <xf numFmtId="0" fontId="29" fillId="27" borderId="0" xfId="0" applyFont="1" applyFill="1" applyBorder="1" applyAlignment="1">
      <alignment horizontal="left" vertical="center"/>
    </xf>
    <xf numFmtId="0" fontId="30"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1" fillId="28" borderId="21" xfId="0" applyFont="1" applyFill="1" applyBorder="1" applyAlignment="1" applyProtection="1">
      <alignment vertical="center"/>
      <protection hidden="1"/>
    </xf>
    <xf numFmtId="0" fontId="32" fillId="28" borderId="22" xfId="0" applyFont="1" applyFill="1" applyBorder="1" applyAlignment="1" applyProtection="1">
      <alignment vertical="center"/>
      <protection hidden="1"/>
    </xf>
    <xf numFmtId="0" fontId="32" fillId="28" borderId="23" xfId="0" applyFont="1" applyFill="1" applyBorder="1" applyAlignment="1" applyProtection="1">
      <alignment vertical="center"/>
      <protection hidden="1"/>
    </xf>
    <xf numFmtId="0" fontId="31" fillId="28" borderId="24" xfId="0" applyFont="1" applyFill="1" applyBorder="1" applyAlignment="1" applyProtection="1">
      <alignment vertical="center"/>
      <protection hidden="1"/>
    </xf>
    <xf numFmtId="0" fontId="32" fillId="28" borderId="0" xfId="0" applyFont="1" applyFill="1" applyBorder="1" applyAlignment="1" applyProtection="1">
      <alignment vertical="center"/>
      <protection hidden="1"/>
    </xf>
    <xf numFmtId="0" fontId="32" fillId="28" borderId="25" xfId="0" applyFont="1" applyFill="1" applyBorder="1" applyAlignment="1" applyProtection="1">
      <alignment vertical="center"/>
      <protection hidden="1"/>
    </xf>
    <xf numFmtId="0" fontId="0" fillId="27" borderId="0" xfId="0" applyFill="1" applyProtection="1">
      <alignment vertical="center"/>
    </xf>
    <xf numFmtId="49" fontId="33" fillId="27" borderId="24" xfId="0" applyNumberFormat="1" applyFont="1" applyFill="1" applyBorder="1" applyAlignment="1" applyProtection="1">
      <protection hidden="1"/>
    </xf>
    <xf numFmtId="179" fontId="6" fillId="27" borderId="0" xfId="0" applyNumberFormat="1" applyFont="1" applyFill="1" applyBorder="1" applyAlignment="1" applyProtection="1">
      <alignment horizontal="right" vertical="center"/>
    </xf>
    <xf numFmtId="179" fontId="6" fillId="27" borderId="25" xfId="0" applyNumberFormat="1" applyFont="1" applyFill="1" applyBorder="1" applyAlignment="1" applyProtection="1">
      <alignment horizontal="right" vertical="center"/>
    </xf>
    <xf numFmtId="0" fontId="33" fillId="27" borderId="24" xfId="0" applyFont="1" applyFill="1" applyBorder="1" applyAlignment="1" applyProtection="1">
      <protection hidden="1"/>
    </xf>
    <xf numFmtId="0" fontId="35" fillId="0" borderId="28" xfId="0" applyFont="1" applyFill="1" applyBorder="1" applyAlignment="1" applyProtection="1">
      <alignment horizontal="center" vertical="center"/>
      <protection locked="0"/>
    </xf>
    <xf numFmtId="0" fontId="35" fillId="0" borderId="25" xfId="0" applyFont="1" applyFill="1" applyBorder="1" applyAlignment="1" applyProtection="1">
      <alignment horizontal="center" vertical="center"/>
      <protection locked="0"/>
    </xf>
    <xf numFmtId="0" fontId="28" fillId="27" borderId="0" xfId="0" applyFont="1" applyFill="1" applyBorder="1" applyAlignment="1" applyProtection="1">
      <alignment horizontal="left" vertical="center"/>
      <protection hidden="1"/>
    </xf>
    <xf numFmtId="40" fontId="6" fillId="27" borderId="10" xfId="35" applyNumberFormat="1" applyFont="1" applyFill="1" applyBorder="1" applyAlignment="1" applyProtection="1">
      <alignment horizontal="right" vertical="center"/>
    </xf>
    <xf numFmtId="0" fontId="33" fillId="27" borderId="24" xfId="0" applyFont="1" applyFill="1" applyBorder="1" applyAlignment="1" applyProtection="1">
      <alignment horizontal="left"/>
      <protection hidden="1"/>
    </xf>
    <xf numFmtId="0" fontId="33" fillId="27" borderId="0" xfId="0" applyFont="1" applyFill="1" applyBorder="1" applyAlignment="1" applyProtection="1">
      <protection hidden="1"/>
    </xf>
    <xf numFmtId="0" fontId="33" fillId="27" borderId="25" xfId="0" applyFont="1" applyFill="1" applyBorder="1" applyAlignment="1" applyProtection="1">
      <protection hidden="1"/>
    </xf>
    <xf numFmtId="0" fontId="0" fillId="27" borderId="0" xfId="0" applyFill="1" applyAlignment="1" applyProtection="1"/>
    <xf numFmtId="0" fontId="31" fillId="28" borderId="29" xfId="0" applyFont="1" applyFill="1" applyBorder="1" applyAlignment="1" applyProtection="1">
      <alignment vertical="center"/>
      <protection hidden="1"/>
    </xf>
    <xf numFmtId="0" fontId="32" fillId="28" borderId="19" xfId="0" applyFont="1" applyFill="1" applyBorder="1" applyAlignment="1" applyProtection="1">
      <alignment vertical="center"/>
      <protection hidden="1"/>
    </xf>
    <xf numFmtId="0" fontId="32" fillId="28" borderId="20" xfId="0" applyFont="1" applyFill="1" applyBorder="1" applyAlignment="1" applyProtection="1">
      <alignment vertical="center"/>
      <protection hidden="1"/>
    </xf>
    <xf numFmtId="0" fontId="37" fillId="27" borderId="24" xfId="0" applyFont="1" applyFill="1" applyBorder="1" applyAlignment="1" applyProtection="1">
      <alignment vertical="center"/>
      <protection hidden="1"/>
    </xf>
    <xf numFmtId="0" fontId="33" fillId="27" borderId="0" xfId="0" applyFont="1" applyFill="1" applyBorder="1" applyAlignment="1" applyProtection="1">
      <alignment vertical="center"/>
    </xf>
    <xf numFmtId="0" fontId="37" fillId="27" borderId="30" xfId="0" applyFont="1" applyFill="1" applyBorder="1" applyAlignment="1" applyProtection="1">
      <alignment vertical="center"/>
      <protection hidden="1"/>
    </xf>
    <xf numFmtId="0" fontId="38"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3" fillId="27" borderId="0" xfId="0" applyFont="1" applyFill="1" applyProtection="1">
      <alignment vertical="center"/>
    </xf>
    <xf numFmtId="0" fontId="33" fillId="27" borderId="19" xfId="0" applyFont="1" applyFill="1" applyBorder="1" applyAlignment="1" applyProtection="1">
      <alignment horizontal="left" vertical="top" wrapText="1"/>
      <protection hidden="1"/>
    </xf>
    <xf numFmtId="0" fontId="30" fillId="0" borderId="34" xfId="0" applyFont="1" applyFill="1" applyBorder="1" applyAlignment="1" applyProtection="1">
      <alignment vertical="center"/>
      <protection hidden="1"/>
    </xf>
    <xf numFmtId="0" fontId="30" fillId="0" borderId="35" xfId="0" applyFont="1" applyFill="1" applyBorder="1" applyAlignment="1" applyProtection="1">
      <alignment vertical="center"/>
      <protection hidden="1"/>
    </xf>
    <xf numFmtId="0" fontId="30" fillId="0" borderId="36" xfId="0" applyFont="1" applyFill="1" applyBorder="1" applyAlignment="1" applyProtection="1">
      <alignment vertical="center"/>
      <protection hidden="1"/>
    </xf>
    <xf numFmtId="0" fontId="31" fillId="28" borderId="24" xfId="0" applyFont="1" applyFill="1" applyBorder="1" applyAlignment="1" applyProtection="1">
      <alignment horizontal="center" vertical="center"/>
      <protection hidden="1"/>
    </xf>
    <xf numFmtId="0" fontId="31" fillId="28" borderId="37" xfId="0" applyFont="1" applyFill="1" applyBorder="1" applyAlignment="1" applyProtection="1">
      <alignment horizontal="center" vertical="center"/>
      <protection hidden="1"/>
    </xf>
    <xf numFmtId="0" fontId="31" fillId="28" borderId="25" xfId="0" applyFont="1" applyFill="1" applyBorder="1" applyAlignment="1" applyProtection="1">
      <alignment horizontal="center" vertical="center"/>
      <protection hidden="1"/>
    </xf>
    <xf numFmtId="0" fontId="33" fillId="27" borderId="18" xfId="0" applyFont="1" applyFill="1" applyBorder="1" applyAlignment="1" applyProtection="1">
      <alignment vertical="center"/>
      <protection hidden="1"/>
    </xf>
    <xf numFmtId="179" fontId="6" fillId="0" borderId="10" xfId="35" applyNumberFormat="1" applyFont="1" applyFill="1" applyBorder="1" applyAlignment="1" applyProtection="1">
      <alignment horizontal="right" vertical="center"/>
      <protection locked="0"/>
    </xf>
    <xf numFmtId="0" fontId="33" fillId="27" borderId="24" xfId="0" applyFont="1" applyFill="1" applyBorder="1" applyAlignment="1" applyProtection="1">
      <alignment vertical="center"/>
      <protection hidden="1"/>
    </xf>
    <xf numFmtId="0" fontId="33" fillId="27" borderId="24" xfId="0" applyFont="1" applyFill="1" applyBorder="1" applyProtection="1">
      <alignment vertical="center"/>
      <protection hidden="1"/>
    </xf>
    <xf numFmtId="0" fontId="33" fillId="27" borderId="0" xfId="0" applyFont="1" applyFill="1" applyBorder="1" applyProtection="1">
      <alignment vertical="center"/>
      <protection hidden="1"/>
    </xf>
    <xf numFmtId="0" fontId="6" fillId="0" borderId="28" xfId="0" applyFont="1" applyFill="1" applyBorder="1" applyAlignment="1" applyProtection="1">
      <alignment horizontal="center" vertical="center"/>
      <protection locked="0"/>
    </xf>
    <xf numFmtId="0" fontId="33" fillId="27" borderId="30" xfId="0" applyFont="1" applyFill="1" applyBorder="1" applyProtection="1">
      <alignment vertical="center"/>
      <protection hidden="1"/>
    </xf>
    <xf numFmtId="0" fontId="33" fillId="27" borderId="32" xfId="0" applyFont="1" applyFill="1" applyBorder="1" applyProtection="1">
      <alignment vertical="center"/>
      <protection hidden="1"/>
    </xf>
    <xf numFmtId="0" fontId="33" fillId="27" borderId="33" xfId="0" applyFont="1" applyFill="1" applyBorder="1" applyProtection="1">
      <alignment vertical="center"/>
      <protection hidden="1"/>
    </xf>
    <xf numFmtId="0" fontId="30" fillId="0" borderId="29" xfId="0" applyFont="1" applyBorder="1" applyAlignment="1" applyProtection="1">
      <alignment vertical="center"/>
      <protection hidden="1"/>
    </xf>
    <xf numFmtId="0" fontId="41" fillId="0" borderId="38" xfId="0" applyFont="1" applyFill="1" applyBorder="1" applyAlignment="1" applyProtection="1">
      <alignment horizontal="left" vertical="center" indent="1"/>
      <protection hidden="1"/>
    </xf>
    <xf numFmtId="0" fontId="41" fillId="0" borderId="38" xfId="0" applyFont="1" applyFill="1" applyBorder="1" applyAlignment="1" applyProtection="1">
      <alignment horizontal="right" vertical="center"/>
      <protection hidden="1"/>
    </xf>
    <xf numFmtId="0" fontId="41" fillId="0" borderId="39" xfId="0" applyFont="1" applyFill="1" applyBorder="1" applyAlignment="1" applyProtection="1">
      <alignment horizontal="right" vertical="center"/>
      <protection hidden="1"/>
    </xf>
    <xf numFmtId="0" fontId="31" fillId="28" borderId="40" xfId="0" applyFont="1" applyFill="1" applyBorder="1" applyAlignment="1" applyProtection="1">
      <alignment vertical="center"/>
      <protection hidden="1"/>
    </xf>
    <xf numFmtId="0" fontId="42"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1" fillId="28" borderId="44" xfId="0" applyFont="1" applyFill="1" applyBorder="1" applyAlignment="1" applyProtection="1">
      <alignment vertical="center"/>
      <protection hidden="1"/>
    </xf>
    <xf numFmtId="0" fontId="42" fillId="27" borderId="45" xfId="29" applyFont="1" applyFill="1" applyBorder="1" applyAlignment="1" applyProtection="1">
      <alignment horizontal="left" vertical="center" indent="1"/>
      <protection hidden="1"/>
    </xf>
    <xf numFmtId="0" fontId="42"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2" fillId="27" borderId="47" xfId="29" applyFont="1" applyFill="1" applyBorder="1" applyAlignment="1" applyProtection="1">
      <alignment horizontal="left" vertical="center" indent="1"/>
      <protection hidden="1"/>
    </xf>
    <xf numFmtId="0" fontId="42"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10" xfId="0" applyFont="1" applyFill="1" applyBorder="1" applyAlignment="1" applyProtection="1">
      <alignment horizontal="left" vertical="top"/>
    </xf>
    <xf numFmtId="0" fontId="33" fillId="27" borderId="26" xfId="0" applyFont="1" applyFill="1" applyBorder="1" applyAlignment="1" applyProtection="1">
      <alignment horizontal="left" vertical="top"/>
      <protection hidden="1"/>
    </xf>
    <xf numFmtId="0" fontId="32" fillId="27" borderId="50" xfId="0" applyFont="1" applyFill="1" applyBorder="1" applyAlignment="1" applyProtection="1">
      <alignment horizontal="left" vertical="top"/>
      <protection hidden="1"/>
    </xf>
    <xf numFmtId="0" fontId="33" fillId="27" borderId="27" xfId="0" applyFont="1" applyFill="1" applyBorder="1" applyAlignment="1" applyProtection="1">
      <alignment horizontal="left" vertical="top"/>
    </xf>
    <xf numFmtId="0" fontId="33" fillId="27" borderId="51" xfId="0" applyFont="1" applyFill="1" applyBorder="1" applyAlignment="1" applyProtection="1">
      <alignment horizontal="left" vertical="top"/>
      <protection hidden="1"/>
    </xf>
    <xf numFmtId="0" fontId="33" fillId="27" borderId="52" xfId="0" applyFont="1" applyFill="1" applyBorder="1" applyAlignment="1" applyProtection="1">
      <alignment horizontal="left" vertical="top"/>
      <protection hidden="1"/>
    </xf>
    <xf numFmtId="0" fontId="33" fillId="27" borderId="53" xfId="0" applyFont="1" applyFill="1" applyBorder="1" applyAlignment="1" applyProtection="1">
      <alignment horizontal="left" vertical="top"/>
      <protection hidden="1"/>
    </xf>
    <xf numFmtId="0" fontId="33" fillId="27" borderId="54" xfId="0" applyFont="1" applyFill="1" applyBorder="1" applyAlignment="1" applyProtection="1">
      <alignment horizontal="left" vertical="top"/>
    </xf>
    <xf numFmtId="0" fontId="33" fillId="27" borderId="0" xfId="0" applyFont="1" applyFill="1" applyBorder="1" applyAlignment="1" applyProtection="1">
      <alignment horizontal="left" vertical="top"/>
    </xf>
    <xf numFmtId="0" fontId="33" fillId="27" borderId="11" xfId="0" applyFont="1" applyFill="1" applyBorder="1" applyAlignment="1" applyProtection="1">
      <alignment horizontal="left" vertical="top"/>
      <protection hidden="1"/>
    </xf>
    <xf numFmtId="0" fontId="33" fillId="27" borderId="12"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xf>
    <xf numFmtId="0" fontId="43" fillId="27" borderId="13" xfId="0" applyFont="1" applyFill="1" applyBorder="1" applyAlignment="1" applyProtection="1">
      <alignment horizontal="left" vertical="top"/>
      <protection hidden="1"/>
    </xf>
    <xf numFmtId="0" fontId="33" fillId="27" borderId="55" xfId="0" applyFont="1" applyFill="1" applyBorder="1" applyAlignment="1" applyProtection="1">
      <alignment horizontal="left" vertical="top"/>
      <protection hidden="1"/>
    </xf>
    <xf numFmtId="0" fontId="33" fillId="27" borderId="56" xfId="0" applyFont="1" applyFill="1" applyBorder="1" applyAlignment="1" applyProtection="1">
      <alignment horizontal="left" vertical="top"/>
      <protection hidden="1"/>
    </xf>
    <xf numFmtId="0" fontId="43" fillId="27" borderId="57" xfId="0" applyFont="1" applyFill="1" applyBorder="1" applyAlignment="1" applyProtection="1">
      <alignment horizontal="left" vertical="top"/>
      <protection hidden="1"/>
    </xf>
    <xf numFmtId="0" fontId="33" fillId="27" borderId="58" xfId="0" applyFont="1" applyFill="1" applyBorder="1" applyAlignment="1" applyProtection="1">
      <alignment horizontal="left" vertical="top"/>
    </xf>
    <xf numFmtId="0" fontId="0" fillId="0" borderId="0" xfId="0" applyProtection="1">
      <alignment vertical="center"/>
    </xf>
    <xf numFmtId="0" fontId="44" fillId="30" borderId="59" xfId="0" applyFont="1" applyFill="1" applyBorder="1" applyAlignment="1" applyProtection="1">
      <alignment vertical="center"/>
    </xf>
    <xf numFmtId="0" fontId="32" fillId="30" borderId="60" xfId="45" applyFont="1" applyFill="1" applyBorder="1" applyAlignment="1" applyProtection="1">
      <alignment vertical="center"/>
      <protection hidden="1"/>
    </xf>
    <xf numFmtId="0" fontId="32" fillId="30" borderId="60" xfId="45" applyFont="1" applyFill="1" applyBorder="1" applyAlignment="1" applyProtection="1">
      <alignment horizontal="left" vertical="center"/>
      <protection hidden="1"/>
    </xf>
    <xf numFmtId="0" fontId="32" fillId="30" borderId="61" xfId="45" applyFont="1" applyFill="1" applyBorder="1" applyAlignment="1" applyProtection="1">
      <alignment vertical="center"/>
      <protection hidden="1"/>
    </xf>
    <xf numFmtId="0" fontId="45" fillId="0" borderId="0" xfId="0" applyFont="1" applyProtection="1">
      <alignment vertical="center"/>
    </xf>
    <xf numFmtId="0" fontId="6" fillId="27" borderId="62" xfId="45" applyFont="1" applyFill="1" applyBorder="1" applyAlignment="1" applyProtection="1"/>
    <xf numFmtId="0" fontId="6" fillId="27" borderId="0" xfId="45" applyNumberFormat="1" applyFont="1" applyFill="1" applyBorder="1" applyAlignment="1" applyProtection="1">
      <alignment vertical="center"/>
      <protection hidden="1"/>
    </xf>
    <xf numFmtId="0" fontId="6" fillId="27" borderId="0" xfId="45" applyFont="1" applyFill="1" applyBorder="1" applyAlignment="1" applyProtection="1">
      <alignment horizontal="left" vertical="center"/>
      <protection hidden="1"/>
    </xf>
    <xf numFmtId="0" fontId="6" fillId="27" borderId="0" xfId="45" applyFont="1" applyFill="1" applyBorder="1" applyAlignment="1" applyProtection="1">
      <alignment vertical="center"/>
      <protection hidden="1"/>
    </xf>
    <xf numFmtId="0" fontId="6" fillId="27" borderId="63" xfId="0" applyFont="1" applyFill="1" applyBorder="1" applyProtection="1">
      <alignment vertical="center"/>
    </xf>
    <xf numFmtId="0" fontId="6" fillId="27" borderId="52" xfId="0" applyFont="1" applyFill="1" applyBorder="1" applyProtection="1">
      <alignment vertical="center"/>
    </xf>
    <xf numFmtId="0" fontId="6"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6" fillId="27" borderId="62" xfId="45" applyFont="1" applyFill="1" applyBorder="1" applyAlignment="1" applyProtection="1">
      <alignment vertical="center"/>
    </xf>
    <xf numFmtId="0" fontId="1" fillId="31" borderId="51" xfId="0" applyFont="1" applyFill="1" applyBorder="1" applyAlignment="1">
      <alignment horizontal="center" vertical="center" wrapText="1"/>
    </xf>
    <xf numFmtId="0" fontId="6" fillId="27" borderId="0" xfId="0" applyFont="1" applyFill="1" applyBorder="1">
      <alignment vertical="center"/>
    </xf>
    <xf numFmtId="0" fontId="6" fillId="27" borderId="63" xfId="0" applyFont="1" applyFill="1" applyBorder="1">
      <alignment vertical="center"/>
    </xf>
    <xf numFmtId="0" fontId="6" fillId="27" borderId="64" xfId="0" applyFont="1" applyFill="1" applyBorder="1">
      <alignment vertical="center"/>
    </xf>
    <xf numFmtId="0" fontId="0" fillId="27" borderId="17" xfId="0" applyFill="1" applyBorder="1">
      <alignment vertical="center"/>
    </xf>
    <xf numFmtId="216" fontId="6" fillId="27" borderId="26" xfId="45" applyNumberFormat="1" applyFont="1" applyFill="1" applyBorder="1" applyAlignment="1" applyProtection="1">
      <alignment vertical="center" shrinkToFit="1"/>
      <protection hidden="1"/>
    </xf>
    <xf numFmtId="0" fontId="6" fillId="27" borderId="10" xfId="35" applyNumberFormat="1" applyFont="1" applyFill="1" applyBorder="1" applyAlignment="1" applyProtection="1">
      <alignment horizontal="right" vertical="center" shrinkToFit="1"/>
    </xf>
    <xf numFmtId="0" fontId="6" fillId="27" borderId="10" xfId="45" applyFont="1" applyFill="1" applyBorder="1" applyAlignment="1" applyProtection="1">
      <alignment vertical="center"/>
      <protection hidden="1"/>
    </xf>
    <xf numFmtId="215" fontId="6" fillId="27" borderId="10" xfId="45" applyNumberFormat="1" applyFont="1" applyFill="1" applyBorder="1" applyAlignment="1" applyProtection="1">
      <alignment vertical="center"/>
      <protection hidden="1"/>
    </xf>
    <xf numFmtId="0" fontId="6" fillId="27" borderId="17" xfId="0" applyFont="1" applyFill="1" applyBorder="1">
      <alignment vertical="center"/>
    </xf>
    <xf numFmtId="0" fontId="6" fillId="27" borderId="0" xfId="0" applyFont="1" applyFill="1" applyBorder="1" applyAlignment="1">
      <alignment vertical="center"/>
    </xf>
    <xf numFmtId="0" fontId="1" fillId="31" borderId="10" xfId="0" applyFont="1" applyFill="1" applyBorder="1" applyAlignment="1">
      <alignment horizontal="center" vertical="center" wrapText="1"/>
    </xf>
    <xf numFmtId="0" fontId="6" fillId="27" borderId="26" xfId="45" applyFont="1" applyFill="1" applyBorder="1" applyAlignment="1" applyProtection="1">
      <alignment vertical="center"/>
      <protection locked="0"/>
    </xf>
    <xf numFmtId="0" fontId="6" fillId="27" borderId="10" xfId="45" applyFont="1" applyFill="1" applyBorder="1" applyAlignment="1" applyProtection="1">
      <alignment vertical="center"/>
      <protection locked="0"/>
    </xf>
    <xf numFmtId="0" fontId="6" fillId="27" borderId="62" xfId="45" applyFont="1" applyFill="1" applyBorder="1" applyAlignment="1" applyProtection="1">
      <alignment horizontal="right" vertical="top"/>
    </xf>
    <xf numFmtId="0" fontId="0" fillId="27" borderId="0" xfId="0" applyFill="1" applyBorder="1">
      <alignment vertical="center"/>
    </xf>
    <xf numFmtId="0" fontId="1" fillId="27" borderId="10" xfId="0" applyFont="1" applyFill="1" applyBorder="1" applyAlignment="1">
      <alignment horizontal="center" vertical="center" wrapText="1"/>
    </xf>
    <xf numFmtId="0" fontId="6" fillId="27" borderId="10" xfId="45" applyFont="1" applyFill="1" applyBorder="1" applyAlignment="1" applyProtection="1">
      <alignment vertical="center"/>
    </xf>
    <xf numFmtId="0" fontId="6" fillId="27" borderId="62" xfId="0" applyFont="1" applyFill="1" applyBorder="1">
      <alignment vertical="center"/>
    </xf>
    <xf numFmtId="0" fontId="6" fillId="27" borderId="10" xfId="45" applyFont="1" applyFill="1" applyBorder="1" applyAlignment="1" applyProtection="1">
      <alignment horizontal="center" vertical="center"/>
      <protection hidden="1"/>
    </xf>
    <xf numFmtId="0" fontId="6" fillId="27" borderId="65" xfId="0" applyFont="1" applyFill="1" applyBorder="1">
      <alignment vertical="center"/>
    </xf>
    <xf numFmtId="0" fontId="6" fillId="27" borderId="66" xfId="0" applyFont="1" applyFill="1" applyBorder="1">
      <alignment vertical="center"/>
    </xf>
    <xf numFmtId="0" fontId="6" fillId="27" borderId="67" xfId="0" applyFont="1" applyFill="1" applyBorder="1">
      <alignment vertical="center"/>
    </xf>
    <xf numFmtId="0" fontId="6" fillId="27" borderId="56" xfId="0" applyFont="1" applyFill="1" applyBorder="1">
      <alignment vertical="center"/>
    </xf>
    <xf numFmtId="0" fontId="6" fillId="27" borderId="57" xfId="0" applyFont="1" applyFill="1" applyBorder="1">
      <alignment vertical="center"/>
    </xf>
    <xf numFmtId="0" fontId="6" fillId="27" borderId="58" xfId="0" applyFont="1" applyFill="1" applyBorder="1">
      <alignment vertical="center"/>
    </xf>
    <xf numFmtId="0" fontId="6" fillId="0" borderId="0" xfId="0" applyFont="1">
      <alignment vertical="center"/>
    </xf>
    <xf numFmtId="0" fontId="0" fillId="0" borderId="0" xfId="0" applyAlignment="1">
      <alignment horizontal="right" vertical="center"/>
    </xf>
    <xf numFmtId="0" fontId="46" fillId="0" borderId="0" xfId="0" applyFont="1" applyFill="1" applyProtection="1">
      <alignment vertical="center"/>
      <protection hidden="1"/>
    </xf>
    <xf numFmtId="0" fontId="46"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left" vertical="center"/>
      <protection hidden="1"/>
    </xf>
    <xf numFmtId="0" fontId="46" fillId="0" borderId="0" xfId="0" applyFont="1" applyFill="1" applyBorder="1" applyAlignment="1" applyProtection="1">
      <alignment horizontal="right" vertical="center"/>
      <protection hidden="1"/>
    </xf>
    <xf numFmtId="0" fontId="46" fillId="0" borderId="0" xfId="0" applyFont="1" applyFill="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0" xfId="0" applyFont="1" applyFill="1" applyBorder="1" applyAlignment="1" applyProtection="1">
      <alignment horizontal="center" vertical="center"/>
      <protection hidden="1"/>
    </xf>
    <xf numFmtId="14" fontId="49" fillId="0" borderId="0" xfId="0" applyNumberFormat="1" applyFont="1" applyFill="1" applyBorder="1" applyAlignment="1" applyProtection="1">
      <alignment horizontal="center" vertical="center"/>
      <protection hidden="1"/>
    </xf>
    <xf numFmtId="0" fontId="50" fillId="0" borderId="0" xfId="0" applyFont="1" applyFill="1" applyBorder="1" applyProtection="1">
      <alignment vertical="center"/>
      <protection hidden="1"/>
    </xf>
    <xf numFmtId="178" fontId="50" fillId="0" borderId="0" xfId="0" applyNumberFormat="1" applyFont="1" applyFill="1" applyBorder="1" applyProtection="1">
      <alignment vertical="center"/>
      <protection hidden="1"/>
    </xf>
    <xf numFmtId="0" fontId="49" fillId="0" borderId="0" xfId="0" applyFont="1" applyFill="1" applyProtection="1">
      <alignment vertical="center"/>
      <protection hidden="1"/>
    </xf>
    <xf numFmtId="0" fontId="26" fillId="0" borderId="0" xfId="0" applyFont="1" applyFill="1" applyBorder="1" applyAlignment="1" applyProtection="1">
      <protection hidden="1"/>
    </xf>
    <xf numFmtId="0" fontId="51"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2" fillId="0" borderId="0"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56" fillId="0" borderId="0" xfId="0" applyNumberFormat="1" applyFont="1" applyFill="1" applyBorder="1" applyProtection="1">
      <alignment vertical="center"/>
      <protection hidden="1"/>
    </xf>
    <xf numFmtId="0" fontId="56" fillId="0" borderId="0" xfId="0" applyFont="1" applyFill="1" applyBorder="1" applyProtection="1">
      <alignment vertical="center"/>
      <protection hidden="1"/>
    </xf>
    <xf numFmtId="0" fontId="29" fillId="0" borderId="0" xfId="0" applyFont="1" applyFill="1" applyBorder="1" applyAlignment="1" applyProtection="1">
      <alignment horizontal="left" vertical="center"/>
      <protection hidden="1"/>
    </xf>
    <xf numFmtId="0" fontId="55"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top"/>
      <protection hidden="1"/>
    </xf>
    <xf numFmtId="0" fontId="52" fillId="0" borderId="0" xfId="0" applyFont="1" applyFill="1" applyBorder="1" applyAlignment="1" applyProtection="1">
      <alignment horizontal="left" vertical="center"/>
      <protection hidden="1"/>
    </xf>
    <xf numFmtId="0" fontId="54"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vertical="center"/>
      <protection hidden="1"/>
    </xf>
    <xf numFmtId="0" fontId="64" fillId="30" borderId="68" xfId="0" applyFont="1" applyFill="1" applyBorder="1" applyAlignment="1" applyProtection="1">
      <alignment horizontal="left" vertical="center"/>
      <protection hidden="1"/>
    </xf>
    <xf numFmtId="0" fontId="64" fillId="30" borderId="69" xfId="0" applyFont="1" applyFill="1" applyBorder="1" applyAlignment="1" applyProtection="1">
      <alignment horizontal="left" vertical="center"/>
      <protection hidden="1"/>
    </xf>
    <xf numFmtId="0" fontId="65" fillId="30" borderId="69" xfId="0" applyFont="1" applyFill="1" applyBorder="1" applyAlignment="1" applyProtection="1">
      <alignment horizontal="right" vertical="top"/>
      <protection hidden="1"/>
    </xf>
    <xf numFmtId="0" fontId="56" fillId="30" borderId="70" xfId="0" applyFont="1" applyFill="1" applyBorder="1" applyProtection="1">
      <alignment vertical="center"/>
      <protection hidden="1"/>
    </xf>
    <xf numFmtId="0" fontId="56" fillId="30" borderId="60" xfId="0" applyFont="1" applyFill="1" applyBorder="1" applyProtection="1">
      <alignment vertical="center"/>
      <protection hidden="1"/>
    </xf>
    <xf numFmtId="56" fontId="64" fillId="30" borderId="70" xfId="0" applyNumberFormat="1" applyFont="1" applyFill="1" applyBorder="1" applyProtection="1">
      <alignment vertical="center"/>
      <protection hidden="1"/>
    </xf>
    <xf numFmtId="0" fontId="64" fillId="30" borderId="71" xfId="0" applyFont="1" applyFill="1" applyBorder="1" applyAlignment="1" applyProtection="1">
      <alignment horizontal="left" vertical="center"/>
      <protection hidden="1"/>
    </xf>
    <xf numFmtId="0" fontId="66" fillId="0" borderId="0" xfId="0" applyFont="1" applyFill="1" applyBorder="1" applyProtection="1">
      <alignment vertical="center"/>
      <protection hidden="1"/>
    </xf>
    <xf numFmtId="49" fontId="33" fillId="0" borderId="72" xfId="0" applyNumberFormat="1" applyFont="1" applyFill="1" applyBorder="1" applyAlignment="1" applyProtection="1">
      <alignment horizontal="left" vertical="center"/>
      <protection hidden="1"/>
    </xf>
    <xf numFmtId="3" fontId="27" fillId="0" borderId="73" xfId="0" applyNumberFormat="1" applyFont="1" applyFill="1" applyBorder="1" applyAlignment="1" applyProtection="1">
      <alignment horizontal="left" vertical="center"/>
      <protection hidden="1"/>
    </xf>
    <xf numFmtId="0" fontId="33" fillId="0" borderId="62"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protection hidden="1"/>
    </xf>
    <xf numFmtId="0" fontId="67" fillId="0" borderId="59" xfId="0" applyFont="1" applyFill="1" applyBorder="1" applyAlignment="1" applyProtection="1">
      <alignment vertical="center"/>
      <protection hidden="1"/>
    </xf>
    <xf numFmtId="0" fontId="67" fillId="0" borderId="0" xfId="0" applyFont="1" applyFill="1" applyBorder="1" applyAlignment="1" applyProtection="1">
      <alignment vertical="center"/>
      <protection hidden="1"/>
    </xf>
    <xf numFmtId="0" fontId="67" fillId="0" borderId="63" xfId="0" applyFont="1" applyFill="1" applyBorder="1" applyAlignment="1" applyProtection="1">
      <alignment vertical="center"/>
      <protection hidden="1"/>
    </xf>
    <xf numFmtId="0" fontId="56"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68" fillId="0" borderId="10" xfId="0" applyFont="1" applyFill="1" applyBorder="1" applyProtection="1">
      <alignment vertical="center"/>
      <protection hidden="1"/>
    </xf>
    <xf numFmtId="0" fontId="49" fillId="0" borderId="10" xfId="0" applyNumberFormat="1" applyFont="1" applyFill="1" applyBorder="1" applyProtection="1">
      <alignment vertical="center"/>
      <protection hidden="1"/>
    </xf>
    <xf numFmtId="0" fontId="56" fillId="0" borderId="10" xfId="0" applyNumberFormat="1" applyFont="1" applyFill="1" applyBorder="1" applyProtection="1">
      <alignment vertical="center"/>
      <protection hidden="1"/>
    </xf>
    <xf numFmtId="0" fontId="33" fillId="0" borderId="62" xfId="0"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3" fontId="33" fillId="0" borderId="0" xfId="0" applyNumberFormat="1" applyFont="1" applyFill="1" applyBorder="1" applyAlignment="1" applyProtection="1">
      <alignment horizontal="left" vertical="center"/>
      <protection hidden="1"/>
    </xf>
    <xf numFmtId="0" fontId="33" fillId="0" borderId="77" xfId="0" applyFont="1" applyFill="1" applyBorder="1" applyAlignment="1" applyProtection="1">
      <alignment horizontal="left" vertical="center"/>
      <protection hidden="1"/>
    </xf>
    <xf numFmtId="0" fontId="34" fillId="0" borderId="57" xfId="0" applyFont="1" applyFill="1" applyBorder="1" applyAlignment="1" applyProtection="1">
      <alignment horizontal="left" vertical="center"/>
      <protection hidden="1"/>
    </xf>
    <xf numFmtId="0" fontId="56" fillId="0" borderId="62" xfId="0" applyFont="1" applyFill="1" applyBorder="1" applyProtection="1">
      <alignment vertical="center"/>
      <protection hidden="1"/>
    </xf>
    <xf numFmtId="0" fontId="56" fillId="0" borderId="63" xfId="0" applyFont="1" applyFill="1" applyBorder="1" applyProtection="1">
      <alignment vertical="center"/>
      <protection hidden="1"/>
    </xf>
    <xf numFmtId="0" fontId="49" fillId="0" borderId="10" xfId="0" applyFont="1" applyFill="1" applyBorder="1" applyProtection="1">
      <alignment vertical="center"/>
      <protection hidden="1"/>
    </xf>
    <xf numFmtId="0" fontId="49" fillId="0" borderId="10" xfId="35" applyNumberFormat="1" applyFont="1" applyFill="1" applyBorder="1" applyAlignment="1" applyProtection="1">
      <protection hidden="1"/>
    </xf>
    <xf numFmtId="3" fontId="34" fillId="0" borderId="0" xfId="0" applyNumberFormat="1" applyFont="1" applyFill="1" applyBorder="1" applyAlignment="1" applyProtection="1">
      <alignment horizontal="left" vertical="center"/>
      <protection hidden="1"/>
    </xf>
    <xf numFmtId="0" fontId="56" fillId="0" borderId="62" xfId="0" applyFont="1" applyFill="1" applyBorder="1" applyProtection="1">
      <alignment vertical="center"/>
      <protection locked="0"/>
    </xf>
    <xf numFmtId="0" fontId="56" fillId="0" borderId="0" xfId="0" applyFont="1" applyFill="1" applyBorder="1" applyProtection="1">
      <alignment vertical="center"/>
      <protection locked="0"/>
    </xf>
    <xf numFmtId="0" fontId="56" fillId="0" borderId="63" xfId="0" applyFont="1" applyFill="1" applyBorder="1" applyProtection="1">
      <alignment vertical="center"/>
      <protection locked="0"/>
    </xf>
    <xf numFmtId="0" fontId="49" fillId="0" borderId="10" xfId="0" applyNumberFormat="1" applyFont="1" applyFill="1" applyBorder="1" applyAlignment="1" applyProtection="1">
      <alignment horizontal="left" vertical="center" wrapText="1"/>
      <protection hidden="1"/>
    </xf>
    <xf numFmtId="0" fontId="33" fillId="0" borderId="77" xfId="0" applyFont="1" applyFill="1" applyBorder="1" applyAlignment="1" applyProtection="1">
      <alignment vertical="center"/>
      <protection hidden="1"/>
    </xf>
    <xf numFmtId="3" fontId="27" fillId="0" borderId="57" xfId="0" applyNumberFormat="1" applyFont="1" applyFill="1" applyBorder="1" applyAlignment="1" applyProtection="1">
      <alignment horizontal="left" vertical="center"/>
      <protection hidden="1"/>
    </xf>
    <xf numFmtId="37" fontId="33" fillId="0" borderId="79"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vertical="center" wrapText="1"/>
      <protection hidden="1"/>
    </xf>
    <xf numFmtId="49" fontId="33" fillId="0" borderId="80" xfId="0" applyNumberFormat="1" applyFont="1" applyFill="1" applyBorder="1" applyAlignment="1" applyProtection="1">
      <alignment horizontal="left" vertical="center"/>
      <protection hidden="1"/>
    </xf>
    <xf numFmtId="3" fontId="27" fillId="0" borderId="50" xfId="0" applyNumberFormat="1" applyFont="1" applyFill="1" applyBorder="1" applyAlignment="1" applyProtection="1">
      <alignment horizontal="left" vertical="center"/>
      <protection hidden="1"/>
    </xf>
    <xf numFmtId="0" fontId="56" fillId="0" borderId="82" xfId="0" applyFont="1" applyFill="1" applyBorder="1" applyProtection="1">
      <alignment vertical="center"/>
      <protection hidden="1"/>
    </xf>
    <xf numFmtId="0" fontId="34" fillId="0" borderId="57" xfId="0" applyFont="1" applyFill="1" applyBorder="1" applyProtection="1">
      <alignment vertical="center"/>
      <protection hidden="1"/>
    </xf>
    <xf numFmtId="3" fontId="69" fillId="0" borderId="0" xfId="0" applyNumberFormat="1" applyFont="1" applyFill="1" applyBorder="1" applyAlignment="1" applyProtection="1">
      <alignment horizontal="left" vertical="center"/>
      <protection locked="0"/>
    </xf>
    <xf numFmtId="0" fontId="33" fillId="0" borderId="80" xfId="0" applyFont="1" applyFill="1" applyBorder="1" applyAlignment="1" applyProtection="1">
      <alignment vertical="center"/>
      <protection hidden="1"/>
    </xf>
    <xf numFmtId="2" fontId="34" fillId="0" borderId="50" xfId="0" applyNumberFormat="1" applyFont="1" applyFill="1" applyBorder="1" applyAlignment="1" applyProtection="1">
      <alignment horizontal="left" vertical="center"/>
      <protection hidden="1"/>
    </xf>
    <xf numFmtId="184" fontId="33" fillId="0" borderId="50" xfId="0" applyNumberFormat="1" applyFont="1" applyFill="1" applyBorder="1" applyAlignment="1" applyProtection="1">
      <alignment horizontal="left" vertical="center"/>
      <protection hidden="1"/>
    </xf>
    <xf numFmtId="0" fontId="70" fillId="0" borderId="0"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locked="0"/>
    </xf>
    <xf numFmtId="188" fontId="72" fillId="0" borderId="10" xfId="35" applyNumberFormat="1" applyFont="1" applyFill="1" applyBorder="1" applyAlignment="1" applyProtection="1">
      <alignment horizontal="center" vertical="center"/>
      <protection hidden="1"/>
    </xf>
    <xf numFmtId="37" fontId="34" fillId="0" borderId="0" xfId="0" applyNumberFormat="1" applyFont="1" applyFill="1" applyBorder="1" applyAlignment="1" applyProtection="1">
      <alignment horizontal="left" vertical="center"/>
      <protection hidden="1"/>
    </xf>
    <xf numFmtId="184" fontId="33" fillId="0" borderId="0" xfId="0" applyNumberFormat="1" applyFont="1" applyFill="1" applyBorder="1" applyAlignment="1" applyProtection="1">
      <alignment horizontal="left" vertical="center"/>
      <protection hidden="1"/>
    </xf>
    <xf numFmtId="188" fontId="72" fillId="0" borderId="0" xfId="35" applyNumberFormat="1" applyFont="1" applyFill="1" applyBorder="1" applyAlignment="1" applyProtection="1">
      <alignment horizontal="center" vertical="center"/>
      <protection hidden="1"/>
    </xf>
    <xf numFmtId="188" fontId="0" fillId="0" borderId="10" xfId="0" applyNumberFormat="1" applyFill="1" applyBorder="1" applyProtection="1">
      <alignment vertical="center"/>
      <protection hidden="1"/>
    </xf>
    <xf numFmtId="0" fontId="49" fillId="0" borderId="0" xfId="0" applyNumberFormat="1" applyFont="1" applyFill="1" applyBorder="1" applyProtection="1">
      <alignment vertical="center"/>
      <protection hidden="1"/>
    </xf>
    <xf numFmtId="0" fontId="33" fillId="0" borderId="0" xfId="0" applyFont="1" applyFill="1" applyBorder="1" applyAlignment="1" applyProtection="1">
      <alignment horizontal="left" vertical="center"/>
      <protection hidden="1"/>
    </xf>
    <xf numFmtId="0" fontId="56" fillId="0" borderId="65" xfId="0" applyFont="1" applyFill="1" applyBorder="1" applyProtection="1">
      <alignment vertical="center"/>
      <protection locked="0"/>
    </xf>
    <xf numFmtId="0" fontId="56" fillId="0" borderId="66" xfId="0" applyFont="1" applyFill="1" applyBorder="1" applyProtection="1">
      <alignment vertical="center"/>
      <protection locked="0"/>
    </xf>
    <xf numFmtId="0" fontId="56" fillId="0" borderId="67" xfId="0" applyFont="1" applyFill="1" applyBorder="1" applyProtection="1">
      <alignment vertical="center"/>
      <protection locked="0"/>
    </xf>
    <xf numFmtId="188" fontId="49" fillId="0" borderId="10" xfId="0" applyNumberFormat="1" applyFont="1" applyFill="1" applyBorder="1" applyProtection="1">
      <alignment vertical="center"/>
      <protection hidden="1"/>
    </xf>
    <xf numFmtId="0" fontId="6" fillId="0" borderId="0" xfId="0" applyNumberFormat="1" applyFont="1" applyFill="1" applyBorder="1" applyProtection="1">
      <alignment vertical="center"/>
      <protection hidden="1"/>
    </xf>
    <xf numFmtId="3" fontId="73" fillId="0" borderId="62" xfId="0" applyNumberFormat="1" applyFont="1" applyFill="1" applyBorder="1" applyAlignment="1" applyProtection="1">
      <alignment horizontal="left" vertical="center"/>
      <protection hidden="1"/>
    </xf>
    <xf numFmtId="3" fontId="73" fillId="0" borderId="64" xfId="0" applyNumberFormat="1" applyFont="1" applyFill="1" applyBorder="1" applyAlignment="1" applyProtection="1">
      <alignment horizontal="left" vertical="center"/>
      <protection hidden="1"/>
    </xf>
    <xf numFmtId="3" fontId="73" fillId="0" borderId="17" xfId="0" applyNumberFormat="1" applyFont="1" applyFill="1" applyBorder="1" applyAlignment="1" applyProtection="1">
      <alignment horizontal="left" vertical="center"/>
      <protection hidden="1"/>
    </xf>
    <xf numFmtId="3" fontId="74" fillId="0" borderId="0" xfId="0" applyNumberFormat="1" applyFont="1" applyFill="1" applyBorder="1" applyAlignment="1" applyProtection="1">
      <alignment horizontal="left" vertical="center"/>
      <protection hidden="1"/>
    </xf>
    <xf numFmtId="0" fontId="49" fillId="0" borderId="0" xfId="0" applyFont="1" applyFill="1" applyBorder="1" applyProtection="1">
      <alignment vertical="center"/>
      <protection hidden="1"/>
    </xf>
    <xf numFmtId="0" fontId="75" fillId="0" borderId="64" xfId="0" applyFont="1" applyFill="1" applyBorder="1" applyProtection="1">
      <alignment vertical="center"/>
      <protection hidden="1"/>
    </xf>
    <xf numFmtId="0" fontId="49" fillId="0" borderId="63" xfId="0" applyFont="1" applyFill="1" applyBorder="1" applyProtection="1">
      <alignment vertical="center"/>
      <protection hidden="1"/>
    </xf>
    <xf numFmtId="0" fontId="33" fillId="0" borderId="0" xfId="0" applyNumberFormat="1" applyFont="1" applyFill="1" applyBorder="1" applyAlignment="1" applyProtection="1">
      <alignment horizontal="left" vertical="center"/>
      <protection hidden="1"/>
    </xf>
    <xf numFmtId="0" fontId="34" fillId="0" borderId="0" xfId="0" applyNumberFormat="1" applyFont="1" applyFill="1" applyBorder="1" applyAlignment="1" applyProtection="1">
      <alignment horizontal="left" vertical="center"/>
      <protection hidden="1"/>
    </xf>
    <xf numFmtId="0" fontId="67" fillId="0" borderId="0" xfId="0" applyNumberFormat="1" applyFont="1" applyFill="1" applyBorder="1" applyAlignment="1" applyProtection="1">
      <alignment vertical="center"/>
      <protection hidden="1"/>
    </xf>
    <xf numFmtId="3" fontId="71" fillId="0" borderId="62" xfId="0" applyNumberFormat="1" applyFont="1" applyFill="1" applyBorder="1" applyAlignment="1" applyProtection="1">
      <alignment horizontal="left" vertical="center"/>
      <protection hidden="1"/>
    </xf>
    <xf numFmtId="0" fontId="56" fillId="0" borderId="66" xfId="0" applyFont="1" applyFill="1" applyBorder="1" applyProtection="1">
      <alignment vertical="center"/>
      <protection hidden="1"/>
    </xf>
    <xf numFmtId="0" fontId="49" fillId="0" borderId="66" xfId="0" applyFont="1" applyFill="1" applyBorder="1" applyProtection="1">
      <alignment vertical="center"/>
      <protection hidden="1"/>
    </xf>
    <xf numFmtId="0" fontId="75" fillId="0" borderId="83" xfId="0" applyFont="1" applyFill="1" applyBorder="1" applyProtection="1">
      <alignment vertical="center"/>
      <protection hidden="1"/>
    </xf>
    <xf numFmtId="3" fontId="73" fillId="0" borderId="84" xfId="0" applyNumberFormat="1" applyFont="1" applyFill="1" applyBorder="1" applyAlignment="1" applyProtection="1">
      <alignment horizontal="left" vertical="center"/>
      <protection hidden="1"/>
    </xf>
    <xf numFmtId="0" fontId="49" fillId="0" borderId="67" xfId="0" applyFont="1" applyFill="1" applyBorder="1" applyProtection="1">
      <alignment vertical="center"/>
      <protection hidden="1"/>
    </xf>
    <xf numFmtId="0" fontId="76" fillId="0" borderId="60" xfId="0" applyFont="1" applyFill="1" applyBorder="1" applyProtection="1">
      <alignment vertical="center"/>
      <protection hidden="1"/>
    </xf>
    <xf numFmtId="0" fontId="77" fillId="0" borderId="60" xfId="0" applyFont="1" applyFill="1" applyBorder="1" applyAlignment="1" applyProtection="1">
      <alignment vertical="center"/>
      <protection hidden="1"/>
    </xf>
    <xf numFmtId="0" fontId="56" fillId="0" borderId="60" xfId="0" applyFont="1" applyFill="1" applyBorder="1" applyProtection="1">
      <alignment vertical="center"/>
      <protection hidden="1"/>
    </xf>
    <xf numFmtId="3" fontId="78" fillId="0" borderId="60" xfId="0" applyNumberFormat="1" applyFont="1" applyFill="1" applyBorder="1" applyAlignment="1" applyProtection="1">
      <alignment horizontal="left" vertical="center"/>
      <protection hidden="1"/>
    </xf>
    <xf numFmtId="0" fontId="79" fillId="0" borderId="60" xfId="0" applyFont="1" applyFill="1" applyBorder="1" applyAlignment="1" applyProtection="1">
      <alignment vertical="center"/>
      <protection hidden="1"/>
    </xf>
    <xf numFmtId="37" fontId="33" fillId="0" borderId="60" xfId="0" applyNumberFormat="1" applyFont="1" applyFill="1" applyBorder="1" applyAlignment="1" applyProtection="1">
      <alignment horizontal="left" vertical="center"/>
      <protection hidden="1"/>
    </xf>
    <xf numFmtId="0" fontId="64" fillId="30" borderId="59" xfId="0" applyFont="1" applyFill="1" applyBorder="1" applyAlignment="1" applyProtection="1">
      <alignment vertical="center"/>
      <protection hidden="1"/>
    </xf>
    <xf numFmtId="0" fontId="80" fillId="30" borderId="60" xfId="0" applyFont="1" applyFill="1" applyBorder="1" applyAlignment="1" applyProtection="1">
      <alignment horizontal="right" vertical="center"/>
      <protection hidden="1"/>
    </xf>
    <xf numFmtId="0" fontId="80" fillId="30" borderId="60" xfId="0" applyFont="1" applyFill="1" applyBorder="1" applyAlignment="1" applyProtection="1">
      <alignment vertical="center"/>
      <protection hidden="1"/>
    </xf>
    <xf numFmtId="0" fontId="81" fillId="30" borderId="60" xfId="0" applyFont="1" applyFill="1" applyBorder="1" applyAlignment="1" applyProtection="1">
      <alignment vertical="center"/>
      <protection hidden="1"/>
    </xf>
    <xf numFmtId="56" fontId="64" fillId="30" borderId="85" xfId="0" applyNumberFormat="1" applyFont="1" applyFill="1" applyBorder="1" applyProtection="1">
      <alignment vertical="center"/>
      <protection hidden="1"/>
    </xf>
    <xf numFmtId="0" fontId="63" fillId="30" borderId="69" xfId="0" applyFont="1" applyFill="1" applyBorder="1" applyAlignment="1" applyProtection="1">
      <alignment horizontal="left" vertical="center"/>
      <protection hidden="1"/>
    </xf>
    <xf numFmtId="0" fontId="83" fillId="30" borderId="69" xfId="0" applyFont="1" applyFill="1" applyBorder="1" applyAlignment="1" applyProtection="1">
      <alignment horizontal="right" vertical="center"/>
      <protection hidden="1"/>
    </xf>
    <xf numFmtId="0" fontId="64" fillId="30" borderId="85" xfId="0" applyFont="1" applyFill="1" applyBorder="1" applyProtection="1">
      <alignment vertical="center"/>
      <protection hidden="1"/>
    </xf>
    <xf numFmtId="0" fontId="29" fillId="0" borderId="59" xfId="0" applyFont="1" applyFill="1" applyBorder="1" applyAlignment="1" applyProtection="1">
      <alignment vertical="center"/>
      <protection hidden="1"/>
    </xf>
    <xf numFmtId="0" fontId="29" fillId="0" borderId="60" xfId="0" applyFont="1" applyFill="1" applyBorder="1" applyAlignment="1" applyProtection="1">
      <alignment vertical="center"/>
      <protection hidden="1"/>
    </xf>
    <xf numFmtId="0" fontId="84" fillId="0" borderId="61" xfId="0" applyFont="1" applyFill="1" applyBorder="1" applyAlignment="1" applyProtection="1">
      <alignment horizontal="right" vertical="center"/>
      <protection hidden="1"/>
    </xf>
    <xf numFmtId="0" fontId="56" fillId="0" borderId="59"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6" fillId="0" borderId="63" xfId="0" applyFont="1" applyFill="1" applyBorder="1" applyAlignment="1" applyProtection="1">
      <alignment vertical="center"/>
      <protection hidden="1"/>
    </xf>
    <xf numFmtId="38" fontId="49" fillId="0" borderId="10" xfId="35" applyFont="1" applyFill="1" applyBorder="1" applyAlignment="1" applyProtection="1">
      <protection hidden="1"/>
    </xf>
    <xf numFmtId="0" fontId="48" fillId="0" borderId="62" xfId="0" applyFont="1" applyFill="1" applyBorder="1" applyProtection="1">
      <alignment vertical="center"/>
      <protection hidden="1"/>
    </xf>
    <xf numFmtId="188" fontId="72" fillId="0" borderId="0" xfId="0" applyNumberFormat="1" applyFont="1" applyFill="1" applyBorder="1" applyAlignment="1" applyProtection="1">
      <alignment horizontal="center" vertical="center"/>
      <protection hidden="1"/>
    </xf>
    <xf numFmtId="0" fontId="29" fillId="0" borderId="62"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36" fillId="0" borderId="0" xfId="0" applyFont="1" applyFill="1" applyBorder="1" applyAlignment="1" applyProtection="1">
      <alignment horizontal="center" vertical="center"/>
      <protection hidden="1"/>
    </xf>
    <xf numFmtId="0" fontId="36" fillId="0" borderId="63" xfId="0" applyFont="1" applyFill="1" applyBorder="1" applyAlignment="1" applyProtection="1">
      <alignment horizontal="center" vertical="center"/>
      <protection hidden="1"/>
    </xf>
    <xf numFmtId="0" fontId="48" fillId="0" borderId="62" xfId="0" applyFont="1" applyFill="1" applyBorder="1" applyAlignment="1" applyProtection="1">
      <alignment horizontal="right" vertical="center"/>
      <protection hidden="1"/>
    </xf>
    <xf numFmtId="38" fontId="6" fillId="0" borderId="10" xfId="0" applyNumberFormat="1" applyFont="1" applyFill="1" applyBorder="1" applyProtection="1">
      <alignment vertical="center"/>
      <protection hidden="1"/>
    </xf>
    <xf numFmtId="0" fontId="56" fillId="0" borderId="86" xfId="0" applyFont="1" applyFill="1" applyBorder="1" applyProtection="1">
      <alignment vertical="center"/>
      <protection hidden="1"/>
    </xf>
    <xf numFmtId="0" fontId="56" fillId="0" borderId="87" xfId="0" applyFont="1" applyFill="1" applyBorder="1" applyProtection="1">
      <alignment vertical="center"/>
      <protection hidden="1"/>
    </xf>
    <xf numFmtId="0" fontId="29" fillId="0" borderId="86" xfId="0" applyFont="1" applyFill="1" applyBorder="1" applyAlignment="1" applyProtection="1">
      <alignment vertical="center"/>
      <protection hidden="1"/>
    </xf>
    <xf numFmtId="0" fontId="29" fillId="0" borderId="87" xfId="0" applyFont="1" applyFill="1" applyBorder="1" applyAlignment="1" applyProtection="1">
      <alignment vertical="center"/>
      <protection hidden="1"/>
    </xf>
    <xf numFmtId="0" fontId="36" fillId="0" borderId="87" xfId="0" applyFont="1" applyFill="1" applyBorder="1" applyAlignment="1" applyProtection="1">
      <alignment horizontal="center" vertical="center"/>
      <protection hidden="1"/>
    </xf>
    <xf numFmtId="0" fontId="36" fillId="0" borderId="88" xfId="0" applyFont="1" applyFill="1" applyBorder="1" applyAlignment="1" applyProtection="1">
      <alignment horizontal="center" vertical="center"/>
      <protection hidden="1"/>
    </xf>
    <xf numFmtId="0" fontId="56" fillId="0" borderId="62" xfId="0" applyFont="1" applyFill="1" applyBorder="1" applyAlignment="1" applyProtection="1">
      <alignment vertical="center"/>
      <protection hidden="1"/>
    </xf>
    <xf numFmtId="38" fontId="6" fillId="0" borderId="10" xfId="35" applyFont="1" applyFill="1" applyBorder="1" applyProtection="1">
      <alignment vertical="center"/>
      <protection hidden="1"/>
    </xf>
    <xf numFmtId="0" fontId="84" fillId="0" borderId="62" xfId="0" applyFont="1" applyFill="1" applyBorder="1" applyProtection="1">
      <alignment vertical="center"/>
      <protection hidden="1"/>
    </xf>
    <xf numFmtId="0" fontId="48" fillId="0" borderId="62" xfId="0" applyFont="1" applyFill="1" applyBorder="1" applyAlignment="1" applyProtection="1">
      <alignment horizontal="left" vertical="center"/>
      <protection hidden="1"/>
    </xf>
    <xf numFmtId="0" fontId="85" fillId="0" borderId="0" xfId="0" applyFont="1" applyFill="1" applyBorder="1" applyAlignment="1" applyProtection="1">
      <alignment horizontal="center" vertical="center"/>
      <protection hidden="1"/>
    </xf>
    <xf numFmtId="0" fontId="56" fillId="0" borderId="0" xfId="0" applyFont="1" applyFill="1" applyBorder="1" applyAlignment="1">
      <alignment vertical="center"/>
    </xf>
    <xf numFmtId="0" fontId="28" fillId="0" borderId="63"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35" applyNumberFormat="1" applyFont="1" applyFill="1" applyBorder="1" applyAlignment="1" applyProtection="1">
      <protection hidden="1"/>
    </xf>
    <xf numFmtId="0" fontId="6" fillId="0" borderId="10" xfId="35" quotePrefix="1" applyNumberFormat="1" applyFont="1" applyFill="1" applyBorder="1" applyAlignment="1" applyProtection="1">
      <protection hidden="1"/>
    </xf>
    <xf numFmtId="0" fontId="48" fillId="0" borderId="86" xfId="0" applyFont="1" applyFill="1" applyBorder="1" applyAlignment="1" applyProtection="1">
      <alignment horizontal="left" vertical="center"/>
      <protection hidden="1"/>
    </xf>
    <xf numFmtId="0" fontId="85" fillId="0" borderId="87" xfId="0" applyFont="1" applyFill="1" applyBorder="1" applyAlignment="1" applyProtection="1">
      <alignment horizontal="center" vertical="center"/>
      <protection hidden="1"/>
    </xf>
    <xf numFmtId="0" fontId="56" fillId="0" borderId="87" xfId="0" applyFont="1" applyFill="1" applyBorder="1" applyAlignment="1">
      <alignment vertical="center"/>
    </xf>
    <xf numFmtId="0" fontId="28" fillId="0" borderId="88" xfId="0" applyFont="1" applyFill="1" applyBorder="1" applyAlignment="1" applyProtection="1">
      <alignment horizontal="right" vertical="center"/>
      <protection hidden="1"/>
    </xf>
    <xf numFmtId="0" fontId="6" fillId="0" borderId="0" xfId="0" applyNumberFormat="1" applyFont="1" applyFill="1" applyBorder="1" applyAlignment="1" applyProtection="1">
      <alignment horizontal="center"/>
      <protection hidden="1"/>
    </xf>
    <xf numFmtId="0" fontId="6" fillId="0" borderId="0" xfId="35" applyNumberFormat="1" applyFont="1" applyFill="1" applyBorder="1" applyAlignment="1" applyProtection="1">
      <protection hidden="1"/>
    </xf>
    <xf numFmtId="0" fontId="67" fillId="0" borderId="62" xfId="0" applyFont="1" applyFill="1" applyBorder="1" applyAlignment="1" applyProtection="1">
      <alignment vertical="center" wrapText="1"/>
      <protection hidden="1"/>
    </xf>
    <xf numFmtId="0" fontId="67" fillId="0" borderId="0" xfId="0" applyFont="1" applyFill="1" applyBorder="1" applyAlignment="1" applyProtection="1">
      <alignment vertical="center" wrapText="1"/>
      <protection hidden="1"/>
    </xf>
    <xf numFmtId="0" fontId="67" fillId="0" borderId="63" xfId="0" applyFont="1" applyFill="1" applyBorder="1" applyAlignment="1" applyProtection="1">
      <alignment vertical="center" wrapText="1"/>
      <protection hidden="1"/>
    </xf>
    <xf numFmtId="188" fontId="48" fillId="0" borderId="0" xfId="35" applyNumberFormat="1" applyFont="1" applyFill="1" applyBorder="1" applyAlignment="1" applyProtection="1">
      <alignment horizontal="right" vertical="center"/>
      <protection hidden="1"/>
    </xf>
    <xf numFmtId="0" fontId="11" fillId="0" borderId="0" xfId="0" applyFont="1" applyFill="1" applyBorder="1" applyProtection="1">
      <alignment vertical="center"/>
      <protection hidden="1"/>
    </xf>
    <xf numFmtId="0" fontId="6" fillId="0" borderId="0" xfId="35" applyNumberFormat="1" applyFont="1" applyFill="1" applyBorder="1" applyAlignment="1" applyProtection="1">
      <alignment wrapText="1"/>
      <protection hidden="1"/>
    </xf>
    <xf numFmtId="188" fontId="48" fillId="0" borderId="0" xfId="35" applyNumberFormat="1" applyFont="1" applyFill="1" applyBorder="1" applyAlignment="1" applyProtection="1">
      <alignment horizontal="right" vertical="top"/>
      <protection hidden="1"/>
    </xf>
    <xf numFmtId="0" fontId="48" fillId="0" borderId="0" xfId="0" applyFont="1" applyFill="1" applyBorder="1" applyProtection="1">
      <alignment vertical="center"/>
      <protection hidden="1"/>
    </xf>
    <xf numFmtId="0" fontId="67" fillId="0" borderId="0" xfId="0" applyFont="1" applyFill="1" applyBorder="1" applyAlignment="1" applyProtection="1">
      <alignment horizontal="left"/>
      <protection hidden="1"/>
    </xf>
    <xf numFmtId="0" fontId="56" fillId="0" borderId="65" xfId="0" applyFont="1" applyFill="1" applyBorder="1" applyProtection="1">
      <alignment vertical="center"/>
      <protection hidden="1"/>
    </xf>
    <xf numFmtId="0" fontId="56" fillId="0" borderId="65" xfId="0" applyFont="1" applyFill="1" applyBorder="1" applyAlignment="1" applyProtection="1">
      <alignment vertical="center"/>
      <protection hidden="1"/>
    </xf>
    <xf numFmtId="0" fontId="67" fillId="0" borderId="66" xfId="0" applyFont="1" applyFill="1" applyBorder="1" applyAlignment="1" applyProtection="1">
      <alignment horizontal="left" vertical="top"/>
      <protection hidden="1"/>
    </xf>
    <xf numFmtId="0" fontId="56" fillId="0" borderId="66" xfId="0" applyFont="1" applyFill="1" applyBorder="1" applyAlignment="1" applyProtection="1">
      <alignment vertical="center"/>
      <protection hidden="1"/>
    </xf>
    <xf numFmtId="0" fontId="56" fillId="0" borderId="67" xfId="0" applyFont="1" applyFill="1" applyBorder="1" applyAlignment="1" applyProtection="1">
      <alignment vertical="center"/>
      <protection hidden="1"/>
    </xf>
    <xf numFmtId="0" fontId="84"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64" fillId="30" borderId="68" xfId="0" applyFont="1" applyFill="1" applyBorder="1" applyAlignment="1" applyProtection="1">
      <alignment vertical="center"/>
      <protection hidden="1"/>
    </xf>
    <xf numFmtId="0" fontId="86" fillId="30" borderId="69" xfId="0" applyFont="1" applyFill="1" applyBorder="1" applyAlignment="1" applyProtection="1">
      <alignment vertical="center"/>
      <protection hidden="1"/>
    </xf>
    <xf numFmtId="0" fontId="86" fillId="30" borderId="69" xfId="0" applyFont="1" applyFill="1" applyBorder="1" applyAlignment="1" applyProtection="1">
      <alignment horizontal="right" vertical="center"/>
      <protection hidden="1"/>
    </xf>
    <xf numFmtId="0" fontId="87" fillId="30" borderId="69" xfId="0" applyFont="1" applyFill="1" applyBorder="1" applyAlignment="1" applyProtection="1">
      <alignment horizontal="right" vertical="top"/>
      <protection hidden="1"/>
    </xf>
    <xf numFmtId="0" fontId="60" fillId="30" borderId="69" xfId="0" applyFont="1" applyFill="1" applyBorder="1" applyAlignment="1" applyProtection="1">
      <alignment horizontal="center" vertical="center"/>
      <protection hidden="1"/>
    </xf>
    <xf numFmtId="0" fontId="67" fillId="30" borderId="69" xfId="0" applyFont="1" applyFill="1" applyBorder="1" applyAlignment="1" applyProtection="1">
      <alignment vertical="center"/>
      <protection hidden="1"/>
    </xf>
    <xf numFmtId="0" fontId="87" fillId="30" borderId="71" xfId="0" applyFont="1" applyFill="1" applyBorder="1" applyAlignment="1" applyProtection="1">
      <alignment horizontal="right" vertical="center"/>
      <protection hidden="1"/>
    </xf>
    <xf numFmtId="38" fontId="56" fillId="32" borderId="10" xfId="35" applyFont="1" applyFill="1" applyBorder="1" applyProtection="1">
      <alignment vertical="center"/>
      <protection hidden="1"/>
    </xf>
    <xf numFmtId="0" fontId="56" fillId="32" borderId="10" xfId="0" applyFont="1" applyFill="1" applyBorder="1" applyProtection="1">
      <alignment vertical="center"/>
      <protection hidden="1"/>
    </xf>
    <xf numFmtId="9" fontId="56" fillId="0" borderId="10" xfId="0" applyNumberFormat="1" applyFont="1" applyFill="1" applyBorder="1" applyProtection="1">
      <alignment vertical="center"/>
      <protection hidden="1"/>
    </xf>
    <xf numFmtId="38" fontId="56" fillId="0" borderId="0" xfId="0" applyNumberFormat="1" applyFont="1" applyFill="1" applyBorder="1" applyProtection="1">
      <alignment vertical="center"/>
      <protection hidden="1"/>
    </xf>
    <xf numFmtId="0" fontId="89" fillId="33" borderId="62" xfId="0" applyFont="1" applyFill="1" applyBorder="1" applyAlignment="1" applyProtection="1">
      <alignment vertical="center"/>
      <protection hidden="1"/>
    </xf>
    <xf numFmtId="0" fontId="86" fillId="33" borderId="0" xfId="0" applyFont="1" applyFill="1" applyBorder="1" applyAlignment="1" applyProtection="1">
      <alignment vertical="center"/>
      <protection hidden="1"/>
    </xf>
    <xf numFmtId="0" fontId="60" fillId="33" borderId="0" xfId="0" applyFont="1" applyFill="1" applyBorder="1" applyAlignment="1" applyProtection="1">
      <alignment horizontal="center" vertical="center"/>
      <protection hidden="1"/>
    </xf>
    <xf numFmtId="0" fontId="90" fillId="33" borderId="0" xfId="0" applyFont="1" applyFill="1" applyBorder="1" applyAlignment="1" applyProtection="1">
      <alignment horizontal="right" vertical="center"/>
      <protection hidden="1"/>
    </xf>
    <xf numFmtId="0" fontId="91"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177" fontId="93" fillId="33" borderId="0" xfId="0" applyNumberFormat="1" applyFont="1" applyFill="1" applyBorder="1" applyAlignment="1" applyProtection="1">
      <alignment horizontal="right" vertical="center"/>
      <protection hidden="1"/>
    </xf>
    <xf numFmtId="0" fontId="87" fillId="33" borderId="63" xfId="0" applyFont="1" applyFill="1" applyBorder="1" applyAlignment="1" applyProtection="1">
      <alignment horizontal="right" vertical="center"/>
      <protection hidden="1"/>
    </xf>
    <xf numFmtId="0" fontId="66" fillId="0" borderId="0" xfId="0" applyFont="1" applyFill="1" applyBorder="1" applyAlignment="1" applyProtection="1">
      <alignment vertical="center"/>
      <protection hidden="1"/>
    </xf>
    <xf numFmtId="184" fontId="66" fillId="0" borderId="0" xfId="0" applyNumberFormat="1" applyFont="1" applyFill="1" applyBorder="1" applyAlignment="1" applyProtection="1">
      <alignment horizontal="left" vertical="center"/>
      <protection hidden="1"/>
    </xf>
    <xf numFmtId="0" fontId="66" fillId="0" borderId="0" xfId="0" applyFont="1" applyFill="1" applyBorder="1" applyAlignment="1" applyProtection="1">
      <alignment horizontal="left" vertical="center"/>
      <protection hidden="1"/>
    </xf>
    <xf numFmtId="38" fontId="11" fillId="32" borderId="10" xfId="0" applyNumberFormat="1" applyFont="1" applyFill="1" applyBorder="1" applyProtection="1">
      <alignment vertical="center"/>
      <protection hidden="1"/>
    </xf>
    <xf numFmtId="0" fontId="94" fillId="0" borderId="0" xfId="0" applyFont="1" applyFill="1" applyBorder="1" applyAlignment="1" applyProtection="1">
      <alignment vertical="center"/>
      <protection hidden="1"/>
    </xf>
    <xf numFmtId="0" fontId="95" fillId="0" borderId="0" xfId="0" applyFont="1" applyFill="1" applyBorder="1" applyAlignment="1" applyProtection="1">
      <alignment horizontal="left" vertical="center"/>
      <protection hidden="1"/>
    </xf>
    <xf numFmtId="0" fontId="96" fillId="0" borderId="0" xfId="0" applyFont="1" applyFill="1" applyBorder="1" applyAlignment="1" applyProtection="1">
      <alignment horizontal="right" vertical="center"/>
      <protection hidden="1"/>
    </xf>
    <xf numFmtId="0" fontId="97" fillId="0" borderId="0" xfId="0" applyFont="1" applyFill="1" applyBorder="1" applyProtection="1">
      <alignment vertical="center"/>
      <protection hidden="1"/>
    </xf>
    <xf numFmtId="184" fontId="66" fillId="0" borderId="63" xfId="0" applyNumberFormat="1" applyFont="1" applyFill="1" applyBorder="1" applyAlignment="1" applyProtection="1">
      <alignment horizontal="center" vertical="center"/>
      <protection hidden="1"/>
    </xf>
    <xf numFmtId="38" fontId="56" fillId="32" borderId="10" xfId="0" applyNumberFormat="1" applyFont="1" applyFill="1" applyBorder="1" applyProtection="1">
      <alignment vertical="center"/>
      <protection hidden="1"/>
    </xf>
    <xf numFmtId="0" fontId="56" fillId="0" borderId="0" xfId="0" quotePrefix="1" applyFont="1" applyFill="1" applyBorder="1" applyProtection="1">
      <alignment vertical="center"/>
      <protection hidden="1"/>
    </xf>
    <xf numFmtId="0" fontId="49" fillId="0" borderId="10" xfId="0" applyNumberFormat="1" applyFont="1" applyFill="1" applyBorder="1" applyAlignment="1" applyProtection="1">
      <alignment horizontal="left" vertical="center"/>
      <protection hidden="1"/>
    </xf>
    <xf numFmtId="204" fontId="49" fillId="0" borderId="10" xfId="0" applyNumberFormat="1" applyFont="1" applyFill="1" applyBorder="1" applyAlignment="1" applyProtection="1">
      <alignment horizontal="left"/>
      <protection hidden="1"/>
    </xf>
    <xf numFmtId="177" fontId="49" fillId="0" borderId="10" xfId="0" applyNumberFormat="1" applyFont="1" applyFill="1" applyBorder="1" applyAlignment="1" applyProtection="1">
      <alignment horizontal="right"/>
      <protection hidden="1"/>
    </xf>
    <xf numFmtId="177" fontId="49" fillId="0" borderId="10" xfId="0" applyNumberFormat="1" applyFont="1" applyFill="1" applyBorder="1" applyProtection="1">
      <alignment vertical="center"/>
      <protection hidden="1"/>
    </xf>
    <xf numFmtId="184" fontId="27" fillId="0" borderId="0"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34" fillId="0" borderId="57" xfId="0" applyFont="1" applyFill="1" applyBorder="1" applyAlignment="1" applyProtection="1">
      <alignment vertical="center"/>
      <protection hidden="1"/>
    </xf>
    <xf numFmtId="0" fontId="60" fillId="0" borderId="57" xfId="0" applyFont="1" applyFill="1" applyBorder="1" applyAlignment="1" applyProtection="1">
      <alignment horizontal="center" vertical="center"/>
      <protection hidden="1"/>
    </xf>
    <xf numFmtId="0" fontId="60" fillId="0" borderId="57" xfId="0" applyFont="1" applyFill="1" applyBorder="1" applyAlignment="1" applyProtection="1">
      <alignment vertical="center"/>
      <protection hidden="1"/>
    </xf>
    <xf numFmtId="0" fontId="49" fillId="0" borderId="57" xfId="0" applyFont="1" applyFill="1" applyBorder="1" applyProtection="1">
      <alignment vertical="center"/>
      <protection hidden="1"/>
    </xf>
    <xf numFmtId="0" fontId="49" fillId="0" borderId="79" xfId="0" applyFont="1" applyFill="1" applyBorder="1" applyProtection="1">
      <alignment vertical="center"/>
      <protection hidden="1"/>
    </xf>
    <xf numFmtId="0" fontId="49" fillId="0" borderId="53" xfId="0" applyFont="1" applyFill="1" applyBorder="1" applyProtection="1">
      <alignment vertical="center"/>
      <protection hidden="1"/>
    </xf>
    <xf numFmtId="0" fontId="99" fillId="33" borderId="89" xfId="0" applyFont="1" applyFill="1" applyBorder="1" applyAlignment="1" applyProtection="1">
      <alignment vertical="center"/>
      <protection hidden="1"/>
    </xf>
    <xf numFmtId="0" fontId="86" fillId="33" borderId="53" xfId="0" applyFont="1" applyFill="1" applyBorder="1" applyAlignment="1" applyProtection="1">
      <alignment vertical="center"/>
      <protection hidden="1"/>
    </xf>
    <xf numFmtId="0" fontId="86" fillId="33" borderId="53" xfId="0" applyFont="1" applyFill="1" applyBorder="1" applyAlignment="1" applyProtection="1">
      <alignment horizontal="right" vertical="center"/>
      <protection hidden="1"/>
    </xf>
    <xf numFmtId="184" fontId="93" fillId="33" borderId="0" xfId="0" applyNumberFormat="1" applyFont="1" applyFill="1" applyBorder="1" applyAlignment="1" applyProtection="1">
      <alignment horizontal="right" vertical="center"/>
      <protection hidden="1"/>
    </xf>
    <xf numFmtId="0" fontId="66" fillId="0" borderId="62" xfId="0" applyFont="1" applyFill="1" applyBorder="1" applyAlignment="1" applyProtection="1">
      <alignment horizontal="left" vertical="center"/>
      <protection hidden="1"/>
    </xf>
    <xf numFmtId="1" fontId="66" fillId="0" borderId="0" xfId="0" applyNumberFormat="1" applyFont="1" applyFill="1" applyBorder="1" applyAlignment="1" applyProtection="1">
      <alignment horizontal="left" vertical="center"/>
      <protection hidden="1"/>
    </xf>
    <xf numFmtId="0" fontId="66" fillId="0" borderId="63" xfId="0" applyFont="1" applyFill="1" applyBorder="1" applyAlignment="1" applyProtection="1">
      <alignment horizontal="left" vertical="center"/>
      <protection hidden="1"/>
    </xf>
    <xf numFmtId="0" fontId="67" fillId="0" borderId="62"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34" fillId="0" borderId="0" xfId="0" applyFont="1" applyFill="1" applyBorder="1" applyAlignment="1" applyProtection="1">
      <alignment horizontal="right" vertical="center"/>
      <protection hidden="1"/>
    </xf>
    <xf numFmtId="1" fontId="34" fillId="0" borderId="0" xfId="0" applyNumberFormat="1" applyFont="1" applyFill="1" applyBorder="1" applyAlignment="1" applyProtection="1">
      <alignment vertical="center"/>
      <protection hidden="1"/>
    </xf>
    <xf numFmtId="0" fontId="67"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right"/>
      <protection hidden="1"/>
    </xf>
    <xf numFmtId="0" fontId="34" fillId="0" borderId="62" xfId="0" applyFont="1" applyFill="1" applyBorder="1" applyAlignment="1" applyProtection="1">
      <alignment vertical="center"/>
      <protection hidden="1"/>
    </xf>
    <xf numFmtId="177" fontId="56" fillId="0" borderId="0" xfId="0" applyNumberFormat="1" applyFont="1" applyFill="1" applyBorder="1" applyProtection="1">
      <alignment vertical="center"/>
      <protection hidden="1"/>
    </xf>
    <xf numFmtId="188" fontId="49" fillId="0" borderId="10" xfId="35" applyNumberFormat="1" applyFont="1" applyFill="1" applyBorder="1" applyAlignment="1" applyProtection="1">
      <alignment horizontal="right"/>
      <protection hidden="1"/>
    </xf>
    <xf numFmtId="0" fontId="6" fillId="0" borderId="10" xfId="0" applyNumberFormat="1" applyFont="1" applyFill="1" applyBorder="1" applyAlignment="1" applyProtection="1">
      <alignment horizontal="left"/>
      <protection hidden="1"/>
    </xf>
    <xf numFmtId="0" fontId="34" fillId="0" borderId="65" xfId="0" applyFont="1" applyFill="1" applyBorder="1" applyAlignment="1" applyProtection="1">
      <alignment vertical="center"/>
      <protection hidden="1"/>
    </xf>
    <xf numFmtId="0" fontId="34" fillId="0" borderId="66" xfId="0" applyFont="1" applyFill="1" applyBorder="1" applyAlignment="1" applyProtection="1">
      <alignment vertical="center"/>
      <protection hidden="1"/>
    </xf>
    <xf numFmtId="0" fontId="34" fillId="0" borderId="66" xfId="0" applyFont="1" applyFill="1" applyBorder="1" applyAlignment="1" applyProtection="1">
      <alignment horizontal="right" vertical="center"/>
      <protection hidden="1"/>
    </xf>
    <xf numFmtId="0" fontId="60" fillId="0" borderId="66" xfId="0" applyFont="1" applyFill="1" applyBorder="1" applyAlignment="1" applyProtection="1">
      <alignment vertical="center"/>
      <protection hidden="1"/>
    </xf>
    <xf numFmtId="0" fontId="27" fillId="0" borderId="66" xfId="0" applyFont="1" applyFill="1" applyBorder="1" applyAlignment="1" applyProtection="1">
      <alignment horizontal="left" vertical="center"/>
      <protection hidden="1"/>
    </xf>
    <xf numFmtId="0" fontId="67" fillId="0" borderId="66" xfId="0" applyFont="1" applyFill="1" applyBorder="1" applyAlignment="1" applyProtection="1">
      <alignment vertical="center"/>
      <protection hidden="1"/>
    </xf>
    <xf numFmtId="0" fontId="67"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9" fillId="34" borderId="10" xfId="0" applyNumberFormat="1" applyFont="1" applyFill="1" applyBorder="1" applyAlignment="1" applyProtection="1">
      <alignment horizontal="right"/>
      <protection hidden="1"/>
    </xf>
    <xf numFmtId="0" fontId="79" fillId="0" borderId="0" xfId="0" applyFont="1" applyFill="1" applyBorder="1" applyAlignment="1" applyProtection="1">
      <alignment vertical="center"/>
      <protection hidden="1"/>
    </xf>
    <xf numFmtId="0" fontId="27" fillId="0" borderId="0" xfId="0" applyFont="1" applyFill="1" applyBorder="1" applyAlignment="1" applyProtection="1">
      <alignment horizontal="right" vertical="center"/>
      <protection hidden="1"/>
    </xf>
    <xf numFmtId="0" fontId="49" fillId="0" borderId="0" xfId="0" applyNumberFormat="1" applyFont="1" applyFill="1" applyBorder="1" applyAlignment="1" applyProtection="1">
      <alignment horizontal="right"/>
      <protection hidden="1"/>
    </xf>
    <xf numFmtId="0" fontId="86" fillId="30" borderId="60" xfId="0" applyFont="1" applyFill="1" applyBorder="1" applyAlignment="1" applyProtection="1">
      <alignment vertical="center"/>
      <protection hidden="1"/>
    </xf>
    <xf numFmtId="0" fontId="86" fillId="30" borderId="60" xfId="0" applyFont="1" applyFill="1" applyBorder="1" applyAlignment="1" applyProtection="1">
      <alignment horizontal="right" vertical="center"/>
      <protection hidden="1"/>
    </xf>
    <xf numFmtId="0" fontId="101" fillId="30" borderId="60" xfId="0" applyFont="1" applyFill="1" applyBorder="1" applyAlignment="1" applyProtection="1">
      <alignment horizontal="right" vertical="top"/>
      <protection hidden="1"/>
    </xf>
    <xf numFmtId="0" fontId="60" fillId="30" borderId="60" xfId="0" applyFont="1" applyFill="1" applyBorder="1" applyAlignment="1" applyProtection="1">
      <alignment horizontal="center" vertical="center"/>
      <protection hidden="1"/>
    </xf>
    <xf numFmtId="0" fontId="67" fillId="30" borderId="60" xfId="0" applyFont="1" applyFill="1" applyBorder="1" applyAlignment="1" applyProtection="1">
      <alignment vertical="center"/>
      <protection hidden="1"/>
    </xf>
    <xf numFmtId="0" fontId="101" fillId="30" borderId="61" xfId="0" applyFont="1" applyFill="1" applyBorder="1" applyAlignment="1" applyProtection="1">
      <alignment horizontal="right" vertical="center"/>
      <protection hidden="1"/>
    </xf>
    <xf numFmtId="0" fontId="4" fillId="35" borderId="89" xfId="0" applyFont="1" applyFill="1" applyBorder="1" applyAlignment="1" applyProtection="1">
      <alignment vertical="center"/>
      <protection hidden="1"/>
    </xf>
    <xf numFmtId="0" fontId="86" fillId="35" borderId="53" xfId="0" applyFont="1" applyFill="1" applyBorder="1" applyAlignment="1" applyProtection="1">
      <alignment vertical="center"/>
      <protection hidden="1"/>
    </xf>
    <xf numFmtId="0" fontId="86" fillId="35" borderId="53" xfId="0" applyFont="1" applyFill="1" applyBorder="1" applyAlignment="1" applyProtection="1">
      <alignment horizontal="right" vertical="center"/>
      <protection hidden="1"/>
    </xf>
    <xf numFmtId="0" fontId="102" fillId="35" borderId="54" xfId="0" applyFont="1" applyFill="1" applyBorder="1" applyAlignment="1" applyProtection="1">
      <alignment vertical="center"/>
      <protection hidden="1"/>
    </xf>
    <xf numFmtId="0" fontId="4" fillId="35" borderId="53" xfId="0" applyFont="1" applyFill="1" applyBorder="1" applyAlignment="1" applyProtection="1">
      <alignment vertical="center"/>
      <protection hidden="1"/>
    </xf>
    <xf numFmtId="0" fontId="102" fillId="35" borderId="53" xfId="0" applyFont="1" applyFill="1" applyBorder="1" applyAlignment="1" applyProtection="1">
      <alignment horizontal="center" vertical="center"/>
      <protection hidden="1"/>
    </xf>
    <xf numFmtId="0" fontId="102" fillId="35" borderId="90" xfId="0" applyFont="1" applyFill="1" applyBorder="1" applyAlignment="1" applyProtection="1">
      <alignment horizontal="center" vertical="center"/>
      <protection hidden="1"/>
    </xf>
    <xf numFmtId="205" fontId="49" fillId="0" borderId="0" xfId="0" applyNumberFormat="1" applyFont="1" applyFill="1" applyBorder="1" applyProtection="1">
      <alignment vertical="center"/>
      <protection hidden="1"/>
    </xf>
    <xf numFmtId="0" fontId="103" fillId="35" borderId="89" xfId="0" applyFont="1" applyFill="1" applyBorder="1" applyAlignment="1" applyProtection="1">
      <alignment vertical="center"/>
      <protection hidden="1"/>
    </xf>
    <xf numFmtId="0" fontId="102" fillId="35" borderId="54" xfId="0" applyFont="1" applyFill="1" applyBorder="1" applyAlignment="1" applyProtection="1">
      <alignment horizontal="center" vertical="center"/>
      <protection hidden="1"/>
    </xf>
    <xf numFmtId="0" fontId="103" fillId="35" borderId="64" xfId="0" applyFont="1" applyFill="1" applyBorder="1">
      <alignment vertical="center"/>
    </xf>
    <xf numFmtId="0" fontId="102" fillId="35" borderId="0" xfId="0" applyFont="1" applyFill="1" applyBorder="1" applyAlignment="1" applyProtection="1">
      <alignment horizontal="center" vertical="center"/>
      <protection hidden="1"/>
    </xf>
    <xf numFmtId="0" fontId="102" fillId="35" borderId="17" xfId="0" applyFont="1" applyFill="1" applyBorder="1" applyAlignment="1" applyProtection="1">
      <alignment horizontal="center" vertical="center"/>
      <protection hidden="1"/>
    </xf>
    <xf numFmtId="0" fontId="103" fillId="35" borderId="52" xfId="0" applyFont="1" applyFill="1" applyBorder="1">
      <alignment vertical="center"/>
    </xf>
    <xf numFmtId="0" fontId="102" fillId="35" borderId="0" xfId="0" applyFont="1" applyFill="1" applyBorder="1" applyAlignment="1" applyProtection="1">
      <alignment horizontal="left" vertical="center"/>
      <protection hidden="1"/>
    </xf>
    <xf numFmtId="0" fontId="86" fillId="35" borderId="0" xfId="0" applyFont="1" applyFill="1" applyBorder="1" applyAlignment="1" applyProtection="1">
      <alignment horizontal="right" vertical="center"/>
      <protection hidden="1"/>
    </xf>
    <xf numFmtId="0" fontId="86" fillId="35" borderId="63" xfId="0" applyFont="1" applyFill="1" applyBorder="1" applyAlignment="1" applyProtection="1">
      <alignment horizontal="right" vertical="center"/>
      <protection hidden="1"/>
    </xf>
    <xf numFmtId="0" fontId="103" fillId="35" borderId="89" xfId="0" applyFont="1" applyFill="1" applyBorder="1">
      <alignment vertical="center"/>
    </xf>
    <xf numFmtId="0" fontId="102" fillId="35" borderId="53" xfId="0" applyFont="1" applyFill="1" applyBorder="1" applyAlignment="1" applyProtection="1">
      <alignment horizontal="left" vertical="center"/>
      <protection hidden="1"/>
    </xf>
    <xf numFmtId="0" fontId="86" fillId="35" borderId="54" xfId="0" applyFont="1" applyFill="1" applyBorder="1" applyAlignment="1" applyProtection="1">
      <alignment horizontal="right" vertical="center"/>
      <protection hidden="1"/>
    </xf>
    <xf numFmtId="0" fontId="103" fillId="35" borderId="0" xfId="0" applyFont="1" applyFill="1" applyBorder="1">
      <alignment vertical="center"/>
    </xf>
    <xf numFmtId="0" fontId="103" fillId="35" borderId="53" xfId="0" applyFont="1" applyFill="1" applyBorder="1">
      <alignment vertical="center"/>
    </xf>
    <xf numFmtId="0" fontId="86" fillId="35" borderId="90" xfId="0" applyFont="1" applyFill="1" applyBorder="1" applyAlignment="1" applyProtection="1">
      <alignment horizontal="right" vertical="center"/>
      <protection hidden="1"/>
    </xf>
    <xf numFmtId="0" fontId="63" fillId="36" borderId="68" xfId="0" applyFont="1" applyFill="1" applyBorder="1" applyAlignment="1" applyProtection="1">
      <alignment vertical="center"/>
      <protection hidden="1"/>
    </xf>
    <xf numFmtId="0" fontId="86" fillId="36" borderId="69" xfId="0" applyFont="1" applyFill="1" applyBorder="1" applyAlignment="1" applyProtection="1">
      <alignment vertical="center"/>
      <protection hidden="1"/>
    </xf>
    <xf numFmtId="0" fontId="86" fillId="36" borderId="69" xfId="0" applyFont="1" applyFill="1" applyBorder="1" applyAlignment="1" applyProtection="1">
      <alignment horizontal="right" vertical="center"/>
      <protection hidden="1"/>
    </xf>
    <xf numFmtId="0" fontId="87" fillId="36" borderId="69" xfId="0" applyFont="1" applyFill="1" applyBorder="1" applyAlignment="1" applyProtection="1">
      <alignment vertical="top"/>
      <protection hidden="1"/>
    </xf>
    <xf numFmtId="0" fontId="67" fillId="36" borderId="69" xfId="0" applyFont="1" applyFill="1" applyBorder="1" applyAlignment="1" applyProtection="1">
      <alignment vertical="center"/>
      <protection hidden="1"/>
    </xf>
    <xf numFmtId="0" fontId="101" fillId="36" borderId="69" xfId="0" applyFont="1" applyFill="1" applyBorder="1" applyAlignment="1" applyProtection="1">
      <alignment vertical="center"/>
      <protection hidden="1"/>
    </xf>
    <xf numFmtId="0" fontId="87" fillId="36" borderId="71" xfId="0" applyFont="1" applyFill="1" applyBorder="1" applyAlignment="1" applyProtection="1">
      <alignment horizontal="right" vertical="center"/>
      <protection hidden="1"/>
    </xf>
    <xf numFmtId="0" fontId="63" fillId="37" borderId="59" xfId="0" applyFont="1" applyFill="1" applyBorder="1" applyAlignment="1" applyProtection="1">
      <alignment vertical="center"/>
      <protection hidden="1"/>
    </xf>
    <xf numFmtId="0" fontId="86" fillId="37" borderId="60" xfId="0" applyFont="1" applyFill="1" applyBorder="1" applyAlignment="1" applyProtection="1">
      <alignment vertical="center"/>
      <protection hidden="1"/>
    </xf>
    <xf numFmtId="0" fontId="86" fillId="37" borderId="60" xfId="0" applyFont="1" applyFill="1" applyBorder="1" applyAlignment="1" applyProtection="1">
      <alignment horizontal="right" vertical="center"/>
      <protection hidden="1"/>
    </xf>
    <xf numFmtId="0" fontId="101" fillId="37" borderId="60" xfId="0" applyFont="1" applyFill="1" applyBorder="1" applyAlignment="1" applyProtection="1">
      <alignment vertical="center"/>
      <protection hidden="1"/>
    </xf>
    <xf numFmtId="0" fontId="2" fillId="37" borderId="60" xfId="0" applyFont="1" applyFill="1" applyBorder="1" applyAlignment="1" applyProtection="1">
      <alignment vertical="center"/>
      <protection hidden="1"/>
    </xf>
    <xf numFmtId="0" fontId="67" fillId="37" borderId="60" xfId="0" applyFont="1" applyFill="1" applyBorder="1" applyAlignment="1" applyProtection="1">
      <alignment vertical="center"/>
      <protection hidden="1"/>
    </xf>
    <xf numFmtId="0" fontId="2" fillId="37" borderId="61" xfId="0" applyFont="1" applyFill="1" applyBorder="1" applyAlignment="1" applyProtection="1">
      <alignment horizontal="right" vertical="center"/>
      <protection hidden="1"/>
    </xf>
    <xf numFmtId="0" fontId="59" fillId="38" borderId="59" xfId="0" applyFont="1" applyFill="1" applyBorder="1" applyAlignment="1" applyProtection="1">
      <alignment horizontal="left" vertical="center"/>
      <protection hidden="1"/>
    </xf>
    <xf numFmtId="0" fontId="59" fillId="38" borderId="60" xfId="0" applyFont="1" applyFill="1" applyBorder="1" applyAlignment="1" applyProtection="1">
      <alignment horizontal="left" vertical="center"/>
      <protection hidden="1"/>
    </xf>
    <xf numFmtId="0" fontId="59" fillId="38" borderId="60" xfId="0" applyFont="1" applyFill="1" applyBorder="1" applyAlignment="1" applyProtection="1">
      <alignment horizontal="right" vertical="center"/>
      <protection hidden="1"/>
    </xf>
    <xf numFmtId="0" fontId="37" fillId="31" borderId="60" xfId="0" applyFont="1" applyFill="1" applyBorder="1" applyAlignment="1" applyProtection="1">
      <alignment vertical="center"/>
      <protection hidden="1"/>
    </xf>
    <xf numFmtId="0" fontId="34" fillId="31" borderId="60" xfId="0" applyFont="1" applyFill="1" applyBorder="1" applyAlignment="1" applyProtection="1">
      <alignment vertical="center"/>
      <protection hidden="1"/>
    </xf>
    <xf numFmtId="0" fontId="67" fillId="31" borderId="60" xfId="0" applyFont="1" applyFill="1" applyBorder="1" applyAlignment="1" applyProtection="1">
      <alignment vertical="center"/>
      <protection hidden="1"/>
    </xf>
    <xf numFmtId="0" fontId="34" fillId="31" borderId="61" xfId="0" applyFont="1" applyFill="1" applyBorder="1" applyAlignment="1" applyProtection="1">
      <alignment horizontal="right" vertical="center"/>
      <protection hidden="1"/>
    </xf>
    <xf numFmtId="0" fontId="59" fillId="38" borderId="62" xfId="0" applyFont="1" applyFill="1" applyBorder="1" applyAlignment="1" applyProtection="1">
      <alignment horizontal="left" vertical="center"/>
      <protection hidden="1"/>
    </xf>
    <xf numFmtId="49" fontId="33" fillId="38" borderId="0" xfId="0" applyNumberFormat="1"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right" vertical="center"/>
      <protection hidden="1"/>
    </xf>
    <xf numFmtId="49" fontId="27" fillId="24" borderId="0" xfId="0" applyNumberFormat="1" applyFont="1" applyFill="1" applyBorder="1" applyAlignment="1" applyProtection="1">
      <alignment horizontal="left" vertical="center"/>
      <protection locked="0"/>
    </xf>
    <xf numFmtId="49" fontId="33" fillId="0" borderId="0" xfId="0" applyNumberFormat="1"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alignment horizontal="right" vertical="center"/>
      <protection locked="0"/>
    </xf>
    <xf numFmtId="0" fontId="34" fillId="24" borderId="0" xfId="0" applyNumberFormat="1" applyFont="1" applyFill="1" applyBorder="1" applyAlignment="1" applyProtection="1">
      <alignment horizontal="center" vertical="center"/>
      <protection locked="0"/>
    </xf>
    <xf numFmtId="0" fontId="34" fillId="0" borderId="0" xfId="0" applyNumberFormat="1" applyFont="1" applyFill="1" applyBorder="1" applyAlignment="1" applyProtection="1">
      <alignment horizontal="center" vertical="center"/>
      <protection hidden="1"/>
    </xf>
    <xf numFmtId="49" fontId="27" fillId="0" borderId="0" xfId="0" applyNumberFormat="1" applyFont="1" applyFill="1" applyBorder="1" applyAlignment="1" applyProtection="1">
      <alignment horizontal="center" vertical="center"/>
      <protection hidden="1"/>
    </xf>
    <xf numFmtId="49" fontId="27" fillId="0" borderId="63" xfId="0" applyNumberFormat="1" applyFont="1" applyFill="1" applyBorder="1" applyAlignment="1" applyProtection="1">
      <alignment horizontal="left" vertical="center"/>
      <protection hidden="1"/>
    </xf>
    <xf numFmtId="0" fontId="33" fillId="38" borderId="0" xfId="0" applyFont="1" applyFill="1" applyBorder="1" applyAlignment="1" applyProtection="1">
      <alignment vertical="center"/>
      <protection hidden="1"/>
    </xf>
    <xf numFmtId="0" fontId="34" fillId="38" borderId="0" xfId="0" applyFont="1" applyFill="1" applyBorder="1" applyAlignment="1" applyProtection="1">
      <alignment horizontal="right" vertical="center"/>
      <protection hidden="1"/>
    </xf>
    <xf numFmtId="0" fontId="34" fillId="24" borderId="0" xfId="0" applyFont="1" applyFill="1" applyBorder="1" applyAlignment="1" applyProtection="1">
      <alignment vertical="center"/>
      <protection locked="0"/>
    </xf>
    <xf numFmtId="0" fontId="34" fillId="24" borderId="0" xfId="0" applyFont="1" applyFill="1" applyBorder="1" applyAlignment="1" applyProtection="1">
      <alignment horizontal="right" vertical="center"/>
      <protection locked="0"/>
    </xf>
    <xf numFmtId="0" fontId="34" fillId="24"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hidden="1"/>
    </xf>
    <xf numFmtId="0" fontId="34" fillId="0" borderId="63" xfId="0" applyFont="1" applyFill="1" applyBorder="1" applyAlignment="1" applyProtection="1">
      <alignment vertical="center"/>
      <protection hidden="1"/>
    </xf>
    <xf numFmtId="0" fontId="83" fillId="0" borderId="0" xfId="0" applyFont="1" applyFill="1" applyProtection="1">
      <alignment vertical="center"/>
      <protection hidden="1"/>
    </xf>
    <xf numFmtId="0" fontId="83" fillId="38" borderId="62" xfId="0" applyFont="1" applyFill="1" applyBorder="1" applyProtection="1">
      <alignment vertical="center"/>
      <protection hidden="1"/>
    </xf>
    <xf numFmtId="0" fontId="33" fillId="38" borderId="0" xfId="0"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center" vertical="center"/>
      <protection hidden="1"/>
    </xf>
    <xf numFmtId="0" fontId="34" fillId="38" borderId="0" xfId="0" applyFont="1" applyFill="1" applyBorder="1" applyAlignment="1" applyProtection="1">
      <alignment horizontal="left" vertical="center"/>
      <protection hidden="1"/>
    </xf>
    <xf numFmtId="49" fontId="34" fillId="0" borderId="63"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59" fillId="38" borderId="65" xfId="0" applyFont="1" applyFill="1" applyBorder="1" applyAlignment="1" applyProtection="1">
      <alignment horizontal="left" vertical="center"/>
      <protection hidden="1"/>
    </xf>
    <xf numFmtId="0" fontId="34" fillId="24" borderId="66" xfId="0" applyFont="1" applyFill="1" applyBorder="1" applyAlignment="1" applyProtection="1">
      <alignment horizontal="left" vertical="center"/>
      <protection locked="0"/>
    </xf>
    <xf numFmtId="0" fontId="34" fillId="38" borderId="66" xfId="0" applyFont="1" applyFill="1" applyBorder="1" applyAlignment="1" applyProtection="1">
      <alignment horizontal="right" vertical="center"/>
      <protection hidden="1"/>
    </xf>
    <xf numFmtId="0" fontId="34" fillId="24" borderId="66" xfId="0" applyFont="1" applyFill="1" applyBorder="1" applyAlignment="1" applyProtection="1">
      <alignment vertical="center"/>
      <protection locked="0"/>
    </xf>
    <xf numFmtId="0" fontId="33" fillId="0" borderId="66" xfId="0" applyFont="1" applyFill="1" applyBorder="1" applyAlignment="1" applyProtection="1">
      <alignment vertical="center"/>
      <protection hidden="1"/>
    </xf>
    <xf numFmtId="0" fontId="34" fillId="24" borderId="66" xfId="0" applyFont="1" applyFill="1" applyBorder="1" applyAlignment="1" applyProtection="1">
      <alignment horizontal="right" vertical="center"/>
      <protection locked="0"/>
    </xf>
    <xf numFmtId="0" fontId="34" fillId="0" borderId="66" xfId="0" applyFont="1" applyFill="1" applyBorder="1" applyAlignment="1" applyProtection="1">
      <alignment horizontal="center" vertical="center"/>
      <protection hidden="1"/>
    </xf>
    <xf numFmtId="0" fontId="34" fillId="0" borderId="67" xfId="0" applyFont="1" applyFill="1" applyBorder="1" applyAlignment="1" applyProtection="1">
      <alignment vertical="center"/>
      <protection hidden="1"/>
    </xf>
    <xf numFmtId="0" fontId="63" fillId="37" borderId="68" xfId="0" applyFont="1" applyFill="1" applyBorder="1" applyAlignment="1" applyProtection="1">
      <alignment horizontal="left" vertical="center"/>
      <protection hidden="1"/>
    </xf>
    <xf numFmtId="0" fontId="101" fillId="37" borderId="69" xfId="0" applyFont="1" applyFill="1" applyBorder="1" applyAlignment="1" applyProtection="1">
      <alignment horizontal="left" vertical="center"/>
      <protection hidden="1"/>
    </xf>
    <xf numFmtId="0" fontId="101" fillId="37" borderId="69" xfId="0" applyFont="1" applyFill="1" applyBorder="1" applyAlignment="1" applyProtection="1">
      <alignment horizontal="right" vertical="center"/>
      <protection hidden="1"/>
    </xf>
    <xf numFmtId="0" fontId="101" fillId="37" borderId="69" xfId="0" applyFont="1" applyFill="1" applyBorder="1" applyAlignment="1" applyProtection="1">
      <alignment vertical="center"/>
      <protection hidden="1"/>
    </xf>
    <xf numFmtId="0" fontId="106" fillId="37" borderId="69" xfId="0" applyFont="1" applyFill="1" applyBorder="1" applyAlignment="1" applyProtection="1">
      <alignment vertical="center"/>
      <protection hidden="1"/>
    </xf>
    <xf numFmtId="0" fontId="106" fillId="37" borderId="71" xfId="0" applyFont="1" applyFill="1" applyBorder="1" applyAlignment="1" applyProtection="1">
      <alignment vertical="center"/>
      <protection hidden="1"/>
    </xf>
    <xf numFmtId="0" fontId="4" fillId="33" borderId="59"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horizontal="right" vertical="center"/>
      <protection hidden="1"/>
    </xf>
    <xf numFmtId="184" fontId="64" fillId="33" borderId="60" xfId="0" applyNumberFormat="1" applyFont="1" applyFill="1" applyBorder="1" applyAlignment="1" applyProtection="1">
      <alignment horizontal="center" vertical="center"/>
      <protection hidden="1"/>
    </xf>
    <xf numFmtId="0" fontId="83" fillId="33" borderId="60" xfId="0" applyFont="1" applyFill="1" applyBorder="1" applyProtection="1">
      <alignment vertical="center"/>
      <protection hidden="1"/>
    </xf>
    <xf numFmtId="0" fontId="4" fillId="33" borderId="91"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horizontal="right" vertical="center"/>
      <protection hidden="1"/>
    </xf>
    <xf numFmtId="0" fontId="102" fillId="33" borderId="61" xfId="0" applyNumberFormat="1" applyFont="1" applyFill="1" applyBorder="1" applyAlignment="1" applyProtection="1">
      <alignment vertical="center"/>
      <protection hidden="1"/>
    </xf>
    <xf numFmtId="0" fontId="67" fillId="0" borderId="62"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4" xfId="0" applyNumberFormat="1" applyFont="1" applyFill="1" applyBorder="1" applyAlignment="1" applyProtection="1">
      <alignment horizontal="left" vertical="center"/>
      <protection locked="0"/>
    </xf>
    <xf numFmtId="0" fontId="84" fillId="0" borderId="0" xfId="0" applyFont="1" applyFill="1" applyBorder="1" applyAlignment="1" applyProtection="1">
      <alignment vertical="center"/>
      <protection hidden="1"/>
    </xf>
    <xf numFmtId="0" fontId="67" fillId="0" borderId="65" xfId="0" applyFont="1" applyFill="1" applyBorder="1" applyAlignment="1" applyProtection="1">
      <alignment horizontal="left" vertical="center"/>
      <protection hidden="1"/>
    </xf>
    <xf numFmtId="0" fontId="108" fillId="24" borderId="66" xfId="0" applyNumberFormat="1" applyFont="1" applyFill="1" applyBorder="1" applyAlignment="1" applyProtection="1">
      <alignment horizontal="left" vertical="center"/>
      <protection locked="0"/>
    </xf>
    <xf numFmtId="0" fontId="108" fillId="0" borderId="66" xfId="0" applyNumberFormat="1" applyFont="1" applyFill="1" applyBorder="1" applyAlignment="1" applyProtection="1">
      <alignment horizontal="right" vertical="center"/>
      <protection hidden="1"/>
    </xf>
    <xf numFmtId="0" fontId="108" fillId="24" borderId="83" xfId="0" applyNumberFormat="1" applyFont="1" applyFill="1" applyBorder="1" applyAlignment="1" applyProtection="1">
      <alignment horizontal="left" vertical="center"/>
      <protection locked="0"/>
    </xf>
    <xf numFmtId="0" fontId="40" fillId="0" borderId="66" xfId="0" applyFont="1" applyFill="1" applyBorder="1" applyAlignment="1" applyProtection="1">
      <alignment horizontal="left" vertical="top"/>
      <protection hidden="1"/>
    </xf>
    <xf numFmtId="0" fontId="40" fillId="0" borderId="67" xfId="0" applyFont="1" applyFill="1" applyBorder="1" applyAlignment="1" applyProtection="1">
      <alignment horizontal="left" vertical="top"/>
      <protection hidden="1"/>
    </xf>
    <xf numFmtId="0" fontId="56" fillId="0" borderId="0" xfId="0" applyFont="1" applyFill="1" applyProtection="1">
      <alignment vertical="center"/>
      <protection hidden="1"/>
    </xf>
    <xf numFmtId="0" fontId="109" fillId="0" borderId="52" xfId="0" quotePrefix="1" applyNumberFormat="1" applyFont="1" applyFill="1" applyBorder="1" applyAlignment="1" applyProtection="1">
      <alignment horizontal="left" vertical="center"/>
      <protection hidden="1"/>
    </xf>
    <xf numFmtId="0" fontId="110" fillId="0" borderId="53" xfId="0" applyFont="1" applyFill="1" applyBorder="1" applyAlignment="1" applyProtection="1">
      <alignment horizontal="right" vertical="center"/>
      <protection hidden="1"/>
    </xf>
    <xf numFmtId="0" fontId="59" fillId="0" borderId="53" xfId="0" applyFont="1" applyFill="1" applyBorder="1" applyAlignment="1" applyProtection="1">
      <alignment horizontal="right" vertical="center"/>
      <protection hidden="1"/>
    </xf>
    <xf numFmtId="0" fontId="110" fillId="0" borderId="53" xfId="0" quotePrefix="1" applyNumberFormat="1" applyFont="1" applyFill="1" applyBorder="1" applyAlignment="1" applyProtection="1">
      <alignment horizontal="left" vertical="center"/>
      <protection hidden="1"/>
    </xf>
    <xf numFmtId="0" fontId="56" fillId="0" borderId="53" xfId="0" applyFont="1" applyFill="1" applyBorder="1" applyProtection="1">
      <alignment vertical="center"/>
      <protection hidden="1"/>
    </xf>
    <xf numFmtId="0" fontId="110" fillId="0" borderId="53" xfId="0" quotePrefix="1" applyNumberFormat="1" applyFont="1" applyFill="1" applyBorder="1" applyAlignment="1" applyProtection="1">
      <alignment horizontal="center" vertical="center"/>
      <protection hidden="1"/>
    </xf>
    <xf numFmtId="0" fontId="110" fillId="0" borderId="53" xfId="0" applyFont="1" applyFill="1" applyBorder="1" applyAlignment="1" applyProtection="1">
      <alignment horizontal="center" vertical="center"/>
      <protection hidden="1"/>
    </xf>
    <xf numFmtId="0" fontId="110" fillId="0" borderId="53" xfId="0" applyFont="1" applyFill="1" applyBorder="1" applyAlignment="1" applyProtection="1">
      <alignment vertical="center"/>
      <protection hidden="1"/>
    </xf>
    <xf numFmtId="0" fontId="110" fillId="0" borderId="54" xfId="0" applyFont="1" applyFill="1" applyBorder="1" applyAlignment="1" applyProtection="1">
      <alignment vertical="center"/>
      <protection hidden="1"/>
    </xf>
    <xf numFmtId="0" fontId="109" fillId="0" borderId="64"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0" fillId="0" borderId="0" xfId="0" applyFont="1" applyBorder="1" applyAlignment="1" applyProtection="1">
      <alignment vertical="center"/>
      <protection hidden="1"/>
    </xf>
    <xf numFmtId="0" fontId="60"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7"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7"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7" fillId="0" borderId="17" xfId="0" applyFont="1" applyFill="1" applyBorder="1" applyAlignment="1" applyProtection="1">
      <alignment vertical="center"/>
      <protection hidden="1"/>
    </xf>
    <xf numFmtId="178" fontId="56" fillId="0" borderId="0" xfId="0" applyNumberFormat="1" applyFont="1" applyFill="1" applyBorder="1" applyProtection="1">
      <alignment vertical="center"/>
      <protection hidden="1"/>
    </xf>
    <xf numFmtId="0" fontId="59" fillId="0" borderId="64"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59" fillId="0" borderId="56" xfId="0" applyFont="1" applyFill="1" applyBorder="1" applyAlignment="1" applyProtection="1">
      <alignment horizontal="left" vertical="center"/>
      <protection hidden="1"/>
    </xf>
    <xf numFmtId="0" fontId="111" fillId="0" borderId="57" xfId="0" applyFont="1" applyFill="1" applyBorder="1" applyAlignment="1" applyProtection="1">
      <alignment horizontal="right" vertical="center"/>
      <protection hidden="1"/>
    </xf>
    <xf numFmtId="0" fontId="111" fillId="0" borderId="57" xfId="0" applyFont="1" applyFill="1" applyBorder="1" applyAlignment="1" applyProtection="1">
      <alignment horizontal="left" vertical="center"/>
      <protection hidden="1"/>
    </xf>
    <xf numFmtId="0" fontId="59" fillId="0" borderId="57" xfId="0" applyFont="1" applyBorder="1" applyAlignment="1" applyProtection="1">
      <alignment vertical="center"/>
      <protection hidden="1"/>
    </xf>
    <xf numFmtId="0" fontId="60" fillId="0" borderId="57" xfId="0" applyFont="1" applyBorder="1" applyAlignment="1" applyProtection="1">
      <alignment vertical="center"/>
      <protection hidden="1"/>
    </xf>
    <xf numFmtId="0" fontId="112" fillId="0" borderId="57" xfId="0" applyFont="1" applyFill="1" applyBorder="1" applyAlignment="1" applyProtection="1">
      <alignment vertical="center"/>
      <protection hidden="1"/>
    </xf>
    <xf numFmtId="0" fontId="60" fillId="0" borderId="57" xfId="0" applyFont="1" applyBorder="1" applyAlignment="1" applyProtection="1">
      <alignment horizontal="center" vertical="center"/>
      <protection hidden="1"/>
    </xf>
    <xf numFmtId="0" fontId="67" fillId="0" borderId="57" xfId="0" applyFont="1" applyBorder="1" applyAlignment="1" applyProtection="1">
      <alignment vertical="center"/>
      <protection hidden="1"/>
    </xf>
    <xf numFmtId="0" fontId="67" fillId="0" borderId="58" xfId="0" applyFont="1" applyFill="1" applyBorder="1" applyAlignment="1" applyProtection="1">
      <alignment vertical="center"/>
      <protection hidden="1"/>
    </xf>
    <xf numFmtId="0" fontId="59"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7"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115" fillId="37" borderId="59" xfId="0" applyNumberFormat="1" applyFont="1" applyFill="1" applyBorder="1" applyAlignment="1" applyProtection="1">
      <alignment vertical="center"/>
      <protection hidden="1"/>
    </xf>
    <xf numFmtId="0" fontId="116" fillId="37" borderId="60" xfId="0" applyFont="1" applyFill="1" applyBorder="1" applyAlignment="1" applyProtection="1">
      <alignment horizontal="left" vertical="center"/>
      <protection hidden="1"/>
    </xf>
    <xf numFmtId="0" fontId="116" fillId="37" borderId="60" xfId="0" applyFont="1" applyFill="1" applyBorder="1" applyAlignment="1" applyProtection="1">
      <alignment vertical="center"/>
      <protection hidden="1"/>
    </xf>
    <xf numFmtId="0" fontId="115" fillId="37" borderId="60" xfId="0" applyNumberFormat="1" applyFont="1" applyFill="1" applyBorder="1" applyAlignment="1" applyProtection="1">
      <alignment vertical="center"/>
      <protection hidden="1"/>
    </xf>
    <xf numFmtId="0" fontId="117" fillId="37" borderId="61" xfId="0" applyFont="1" applyFill="1" applyBorder="1" applyAlignment="1" applyProtection="1">
      <alignment vertical="center"/>
      <protection hidden="1"/>
    </xf>
    <xf numFmtId="0" fontId="28" fillId="0" borderId="0" xfId="0" applyFont="1" applyFill="1" applyProtection="1">
      <alignment vertical="center"/>
      <protection hidden="1"/>
    </xf>
    <xf numFmtId="182" fontId="37" fillId="0" borderId="0" xfId="0" applyNumberFormat="1" applyFont="1" applyFill="1" applyAlignment="1" applyProtection="1">
      <alignment horizontal="left"/>
      <protection hidden="1"/>
    </xf>
    <xf numFmtId="0" fontId="6" fillId="0" borderId="0" xfId="0"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top"/>
      <protection hidden="1"/>
    </xf>
    <xf numFmtId="0" fontId="119" fillId="0" borderId="69" xfId="0" applyFont="1" applyFill="1" applyBorder="1" applyAlignment="1" applyProtection="1">
      <alignment horizontal="center" vertical="center"/>
      <protection hidden="1"/>
    </xf>
    <xf numFmtId="0" fontId="28" fillId="39" borderId="10" xfId="0" applyFont="1" applyFill="1" applyBorder="1" applyProtection="1">
      <alignment vertical="center"/>
      <protection hidden="1"/>
    </xf>
    <xf numFmtId="0" fontId="37" fillId="0" borderId="0" xfId="0" applyFont="1" applyFill="1" applyBorder="1" applyAlignment="1" applyProtection="1">
      <alignment vertical="top"/>
      <protection hidden="1"/>
    </xf>
    <xf numFmtId="186" fontId="34"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0" fontId="26" fillId="0" borderId="0" xfId="0" applyFont="1" applyFill="1" applyBorder="1" applyAlignment="1" applyProtection="1">
      <alignment horizontal="center" vertical="justify"/>
      <protection hidden="1"/>
    </xf>
    <xf numFmtId="0" fontId="120" fillId="0" borderId="0" xfId="0" applyFont="1" applyFill="1" applyProtection="1">
      <alignment vertical="center"/>
      <protection hidden="1"/>
    </xf>
    <xf numFmtId="0" fontId="121" fillId="0" borderId="0" xfId="0" applyFont="1" applyFill="1" applyAlignment="1" applyProtection="1">
      <alignment horizontal="left"/>
      <protection hidden="1"/>
    </xf>
    <xf numFmtId="0" fontId="122" fillId="0" borderId="0" xfId="0" applyFont="1" applyFill="1" applyProtection="1">
      <alignment vertical="center"/>
      <protection hidden="1"/>
    </xf>
    <xf numFmtId="0" fontId="6" fillId="0" borderId="0" xfId="0" applyFont="1" applyFill="1" applyProtection="1">
      <alignment vertical="center"/>
      <protection hidden="1"/>
    </xf>
    <xf numFmtId="182" fontId="107" fillId="0" borderId="0" xfId="0" applyNumberFormat="1" applyFont="1" applyFill="1" applyAlignment="1" applyProtection="1">
      <alignment horizontal="left"/>
      <protection hidden="1"/>
    </xf>
    <xf numFmtId="0" fontId="23" fillId="0" borderId="0" xfId="0" applyFont="1" applyFill="1" applyProtection="1">
      <alignment vertical="center"/>
      <protection hidden="1"/>
    </xf>
    <xf numFmtId="0" fontId="85" fillId="37" borderId="69" xfId="0" applyFont="1" applyFill="1" applyBorder="1" applyAlignment="1" applyProtection="1">
      <alignment horizontal="left" vertical="center"/>
      <protection hidden="1"/>
    </xf>
    <xf numFmtId="0" fontId="123" fillId="37" borderId="69" xfId="0" applyFont="1" applyFill="1" applyBorder="1" applyAlignment="1" applyProtection="1">
      <alignment vertical="center"/>
      <protection hidden="1"/>
    </xf>
    <xf numFmtId="0" fontId="31" fillId="37" borderId="69" xfId="0" applyNumberFormat="1" applyFont="1" applyFill="1" applyBorder="1" applyAlignment="1" applyProtection="1">
      <alignment horizontal="left" vertical="center"/>
      <protection hidden="1"/>
    </xf>
    <xf numFmtId="182" fontId="37" fillId="37" borderId="69" xfId="0" applyNumberFormat="1" applyFont="1" applyFill="1" applyBorder="1" applyAlignment="1" applyProtection="1">
      <alignment horizontal="left" vertical="center"/>
      <protection hidden="1"/>
    </xf>
    <xf numFmtId="182" fontId="37" fillId="37" borderId="60" xfId="0" applyNumberFormat="1" applyFont="1" applyFill="1" applyBorder="1" applyAlignment="1" applyProtection="1">
      <alignment horizontal="left" vertical="center"/>
      <protection hidden="1"/>
    </xf>
    <xf numFmtId="185" fontId="31" fillId="37" borderId="71" xfId="0" applyNumberFormat="1" applyFont="1" applyFill="1" applyBorder="1" applyAlignment="1" applyProtection="1">
      <alignment vertical="center"/>
      <protection hidden="1"/>
    </xf>
    <xf numFmtId="187" fontId="53" fillId="0" borderId="0" xfId="0" applyNumberFormat="1" applyFont="1" applyFill="1" applyAlignment="1" applyProtection="1">
      <alignment horizontal="center"/>
      <protection hidden="1"/>
    </xf>
    <xf numFmtId="0" fontId="26" fillId="0" borderId="26"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0" fontId="23" fillId="27" borderId="59" xfId="0" applyNumberFormat="1" applyFont="1" applyFill="1" applyBorder="1" applyAlignment="1" applyProtection="1">
      <alignment vertical="center"/>
      <protection hidden="1"/>
    </xf>
    <xf numFmtId="0" fontId="85" fillId="27" borderId="60" xfId="0" applyFont="1" applyFill="1" applyBorder="1" applyAlignment="1" applyProtection="1">
      <alignment horizontal="left" vertical="center"/>
      <protection hidden="1"/>
    </xf>
    <xf numFmtId="0" fontId="118" fillId="27" borderId="60" xfId="0" applyFont="1" applyFill="1" applyBorder="1" applyAlignment="1" applyProtection="1">
      <alignment vertical="center"/>
      <protection hidden="1"/>
    </xf>
    <xf numFmtId="0" fontId="119" fillId="27" borderId="60" xfId="0" applyFont="1" applyFill="1" applyBorder="1" applyAlignment="1" applyProtection="1">
      <alignment vertical="center"/>
      <protection hidden="1"/>
    </xf>
    <xf numFmtId="0" fontId="119" fillId="27" borderId="61" xfId="0" applyFont="1" applyFill="1" applyBorder="1" applyAlignment="1" applyProtection="1">
      <alignment vertical="center"/>
      <protection hidden="1"/>
    </xf>
    <xf numFmtId="0" fontId="119" fillId="27" borderId="60" xfId="0" applyFont="1" applyFill="1" applyBorder="1" applyAlignment="1" applyProtection="1">
      <alignment horizontal="center" vertical="center"/>
      <protection hidden="1"/>
    </xf>
    <xf numFmtId="182" fontId="23" fillId="27" borderId="59" xfId="0" applyNumberFormat="1" applyFont="1" applyFill="1" applyBorder="1" applyAlignment="1" applyProtection="1">
      <alignment horizontal="centerContinuous" vertical="center"/>
      <protection hidden="1"/>
    </xf>
    <xf numFmtId="182" fontId="23" fillId="27" borderId="60" xfId="0" applyNumberFormat="1" applyFont="1" applyFill="1" applyBorder="1" applyAlignment="1" applyProtection="1">
      <alignment horizontal="centerContinuous" vertical="center"/>
      <protection hidden="1"/>
    </xf>
    <xf numFmtId="0" fontId="28" fillId="27" borderId="26" xfId="0" applyFont="1" applyFill="1" applyBorder="1" applyAlignment="1" applyProtection="1">
      <alignment horizontal="centerContinuous" vertical="center"/>
      <protection hidden="1"/>
    </xf>
    <xf numFmtId="0" fontId="6" fillId="27" borderId="27" xfId="0" applyFont="1" applyFill="1" applyBorder="1" applyAlignment="1" applyProtection="1">
      <alignment horizontal="centerContinuous" vertical="center"/>
      <protection hidden="1"/>
    </xf>
    <xf numFmtId="0" fontId="6" fillId="27" borderId="50" xfId="0" applyFont="1" applyFill="1" applyBorder="1" applyAlignment="1" applyProtection="1">
      <alignment horizontal="centerContinuous" vertical="center"/>
      <protection hidden="1"/>
    </xf>
    <xf numFmtId="0" fontId="6" fillId="27" borderId="92" xfId="0" applyFont="1" applyFill="1" applyBorder="1" applyAlignment="1" applyProtection="1">
      <alignment horizontal="center" vertical="distributed"/>
      <protection hidden="1"/>
    </xf>
    <xf numFmtId="0" fontId="28" fillId="0" borderId="26" xfId="0" applyFont="1" applyFill="1" applyBorder="1" applyProtection="1">
      <alignment vertical="center"/>
      <protection hidden="1"/>
    </xf>
    <xf numFmtId="0" fontId="26" fillId="0" borderId="27" xfId="0" applyFont="1" applyFill="1" applyBorder="1" applyAlignment="1" applyProtection="1">
      <alignment horizontal="center" vertical="justify"/>
      <protection hidden="1"/>
    </xf>
    <xf numFmtId="0" fontId="28" fillId="0" borderId="50" xfId="0" applyFont="1" applyFill="1" applyBorder="1" applyProtection="1">
      <alignment vertical="center"/>
      <protection hidden="1"/>
    </xf>
    <xf numFmtId="0" fontId="29" fillId="0" borderId="10" xfId="0" applyFont="1" applyFill="1" applyBorder="1" applyProtection="1">
      <alignment vertical="center"/>
      <protection hidden="1"/>
    </xf>
    <xf numFmtId="0" fontId="119" fillId="27" borderId="57" xfId="0" applyFont="1" applyFill="1" applyBorder="1" applyAlignment="1" applyProtection="1">
      <alignment horizontal="center" vertical="top"/>
      <protection hidden="1"/>
    </xf>
    <xf numFmtId="182" fontId="23" fillId="27" borderId="77" xfId="0" applyNumberFormat="1" applyFont="1" applyFill="1" applyBorder="1" applyAlignment="1" applyProtection="1">
      <alignment horizontal="centerContinuous" vertical="top"/>
      <protection hidden="1"/>
    </xf>
    <xf numFmtId="182" fontId="23" fillId="27" borderId="57" xfId="0" applyNumberFormat="1" applyFont="1" applyFill="1" applyBorder="1" applyAlignment="1" applyProtection="1">
      <alignment horizontal="centerContinuous" vertical="top"/>
      <protection hidden="1"/>
    </xf>
    <xf numFmtId="182" fontId="23" fillId="27" borderId="58" xfId="0" applyNumberFormat="1" applyFont="1" applyFill="1" applyBorder="1" applyAlignment="1" applyProtection="1">
      <alignment horizontal="centerContinuous" vertical="top"/>
      <protection hidden="1"/>
    </xf>
    <xf numFmtId="185" fontId="26" fillId="27" borderId="93" xfId="0" applyNumberFormat="1" applyFont="1" applyFill="1" applyBorder="1" applyAlignment="1" applyProtection="1">
      <alignment horizontal="center" vertical="center" wrapText="1"/>
      <protection hidden="1"/>
    </xf>
    <xf numFmtId="185" fontId="85" fillId="27" borderId="94" xfId="0" applyNumberFormat="1" applyFont="1" applyFill="1" applyBorder="1" applyAlignment="1" applyProtection="1">
      <alignment horizontal="center" vertical="center" wrapText="1"/>
      <protection hidden="1"/>
    </xf>
    <xf numFmtId="185" fontId="26" fillId="27" borderId="57" xfId="0" applyNumberFormat="1" applyFont="1" applyFill="1" applyBorder="1" applyAlignment="1" applyProtection="1">
      <alignment horizontal="center" vertical="center" wrapText="1"/>
      <protection hidden="1"/>
    </xf>
    <xf numFmtId="185" fontId="85" fillId="27" borderId="95" xfId="0" applyNumberFormat="1" applyFont="1" applyFill="1" applyBorder="1" applyAlignment="1" applyProtection="1">
      <alignment horizontal="center" vertical="center" wrapText="1"/>
      <protection hidden="1"/>
    </xf>
    <xf numFmtId="185" fontId="15" fillId="27" borderId="96" xfId="0" applyNumberFormat="1" applyFont="1" applyFill="1" applyBorder="1" applyAlignment="1" applyProtection="1">
      <alignment horizontal="center" vertical="top" wrapText="1"/>
      <protection hidden="1"/>
    </xf>
    <xf numFmtId="0" fontId="28" fillId="27" borderId="10" xfId="0" applyFont="1" applyFill="1" applyBorder="1" applyAlignment="1" applyProtection="1">
      <alignment horizontal="center" vertical="center" shrinkToFit="1"/>
      <protection hidden="1"/>
    </xf>
    <xf numFmtId="187" fontId="39" fillId="40" borderId="55" xfId="0" applyNumberFormat="1" applyFont="1" applyFill="1" applyBorder="1" applyAlignment="1" applyProtection="1">
      <alignment horizontal="left" vertical="center" wrapText="1"/>
      <protection hidden="1"/>
    </xf>
    <xf numFmtId="0" fontId="28" fillId="0" borderId="55" xfId="0" applyFont="1" applyFill="1" applyBorder="1" applyAlignment="1" applyProtection="1">
      <alignment horizontal="center" vertical="justify"/>
      <protection hidden="1"/>
    </xf>
    <xf numFmtId="0" fontId="28" fillId="0" borderId="10" xfId="0" applyFont="1" applyFill="1" applyBorder="1" applyAlignment="1" applyProtection="1">
      <alignment horizontal="center" vertical="justify"/>
      <protection hidden="1"/>
    </xf>
    <xf numFmtId="0" fontId="125" fillId="33" borderId="0" xfId="0" applyFont="1" applyFill="1" applyBorder="1" applyProtection="1">
      <alignment vertical="center"/>
      <protection hidden="1"/>
    </xf>
    <xf numFmtId="182" fontId="37" fillId="33" borderId="62"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protection hidden="1"/>
    </xf>
    <xf numFmtId="182" fontId="37" fillId="33" borderId="97" xfId="0" applyNumberFormat="1" applyFont="1" applyFill="1" applyBorder="1" applyAlignment="1" applyProtection="1">
      <alignment horizontal="left"/>
      <protection hidden="1"/>
    </xf>
    <xf numFmtId="198" fontId="102" fillId="33" borderId="98" xfId="0" applyNumberFormat="1" applyFont="1" applyFill="1" applyBorder="1" applyAlignment="1" applyProtection="1">
      <alignment horizontal="center" vertical="center"/>
      <protection hidden="1"/>
    </xf>
    <xf numFmtId="185" fontId="29" fillId="33" borderId="0" xfId="0" applyNumberFormat="1" applyFont="1" applyFill="1" applyBorder="1" applyAlignment="1" applyProtection="1">
      <alignment horizontal="center" vertical="center"/>
      <protection hidden="1"/>
    </xf>
    <xf numFmtId="198" fontId="102" fillId="33" borderId="99" xfId="0" applyNumberFormat="1" applyFont="1" applyFill="1" applyBorder="1" applyAlignment="1" applyProtection="1">
      <alignment horizontal="center" vertical="center"/>
      <protection hidden="1"/>
    </xf>
    <xf numFmtId="185" fontId="64" fillId="33" borderId="100" xfId="0" applyNumberFormat="1" applyFont="1" applyFill="1" applyBorder="1" applyAlignment="1" applyProtection="1">
      <alignment horizontal="center" vertical="center"/>
      <protection hidden="1"/>
    </xf>
    <xf numFmtId="0" fontId="53" fillId="0" borderId="10" xfId="0" applyNumberFormat="1" applyFont="1" applyFill="1" applyBorder="1" applyAlignment="1" applyProtection="1">
      <alignment horizontal="center" vertical="center" wrapText="1"/>
      <protection hidden="1"/>
    </xf>
    <xf numFmtId="0" fontId="26" fillId="0" borderId="10" xfId="0" applyNumberFormat="1" applyFont="1" applyFill="1" applyBorder="1" applyAlignment="1" applyProtection="1">
      <alignment horizontal="center" vertical="justify"/>
      <protection hidden="1"/>
    </xf>
    <xf numFmtId="0" fontId="23" fillId="31" borderId="101" xfId="0" applyFont="1" applyFill="1" applyBorder="1" applyAlignment="1" applyProtection="1">
      <alignment vertical="center"/>
      <protection hidden="1"/>
    </xf>
    <xf numFmtId="0" fontId="23" fillId="31" borderId="102" xfId="0" applyNumberFormat="1" applyFont="1" applyFill="1" applyBorder="1" applyAlignment="1" applyProtection="1">
      <alignment horizontal="left" vertical="center"/>
      <protection hidden="1"/>
    </xf>
    <xf numFmtId="0" fontId="33" fillId="31" borderId="103" xfId="0" applyNumberFormat="1" applyFont="1" applyFill="1" applyBorder="1" applyAlignment="1" applyProtection="1">
      <alignment horizontal="left" vertical="center"/>
      <protection hidden="1"/>
    </xf>
    <xf numFmtId="0" fontId="126" fillId="31" borderId="102" xfId="0" applyNumberFormat="1" applyFont="1" applyFill="1" applyBorder="1" applyAlignment="1" applyProtection="1">
      <alignment horizontal="center" vertical="center"/>
      <protection hidden="1"/>
    </xf>
    <xf numFmtId="182" fontId="37" fillId="31" borderId="104"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protection hidden="1"/>
    </xf>
    <xf numFmtId="182" fontId="37" fillId="31" borderId="105" xfId="0" applyNumberFormat="1" applyFont="1" applyFill="1" applyBorder="1" applyAlignment="1" applyProtection="1">
      <alignment horizontal="left"/>
      <protection hidden="1"/>
    </xf>
    <xf numFmtId="198" fontId="127" fillId="31" borderId="106" xfId="0" applyNumberFormat="1" applyFont="1" applyFill="1" applyBorder="1" applyAlignment="1" applyProtection="1">
      <alignment horizontal="center" vertical="center"/>
      <protection hidden="1"/>
    </xf>
    <xf numFmtId="185" fontId="128" fillId="31" borderId="102" xfId="0" applyNumberFormat="1" applyFont="1" applyFill="1" applyBorder="1" applyAlignment="1" applyProtection="1">
      <alignment horizontal="center" vertical="center"/>
      <protection hidden="1"/>
    </xf>
    <xf numFmtId="198" fontId="127" fillId="31" borderId="107" xfId="0" applyNumberFormat="1" applyFont="1" applyFill="1" applyBorder="1" applyAlignment="1" applyProtection="1">
      <alignment horizontal="center" vertical="center"/>
      <protection hidden="1"/>
    </xf>
    <xf numFmtId="185"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29" fillId="0" borderId="51" xfId="0" applyFont="1" applyFill="1" applyBorder="1" applyProtection="1">
      <alignment vertical="center"/>
      <protection hidden="1"/>
    </xf>
    <xf numFmtId="0" fontId="23"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protection hidden="1"/>
    </xf>
    <xf numFmtId="185" fontId="36" fillId="27" borderId="110" xfId="0" applyNumberFormat="1" applyFont="1" applyFill="1" applyBorder="1" applyAlignment="1" applyProtection="1">
      <alignment horizontal="center" vertical="center"/>
      <protection hidden="1"/>
    </xf>
    <xf numFmtId="198" fontId="130" fillId="27" borderId="98" xfId="0" applyNumberFormat="1" applyFont="1" applyFill="1" applyBorder="1" applyAlignment="1" applyProtection="1">
      <alignment horizontal="center" vertical="center"/>
      <protection hidden="1"/>
    </xf>
    <xf numFmtId="198" fontId="130" fillId="27" borderId="99" xfId="0" applyNumberFormat="1" applyFont="1" applyFill="1" applyBorder="1" applyAlignment="1" applyProtection="1">
      <alignment horizontal="center" vertical="center"/>
      <protection hidden="1"/>
    </xf>
    <xf numFmtId="185" fontId="127" fillId="27" borderId="100" xfId="0" applyNumberFormat="1" applyFont="1" applyFill="1" applyBorder="1" applyAlignment="1" applyProtection="1">
      <alignment horizontal="center" vertical="center"/>
      <protection hidden="1"/>
    </xf>
    <xf numFmtId="0" fontId="36" fillId="27" borderId="10" xfId="0" applyNumberFormat="1" applyFont="1" applyFill="1" applyBorder="1" applyAlignment="1" applyProtection="1">
      <alignment horizontal="center" vertical="center"/>
      <protection hidden="1"/>
    </xf>
    <xf numFmtId="0" fontId="130" fillId="0" borderId="10" xfId="0" applyNumberFormat="1" applyFont="1" applyFill="1" applyBorder="1" applyAlignment="1" applyProtection="1">
      <alignment horizontal="center" vertical="center"/>
      <protection hidden="1"/>
    </xf>
    <xf numFmtId="0" fontId="29" fillId="41" borderId="10" xfId="0" applyFont="1" applyFill="1" applyBorder="1" applyAlignment="1" applyProtection="1">
      <alignment horizontal="center" vertical="center"/>
      <protection hidden="1"/>
    </xf>
    <xf numFmtId="0" fontId="29" fillId="41" borderId="10" xfId="0" applyFont="1" applyFill="1" applyBorder="1" applyProtection="1">
      <alignment vertical="center"/>
      <protection hidden="1"/>
    </xf>
    <xf numFmtId="0" fontId="126" fillId="27" borderId="62" xfId="0" applyFont="1" applyFill="1" applyBorder="1" applyAlignment="1" applyProtection="1">
      <alignment horizontal="center"/>
      <protection hidden="1"/>
    </xf>
    <xf numFmtId="0" fontId="23" fillId="27" borderId="52" xfId="0" applyFont="1" applyFill="1" applyBorder="1" applyAlignment="1" applyProtection="1">
      <alignment vertical="center"/>
      <protection hidden="1"/>
    </xf>
    <xf numFmtId="0" fontId="33" fillId="27" borderId="53" xfId="0" applyFont="1" applyFill="1" applyBorder="1" applyAlignment="1" applyProtection="1">
      <alignment vertical="center"/>
      <protection hidden="1"/>
    </xf>
    <xf numFmtId="0" fontId="33" fillId="27" borderId="50" xfId="0" applyFont="1" applyFill="1" applyBorder="1" applyAlignment="1" applyProtection="1">
      <alignment vertical="center"/>
      <protection hidden="1"/>
    </xf>
    <xf numFmtId="0" fontId="33" fillId="27" borderId="82" xfId="0" applyFont="1" applyFill="1" applyBorder="1" applyAlignment="1" applyProtection="1">
      <alignment vertical="center"/>
      <protection hidden="1"/>
    </xf>
    <xf numFmtId="0" fontId="107" fillId="0" borderId="0" xfId="0" quotePrefix="1" applyNumberFormat="1" applyFont="1" applyFill="1" applyBorder="1" applyAlignment="1" applyProtection="1">
      <alignment horizontal="center" vertical="center"/>
      <protection hidden="1"/>
    </xf>
    <xf numFmtId="185" fontId="36" fillId="27" borderId="111" xfId="0" applyNumberFormat="1" applyFont="1" applyFill="1" applyBorder="1" applyAlignment="1" applyProtection="1">
      <alignment horizontal="center" vertical="center"/>
      <protection hidden="1"/>
    </xf>
    <xf numFmtId="198" fontId="130" fillId="27" borderId="53" xfId="0" applyNumberFormat="1" applyFont="1" applyFill="1" applyBorder="1" applyAlignment="1" applyProtection="1">
      <alignment horizontal="center" vertical="center"/>
      <protection hidden="1"/>
    </xf>
    <xf numFmtId="185" fontId="127" fillId="27" borderId="112" xfId="0" applyNumberFormat="1" applyFont="1" applyFill="1" applyBorder="1" applyAlignment="1" applyProtection="1">
      <alignment horizontal="center" vertical="center"/>
      <protection hidden="1"/>
    </xf>
    <xf numFmtId="0" fontId="28" fillId="0" borderId="66" xfId="0" applyFont="1" applyFill="1" applyBorder="1" applyAlignment="1" applyProtection="1">
      <alignment horizontal="center" vertical="justify"/>
      <protection hidden="1"/>
    </xf>
    <xf numFmtId="0" fontId="131" fillId="27" borderId="64" xfId="29" applyFont="1" applyFill="1" applyBorder="1" applyAlignment="1" applyProtection="1">
      <alignment horizontal="center" vertical="center"/>
      <protection hidden="1"/>
    </xf>
    <xf numFmtId="0" fontId="33" fillId="27" borderId="10" xfId="0" applyFont="1" applyFill="1" applyBorder="1" applyAlignment="1" applyProtection="1">
      <alignment horizontal="center" vertical="center"/>
      <protection hidden="1"/>
    </xf>
    <xf numFmtId="0" fontId="33" fillId="27" borderId="57" xfId="0" applyFont="1" applyFill="1" applyBorder="1" applyAlignment="1" applyProtection="1">
      <alignment vertical="center"/>
      <protection hidden="1"/>
    </xf>
    <xf numFmtId="0" fontId="33" fillId="27" borderId="79" xfId="0" applyFont="1" applyFill="1" applyBorder="1" applyAlignment="1" applyProtection="1">
      <alignment vertical="center"/>
      <protection hidden="1"/>
    </xf>
    <xf numFmtId="185" fontId="29" fillId="0" borderId="92" xfId="0" applyNumberFormat="1" applyFont="1" applyFill="1" applyBorder="1" applyAlignment="1" applyProtection="1">
      <alignment horizontal="center" vertical="center"/>
      <protection hidden="1"/>
    </xf>
    <xf numFmtId="198" fontId="130" fillId="27" borderId="0" xfId="0" applyNumberFormat="1" applyFont="1" applyFill="1" applyBorder="1" applyAlignment="1" applyProtection="1">
      <alignment horizontal="center" vertical="center"/>
      <protection hidden="1"/>
    </xf>
    <xf numFmtId="177" fontId="29" fillId="0" borderId="113" xfId="0" applyNumberFormat="1" applyFont="1" applyFill="1" applyBorder="1" applyAlignment="1" applyProtection="1">
      <alignment horizontal="center" vertical="center"/>
      <protection hidden="1"/>
    </xf>
    <xf numFmtId="177" fontId="29" fillId="0" borderId="114" xfId="0" applyNumberFormat="1" applyFont="1" applyFill="1" applyBorder="1" applyAlignment="1" applyProtection="1">
      <alignment horizontal="center" vertical="center"/>
      <protection hidden="1"/>
    </xf>
    <xf numFmtId="177" fontId="53"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3" fillId="27" borderId="26" xfId="0" applyFont="1" applyFill="1" applyBorder="1" applyAlignment="1" applyProtection="1">
      <alignment vertical="center"/>
      <protection hidden="1"/>
    </xf>
    <xf numFmtId="0" fontId="107" fillId="0" borderId="57" xfId="0" quotePrefix="1" applyNumberFormat="1" applyFont="1" applyFill="1" applyBorder="1" applyAlignment="1" applyProtection="1">
      <alignment horizontal="center" vertical="center"/>
      <protection hidden="1"/>
    </xf>
    <xf numFmtId="185" fontId="29" fillId="0" borderId="115" xfId="0" applyNumberFormat="1" applyFont="1" applyFill="1" applyBorder="1" applyAlignment="1" applyProtection="1">
      <alignment horizontal="center" vertical="center"/>
      <protection hidden="1"/>
    </xf>
    <xf numFmtId="177" fontId="29" fillId="0" borderId="116" xfId="0" applyNumberFormat="1" applyFont="1" applyFill="1" applyBorder="1" applyAlignment="1" applyProtection="1">
      <alignment horizontal="center" vertical="center"/>
      <protection hidden="1"/>
    </xf>
    <xf numFmtId="177" fontId="29" fillId="0" borderId="117" xfId="0" applyNumberFormat="1" applyFont="1" applyFill="1" applyBorder="1" applyAlignment="1" applyProtection="1">
      <alignment horizontal="center" vertical="center"/>
      <protection hidden="1"/>
    </xf>
    <xf numFmtId="0" fontId="23" fillId="27" borderId="64" xfId="0" applyFont="1" applyFill="1" applyBorder="1" applyAlignment="1" applyProtection="1">
      <alignment vertical="center"/>
      <protection hidden="1"/>
    </xf>
    <xf numFmtId="0" fontId="33" fillId="27" borderId="0" xfId="0" applyFont="1" applyFill="1" applyBorder="1" applyAlignment="1" applyProtection="1">
      <alignment vertical="center"/>
      <protection hidden="1"/>
    </xf>
    <xf numFmtId="0" fontId="33" fillId="27" borderId="63" xfId="0" applyFont="1" applyFill="1" applyBorder="1" applyAlignment="1" applyProtection="1">
      <alignment vertical="center"/>
      <protection hidden="1"/>
    </xf>
    <xf numFmtId="0" fontId="28" fillId="0" borderId="69" xfId="0" applyFont="1" applyFill="1" applyBorder="1" applyAlignment="1" applyProtection="1">
      <alignment horizontal="center" vertical="justify"/>
      <protection hidden="1"/>
    </xf>
    <xf numFmtId="185" fontId="29" fillId="0" borderId="100" xfId="0" applyNumberFormat="1" applyFont="1" applyFill="1" applyBorder="1" applyAlignment="1" applyProtection="1">
      <alignment horizontal="center" vertical="center"/>
      <protection hidden="1"/>
    </xf>
    <xf numFmtId="177" fontId="29" fillId="0" borderId="118" xfId="0" applyNumberFormat="1" applyFont="1" applyFill="1" applyBorder="1" applyAlignment="1" applyProtection="1">
      <alignment horizontal="center" vertical="center"/>
      <protection hidden="1"/>
    </xf>
    <xf numFmtId="177" fontId="29" fillId="0" borderId="119" xfId="0" applyNumberFormat="1" applyFont="1" applyFill="1" applyBorder="1" applyAlignment="1" applyProtection="1">
      <alignment horizontal="center" vertical="center"/>
      <protection hidden="1"/>
    </xf>
    <xf numFmtId="0" fontId="126" fillId="27" borderId="120" xfId="0" applyFont="1" applyFill="1" applyBorder="1" applyAlignment="1" applyProtection="1">
      <alignment horizontal="center"/>
      <protection hidden="1"/>
    </xf>
    <xf numFmtId="0" fontId="23" fillId="27" borderId="26" xfId="0" applyFont="1" applyFill="1" applyBorder="1" applyAlignment="1" applyProtection="1">
      <alignment vertical="center"/>
      <protection hidden="1"/>
    </xf>
    <xf numFmtId="185" fontId="36"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5" fontId="36" fillId="27" borderId="93" xfId="0" applyNumberFormat="1" applyFont="1" applyFill="1" applyBorder="1" applyAlignment="1" applyProtection="1">
      <alignment horizontal="center" vertical="center"/>
      <protection hidden="1"/>
    </xf>
    <xf numFmtId="198" fontId="130" fillId="27" borderId="121" xfId="0" applyNumberFormat="1" applyFont="1" applyFill="1" applyBorder="1" applyAlignment="1" applyProtection="1">
      <alignment horizontal="center" vertical="center"/>
      <protection hidden="1"/>
    </xf>
    <xf numFmtId="198" fontId="130" fillId="27" borderId="122" xfId="0" applyNumberFormat="1" applyFont="1" applyFill="1" applyBorder="1" applyAlignment="1" applyProtection="1">
      <alignment horizontal="center" vertical="center"/>
      <protection hidden="1"/>
    </xf>
    <xf numFmtId="185" fontId="127" fillId="27" borderId="123" xfId="0" applyNumberFormat="1" applyFont="1" applyFill="1" applyBorder="1" applyAlignment="1" applyProtection="1">
      <alignment horizontal="center" vertical="center"/>
      <protection hidden="1"/>
    </xf>
    <xf numFmtId="0" fontId="28" fillId="0" borderId="60" xfId="0" applyFont="1" applyFill="1" applyBorder="1" applyAlignment="1" applyProtection="1">
      <alignment horizontal="center" vertical="justify"/>
      <protection hidden="1"/>
    </xf>
    <xf numFmtId="0" fontId="33"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8" fontId="130" fillId="27" borderId="124" xfId="0" applyNumberFormat="1" applyFont="1" applyFill="1" applyBorder="1" applyAlignment="1" applyProtection="1">
      <alignment horizontal="center" vertical="center"/>
      <protection hidden="1"/>
    </xf>
    <xf numFmtId="185" fontId="36" fillId="27" borderId="53" xfId="0" applyNumberFormat="1" applyFont="1" applyFill="1" applyBorder="1" applyAlignment="1" applyProtection="1">
      <alignment horizontal="center" vertical="center"/>
      <protection hidden="1"/>
    </xf>
    <xf numFmtId="198"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53" fillId="40" borderId="10" xfId="0" applyNumberFormat="1" applyFont="1" applyFill="1" applyBorder="1" applyAlignment="1" applyProtection="1">
      <alignment horizontal="center" vertical="center"/>
      <protection hidden="1"/>
    </xf>
    <xf numFmtId="0" fontId="129" fillId="27" borderId="50" xfId="0" applyFont="1" applyFill="1" applyBorder="1" applyAlignment="1" applyProtection="1">
      <alignment vertical="center"/>
      <protection hidden="1"/>
    </xf>
    <xf numFmtId="185" fontId="36"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38" fillId="0" borderId="0" xfId="0" quotePrefix="1" applyNumberFormat="1" applyFont="1" applyFill="1" applyBorder="1" applyAlignment="1" applyProtection="1">
      <alignment horizontal="center" vertical="center"/>
      <protection hidden="1"/>
    </xf>
    <xf numFmtId="185" fontId="134" fillId="27" borderId="100" xfId="0" applyNumberFormat="1" applyFont="1" applyFill="1" applyBorder="1" applyAlignment="1" applyProtection="1">
      <alignment horizontal="center" vertical="center"/>
      <protection hidden="1"/>
    </xf>
    <xf numFmtId="0" fontId="135" fillId="0" borderId="0" xfId="0" applyFont="1" applyFill="1" applyBorder="1" applyAlignment="1" applyProtection="1">
      <alignment horizontal="center" vertical="justify"/>
      <protection hidden="1"/>
    </xf>
    <xf numFmtId="0" fontId="53" fillId="0" borderId="10" xfId="0" applyNumberFormat="1" applyFont="1" applyBorder="1" applyAlignment="1" applyProtection="1">
      <alignment horizontal="center" vertical="center"/>
      <protection hidden="1"/>
    </xf>
    <xf numFmtId="0" fontId="135" fillId="0" borderId="10" xfId="0" applyNumberFormat="1" applyFont="1" applyFill="1" applyBorder="1" applyAlignment="1" applyProtection="1">
      <alignment horizontal="center" vertical="justify"/>
      <protection hidden="1"/>
    </xf>
    <xf numFmtId="0" fontId="53" fillId="0" borderId="10" xfId="0" applyFont="1" applyFill="1" applyBorder="1" applyProtection="1">
      <alignment vertical="center"/>
      <protection hidden="1"/>
    </xf>
    <xf numFmtId="0" fontId="53" fillId="0" borderId="0" xfId="0" applyFont="1" applyFill="1" applyProtection="1">
      <alignment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5" fontId="36" fillId="27" borderId="97" xfId="0" applyNumberFormat="1" applyFont="1" applyFill="1" applyBorder="1" applyAlignment="1" applyProtection="1">
      <alignment horizontal="center" vertical="center"/>
      <protection hidden="1"/>
    </xf>
    <xf numFmtId="185" fontId="36" fillId="27" borderId="0" xfId="0" applyNumberFormat="1" applyFont="1" applyFill="1" applyBorder="1" applyAlignment="1" applyProtection="1">
      <alignment horizontal="center" vertical="center"/>
      <protection hidden="1"/>
    </xf>
    <xf numFmtId="0" fontId="33" fillId="42" borderId="10" xfId="0" applyFont="1" applyFill="1" applyBorder="1" applyAlignment="1" applyProtection="1">
      <alignment horizontal="center" vertical="center"/>
      <protection hidden="1"/>
    </xf>
    <xf numFmtId="0" fontId="33" fillId="42" borderId="50" xfId="0" applyFont="1" applyFill="1" applyBorder="1" applyAlignment="1" applyProtection="1">
      <alignment vertical="center"/>
      <protection hidden="1"/>
    </xf>
    <xf numFmtId="0" fontId="129" fillId="42" borderId="82" xfId="0" applyFont="1" applyFill="1" applyBorder="1" applyAlignment="1" applyProtection="1">
      <alignment vertical="center"/>
      <protection hidden="1"/>
    </xf>
    <xf numFmtId="0" fontId="126" fillId="27" borderId="62" xfId="0" applyNumberFormat="1" applyFont="1" applyFill="1" applyBorder="1" applyAlignment="1" applyProtection="1">
      <alignment horizontal="center" vertical="center"/>
      <protection hidden="1"/>
    </xf>
    <xf numFmtId="0" fontId="33" fillId="27" borderId="90" xfId="0" applyNumberFormat="1" applyFont="1" applyFill="1" applyBorder="1" applyAlignment="1" applyProtection="1">
      <alignment horizontal="left" vertical="center"/>
      <protection hidden="1"/>
    </xf>
    <xf numFmtId="185" fontId="53" fillId="40" borderId="10" xfId="0" applyNumberFormat="1" applyFont="1" applyFill="1" applyBorder="1" applyAlignment="1" applyProtection="1">
      <alignment horizontal="center" vertical="center"/>
      <protection hidden="1"/>
    </xf>
    <xf numFmtId="0" fontId="126" fillId="27" borderId="77" xfId="0" applyNumberFormat="1" applyFont="1" applyFill="1" applyBorder="1" applyAlignment="1" applyProtection="1">
      <alignment horizontal="center" vertical="center"/>
      <protection hidden="1"/>
    </xf>
    <xf numFmtId="0" fontId="28" fillId="27" borderId="0" xfId="0" applyNumberFormat="1" applyFont="1" applyFill="1" applyBorder="1" applyAlignment="1" applyProtection="1">
      <alignment horizontal="left" vertical="center"/>
      <protection hidden="1"/>
    </xf>
    <xf numFmtId="0" fontId="37" fillId="27" borderId="27" xfId="0" applyFont="1" applyFill="1" applyBorder="1" applyAlignment="1" applyProtection="1">
      <alignment horizontal="center" vertical="center"/>
      <protection hidden="1"/>
    </xf>
    <xf numFmtId="0" fontId="107" fillId="0" borderId="50" xfId="0" quotePrefix="1"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177" fontId="29" fillId="0" borderId="92" xfId="0" applyNumberFormat="1" applyFont="1" applyFill="1" applyBorder="1" applyAlignment="1" applyProtection="1">
      <alignment horizontal="center" vertical="center"/>
      <protection hidden="1"/>
    </xf>
    <xf numFmtId="0" fontId="28" fillId="0" borderId="62" xfId="0" applyFont="1" applyFill="1" applyBorder="1" applyAlignment="1" applyProtection="1">
      <alignment horizontal="center" vertical="justify"/>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3"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0" fontId="107" fillId="0" borderId="66" xfId="0" quotePrefix="1" applyNumberFormat="1" applyFont="1" applyFill="1" applyBorder="1" applyAlignment="1" applyProtection="1">
      <alignment horizontal="center" vertical="center"/>
      <protection hidden="1"/>
    </xf>
    <xf numFmtId="185" fontId="127" fillId="27" borderId="115" xfId="0" applyNumberFormat="1" applyFont="1" applyFill="1" applyBorder="1" applyAlignment="1" applyProtection="1">
      <alignment horizontal="center" vertical="center"/>
      <protection hidden="1"/>
    </xf>
    <xf numFmtId="177" fontId="29" fillId="0" borderId="115" xfId="0" applyNumberFormat="1" applyFont="1" applyFill="1" applyBorder="1" applyAlignment="1" applyProtection="1">
      <alignment horizontal="center" vertical="center"/>
      <protection hidden="1"/>
    </xf>
    <xf numFmtId="0" fontId="23" fillId="31" borderId="128" xfId="0" applyFont="1" applyFill="1" applyBorder="1" applyAlignment="1" applyProtection="1">
      <alignment vertical="center"/>
      <protection hidden="1"/>
    </xf>
    <xf numFmtId="0" fontId="23" fillId="31" borderId="129" xfId="0" applyFont="1" applyFill="1" applyBorder="1" applyAlignment="1" applyProtection="1">
      <alignment horizontal="left" vertical="center"/>
      <protection hidden="1"/>
    </xf>
    <xf numFmtId="0" fontId="23" fillId="31" borderId="129" xfId="0" applyFont="1" applyFill="1" applyBorder="1" applyAlignment="1" applyProtection="1">
      <alignment horizontal="left"/>
      <protection hidden="1"/>
    </xf>
    <xf numFmtId="0" fontId="6" fillId="31" borderId="130" xfId="0" applyFont="1" applyFill="1" applyBorder="1" applyAlignment="1" applyProtection="1">
      <alignment vertical="center"/>
      <protection hidden="1"/>
    </xf>
    <xf numFmtId="0" fontId="6" fillId="31" borderId="129" xfId="0" applyFont="1" applyFill="1" applyBorder="1" applyProtection="1">
      <alignment vertical="center"/>
      <protection hidden="1"/>
    </xf>
    <xf numFmtId="182" fontId="37" fillId="31" borderId="131" xfId="0" applyNumberFormat="1" applyFont="1" applyFill="1" applyBorder="1" applyAlignment="1" applyProtection="1">
      <alignment horizontal="center"/>
      <protection hidden="1"/>
    </xf>
    <xf numFmtId="198" fontId="127" fillId="31" borderId="132" xfId="0" applyNumberFormat="1" applyFont="1" applyFill="1" applyBorder="1" applyAlignment="1" applyProtection="1">
      <alignment horizontal="center" vertical="center"/>
      <protection hidden="1"/>
    </xf>
    <xf numFmtId="185" fontId="128" fillId="31" borderId="129" xfId="0" applyNumberFormat="1" applyFont="1" applyFill="1" applyBorder="1" applyAlignment="1" applyProtection="1">
      <alignment horizontal="center" vertical="center"/>
      <protection hidden="1"/>
    </xf>
    <xf numFmtId="198" fontId="127" fillId="31" borderId="133" xfId="0" applyNumberFormat="1" applyFont="1" applyFill="1" applyBorder="1" applyAlignment="1" applyProtection="1">
      <alignment horizontal="center" vertical="center"/>
      <protection hidden="1"/>
    </xf>
    <xf numFmtId="185"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98" fontId="130" fillId="27" borderId="94" xfId="0" applyNumberFormat="1" applyFont="1" applyFill="1" applyBorder="1" applyAlignment="1" applyProtection="1">
      <alignment horizontal="center" vertical="center"/>
      <protection hidden="1"/>
    </xf>
    <xf numFmtId="198" fontId="130" fillId="27" borderId="95" xfId="0" applyNumberFormat="1" applyFont="1" applyFill="1" applyBorder="1" applyAlignment="1" applyProtection="1">
      <alignment horizontal="center" vertical="center"/>
      <protection hidden="1"/>
    </xf>
    <xf numFmtId="185" fontId="127" fillId="27" borderId="96" xfId="0" applyNumberFormat="1" applyFont="1" applyFill="1" applyBorder="1" applyAlignment="1" applyProtection="1">
      <alignment horizontal="center" vertical="center"/>
      <protection hidden="1"/>
    </xf>
    <xf numFmtId="177" fontId="28" fillId="0" borderId="117" xfId="0" applyNumberFormat="1" applyFont="1" applyFill="1" applyBorder="1" applyAlignment="1" applyProtection="1">
      <alignment horizontal="center" vertical="justify"/>
      <protection hidden="1"/>
    </xf>
    <xf numFmtId="177" fontId="28" fillId="0" borderId="119" xfId="0" applyNumberFormat="1" applyFont="1" applyFill="1" applyBorder="1" applyAlignment="1" applyProtection="1">
      <alignment horizontal="center" vertical="justify"/>
      <protection hidden="1"/>
    </xf>
    <xf numFmtId="0" fontId="126" fillId="27" borderId="118" xfId="0" quotePrefix="1" applyNumberFormat="1" applyFont="1" applyFill="1" applyBorder="1" applyAlignment="1" applyProtection="1">
      <alignment horizontal="center" vertical="center"/>
      <protection hidden="1"/>
    </xf>
    <xf numFmtId="0" fontId="107" fillId="27" borderId="0" xfId="0" quotePrefix="1" applyNumberFormat="1" applyFont="1" applyFill="1" applyBorder="1" applyAlignment="1" applyProtection="1">
      <alignment horizontal="center" vertical="center"/>
      <protection hidden="1"/>
    </xf>
    <xf numFmtId="177" fontId="29" fillId="0" borderId="100" xfId="0" applyNumberFormat="1" applyFont="1" applyFill="1" applyBorder="1" applyAlignment="1" applyProtection="1">
      <alignment horizontal="center" vertical="center"/>
      <protection hidden="1"/>
    </xf>
    <xf numFmtId="0" fontId="23" fillId="27" borderId="89" xfId="0" quotePrefix="1" applyFont="1" applyFill="1" applyBorder="1" applyAlignment="1" applyProtection="1">
      <alignment vertical="center"/>
      <protection hidden="1"/>
    </xf>
    <xf numFmtId="185" fontId="36" fillId="0" borderId="0" xfId="0" applyNumberFormat="1" applyFont="1" applyFill="1" applyBorder="1" applyAlignment="1" applyProtection="1">
      <alignment horizontal="center" vertical="center"/>
      <protection hidden="1"/>
    </xf>
    <xf numFmtId="177" fontId="29" fillId="0" borderId="66" xfId="0" applyNumberFormat="1" applyFont="1" applyFill="1" applyBorder="1" applyAlignment="1" applyProtection="1">
      <alignment horizontal="center" vertical="center"/>
      <protection hidden="1"/>
    </xf>
    <xf numFmtId="198" fontId="130" fillId="27" borderId="17" xfId="0" applyNumberFormat="1" applyFont="1" applyFill="1" applyBorder="1" applyAlignment="1" applyProtection="1">
      <alignment horizontal="center" vertical="center"/>
      <protection hidden="1"/>
    </xf>
    <xf numFmtId="185" fontId="29" fillId="0" borderId="0" xfId="0" applyNumberFormat="1" applyFont="1" applyFill="1" applyBorder="1" applyAlignment="1" applyProtection="1">
      <alignment horizontal="center" vertical="center"/>
      <protection hidden="1"/>
    </xf>
    <xf numFmtId="177" fontId="29" fillId="0" borderId="60" xfId="0" applyNumberFormat="1" applyFont="1" applyFill="1" applyBorder="1" applyAlignment="1" applyProtection="1">
      <alignment horizontal="center" vertical="center"/>
      <protection hidden="1"/>
    </xf>
    <xf numFmtId="185" fontId="29" fillId="27" borderId="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8" fontId="130" fillId="27" borderId="58" xfId="0" applyNumberFormat="1" applyFont="1" applyFill="1" applyBorder="1" applyAlignment="1" applyProtection="1">
      <alignment horizontal="center" vertical="center"/>
      <protection hidden="1"/>
    </xf>
    <xf numFmtId="185" fontId="29" fillId="0" borderId="57" xfId="0" applyNumberFormat="1" applyFont="1" applyFill="1" applyBorder="1" applyAlignment="1" applyProtection="1">
      <alignment horizontal="center" vertical="center"/>
      <protection hidden="1"/>
    </xf>
    <xf numFmtId="0" fontId="107" fillId="0" borderId="53" xfId="0" quotePrefix="1" applyNumberFormat="1" applyFont="1" applyFill="1" applyBorder="1" applyAlignment="1" applyProtection="1">
      <alignment horizontal="center" vertical="center"/>
      <protection hidden="1"/>
    </xf>
    <xf numFmtId="185" fontId="36" fillId="0" borderId="53" xfId="0" applyNumberFormat="1" applyFont="1" applyFill="1" applyBorder="1" applyAlignment="1" applyProtection="1">
      <alignment horizontal="center" vertical="center"/>
      <protection hidden="1"/>
    </xf>
    <xf numFmtId="177" fontId="29"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8" fontId="130" fillId="27" borderId="120" xfId="0" applyNumberFormat="1" applyFont="1" applyFill="1" applyBorder="1" applyAlignment="1" applyProtection="1">
      <alignment horizontal="center" vertical="center"/>
      <protection hidden="1"/>
    </xf>
    <xf numFmtId="185" fontId="29" fillId="0" borderId="93" xfId="0" applyNumberFormat="1" applyFont="1" applyFill="1" applyBorder="1" applyAlignment="1" applyProtection="1">
      <alignment horizontal="center" vertical="center"/>
      <protection hidden="1"/>
    </xf>
    <xf numFmtId="0" fontId="137" fillId="27" borderId="0" xfId="29" applyNumberFormat="1" applyFont="1" applyFill="1" applyBorder="1" applyAlignment="1" applyProtection="1">
      <alignment horizontal="center" vertical="center"/>
      <protection hidden="1"/>
    </xf>
    <xf numFmtId="0" fontId="138" fillId="27" borderId="0" xfId="0" applyNumberFormat="1" applyFont="1" applyFill="1" applyBorder="1" applyAlignment="1" applyProtection="1">
      <alignment horizontal="left" vertical="center"/>
      <protection hidden="1"/>
    </xf>
    <xf numFmtId="0" fontId="138" fillId="27" borderId="0" xfId="0" applyFont="1" applyFill="1" applyBorder="1" applyAlignment="1" applyProtection="1">
      <alignment horizontal="center" vertical="center"/>
      <protection hidden="1"/>
    </xf>
    <xf numFmtId="185" fontId="29"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5" fontId="36" fillId="27" borderId="135" xfId="0" applyNumberFormat="1" applyFont="1" applyFill="1" applyBorder="1" applyAlignment="1" applyProtection="1">
      <alignment horizontal="center" vertical="center"/>
      <protection hidden="1"/>
    </xf>
    <xf numFmtId="177" fontId="29" fillId="0" borderId="0" xfId="0" applyNumberFormat="1" applyFont="1" applyFill="1" applyBorder="1" applyAlignment="1" applyProtection="1">
      <alignment horizontal="center" vertical="center"/>
      <protection hidden="1"/>
    </xf>
    <xf numFmtId="0" fontId="33" fillId="27" borderId="51" xfId="0" applyFont="1" applyFill="1" applyBorder="1" applyAlignment="1" applyProtection="1">
      <alignment horizontal="center" vertical="center"/>
      <protection hidden="1"/>
    </xf>
    <xf numFmtId="0" fontId="33"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3" fillId="27" borderId="136" xfId="0" applyFont="1" applyFill="1" applyBorder="1" applyAlignment="1" applyProtection="1">
      <alignment horizontal="center" vertical="center"/>
      <protection hidden="1"/>
    </xf>
    <xf numFmtId="198" fontId="130" fillId="27" borderId="84" xfId="0" applyNumberFormat="1" applyFont="1" applyFill="1" applyBorder="1" applyAlignment="1" applyProtection="1">
      <alignment horizontal="center" vertical="center"/>
      <protection hidden="1"/>
    </xf>
    <xf numFmtId="185" fontId="29" fillId="0" borderId="66" xfId="0" applyNumberFormat="1" applyFont="1" applyFill="1" applyBorder="1" applyAlignment="1" applyProtection="1">
      <alignment horizontal="center" vertical="center"/>
      <protection hidden="1"/>
    </xf>
    <xf numFmtId="198" fontId="130" fillId="27" borderId="137" xfId="0" applyNumberFormat="1" applyFont="1" applyFill="1" applyBorder="1" applyAlignment="1" applyProtection="1">
      <alignment horizontal="center" vertical="center"/>
      <protection hidden="1"/>
    </xf>
    <xf numFmtId="0" fontId="23" fillId="31" borderId="129" xfId="0" applyNumberFormat="1" applyFont="1" applyFill="1" applyBorder="1" applyAlignment="1" applyProtection="1">
      <alignment horizontal="left" vertical="center"/>
      <protection hidden="1"/>
    </xf>
    <xf numFmtId="0" fontId="33" fillId="31" borderId="130" xfId="0" applyNumberFormat="1" applyFont="1" applyFill="1" applyBorder="1" applyAlignment="1" applyProtection="1">
      <alignment horizontal="left" vertical="center"/>
      <protection hidden="1"/>
    </xf>
    <xf numFmtId="0" fontId="126" fillId="31" borderId="129" xfId="0" applyNumberFormat="1" applyFont="1" applyFill="1" applyBorder="1" applyAlignment="1" applyProtection="1">
      <alignment horizontal="center" vertical="center"/>
      <protection hidden="1"/>
    </xf>
    <xf numFmtId="182" fontId="37" fillId="31" borderId="138" xfId="0" applyNumberFormat="1" applyFont="1" applyFill="1" applyBorder="1" applyAlignment="1" applyProtection="1">
      <alignment horizontal="center"/>
      <protection hidden="1"/>
    </xf>
    <xf numFmtId="185" fontId="36" fillId="0" borderId="92" xfId="0" applyNumberFormat="1" applyFont="1" applyFill="1" applyBorder="1" applyAlignment="1" applyProtection="1">
      <alignment horizontal="center" vertical="center"/>
      <protection hidden="1"/>
    </xf>
    <xf numFmtId="0" fontId="23"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85" fontId="36" fillId="0" borderId="139" xfId="0" applyNumberFormat="1" applyFont="1" applyFill="1" applyBorder="1" applyAlignment="1" applyProtection="1">
      <alignment horizontal="center" vertical="center"/>
      <protection hidden="1"/>
    </xf>
    <xf numFmtId="198" fontId="130" fillId="27" borderId="27" xfId="0" applyNumberFormat="1" applyFont="1" applyFill="1" applyBorder="1" applyAlignment="1" applyProtection="1">
      <alignment horizontal="center" vertical="center"/>
      <protection hidden="1"/>
    </xf>
    <xf numFmtId="185" fontId="36" fillId="0" borderId="50"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3" fillId="27" borderId="64" xfId="0" applyFont="1" applyFill="1" applyBorder="1" applyProtection="1">
      <alignment vertical="center"/>
      <protection hidden="1"/>
    </xf>
    <xf numFmtId="0" fontId="33" fillId="27" borderId="57" xfId="0" applyNumberFormat="1" applyFont="1" applyFill="1" applyBorder="1" applyAlignment="1" applyProtection="1">
      <alignment horizontal="left" vertical="center"/>
      <protection hidden="1"/>
    </xf>
    <xf numFmtId="0" fontId="33" fillId="27" borderId="57" xfId="0" applyFont="1" applyFill="1" applyBorder="1" applyProtection="1">
      <alignment vertical="center"/>
      <protection hidden="1"/>
    </xf>
    <xf numFmtId="0" fontId="2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198" fontId="130" fillId="27" borderId="140" xfId="0" applyNumberFormat="1" applyFont="1" applyFill="1" applyBorder="1" applyAlignment="1" applyProtection="1">
      <alignment horizontal="center" vertical="center"/>
      <protection hidden="1"/>
    </xf>
    <xf numFmtId="0" fontId="139" fillId="0" borderId="62" xfId="0" quotePrefix="1" applyNumberFormat="1" applyFont="1" applyFill="1" applyBorder="1" applyAlignment="1" applyProtection="1">
      <alignment horizontal="left" vertical="center"/>
      <protection hidden="1"/>
    </xf>
    <xf numFmtId="0" fontId="140" fillId="0" borderId="0" xfId="0" applyFont="1" applyFill="1" applyBorder="1" applyAlignment="1" applyProtection="1">
      <alignment horizontal="left"/>
      <protection hidden="1"/>
    </xf>
    <xf numFmtId="0" fontId="141"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hidden="1"/>
    </xf>
    <xf numFmtId="0" fontId="142" fillId="0" borderId="0" xfId="0" applyFont="1" applyFill="1" applyBorder="1" applyAlignment="1" applyProtection="1">
      <alignment vertical="center"/>
      <protection hidden="1"/>
    </xf>
    <xf numFmtId="0" fontId="119" fillId="0" borderId="0" xfId="0" applyFont="1" applyFill="1" applyBorder="1" applyAlignment="1" applyProtection="1">
      <alignment vertical="center"/>
      <protection hidden="1"/>
    </xf>
    <xf numFmtId="198" fontId="127" fillId="27" borderId="98" xfId="0" applyNumberFormat="1" applyFont="1" applyFill="1" applyBorder="1" applyAlignment="1" applyProtection="1">
      <alignment horizontal="center" vertical="center"/>
      <protection hidden="1"/>
    </xf>
    <xf numFmtId="198" fontId="127" fillId="27" borderId="99" xfId="0" applyNumberFormat="1" applyFont="1" applyFill="1" applyBorder="1" applyAlignment="1" applyProtection="1">
      <alignment horizontal="center" vertical="center"/>
      <protection hidden="1"/>
    </xf>
    <xf numFmtId="0" fontId="63" fillId="33" borderId="59" xfId="0" applyNumberFormat="1" applyFont="1" applyFill="1" applyBorder="1" applyAlignment="1" applyProtection="1">
      <alignment horizontal="left" vertical="center"/>
      <protection hidden="1"/>
    </xf>
    <xf numFmtId="0" fontId="63" fillId="33" borderId="60" xfId="0" applyNumberFormat="1" applyFont="1" applyFill="1" applyBorder="1" applyAlignment="1" applyProtection="1">
      <alignment horizontal="left" vertical="center"/>
      <protection hidden="1"/>
    </xf>
    <xf numFmtId="0" fontId="63" fillId="33" borderId="61" xfId="0" applyNumberFormat="1" applyFont="1" applyFill="1" applyBorder="1" applyAlignment="1" applyProtection="1">
      <alignment horizontal="left" vertical="center"/>
      <protection hidden="1"/>
    </xf>
    <xf numFmtId="0" fontId="2" fillId="33" borderId="60" xfId="0" applyFont="1" applyFill="1" applyBorder="1" applyProtection="1">
      <alignment vertical="center"/>
      <protection hidden="1"/>
    </xf>
    <xf numFmtId="182" fontId="37" fillId="33" borderId="138" xfId="0" applyNumberFormat="1" applyFont="1" applyFill="1" applyBorder="1" applyAlignment="1" applyProtection="1">
      <alignment horizontal="center"/>
      <protection hidden="1"/>
    </xf>
    <xf numFmtId="198" fontId="130" fillId="33" borderId="141" xfId="0" applyNumberFormat="1" applyFont="1" applyFill="1" applyBorder="1" applyAlignment="1" applyProtection="1">
      <alignment horizontal="center" vertical="center"/>
      <protection hidden="1"/>
    </xf>
    <xf numFmtId="185" fontId="29" fillId="33" borderId="60" xfId="0" applyNumberFormat="1" applyFont="1" applyFill="1" applyBorder="1" applyAlignment="1" applyProtection="1">
      <alignment horizontal="center" vertical="center"/>
      <protection hidden="1"/>
    </xf>
    <xf numFmtId="198" fontId="130" fillId="33" borderId="142" xfId="0" applyNumberFormat="1" applyFont="1" applyFill="1" applyBorder="1" applyAlignment="1" applyProtection="1">
      <alignment horizontal="center" vertical="center"/>
      <protection hidden="1"/>
    </xf>
    <xf numFmtId="185" fontId="64" fillId="33" borderId="92" xfId="0" applyNumberFormat="1" applyFont="1" applyFill="1" applyBorder="1" applyAlignment="1" applyProtection="1">
      <alignment horizontal="center" vertical="center"/>
      <protection hidden="1"/>
    </xf>
    <xf numFmtId="0" fontId="23"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2" fontId="37"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5" fontId="36" fillId="0" borderId="144" xfId="0" applyNumberFormat="1" applyFont="1" applyFill="1" applyBorder="1" applyAlignment="1" applyProtection="1">
      <alignment horizontal="center" vertical="center"/>
      <protection hidden="1"/>
    </xf>
    <xf numFmtId="0" fontId="23"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0" fontId="23" fillId="27" borderId="62" xfId="0" applyFont="1" applyFill="1" applyBorder="1" applyAlignment="1" applyProtection="1">
      <alignment vertical="center"/>
      <protection hidden="1"/>
    </xf>
    <xf numFmtId="198" fontId="130" fillId="27" borderId="54"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right" vertical="center"/>
      <protection hidden="1"/>
    </xf>
    <xf numFmtId="198" fontId="130" fillId="27" borderId="118" xfId="0" applyNumberFormat="1" applyFont="1" applyFill="1" applyBorder="1" applyAlignment="1" applyProtection="1">
      <alignment horizontal="center" vertical="center"/>
      <protection hidden="1"/>
    </xf>
    <xf numFmtId="0" fontId="23" fillId="27" borderId="120" xfId="0" applyFont="1" applyFill="1" applyBorder="1" applyAlignment="1" applyProtection="1">
      <alignment vertical="center"/>
      <protection hidden="1"/>
    </xf>
    <xf numFmtId="177" fontId="28" fillId="0" borderId="115" xfId="0" applyNumberFormat="1" applyFont="1" applyFill="1" applyBorder="1" applyAlignment="1" applyProtection="1">
      <alignment horizontal="center" vertical="justify"/>
      <protection hidden="1"/>
    </xf>
    <xf numFmtId="0" fontId="138" fillId="42" borderId="50" xfId="0" applyNumberFormat="1" applyFont="1" applyFill="1" applyBorder="1" applyAlignment="1" applyProtection="1">
      <alignment horizontal="left" vertical="center"/>
      <protection hidden="1"/>
    </xf>
    <xf numFmtId="185" fontId="36" fillId="0" borderId="97" xfId="0" applyNumberFormat="1" applyFont="1" applyFill="1" applyBorder="1" applyAlignment="1" applyProtection="1">
      <alignment horizontal="center" vertical="center"/>
      <protection hidden="1"/>
    </xf>
    <xf numFmtId="0" fontId="144" fillId="27" borderId="62" xfId="0" applyNumberFormat="1" applyFont="1" applyFill="1" applyBorder="1" applyAlignment="1" applyProtection="1">
      <alignment horizontal="center" vertical="center"/>
      <protection hidden="1"/>
    </xf>
    <xf numFmtId="0" fontId="143" fillId="27" borderId="26" xfId="0" applyFont="1" applyFill="1" applyBorder="1" applyProtection="1">
      <alignment vertical="center"/>
      <protection hidden="1"/>
    </xf>
    <xf numFmtId="0" fontId="26" fillId="0" borderId="62" xfId="0" applyFont="1" applyFill="1" applyBorder="1" applyAlignment="1" applyProtection="1">
      <alignment horizontal="center" vertical="justify"/>
      <protection hidden="1"/>
    </xf>
    <xf numFmtId="0" fontId="144" fillId="27" borderId="77" xfId="0" applyNumberFormat="1" applyFont="1" applyFill="1" applyBorder="1" applyAlignment="1" applyProtection="1">
      <alignment horizontal="center" vertical="center"/>
      <protection hidden="1"/>
    </xf>
    <xf numFmtId="177" fontId="29" fillId="0" borderId="68" xfId="0" applyNumberFormat="1" applyFont="1" applyFill="1" applyBorder="1" applyAlignment="1" applyProtection="1">
      <alignment horizontal="center" vertical="center"/>
      <protection hidden="1"/>
    </xf>
    <xf numFmtId="0" fontId="23" fillId="27" borderId="145" xfId="0" quotePrefix="1" applyFont="1" applyFill="1" applyBorder="1" applyAlignment="1" applyProtection="1">
      <alignment vertical="center"/>
      <protection hidden="1"/>
    </xf>
    <xf numFmtId="0" fontId="23" fillId="27" borderId="64" xfId="0" quotePrefix="1" applyFont="1" applyFill="1" applyBorder="1" applyAlignment="1" applyProtection="1">
      <alignment vertical="center"/>
      <protection hidden="1"/>
    </xf>
    <xf numFmtId="177" fontId="29"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center"/>
      <protection hidden="1"/>
    </xf>
    <xf numFmtId="214" fontId="53" fillId="40" borderId="10" xfId="0"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justify"/>
      <protection hidden="1"/>
    </xf>
    <xf numFmtId="0" fontId="126" fillId="27" borderId="120" xfId="0" applyFont="1" applyFill="1" applyBorder="1" applyAlignment="1" applyProtection="1">
      <alignment horizontal="center" vertical="center"/>
      <protection hidden="1"/>
    </xf>
    <xf numFmtId="214" fontId="29" fillId="0" borderId="115" xfId="0" applyNumberFormat="1" applyFont="1" applyFill="1" applyBorder="1" applyAlignment="1" applyProtection="1">
      <alignment horizontal="center" vertical="justify"/>
      <protection hidden="1"/>
    </xf>
    <xf numFmtId="214" fontId="29" fillId="0" borderId="0" xfId="0" applyNumberFormat="1" applyFont="1" applyFill="1" applyBorder="1" applyAlignment="1" applyProtection="1">
      <alignment horizontal="center" vertical="center"/>
      <protection hidden="1"/>
    </xf>
    <xf numFmtId="185" fontId="29" fillId="0" borderId="144" xfId="0" applyNumberFormat="1" applyFont="1" applyFill="1" applyBorder="1" applyAlignment="1" applyProtection="1">
      <alignment horizontal="center" vertical="center"/>
      <protection hidden="1"/>
    </xf>
    <xf numFmtId="214" fontId="29" fillId="0" borderId="144" xfId="0" applyNumberFormat="1" applyFont="1" applyFill="1" applyBorder="1" applyAlignment="1" applyProtection="1">
      <alignment horizontal="center" vertical="justify"/>
      <protection hidden="1"/>
    </xf>
    <xf numFmtId="214" fontId="29"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2" fontId="37" fillId="31" borderId="148" xfId="0" applyNumberFormat="1" applyFont="1" applyFill="1" applyBorder="1" applyAlignment="1" applyProtection="1">
      <alignment horizontal="center"/>
      <protection hidden="1"/>
    </xf>
    <xf numFmtId="0" fontId="23" fillId="27" borderId="62" xfId="0" quotePrefix="1" applyFont="1" applyFill="1" applyBorder="1" applyProtection="1">
      <alignment vertical="center"/>
      <protection hidden="1"/>
    </xf>
    <xf numFmtId="0" fontId="23" fillId="27" borderId="89" xfId="0" quotePrefix="1" applyFont="1" applyFill="1" applyBorder="1" applyProtection="1">
      <alignment vertical="center"/>
      <protection hidden="1"/>
    </xf>
    <xf numFmtId="185" fontId="36" fillId="27" borderId="149" xfId="0" applyNumberFormat="1" applyFont="1" applyFill="1" applyBorder="1" applyAlignment="1" applyProtection="1">
      <alignment horizontal="center" vertical="center"/>
      <protection hidden="1"/>
    </xf>
    <xf numFmtId="198" fontId="130" fillId="27" borderId="26" xfId="0" applyNumberFormat="1" applyFont="1" applyFill="1" applyBorder="1" applyAlignment="1" applyProtection="1">
      <alignment horizontal="center" vertical="center"/>
      <protection hidden="1"/>
    </xf>
    <xf numFmtId="185" fontId="36" fillId="0" borderId="135" xfId="0" applyNumberFormat="1" applyFont="1" applyFill="1" applyBorder="1" applyAlignment="1" applyProtection="1">
      <alignment horizontal="center" vertical="center"/>
      <protection hidden="1"/>
    </xf>
    <xf numFmtId="198" fontId="130" fillId="27" borderId="50" xfId="0" applyNumberFormat="1" applyFont="1" applyFill="1" applyBorder="1" applyAlignment="1" applyProtection="1">
      <alignment horizontal="center" vertical="center"/>
      <protection hidden="1"/>
    </xf>
    <xf numFmtId="214" fontId="29" fillId="0" borderId="69"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left" vertical="center"/>
      <protection hidden="1"/>
    </xf>
    <xf numFmtId="198" fontId="130" fillId="27" borderId="64" xfId="0" applyNumberFormat="1" applyFont="1" applyFill="1" applyBorder="1" applyAlignment="1" applyProtection="1">
      <alignment horizontal="center" vertical="center"/>
      <protection hidden="1"/>
    </xf>
    <xf numFmtId="0" fontId="23" fillId="27" borderId="77" xfId="0" quotePrefix="1" applyFont="1" applyFill="1" applyBorder="1" applyProtection="1">
      <alignment vertical="center"/>
      <protection hidden="1"/>
    </xf>
    <xf numFmtId="198" fontId="130" fillId="27" borderId="57" xfId="0" applyNumberFormat="1" applyFont="1" applyFill="1" applyBorder="1" applyAlignment="1" applyProtection="1">
      <alignment horizontal="center" vertical="center"/>
      <protection hidden="1"/>
    </xf>
    <xf numFmtId="185" fontId="36" fillId="0" borderId="93" xfId="0" applyNumberFormat="1" applyFont="1" applyFill="1" applyBorder="1" applyAlignment="1" applyProtection="1">
      <alignment horizontal="center" vertical="center"/>
      <protection hidden="1"/>
    </xf>
    <xf numFmtId="0" fontId="23" fillId="27" borderId="89" xfId="0" applyFont="1" applyFill="1" applyBorder="1" applyProtection="1">
      <alignment vertical="center"/>
      <protection hidden="1"/>
    </xf>
    <xf numFmtId="185" fontId="36" fillId="27" borderId="55" xfId="0" applyNumberFormat="1" applyFont="1" applyFill="1" applyBorder="1" applyAlignment="1" applyProtection="1">
      <alignment horizontal="center" vertical="center"/>
      <protection hidden="1"/>
    </xf>
    <xf numFmtId="0" fontId="23" fillId="27" borderId="62" xfId="0" applyFont="1" applyFill="1" applyBorder="1" applyProtection="1">
      <alignment vertical="center"/>
      <protection hidden="1"/>
    </xf>
    <xf numFmtId="185" fontId="36" fillId="27" borderId="150" xfId="0" applyNumberFormat="1" applyFont="1" applyFill="1" applyBorder="1" applyAlignment="1" applyProtection="1">
      <alignment horizontal="center" vertical="center"/>
      <protection hidden="1"/>
    </xf>
    <xf numFmtId="0" fontId="144" fillId="27" borderId="62" xfId="0" applyFont="1" applyFill="1" applyBorder="1" applyAlignment="1" applyProtection="1">
      <alignment horizontal="center"/>
      <protection hidden="1"/>
    </xf>
    <xf numFmtId="185" fontId="29" fillId="0" borderId="61" xfId="0" applyNumberFormat="1" applyFont="1" applyFill="1" applyBorder="1" applyAlignment="1" applyProtection="1">
      <alignment horizontal="center" vertical="center"/>
      <protection hidden="1"/>
    </xf>
    <xf numFmtId="177" fontId="28" fillId="0" borderId="92" xfId="0" applyNumberFormat="1" applyFont="1" applyFill="1" applyBorder="1" applyAlignment="1" applyProtection="1">
      <alignment horizontal="center" vertical="justify"/>
      <protection hidden="1"/>
    </xf>
    <xf numFmtId="185" fontId="29" fillId="0" borderId="63" xfId="0" applyNumberFormat="1" applyFont="1" applyFill="1" applyBorder="1" applyAlignment="1" applyProtection="1">
      <alignment horizontal="center" vertical="center"/>
      <protection hidden="1"/>
    </xf>
    <xf numFmtId="177" fontId="28" fillId="0" borderId="100" xfId="0" applyNumberFormat="1" applyFont="1" applyFill="1" applyBorder="1" applyAlignment="1" applyProtection="1">
      <alignment horizontal="center" vertical="justify"/>
      <protection hidden="1"/>
    </xf>
    <xf numFmtId="185" fontId="29" fillId="0" borderId="67" xfId="0" applyNumberFormat="1" applyFont="1" applyFill="1" applyBorder="1" applyAlignment="1" applyProtection="1">
      <alignment horizontal="center" vertical="center"/>
      <protection hidden="1"/>
    </xf>
    <xf numFmtId="185" fontId="36" fillId="27" borderId="151" xfId="0" applyNumberFormat="1" applyFont="1" applyFill="1" applyBorder="1" applyAlignment="1" applyProtection="1">
      <alignment horizontal="center" vertical="center"/>
      <protection hidden="1"/>
    </xf>
    <xf numFmtId="177" fontId="28" fillId="0" borderId="0" xfId="0" applyNumberFormat="1" applyFont="1" applyFill="1" applyBorder="1" applyAlignment="1" applyProtection="1">
      <alignment horizontal="center" vertical="justify"/>
      <protection hidden="1"/>
    </xf>
    <xf numFmtId="0" fontId="33" fillId="27" borderId="26" xfId="0" applyNumberFormat="1" applyFont="1" applyFill="1" applyBorder="1" applyAlignment="1" applyProtection="1">
      <alignment horizontal="left" vertical="center" shrinkToFit="1"/>
      <protection hidden="1"/>
    </xf>
    <xf numFmtId="0" fontId="63" fillId="37" borderId="59" xfId="0" applyNumberFormat="1" applyFont="1" applyFill="1" applyBorder="1" applyAlignment="1" applyProtection="1">
      <alignment vertical="center"/>
    </xf>
    <xf numFmtId="0" fontId="116" fillId="37" borderId="60" xfId="0" applyFont="1" applyFill="1" applyBorder="1" applyAlignment="1" applyProtection="1">
      <alignment horizontal="left" vertical="center"/>
    </xf>
    <xf numFmtId="0" fontId="116" fillId="37" borderId="60" xfId="0" applyFont="1" applyFill="1" applyBorder="1" applyAlignment="1" applyProtection="1">
      <alignment vertical="center"/>
    </xf>
    <xf numFmtId="0" fontId="117" fillId="37" borderId="61" xfId="0" applyFont="1" applyFill="1" applyBorder="1" applyAlignment="1" applyProtection="1">
      <alignment vertical="center"/>
    </xf>
    <xf numFmtId="0" fontId="33" fillId="0" borderId="0" xfId="0" applyFont="1">
      <alignment vertical="center"/>
    </xf>
    <xf numFmtId="0" fontId="63" fillId="30" borderId="59" xfId="0" applyFont="1" applyFill="1" applyBorder="1" applyAlignment="1" applyProtection="1">
      <alignment vertical="center"/>
    </xf>
    <xf numFmtId="0" fontId="32" fillId="30" borderId="60" xfId="44" applyFont="1" applyFill="1" applyBorder="1" applyAlignment="1" applyProtection="1">
      <alignment vertical="center"/>
    </xf>
    <xf numFmtId="0" fontId="32" fillId="30" borderId="60" xfId="44" applyFont="1" applyFill="1" applyBorder="1" applyAlignment="1" applyProtection="1">
      <alignment horizontal="left" vertical="center"/>
    </xf>
    <xf numFmtId="0" fontId="32" fillId="30" borderId="60" xfId="44" applyNumberFormat="1" applyFont="1" applyFill="1" applyBorder="1" applyAlignment="1" applyProtection="1">
      <alignment vertical="center"/>
    </xf>
    <xf numFmtId="0" fontId="2" fillId="30" borderId="60" xfId="44" applyNumberFormat="1" applyFont="1" applyFill="1" applyBorder="1" applyAlignment="1" applyProtection="1">
      <alignment vertical="center"/>
    </xf>
    <xf numFmtId="0" fontId="2" fillId="30" borderId="60" xfId="0" applyFont="1" applyFill="1" applyBorder="1" applyAlignment="1" applyProtection="1">
      <alignment horizontal="center" vertical="center"/>
    </xf>
    <xf numFmtId="0" fontId="2" fillId="30" borderId="60" xfId="0" applyFont="1" applyFill="1" applyBorder="1" applyAlignment="1" applyProtection="1">
      <alignment vertical="center"/>
    </xf>
    <xf numFmtId="0" fontId="116" fillId="30" borderId="60" xfId="0" applyFont="1" applyFill="1" applyBorder="1" applyAlignment="1" applyProtection="1">
      <alignment vertical="center"/>
    </xf>
    <xf numFmtId="0" fontId="32" fillId="30" borderId="61" xfId="44" applyFont="1" applyFill="1" applyBorder="1" applyAlignment="1" applyProtection="1">
      <alignment vertical="center"/>
    </xf>
    <xf numFmtId="0" fontId="63" fillId="27" borderId="62" xfId="0" applyFont="1" applyFill="1" applyBorder="1" applyAlignment="1" applyProtection="1">
      <alignment vertical="center"/>
    </xf>
    <xf numFmtId="0" fontId="32" fillId="27" borderId="0" xfId="44" applyFont="1" applyFill="1" applyBorder="1" applyAlignment="1" applyProtection="1">
      <alignment vertical="center"/>
    </xf>
    <xf numFmtId="0" fontId="32" fillId="27" borderId="0" xfId="44" applyFont="1" applyFill="1" applyBorder="1" applyAlignment="1" applyProtection="1">
      <alignment horizontal="left" vertical="center"/>
    </xf>
    <xf numFmtId="0" fontId="32" fillId="27" borderId="0" xfId="44" applyNumberFormat="1" applyFont="1" applyFill="1" applyBorder="1" applyAlignment="1" applyProtection="1">
      <alignment vertical="center"/>
    </xf>
    <xf numFmtId="0" fontId="2" fillId="27" borderId="0" xfId="44"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0" fontId="2"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3" fillId="27" borderId="62" xfId="44" applyFont="1" applyFill="1" applyBorder="1" applyAlignment="1" applyProtection="1">
      <alignment vertical="center"/>
    </xf>
    <xf numFmtId="0" fontId="33" fillId="27" borderId="0" xfId="44" applyFont="1" applyFill="1" applyBorder="1" applyAlignment="1" applyProtection="1">
      <alignment horizontal="right" vertical="center"/>
    </xf>
    <xf numFmtId="0" fontId="6" fillId="27" borderId="0" xfId="44" applyFont="1" applyFill="1" applyBorder="1" applyAlignment="1" applyProtection="1">
      <alignment vertical="center"/>
    </xf>
    <xf numFmtId="0" fontId="33"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69" fillId="27" borderId="0" xfId="44" applyFont="1" applyFill="1" applyBorder="1" applyAlignment="1" applyProtection="1">
      <alignment horizontal="left" vertical="center"/>
    </xf>
    <xf numFmtId="0" fontId="33" fillId="31" borderId="10" xfId="44" applyFont="1" applyFill="1" applyBorder="1" applyAlignment="1" applyProtection="1">
      <alignment horizontal="center" vertical="center"/>
    </xf>
    <xf numFmtId="182" fontId="33" fillId="31" borderId="10" xfId="44" applyNumberFormat="1" applyFont="1" applyFill="1" applyBorder="1" applyAlignment="1" applyProtection="1">
      <alignment horizontal="center" vertical="center"/>
    </xf>
    <xf numFmtId="0" fontId="33" fillId="31" borderId="10" xfId="44" applyFont="1" applyFill="1" applyBorder="1" applyAlignment="1" applyProtection="1">
      <alignment vertical="center"/>
    </xf>
    <xf numFmtId="0" fontId="33" fillId="27" borderId="0" xfId="44" applyFont="1" applyFill="1" applyBorder="1" applyAlignment="1" applyProtection="1">
      <alignment vertical="center"/>
    </xf>
    <xf numFmtId="0" fontId="33" fillId="31" borderId="152" xfId="44" applyFont="1" applyFill="1" applyBorder="1" applyAlignment="1" applyProtection="1">
      <alignment vertical="center"/>
    </xf>
    <xf numFmtId="0" fontId="33" fillId="27" borderId="0" xfId="0" applyFont="1" applyFill="1" applyBorder="1">
      <alignment vertical="center"/>
    </xf>
    <xf numFmtId="0" fontId="33" fillId="27" borderId="0" xfId="44" applyFont="1" applyFill="1" applyBorder="1" applyAlignment="1" applyProtection="1">
      <alignment horizontal="left" vertical="center"/>
    </xf>
    <xf numFmtId="0" fontId="33" fillId="27" borderId="26" xfId="0" applyFont="1" applyFill="1" applyBorder="1">
      <alignment vertical="center"/>
    </xf>
    <xf numFmtId="0" fontId="6" fillId="27" borderId="63" xfId="44" applyFont="1" applyFill="1" applyBorder="1" applyAlignment="1" applyProtection="1">
      <alignment vertical="center"/>
    </xf>
    <xf numFmtId="178" fontId="33"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3" fillId="27" borderId="0" xfId="44" applyNumberFormat="1" applyFont="1" applyFill="1" applyBorder="1" applyAlignment="1" applyProtection="1">
      <alignment horizontal="right" vertical="center"/>
    </xf>
    <xf numFmtId="38" fontId="33" fillId="27" borderId="10" xfId="35" applyFont="1" applyFill="1" applyBorder="1" applyAlignment="1">
      <alignment vertical="center"/>
    </xf>
    <xf numFmtId="0" fontId="33" fillId="27" borderId="10" xfId="0" applyFont="1" applyFill="1" applyBorder="1">
      <alignment vertical="center"/>
    </xf>
    <xf numFmtId="182" fontId="33" fillId="27" borderId="17" xfId="44" applyNumberFormat="1" applyFont="1" applyFill="1" applyBorder="1" applyAlignment="1" applyProtection="1">
      <alignment horizontal="center" vertical="center"/>
    </xf>
    <xf numFmtId="0" fontId="6" fillId="27" borderId="26" xfId="44" applyFont="1" applyFill="1" applyBorder="1" applyAlignment="1" applyProtection="1">
      <alignment horizontal="left" vertical="center"/>
    </xf>
    <xf numFmtId="0" fontId="33" fillId="27" borderId="50" xfId="44" applyFont="1" applyFill="1" applyBorder="1" applyAlignment="1" applyProtection="1">
      <alignment vertical="center"/>
    </xf>
    <xf numFmtId="0" fontId="6" fillId="27" borderId="27" xfId="44" applyFont="1" applyFill="1" applyBorder="1" applyAlignment="1" applyProtection="1">
      <alignment vertical="center"/>
    </xf>
    <xf numFmtId="179" fontId="6" fillId="27" borderId="10" xfId="44" applyNumberFormat="1" applyFont="1" applyFill="1" applyBorder="1" applyAlignment="1" applyProtection="1">
      <alignment vertical="center"/>
    </xf>
    <xf numFmtId="179" fontId="6" fillId="27" borderId="152" xfId="44" applyNumberFormat="1" applyFont="1" applyFill="1" applyBorder="1" applyAlignment="1" applyProtection="1">
      <alignment vertical="center"/>
    </xf>
    <xf numFmtId="179" fontId="6" fillId="27" borderId="51" xfId="44" applyNumberFormat="1" applyFont="1" applyFill="1" applyBorder="1" applyAlignment="1" applyProtection="1">
      <alignment vertical="center"/>
    </xf>
    <xf numFmtId="179" fontId="6" fillId="27" borderId="154" xfId="44" applyNumberFormat="1" applyFont="1" applyFill="1" applyBorder="1" applyAlignment="1" applyProtection="1">
      <alignment horizontal="right" vertical="center"/>
    </xf>
    <xf numFmtId="0" fontId="4" fillId="33" borderId="155" xfId="44" applyFont="1" applyFill="1" applyBorder="1" applyAlignment="1" applyProtection="1">
      <alignment vertical="center"/>
    </xf>
    <xf numFmtId="0" fontId="32" fillId="33" borderId="126" xfId="44" applyFont="1" applyFill="1" applyBorder="1" applyAlignment="1" applyProtection="1">
      <alignment horizontal="left" vertical="center"/>
    </xf>
    <xf numFmtId="0" fontId="32" fillId="33" borderId="126" xfId="44" applyFont="1" applyFill="1" applyBorder="1" applyAlignment="1" applyProtection="1">
      <alignment vertical="center"/>
    </xf>
    <xf numFmtId="0" fontId="2" fillId="33" borderId="156" xfId="44" applyFont="1" applyFill="1" applyBorder="1" applyAlignment="1" applyProtection="1">
      <alignment vertical="center"/>
    </xf>
    <xf numFmtId="179" fontId="4" fillId="33" borderId="136" xfId="44" applyNumberFormat="1" applyFont="1" applyFill="1" applyBorder="1" applyAlignment="1" applyProtection="1">
      <alignment horizontal="right" vertical="center"/>
    </xf>
    <xf numFmtId="0" fontId="33" fillId="27" borderId="66" xfId="44" applyFont="1" applyFill="1" applyBorder="1" applyAlignment="1" applyProtection="1">
      <alignment vertical="center"/>
    </xf>
    <xf numFmtId="179" fontId="4" fillId="33" borderId="157" xfId="44"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9"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0" fillId="0" borderId="0" xfId="0" applyFill="1" applyProtection="1">
      <alignment vertical="center"/>
    </xf>
    <xf numFmtId="0" fontId="33" fillId="0" borderId="126" xfId="0" applyFont="1" applyFill="1" applyBorder="1" applyProtection="1">
      <alignment vertical="center"/>
    </xf>
    <xf numFmtId="0" fontId="33" fillId="0" borderId="126" xfId="0" applyFont="1" applyFill="1" applyBorder="1" applyAlignment="1" applyProtection="1">
      <alignment horizontal="left" vertical="top" wrapText="1"/>
    </xf>
    <xf numFmtId="3" fontId="27" fillId="0" borderId="0" xfId="0" applyNumberFormat="1" applyFont="1" applyFill="1" applyBorder="1" applyAlignment="1" applyProtection="1">
      <alignment horizontal="left" vertical="center"/>
    </xf>
    <xf numFmtId="0" fontId="33" fillId="0" borderId="0" xfId="0" applyFont="1" applyFill="1" applyProtection="1">
      <alignment vertical="center"/>
    </xf>
    <xf numFmtId="0" fontId="0" fillId="31" borderId="158" xfId="0" applyFill="1" applyBorder="1" applyAlignment="1" applyProtection="1">
      <alignment horizontal="center" vertical="center"/>
    </xf>
    <xf numFmtId="0" fontId="0" fillId="31" borderId="159" xfId="0" applyFill="1" applyBorder="1" applyAlignment="1" applyProtection="1">
      <alignment horizontal="center" vertical="center"/>
    </xf>
    <xf numFmtId="0" fontId="0" fillId="31" borderId="160"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61" xfId="0" applyFill="1" applyBorder="1" applyAlignment="1" applyProtection="1">
      <alignment horizontal="center" vertical="center" wrapText="1"/>
    </xf>
    <xf numFmtId="0" fontId="0" fillId="27" borderId="162"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48" fillId="0" borderId="0" xfId="0" applyFont="1" applyFill="1" applyAlignment="1" applyProtection="1">
      <alignment horizontal="left" vertical="center"/>
    </xf>
    <xf numFmtId="0" fontId="28" fillId="0" borderId="0" xfId="0" applyFont="1" applyAlignment="1" applyProtection="1">
      <alignment vertical="center"/>
    </xf>
    <xf numFmtId="0" fontId="33" fillId="0" borderId="57" xfId="0" applyFont="1" applyFill="1" applyBorder="1" applyAlignment="1" applyProtection="1">
      <alignment horizontal="center" vertical="center"/>
    </xf>
    <xf numFmtId="0" fontId="48" fillId="0" borderId="0" xfId="0" applyFont="1" applyFill="1" applyAlignment="1" applyProtection="1">
      <alignment horizontal="left" vertical="center"/>
      <protection hidden="1"/>
    </xf>
    <xf numFmtId="0" fontId="28"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28" fillId="41" borderId="144" xfId="0" applyFont="1" applyFill="1" applyBorder="1" applyAlignment="1" applyProtection="1">
      <alignment vertical="center"/>
      <protection hidden="1"/>
    </xf>
    <xf numFmtId="0" fontId="37" fillId="0" borderId="0" xfId="0" applyFont="1" applyFill="1" applyAlignment="1" applyProtection="1">
      <alignment vertical="center"/>
      <protection hidden="1"/>
    </xf>
    <xf numFmtId="0" fontId="28" fillId="0" borderId="0" xfId="0"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152" fillId="0" borderId="0" xfId="0" applyFont="1" applyFill="1" applyAlignment="1" applyProtection="1">
      <alignment vertical="center"/>
      <protection hidden="1"/>
    </xf>
    <xf numFmtId="0" fontId="45" fillId="0" borderId="0" xfId="0" applyFont="1" applyFill="1" applyBorder="1" applyAlignment="1" applyProtection="1">
      <alignment horizontal="left" vertical="center"/>
      <protection hidden="1"/>
    </xf>
    <xf numFmtId="0" fontId="48" fillId="0" borderId="0" xfId="0" applyFont="1" applyFill="1" applyAlignment="1" applyProtection="1">
      <alignment vertical="center"/>
      <protection hidden="1"/>
    </xf>
    <xf numFmtId="0" fontId="27" fillId="0" borderId="0" xfId="0" applyFont="1" applyFill="1" applyBorder="1" applyAlignment="1">
      <alignment horizontal="left" vertical="center"/>
    </xf>
    <xf numFmtId="0" fontId="153" fillId="0" borderId="0" xfId="0" applyFont="1" applyFill="1" applyBorder="1" applyAlignment="1" applyProtection="1">
      <alignment vertical="center"/>
      <protection hidden="1"/>
    </xf>
    <xf numFmtId="0" fontId="23" fillId="0" borderId="0" xfId="0" applyFont="1" applyFill="1" applyBorder="1" applyAlignment="1" applyProtection="1">
      <alignment horizontal="right" vertical="center"/>
      <protection hidden="1"/>
    </xf>
    <xf numFmtId="0" fontId="23" fillId="0" borderId="0" xfId="0" applyFont="1" applyFill="1" applyBorder="1" applyAlignment="1" applyProtection="1">
      <alignment vertical="center"/>
      <protection hidden="1"/>
    </xf>
    <xf numFmtId="0" fontId="152"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179" fontId="28" fillId="31" borderId="52"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Continuous" vertical="center"/>
      <protection hidden="1"/>
    </xf>
    <xf numFmtId="0" fontId="37" fillId="31" borderId="50" xfId="0" applyFont="1" applyFill="1" applyBorder="1" applyAlignment="1" applyProtection="1">
      <alignment horizontal="right" vertical="center"/>
      <protection hidden="1"/>
    </xf>
    <xf numFmtId="2" fontId="28" fillId="31" borderId="50" xfId="0" applyNumberFormat="1"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left" vertical="center"/>
      <protection hidden="1"/>
    </xf>
    <xf numFmtId="2" fontId="28" fillId="31" borderId="27" xfId="0" applyNumberFormat="1" applyFont="1" applyFill="1" applyBorder="1" applyAlignment="1" applyProtection="1">
      <alignment horizontal="left" vertical="center"/>
      <protection hidden="1"/>
    </xf>
    <xf numFmtId="203" fontId="26" fillId="31" borderId="144" xfId="0" applyNumberFormat="1" applyFont="1" applyFill="1" applyBorder="1" applyAlignment="1" applyProtection="1">
      <alignment horizontal="center" vertical="center"/>
      <protection locked="0" hidden="1"/>
    </xf>
    <xf numFmtId="181" fontId="28" fillId="31" borderId="56" xfId="0" applyNumberFormat="1" applyFont="1" applyFill="1" applyBorder="1" applyAlignment="1" applyProtection="1">
      <alignment horizontal="centerContinuous" vertical="center" wrapText="1"/>
      <protection hidden="1"/>
    </xf>
    <xf numFmtId="181" fontId="28" fillId="31" borderId="55"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Continuous" vertical="center"/>
      <protection hidden="1"/>
    </xf>
    <xf numFmtId="181" fontId="28" fillId="31" borderId="50" xfId="0" applyNumberFormat="1" applyFont="1" applyFill="1" applyBorder="1" applyAlignment="1" applyProtection="1">
      <alignment horizontal="centerContinuous" vertical="center"/>
      <protection hidden="1"/>
    </xf>
    <xf numFmtId="181" fontId="28" fillId="31" borderId="27" xfId="0" applyNumberFormat="1" applyFont="1" applyFill="1" applyBorder="1" applyAlignment="1" applyProtection="1">
      <alignment horizontal="centerContinuous" vertical="center"/>
      <protection hidden="1"/>
    </xf>
    <xf numFmtId="181" fontId="26" fillId="27" borderId="163" xfId="0" applyNumberFormat="1" applyFont="1" applyFill="1" applyBorder="1" applyAlignment="1" applyProtection="1">
      <alignment horizontal="center" vertical="center"/>
      <protection hidden="1"/>
    </xf>
    <xf numFmtId="181" fontId="28" fillId="27" borderId="164" xfId="0" applyNumberFormat="1" applyFont="1" applyFill="1" applyBorder="1" applyAlignment="1" applyProtection="1">
      <alignment horizontal="left" vertical="center" wrapText="1"/>
      <protection hidden="1"/>
    </xf>
    <xf numFmtId="181" fontId="28" fillId="27" borderId="164"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6" xfId="0" applyNumberFormat="1" applyFont="1" applyFill="1" applyBorder="1" applyAlignment="1" applyProtection="1">
      <alignment horizontal="left" vertical="center"/>
      <protection hidden="1"/>
    </xf>
    <xf numFmtId="181" fontId="26" fillId="27" borderId="167" xfId="0" applyNumberFormat="1" applyFont="1" applyFill="1" applyBorder="1" applyAlignment="1" applyProtection="1">
      <alignment horizontal="center" vertical="center"/>
      <protection hidden="1"/>
    </xf>
    <xf numFmtId="181" fontId="28" fillId="27" borderId="11" xfId="0" applyNumberFormat="1" applyFont="1" applyFill="1" applyBorder="1" applyAlignment="1" applyProtection="1">
      <alignment vertical="center" shrinkToFit="1"/>
      <protection hidden="1"/>
    </xf>
    <xf numFmtId="181" fontId="28" fillId="27" borderId="14" xfId="0" applyNumberFormat="1" applyFont="1" applyFill="1" applyBorder="1" applyAlignment="1" applyProtection="1">
      <alignment vertical="center" shrinkToFit="1"/>
      <protection hidden="1"/>
    </xf>
    <xf numFmtId="181" fontId="28" fillId="27" borderId="12"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protection hidden="1"/>
    </xf>
    <xf numFmtId="181" fontId="28" fillId="27" borderId="11"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1"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vertical="center" wrapText="1"/>
      <protection hidden="1"/>
    </xf>
    <xf numFmtId="181" fontId="26" fillId="27" borderId="168" xfId="0" applyNumberFormat="1" applyFont="1" applyFill="1" applyBorder="1" applyAlignment="1" applyProtection="1">
      <alignment horizontal="center" vertical="center"/>
      <protection hidden="1"/>
    </xf>
    <xf numFmtId="181" fontId="28" fillId="27" borderId="169" xfId="0" applyNumberFormat="1" applyFont="1" applyFill="1" applyBorder="1" applyAlignment="1" applyProtection="1">
      <alignment vertical="center" wrapText="1"/>
      <protection hidden="1"/>
    </xf>
    <xf numFmtId="181" fontId="28" fillId="27" borderId="168" xfId="0" applyNumberFormat="1" applyFont="1" applyFill="1" applyBorder="1" applyAlignment="1" applyProtection="1">
      <alignment vertical="center" wrapText="1"/>
      <protection hidden="1"/>
    </xf>
    <xf numFmtId="181" fontId="28" fillId="27" borderId="170" xfId="0" applyNumberFormat="1" applyFont="1" applyFill="1" applyBorder="1" applyAlignment="1" applyProtection="1">
      <alignment vertical="center" wrapText="1"/>
      <protection hidden="1"/>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70" xfId="0" applyNumberFormat="1" applyFont="1" applyFill="1" applyBorder="1" applyAlignment="1" applyProtection="1">
      <alignment horizontal="left" vertical="center"/>
      <protection hidden="1"/>
    </xf>
    <xf numFmtId="202" fontId="28" fillId="0" borderId="10" xfId="35" applyNumberFormat="1" applyFont="1" applyFill="1" applyBorder="1" applyAlignment="1" applyProtection="1">
      <alignment horizontal="center" vertical="center"/>
      <protection hidden="1"/>
    </xf>
    <xf numFmtId="0" fontId="26" fillId="0" borderId="0" xfId="0" applyFont="1" applyFill="1" applyProtection="1">
      <alignment vertical="center"/>
    </xf>
    <xf numFmtId="0" fontId="28" fillId="38" borderId="0" xfId="0" applyFont="1" applyFill="1" applyProtection="1">
      <alignment vertical="center"/>
    </xf>
    <xf numFmtId="0" fontId="28" fillId="27" borderId="10" xfId="0" applyFont="1" applyFill="1" applyBorder="1" applyProtection="1">
      <alignment vertical="center"/>
    </xf>
    <xf numFmtId="0" fontId="28" fillId="27" borderId="10" xfId="0" quotePrefix="1" applyFont="1" applyFill="1" applyBorder="1" applyAlignment="1" applyProtection="1">
      <alignment horizontal="center" vertical="center"/>
    </xf>
    <xf numFmtId="0" fontId="28" fillId="27" borderId="51" xfId="0" applyFont="1" applyFill="1" applyBorder="1" applyAlignment="1" applyProtection="1">
      <alignment horizontal="center" vertical="center"/>
    </xf>
    <xf numFmtId="0" fontId="28" fillId="27" borderId="26" xfId="0" applyFont="1" applyFill="1" applyBorder="1" applyProtection="1">
      <alignment vertical="center"/>
    </xf>
    <xf numFmtId="0" fontId="37" fillId="27" borderId="26" xfId="0" applyFont="1" applyFill="1" applyBorder="1" applyAlignment="1" applyProtection="1">
      <alignment horizontal="right" vertical="center"/>
    </xf>
    <xf numFmtId="0" fontId="37" fillId="27" borderId="50" xfId="0" applyFont="1" applyFill="1" applyBorder="1" applyAlignment="1" applyProtection="1">
      <alignment vertical="center"/>
    </xf>
    <xf numFmtId="0" fontId="37" fillId="27" borderId="50" xfId="0" applyFont="1" applyFill="1" applyBorder="1" applyAlignment="1" applyProtection="1">
      <alignment horizontal="center" vertical="center"/>
    </xf>
    <xf numFmtId="0" fontId="37" fillId="27" borderId="27" xfId="0" applyFont="1" applyFill="1" applyBorder="1" applyAlignment="1" applyProtection="1">
      <alignment vertical="center"/>
    </xf>
    <xf numFmtId="0" fontId="37" fillId="27" borderId="52" xfId="0" applyFont="1" applyFill="1" applyBorder="1" applyProtection="1">
      <alignment vertical="center"/>
    </xf>
    <xf numFmtId="0" fontId="37" fillId="27" borderId="53" xfId="0" applyFont="1" applyFill="1" applyBorder="1" applyProtection="1">
      <alignment vertical="center"/>
    </xf>
    <xf numFmtId="0" fontId="37" fillId="27" borderId="53" xfId="0" applyFont="1" applyFill="1" applyBorder="1" applyAlignment="1" applyProtection="1">
      <alignment vertical="top" wrapText="1"/>
    </xf>
    <xf numFmtId="0" fontId="37" fillId="27" borderId="53" xfId="0" applyFont="1" applyFill="1" applyBorder="1" applyAlignment="1" applyProtection="1">
      <alignment horizontal="center" vertical="top"/>
    </xf>
    <xf numFmtId="0" fontId="37" fillId="27" borderId="54" xfId="0" applyFont="1" applyFill="1" applyBorder="1" applyAlignment="1" applyProtection="1">
      <alignment horizontal="right" vertical="top" wrapText="1"/>
    </xf>
    <xf numFmtId="0" fontId="37" fillId="27" borderId="56" xfId="0" applyFont="1" applyFill="1" applyBorder="1" applyAlignment="1" applyProtection="1">
      <alignment vertical="center"/>
    </xf>
    <xf numFmtId="0" fontId="37" fillId="27" borderId="57" xfId="0" applyFont="1" applyFill="1" applyBorder="1" applyAlignment="1" applyProtection="1">
      <alignment vertical="center"/>
    </xf>
    <xf numFmtId="0" fontId="37" fillId="27" borderId="57" xfId="0" applyFont="1" applyFill="1" applyBorder="1" applyAlignment="1" applyProtection="1">
      <alignment horizontal="left" vertical="center"/>
    </xf>
    <xf numFmtId="0" fontId="37" fillId="27" borderId="57" xfId="0" applyFont="1" applyFill="1" applyBorder="1" applyAlignment="1" applyProtection="1">
      <alignment vertical="center" wrapText="1"/>
    </xf>
    <xf numFmtId="0" fontId="37" fillId="27" borderId="57" xfId="0" applyFont="1" applyFill="1" applyBorder="1" applyAlignment="1" applyProtection="1">
      <alignment horizontal="center" vertical="center"/>
    </xf>
    <xf numFmtId="0" fontId="37" fillId="27" borderId="58" xfId="0" applyFont="1" applyFill="1" applyBorder="1" applyAlignment="1" applyProtection="1">
      <alignment vertical="center" wrapText="1"/>
    </xf>
    <xf numFmtId="0" fontId="28" fillId="27" borderId="51" xfId="0" applyFont="1" applyFill="1" applyBorder="1" applyProtection="1">
      <alignment vertical="center"/>
    </xf>
    <xf numFmtId="0" fontId="37" fillId="27" borderId="54" xfId="0" applyFont="1" applyFill="1" applyBorder="1" applyProtection="1">
      <alignment vertical="center"/>
    </xf>
    <xf numFmtId="0" fontId="28" fillId="27" borderId="15" xfId="0" applyFont="1" applyFill="1" applyBorder="1" applyProtection="1">
      <alignment vertical="center"/>
    </xf>
    <xf numFmtId="0" fontId="37" fillId="27" borderId="0" xfId="0" applyFont="1" applyFill="1" applyBorder="1" applyProtection="1">
      <alignment vertical="center"/>
    </xf>
    <xf numFmtId="0" fontId="37" fillId="27" borderId="0" xfId="0" applyFont="1" applyFill="1" applyBorder="1" applyAlignment="1" applyProtection="1">
      <alignment horizontal="left" vertical="center"/>
    </xf>
    <xf numFmtId="0" fontId="37" fillId="27" borderId="0" xfId="0" applyFont="1" applyFill="1" applyBorder="1" applyAlignment="1" applyProtection="1">
      <alignment horizontal="center" vertical="center"/>
    </xf>
    <xf numFmtId="0" fontId="37" fillId="27" borderId="17" xfId="0" applyFont="1" applyFill="1" applyBorder="1" applyProtection="1">
      <alignment vertical="center"/>
    </xf>
    <xf numFmtId="0" fontId="37" fillId="27" borderId="17" xfId="0" applyFont="1" applyFill="1" applyBorder="1" applyAlignment="1" applyProtection="1">
      <alignment horizontal="center" vertical="center"/>
    </xf>
    <xf numFmtId="0" fontId="37" fillId="27" borderId="0" xfId="0" applyFont="1" applyFill="1" applyBorder="1" applyAlignment="1" applyProtection="1">
      <alignment vertical="top" wrapText="1"/>
    </xf>
    <xf numFmtId="0" fontId="37" fillId="27" borderId="57" xfId="0" applyFont="1" applyFill="1" applyBorder="1" applyProtection="1">
      <alignment vertical="center"/>
    </xf>
    <xf numFmtId="0" fontId="37" fillId="27" borderId="57" xfId="0" applyFont="1" applyFill="1" applyBorder="1" applyAlignment="1" applyProtection="1">
      <alignment horizontal="center" vertical="top" wrapText="1"/>
    </xf>
    <xf numFmtId="0" fontId="37" fillId="27" borderId="58" xfId="0" applyFont="1" applyFill="1" applyBorder="1" applyProtection="1">
      <alignment vertical="center"/>
    </xf>
    <xf numFmtId="0" fontId="37" fillId="38" borderId="0" xfId="0" applyFont="1" applyFill="1" applyProtection="1">
      <alignment vertical="center"/>
    </xf>
    <xf numFmtId="0" fontId="37" fillId="38" borderId="0" xfId="0" applyFont="1" applyFill="1" applyAlignment="1" applyProtection="1">
      <alignment horizontal="right" vertical="center"/>
    </xf>
    <xf numFmtId="0" fontId="28" fillId="38" borderId="0" xfId="0" applyFont="1" applyFill="1" applyAlignment="1" applyProtection="1">
      <alignment vertical="center"/>
      <protection hidden="1"/>
    </xf>
    <xf numFmtId="0" fontId="153" fillId="38" borderId="0" xfId="0" applyFont="1" applyFill="1" applyBorder="1" applyAlignment="1" applyProtection="1">
      <alignment vertical="center"/>
      <protection hidden="1"/>
    </xf>
    <xf numFmtId="0" fontId="26" fillId="38" borderId="0" xfId="0" applyFont="1" applyFill="1" applyBorder="1" applyAlignment="1" applyProtection="1">
      <alignment horizontal="right" vertical="center"/>
      <protection hidden="1"/>
    </xf>
    <xf numFmtId="0" fontId="152" fillId="38" borderId="0" xfId="0" applyFont="1" applyFill="1" applyBorder="1" applyAlignment="1" applyProtection="1">
      <alignment vertical="center"/>
    </xf>
    <xf numFmtId="0" fontId="23" fillId="38" borderId="0" xfId="0" applyFont="1" applyFill="1" applyBorder="1" applyAlignment="1" applyProtection="1">
      <alignment horizontal="right" vertical="center"/>
      <protection hidden="1"/>
    </xf>
    <xf numFmtId="209" fontId="26" fillId="31" borderId="144"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vertical="center"/>
      <protection hidden="1"/>
    </xf>
    <xf numFmtId="181" fontId="28" fillId="27" borderId="164" xfId="0" applyNumberFormat="1" applyFont="1" applyFill="1" applyBorder="1" applyAlignment="1" applyProtection="1">
      <alignment vertical="center" wrapText="1"/>
      <protection hidden="1"/>
    </xf>
    <xf numFmtId="0" fontId="28" fillId="0" borderId="0" xfId="0" applyFont="1" applyFill="1" applyAlignment="1" applyProtection="1">
      <alignment horizontal="left"/>
      <protection hidden="1"/>
    </xf>
    <xf numFmtId="0" fontId="26" fillId="0" borderId="0" xfId="0" applyFont="1" applyFill="1" applyAlignment="1" applyProtection="1">
      <protection hidden="1"/>
    </xf>
    <xf numFmtId="0" fontId="28" fillId="38" borderId="0" xfId="0" applyFont="1" applyFill="1" applyAlignment="1" applyProtection="1">
      <protection hidden="1"/>
    </xf>
    <xf numFmtId="0" fontId="28" fillId="38" borderId="0" xfId="0" applyFont="1" applyFill="1" applyAlignment="1" applyProtection="1"/>
    <xf numFmtId="0" fontId="28" fillId="31" borderId="144" xfId="0" applyFont="1" applyFill="1" applyBorder="1" applyAlignment="1" applyProtection="1">
      <alignment horizontal="center"/>
      <protection locked="0"/>
    </xf>
    <xf numFmtId="0" fontId="28" fillId="38" borderId="0" xfId="0" applyFont="1" applyFill="1" applyBorder="1" applyAlignment="1" applyProtection="1">
      <alignment horizontal="right"/>
      <protection hidden="1"/>
    </xf>
    <xf numFmtId="0" fontId="48" fillId="0" borderId="0" xfId="0" applyFont="1" applyFill="1" applyAlignment="1" applyProtection="1">
      <alignment horizontal="left"/>
      <protection hidden="1"/>
    </xf>
    <xf numFmtId="0" fontId="48" fillId="38" borderId="0" xfId="0" applyFont="1" applyFill="1" applyAlignment="1" applyProtection="1">
      <alignment horizontal="left"/>
      <protection hidden="1"/>
    </xf>
    <xf numFmtId="0" fontId="37" fillId="31" borderId="10" xfId="0" applyFont="1" applyFill="1" applyBorder="1" applyAlignment="1" applyProtection="1">
      <alignment horizontal="center"/>
    </xf>
    <xf numFmtId="0" fontId="28" fillId="31" borderId="10" xfId="0" applyFont="1" applyFill="1" applyBorder="1" applyAlignment="1" applyProtection="1">
      <alignment horizontal="center"/>
    </xf>
    <xf numFmtId="0" fontId="28" fillId="38" borderId="0" xfId="0" applyFont="1" applyFill="1" applyAlignment="1" applyProtection="1">
      <alignment horizontal="right" vertical="center"/>
    </xf>
    <xf numFmtId="0" fontId="28" fillId="27" borderId="10" xfId="0" applyFont="1" applyFill="1" applyBorder="1" applyAlignment="1" applyProtection="1">
      <alignment horizontal="left" vertical="center"/>
      <protection locked="0"/>
    </xf>
    <xf numFmtId="209" fontId="28" fillId="31" borderId="55" xfId="0" applyNumberFormat="1" applyFont="1" applyFill="1" applyBorder="1" applyAlignment="1" applyProtection="1">
      <alignment horizontal="center" vertical="center"/>
      <protection hidden="1"/>
    </xf>
    <xf numFmtId="0" fontId="28" fillId="31" borderId="50"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179" fontId="28" fillId="31" borderId="26" xfId="0" applyNumberFormat="1" applyFont="1" applyFill="1" applyBorder="1" applyAlignment="1" applyProtection="1">
      <alignment horizontal="right" vertical="center"/>
      <protection hidden="1"/>
    </xf>
    <xf numFmtId="193" fontId="28" fillId="31" borderId="27" xfId="0" applyNumberFormat="1" applyFont="1" applyFill="1" applyBorder="1" applyAlignment="1" applyProtection="1">
      <alignment horizontal="right" vertical="center"/>
      <protection hidden="1"/>
    </xf>
    <xf numFmtId="0" fontId="28" fillId="31" borderId="26" xfId="0" applyFont="1" applyFill="1" applyBorder="1" applyAlignment="1" applyProtection="1">
      <alignment horizontal="center" vertical="center"/>
    </xf>
    <xf numFmtId="193" fontId="28" fillId="31" borderId="27" xfId="0" applyNumberFormat="1" applyFont="1" applyFill="1" applyBorder="1" applyAlignment="1" applyProtection="1">
      <alignment vertical="center"/>
      <protection hidden="1"/>
    </xf>
    <xf numFmtId="9" fontId="28" fillId="27" borderId="172" xfId="0" applyNumberFormat="1" applyFont="1" applyFill="1" applyBorder="1" applyAlignment="1" applyProtection="1">
      <alignment horizontal="center" vertical="center"/>
      <protection locked="0" hidden="1"/>
    </xf>
    <xf numFmtId="0" fontId="28" fillId="38" borderId="0" xfId="0" applyFont="1" applyFill="1" applyAlignment="1" applyProtection="1">
      <alignment vertical="center"/>
    </xf>
    <xf numFmtId="9" fontId="28" fillId="27" borderId="173" xfId="0" applyNumberFormat="1" applyFont="1" applyFill="1" applyBorder="1" applyAlignment="1" applyProtection="1">
      <alignment horizontal="center" vertical="center"/>
      <protection locked="0" hidden="1"/>
    </xf>
    <xf numFmtId="0" fontId="37" fillId="27" borderId="80" xfId="0" applyFont="1" applyFill="1" applyBorder="1" applyAlignment="1" applyProtection="1">
      <alignment horizontal="left" vertical="center"/>
      <protection hidden="1"/>
    </xf>
    <xf numFmtId="0" fontId="6" fillId="27" borderId="27" xfId="0" applyFont="1" applyFill="1" applyBorder="1" applyAlignment="1">
      <alignment horizontal="left" vertical="center" wrapText="1"/>
    </xf>
    <xf numFmtId="0" fontId="37" fillId="27" borderId="26" xfId="0"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33" fillId="31" borderId="56" xfId="0" applyFont="1" applyFill="1" applyBorder="1" applyAlignment="1" applyProtection="1">
      <alignment horizontal="centerContinuous" vertical="center"/>
      <protection hidden="1"/>
    </xf>
    <xf numFmtId="9" fontId="28" fillId="27" borderId="174" xfId="0" applyNumberFormat="1" applyFont="1" applyFill="1" applyBorder="1" applyAlignment="1" applyProtection="1">
      <alignment horizontal="center" vertical="center"/>
      <protection locked="0" hidden="1"/>
    </xf>
    <xf numFmtId="0" fontId="26" fillId="0" borderId="55" xfId="0" applyNumberFormat="1" applyFont="1" applyFill="1" applyBorder="1" applyAlignment="1" applyProtection="1">
      <alignment horizontal="center" vertical="center"/>
      <protection hidden="1"/>
    </xf>
    <xf numFmtId="0" fontId="26" fillId="38" borderId="55" xfId="0" applyNumberFormat="1" applyFont="1" applyFill="1" applyBorder="1" applyAlignment="1" applyProtection="1">
      <alignment horizontal="center" vertical="center"/>
      <protection hidden="1"/>
    </xf>
    <xf numFmtId="0" fontId="6" fillId="38" borderId="0" xfId="0" applyFont="1" applyFill="1" applyBorder="1" applyAlignment="1">
      <alignment horizontal="left" vertical="center" wrapText="1"/>
    </xf>
    <xf numFmtId="0" fontId="26" fillId="38" borderId="0" xfId="0" applyFont="1" applyFill="1" applyAlignment="1" applyProtection="1">
      <protection hidden="1"/>
    </xf>
    <xf numFmtId="0" fontId="28" fillId="0" borderId="0" xfId="0" applyFont="1" applyAlignment="1" applyProtection="1"/>
    <xf numFmtId="181" fontId="28" fillId="31" borderId="50" xfId="0" applyNumberFormat="1" applyFont="1" applyFill="1" applyBorder="1" applyAlignment="1" applyProtection="1">
      <alignment horizontal="right" vertical="center"/>
      <protection hidden="1"/>
    </xf>
    <xf numFmtId="0" fontId="48" fillId="38"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0" fontId="45" fillId="0" borderId="0" xfId="0" applyFont="1" applyFill="1" applyAlignment="1" applyProtection="1">
      <alignment horizontal="left" vertical="center"/>
      <protection hidden="1"/>
    </xf>
    <xf numFmtId="0" fontId="153" fillId="38" borderId="0" xfId="0" applyFont="1" applyFill="1" applyAlignment="1" applyProtection="1">
      <alignment vertical="center"/>
      <protection hidden="1"/>
    </xf>
    <xf numFmtId="0" fontId="152" fillId="38" borderId="0" xfId="0" applyFont="1" applyFill="1" applyAlignment="1" applyProtection="1">
      <alignment vertical="center"/>
      <protection hidden="1"/>
    </xf>
    <xf numFmtId="0" fontId="45" fillId="38" borderId="0" xfId="0" applyFont="1" applyFill="1" applyBorder="1" applyAlignment="1" applyProtection="1">
      <alignment vertical="center"/>
      <protection hidden="1"/>
    </xf>
    <xf numFmtId="181" fontId="28" fillId="31" borderId="26" xfId="0" applyNumberFormat="1" applyFont="1" applyFill="1" applyBorder="1" applyAlignment="1" applyProtection="1">
      <alignment horizontal="centerContinuous" vertical="center"/>
      <protection hidden="1"/>
    </xf>
    <xf numFmtId="0" fontId="28" fillId="27" borderId="10" xfId="0" applyFont="1" applyFill="1" applyBorder="1" applyAlignment="1" applyProtection="1">
      <alignment vertical="center"/>
      <protection hidden="1"/>
    </xf>
    <xf numFmtId="0" fontId="28" fillId="27" borderId="51" xfId="0" applyFont="1" applyFill="1" applyBorder="1" applyAlignment="1" applyProtection="1">
      <alignment vertical="center"/>
      <protection hidden="1"/>
    </xf>
    <xf numFmtId="181" fontId="26" fillId="27" borderId="16" xfId="0" applyNumberFormat="1" applyFont="1" applyFill="1" applyBorder="1" applyAlignment="1" applyProtection="1">
      <alignment horizontal="center" vertical="center"/>
      <protection hidden="1"/>
    </xf>
    <xf numFmtId="0" fontId="28" fillId="38" borderId="0" xfId="0" applyFont="1" applyFill="1" applyAlignment="1" applyProtection="1">
      <alignment horizontal="left" vertical="center"/>
      <protection hidden="1"/>
    </xf>
    <xf numFmtId="181" fontId="28" fillId="31" borderId="58" xfId="0" applyNumberFormat="1" applyFont="1" applyFill="1" applyBorder="1" applyAlignment="1" applyProtection="1">
      <alignment horizontal="centerContinuous" vertical="center"/>
      <protection hidden="1"/>
    </xf>
    <xf numFmtId="180" fontId="28" fillId="31" borderId="50" xfId="0" applyNumberFormat="1" applyFont="1" applyFill="1" applyBorder="1" applyAlignment="1" applyProtection="1">
      <alignment horizontal="centerContinuous" vertical="center"/>
      <protection hidden="1"/>
    </xf>
    <xf numFmtId="180" fontId="28" fillId="31" borderId="27" xfId="0" applyNumberFormat="1" applyFont="1" applyFill="1" applyBorder="1" applyAlignment="1" applyProtection="1">
      <alignment horizontal="centerContinuous" vertical="center"/>
      <protection hidden="1"/>
    </xf>
    <xf numFmtId="181" fontId="28" fillId="27" borderId="175" xfId="0" applyNumberFormat="1" applyFont="1" applyFill="1" applyBorder="1" applyAlignment="1" applyProtection="1">
      <alignment horizontal="left" vertical="center"/>
      <protection hidden="1"/>
    </xf>
    <xf numFmtId="181" fontId="28" fillId="27" borderId="87"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6" fillId="0" borderId="0"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center" vertical="center"/>
      <protection hidden="1"/>
    </xf>
    <xf numFmtId="0" fontId="28" fillId="38" borderId="0" xfId="0" applyFont="1" applyFill="1" applyAlignment="1" applyProtection="1">
      <alignment vertical="top"/>
      <protection hidden="1"/>
    </xf>
    <xf numFmtId="0" fontId="28" fillId="0" borderId="0" xfId="0" applyFont="1" applyFill="1" applyAlignment="1" applyProtection="1">
      <alignment vertical="center"/>
    </xf>
    <xf numFmtId="0" fontId="28" fillId="38" borderId="53" xfId="0" applyFont="1" applyFill="1" applyBorder="1" applyAlignment="1" applyProtection="1">
      <alignment vertical="center"/>
      <protection hidden="1"/>
    </xf>
    <xf numFmtId="0" fontId="28" fillId="38" borderId="53" xfId="0" applyFont="1" applyFill="1" applyBorder="1" applyAlignment="1" applyProtection="1">
      <alignment horizontal="right" vertical="center"/>
      <protection hidden="1"/>
    </xf>
    <xf numFmtId="0" fontId="27" fillId="0" borderId="0" xfId="0" applyFont="1" applyFill="1" applyBorder="1" applyAlignment="1">
      <alignment vertical="center"/>
    </xf>
    <xf numFmtId="179" fontId="28" fillId="31" borderId="26" xfId="0" applyNumberFormat="1" applyFont="1" applyFill="1" applyBorder="1" applyAlignment="1" applyProtection="1">
      <alignment horizontal="left" vertical="center"/>
      <protection hidden="1"/>
    </xf>
    <xf numFmtId="0" fontId="28" fillId="31" borderId="50" xfId="0" applyFont="1" applyFill="1" applyBorder="1" applyAlignment="1" applyProtection="1">
      <alignment vertical="center"/>
    </xf>
    <xf numFmtId="179" fontId="28" fillId="31" borderId="50" xfId="0" applyNumberFormat="1" applyFont="1" applyFill="1" applyBorder="1" applyAlignment="1" applyProtection="1">
      <alignment horizontal="centerContinuous" vertical="center" wrapText="1"/>
      <protection hidden="1"/>
    </xf>
    <xf numFmtId="0" fontId="28" fillId="31" borderId="27" xfId="0" applyFont="1" applyFill="1" applyBorder="1" applyAlignment="1" applyProtection="1">
      <alignment vertical="center"/>
    </xf>
    <xf numFmtId="180" fontId="28" fillId="31" borderId="155" xfId="0" applyNumberFormat="1" applyFont="1" applyFill="1" applyBorder="1" applyAlignment="1" applyProtection="1">
      <alignment horizontal="centerContinuous" vertical="center"/>
      <protection hidden="1"/>
    </xf>
    <xf numFmtId="181" fontId="28" fillId="31" borderId="55" xfId="0" applyNumberFormat="1" applyFont="1" applyFill="1" applyBorder="1" applyAlignment="1" applyProtection="1">
      <alignment horizontal="centerContinuous" vertical="center"/>
      <protection hidden="1"/>
    </xf>
    <xf numFmtId="181" fontId="28" fillId="31" borderId="57" xfId="0" applyNumberFormat="1" applyFont="1" applyFill="1" applyBorder="1" applyAlignment="1" applyProtection="1">
      <alignment horizontal="centerContinuous" vertical="center"/>
      <protection hidden="1"/>
    </xf>
    <xf numFmtId="181" fontId="28" fillId="31" borderId="10" xfId="0" applyNumberFormat="1" applyFont="1" applyFill="1" applyBorder="1" applyAlignment="1" applyProtection="1">
      <alignment horizontal="centerContinuous" vertical="center"/>
      <protection hidden="1"/>
    </xf>
    <xf numFmtId="180" fontId="28" fillId="31" borderId="58" xfId="0" applyNumberFormat="1" applyFont="1" applyFill="1" applyBorder="1" applyAlignment="1" applyProtection="1">
      <alignment horizontal="centerContinuous" vertical="center"/>
      <protection hidden="1"/>
    </xf>
    <xf numFmtId="181" fontId="28" fillId="27" borderId="164" xfId="0" applyNumberFormat="1" applyFont="1" applyFill="1" applyBorder="1" applyAlignment="1" applyProtection="1">
      <alignment horizontal="left" vertical="center" shrinkToFit="1"/>
      <protection hidden="1"/>
    </xf>
    <xf numFmtId="181" fontId="28" fillId="27" borderId="16" xfId="0" applyNumberFormat="1" applyFont="1" applyFill="1" applyBorder="1" applyAlignment="1" applyProtection="1">
      <alignment vertical="center" wrapText="1"/>
      <protection hidden="1"/>
    </xf>
    <xf numFmtId="181" fontId="28" fillId="27" borderId="176" xfId="0" applyNumberFormat="1" applyFont="1" applyFill="1" applyBorder="1" applyAlignment="1" applyProtection="1">
      <alignment vertical="center" wrapText="1"/>
      <protection hidden="1"/>
    </xf>
    <xf numFmtId="181" fontId="28" fillId="27" borderId="177" xfId="0" applyNumberFormat="1" applyFont="1" applyFill="1" applyBorder="1" applyAlignment="1" applyProtection="1">
      <alignment vertical="center" wrapText="1"/>
      <protection hidden="1"/>
    </xf>
    <xf numFmtId="181" fontId="28" fillId="27" borderId="169" xfId="0" applyNumberFormat="1" applyFont="1" applyFill="1" applyBorder="1" applyAlignment="1" applyProtection="1">
      <alignment vertical="center"/>
      <protection hidden="1"/>
    </xf>
    <xf numFmtId="181" fontId="28" fillId="27" borderId="171" xfId="0" applyNumberFormat="1" applyFont="1" applyFill="1" applyBorder="1" applyAlignment="1" applyProtection="1">
      <alignment vertical="center" wrapText="1"/>
      <protection hidden="1"/>
    </xf>
    <xf numFmtId="181" fontId="26" fillId="0"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vertical="center" wrapText="1"/>
      <protection hidden="1"/>
    </xf>
    <xf numFmtId="181" fontId="26" fillId="38"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horizontal="left" vertical="center" wrapText="1"/>
      <protection hidden="1"/>
    </xf>
    <xf numFmtId="0" fontId="27" fillId="38" borderId="0" xfId="0" applyFont="1" applyFill="1" applyBorder="1" applyAlignment="1">
      <alignment horizontal="left" vertical="center"/>
    </xf>
    <xf numFmtId="0" fontId="28" fillId="27" borderId="178" xfId="0" applyFont="1" applyFill="1" applyBorder="1" applyAlignment="1" applyProtection="1">
      <alignment vertical="center"/>
      <protection hidden="1"/>
    </xf>
    <xf numFmtId="181" fontId="28" fillId="27" borderId="13" xfId="0" applyNumberFormat="1" applyFont="1" applyFill="1" applyBorder="1" applyAlignment="1" applyProtection="1">
      <alignment vertical="center" wrapText="1"/>
      <protection hidden="1"/>
    </xf>
    <xf numFmtId="179" fontId="28" fillId="31" borderId="27" xfId="0" applyNumberFormat="1" applyFont="1" applyFill="1" applyBorder="1" applyAlignment="1" applyProtection="1">
      <alignment horizontal="centerContinuous" vertical="center" wrapText="1"/>
      <protection hidden="1"/>
    </xf>
    <xf numFmtId="0" fontId="28" fillId="27" borderId="10" xfId="0" applyFont="1" applyFill="1" applyBorder="1" applyAlignment="1" applyProtection="1">
      <alignment horizontal="center" vertical="center"/>
      <protection hidden="1"/>
    </xf>
    <xf numFmtId="181" fontId="26" fillId="27" borderId="11" xfId="0" applyNumberFormat="1" applyFont="1" applyFill="1" applyBorder="1" applyAlignment="1" applyProtection="1">
      <alignment horizontal="center" vertical="center"/>
      <protection hidden="1"/>
    </xf>
    <xf numFmtId="181" fontId="28" fillId="27" borderId="168" xfId="0" applyNumberFormat="1" applyFont="1" applyFill="1" applyBorder="1" applyAlignment="1" applyProtection="1">
      <alignment horizontal="left" vertical="center" wrapText="1"/>
      <protection hidden="1"/>
    </xf>
    <xf numFmtId="179" fontId="28" fillId="31" borderId="26" xfId="0" applyNumberFormat="1" applyFont="1" applyFill="1" applyBorder="1" applyAlignment="1" applyProtection="1">
      <alignment horizontal="centerContinuous" vertical="center" wrapText="1"/>
      <protection hidden="1"/>
    </xf>
    <xf numFmtId="0" fontId="28" fillId="31" borderId="179" xfId="0" applyFont="1" applyFill="1" applyBorder="1" applyAlignment="1" applyProtection="1">
      <alignment horizontal="left" vertical="center"/>
      <protection hidden="1"/>
    </xf>
    <xf numFmtId="0" fontId="28" fillId="31" borderId="54" xfId="0" applyFont="1" applyFill="1" applyBorder="1" applyAlignment="1" applyProtection="1">
      <alignment horizontal="left" vertical="center"/>
      <protection hidden="1"/>
    </xf>
    <xf numFmtId="0" fontId="28" fillId="31" borderId="180" xfId="0" applyFont="1" applyFill="1" applyBorder="1" applyAlignment="1" applyProtection="1">
      <alignment horizontal="left" vertical="center"/>
      <protection hidden="1"/>
    </xf>
    <xf numFmtId="0" fontId="28" fillId="31" borderId="58" xfId="0" applyFont="1" applyFill="1" applyBorder="1" applyAlignment="1" applyProtection="1">
      <alignment horizontal="left" vertical="center"/>
      <protection hidden="1"/>
    </xf>
    <xf numFmtId="181" fontId="28" fillId="27" borderId="176" xfId="0" applyNumberFormat="1" applyFont="1" applyFill="1" applyBorder="1" applyAlignment="1" applyProtection="1">
      <alignment horizontal="left" vertical="center"/>
      <protection hidden="1"/>
    </xf>
    <xf numFmtId="181" fontId="28" fillId="27" borderId="181" xfId="0" applyNumberFormat="1" applyFont="1" applyFill="1" applyBorder="1" applyAlignment="1" applyProtection="1">
      <alignment horizontal="left" vertical="center"/>
      <protection hidden="1"/>
    </xf>
    <xf numFmtId="181" fontId="28" fillId="27" borderId="182" xfId="0" applyNumberFormat="1" applyFont="1" applyFill="1" applyBorder="1" applyAlignment="1" applyProtection="1">
      <alignment horizontal="left" vertical="center"/>
      <protection hidden="1"/>
    </xf>
    <xf numFmtId="0" fontId="37" fillId="27" borderId="183"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28" fillId="38" borderId="0" xfId="0" applyFont="1" applyFill="1" applyBorder="1" applyAlignment="1" applyProtection="1">
      <alignment vertical="center"/>
      <protection hidden="1"/>
    </xf>
    <xf numFmtId="181" fontId="28" fillId="27" borderId="12" xfId="0" applyNumberFormat="1" applyFont="1" applyFill="1" applyBorder="1" applyAlignment="1" applyProtection="1">
      <alignment vertical="center"/>
      <protection hidden="1"/>
    </xf>
    <xf numFmtId="181" fontId="28" fillId="27" borderId="13"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181" fontId="28" fillId="27" borderId="164" xfId="0" applyNumberFormat="1" applyFont="1" applyFill="1" applyBorder="1" applyAlignment="1" applyProtection="1">
      <alignment vertical="center" shrinkToFit="1"/>
      <protection hidden="1"/>
    </xf>
    <xf numFmtId="0" fontId="28" fillId="27" borderId="52" xfId="0" applyFont="1" applyFill="1" applyBorder="1" applyAlignment="1" applyProtection="1">
      <alignment vertical="center"/>
      <protection hidden="1"/>
    </xf>
    <xf numFmtId="181" fontId="28" fillId="38" borderId="0" xfId="0" applyNumberFormat="1" applyFont="1" applyFill="1" applyBorder="1" applyAlignment="1" applyProtection="1">
      <alignment horizontal="left" vertical="center"/>
      <protection hidden="1"/>
    </xf>
    <xf numFmtId="181" fontId="28" fillId="38" borderId="0" xfId="0" applyNumberFormat="1" applyFont="1" applyFill="1" applyBorder="1" applyAlignment="1" applyProtection="1">
      <alignment horizontal="center" vertical="center"/>
      <protection hidden="1"/>
    </xf>
    <xf numFmtId="0" fontId="152" fillId="38" borderId="0" xfId="0" applyFont="1" applyFill="1" applyAlignment="1" applyProtection="1">
      <alignment vertical="center"/>
    </xf>
    <xf numFmtId="0" fontId="6" fillId="0" borderId="0" xfId="0" applyFont="1" applyFill="1" applyAlignment="1" applyProtection="1">
      <alignment vertical="center"/>
      <protection hidden="1"/>
    </xf>
    <xf numFmtId="0" fontId="6" fillId="38" borderId="0" xfId="0" applyFont="1" applyFill="1" applyAlignment="1" applyProtection="1">
      <alignment vertical="center"/>
      <protection hidden="1"/>
    </xf>
    <xf numFmtId="0" fontId="0" fillId="43" borderId="0" xfId="0" applyFill="1">
      <alignment vertical="center"/>
    </xf>
    <xf numFmtId="0" fontId="26" fillId="38" borderId="0" xfId="0" applyFont="1" applyFill="1" applyProtection="1">
      <alignment vertical="center"/>
      <protection hidden="1"/>
    </xf>
    <xf numFmtId="0" fontId="28" fillId="38" borderId="0" xfId="0" applyFont="1" applyFill="1" applyProtection="1">
      <alignment vertical="center"/>
      <protection hidden="1"/>
    </xf>
    <xf numFmtId="0" fontId="28" fillId="27" borderId="26" xfId="0" applyFont="1" applyFill="1" applyBorder="1" applyProtection="1">
      <alignment vertical="center"/>
      <protection hidden="1"/>
    </xf>
    <xf numFmtId="0" fontId="28" fillId="27" borderId="50" xfId="0" applyFont="1" applyFill="1" applyBorder="1" applyProtection="1">
      <alignment vertical="center"/>
      <protection hidden="1"/>
    </xf>
    <xf numFmtId="0" fontId="28" fillId="27" borderId="27" xfId="0" applyFont="1" applyFill="1" applyBorder="1" applyProtection="1">
      <alignment vertical="center"/>
      <protection hidden="1"/>
    </xf>
    <xf numFmtId="0" fontId="152" fillId="0" borderId="0" xfId="0" applyFont="1" applyFill="1" applyAlignment="1" applyProtection="1">
      <alignment vertical="center"/>
    </xf>
    <xf numFmtId="0" fontId="28" fillId="27" borderId="51" xfId="0" applyFont="1" applyFill="1" applyBorder="1" applyAlignment="1" applyProtection="1">
      <alignment vertical="center" wrapText="1"/>
      <protection hidden="1"/>
    </xf>
    <xf numFmtId="181" fontId="28" fillId="27" borderId="16" xfId="0" applyNumberFormat="1" applyFont="1" applyFill="1" applyBorder="1" applyAlignment="1" applyProtection="1">
      <alignment horizontal="left" vertical="center" wrapText="1"/>
      <protection hidden="1"/>
    </xf>
    <xf numFmtId="0" fontId="28" fillId="27" borderId="177" xfId="0" applyFont="1" applyFill="1" applyBorder="1" applyAlignment="1" applyProtection="1">
      <alignment vertical="center" shrinkToFit="1"/>
      <protection hidden="1"/>
    </xf>
    <xf numFmtId="0" fontId="28" fillId="27" borderId="11" xfId="0" applyFont="1" applyFill="1" applyBorder="1" applyAlignment="1">
      <alignment vertical="center" wrapText="1"/>
    </xf>
    <xf numFmtId="0" fontId="28" fillId="27" borderId="177" xfId="0" applyFont="1" applyFill="1" applyBorder="1" applyAlignment="1" applyProtection="1">
      <alignment vertical="center" wrapText="1"/>
      <protection hidden="1"/>
    </xf>
    <xf numFmtId="0" fontId="28" fillId="27" borderId="168" xfId="0" applyFont="1" applyFill="1" applyBorder="1" applyAlignment="1" applyProtection="1">
      <alignment vertical="center" shrinkToFit="1"/>
      <protection hidden="1"/>
    </xf>
    <xf numFmtId="0" fontId="6" fillId="38" borderId="0" xfId="0" applyFont="1" applyFill="1" applyAlignment="1" applyProtection="1">
      <alignment vertical="center"/>
    </xf>
    <xf numFmtId="0" fontId="153" fillId="38" borderId="57" xfId="0" applyFont="1" applyFill="1" applyBorder="1" applyAlignment="1" applyProtection="1">
      <alignment vertical="center"/>
      <protection hidden="1"/>
    </xf>
    <xf numFmtId="0" fontId="45" fillId="38" borderId="57" xfId="0" applyFont="1" applyFill="1" applyBorder="1" applyAlignment="1" applyProtection="1">
      <alignment vertical="center"/>
      <protection hidden="1"/>
    </xf>
    <xf numFmtId="0" fontId="37" fillId="31" borderId="26" xfId="0" applyFont="1" applyFill="1" applyBorder="1" applyAlignment="1" applyProtection="1">
      <alignment horizontal="right" vertical="center"/>
      <protection hidden="1"/>
    </xf>
    <xf numFmtId="179" fontId="28" fillId="31" borderId="10" xfId="0" applyNumberFormat="1" applyFont="1" applyFill="1" applyBorder="1" applyAlignment="1" applyProtection="1">
      <alignment horizontal="centerContinuous" vertical="center"/>
      <protection hidden="1"/>
    </xf>
    <xf numFmtId="180" fontId="28" fillId="31" borderId="80" xfId="0" applyNumberFormat="1" applyFont="1" applyFill="1" applyBorder="1" applyAlignment="1" applyProtection="1">
      <alignment horizontal="centerContinuous" vertical="center"/>
      <protection hidden="1"/>
    </xf>
    <xf numFmtId="181" fontId="26" fillId="42" borderId="163" xfId="0" applyNumberFormat="1" applyFont="1" applyFill="1" applyBorder="1" applyAlignment="1" applyProtection="1">
      <alignment horizontal="center" vertical="center"/>
      <protection hidden="1"/>
    </xf>
    <xf numFmtId="181" fontId="26" fillId="42" borderId="167" xfId="0" applyNumberFormat="1" applyFont="1" applyFill="1" applyBorder="1" applyAlignment="1" applyProtection="1">
      <alignment horizontal="center" vertical="center"/>
      <protection hidden="1"/>
    </xf>
    <xf numFmtId="181" fontId="26" fillId="42" borderId="168" xfId="0" applyNumberFormat="1" applyFont="1" applyFill="1" applyBorder="1" applyAlignment="1" applyProtection="1">
      <alignment horizontal="center" vertical="center"/>
      <protection hidden="1"/>
    </xf>
    <xf numFmtId="181" fontId="28" fillId="44" borderId="26" xfId="0" applyNumberFormat="1" applyFont="1" applyFill="1" applyBorder="1" applyAlignment="1" applyProtection="1">
      <alignment horizontal="centerContinuous" vertical="center"/>
      <protection hidden="1"/>
    </xf>
    <xf numFmtId="181" fontId="28" fillId="44" borderId="50" xfId="0" applyNumberFormat="1" applyFont="1" applyFill="1" applyBorder="1" applyAlignment="1" applyProtection="1">
      <alignment horizontal="centerContinuous" vertical="center"/>
      <protection hidden="1"/>
    </xf>
    <xf numFmtId="0" fontId="28" fillId="0" borderId="0" xfId="0" applyFont="1" applyBorder="1" applyAlignment="1" applyProtection="1">
      <alignment vertical="center"/>
      <protection hidden="1"/>
    </xf>
    <xf numFmtId="0" fontId="28" fillId="0" borderId="0" xfId="0" applyFont="1" applyProtection="1">
      <alignment vertical="center"/>
    </xf>
    <xf numFmtId="0" fontId="28" fillId="0" borderId="0" xfId="0" applyFont="1" applyFill="1" applyProtection="1">
      <alignment vertical="center"/>
    </xf>
    <xf numFmtId="0" fontId="151" fillId="0" borderId="0" xfId="0" applyFont="1" applyFill="1" applyProtection="1">
      <alignment vertical="center"/>
      <protection hidden="1"/>
    </xf>
    <xf numFmtId="0" fontId="26" fillId="0" borderId="0" xfId="0" applyFont="1" applyFill="1" applyProtection="1">
      <alignment vertical="center"/>
      <protection hidden="1"/>
    </xf>
    <xf numFmtId="0" fontId="45" fillId="0" borderId="0" xfId="0" applyFont="1" applyFill="1" applyProtection="1">
      <alignment vertical="center"/>
      <protection hidden="1"/>
    </xf>
    <xf numFmtId="0" fontId="153" fillId="0" borderId="0" xfId="0" applyFont="1" applyFill="1" applyAlignment="1" applyProtection="1">
      <alignment vertical="center"/>
      <protection hidden="1"/>
    </xf>
    <xf numFmtId="0" fontId="153" fillId="0" borderId="0" xfId="0" applyFont="1" applyFill="1" applyProtection="1">
      <alignment vertical="center"/>
      <protection hidden="1"/>
    </xf>
    <xf numFmtId="0" fontId="45"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181" fontId="26" fillId="27" borderId="175" xfId="0" applyNumberFormat="1" applyFont="1" applyFill="1" applyBorder="1" applyAlignment="1" applyProtection="1">
      <alignment horizontal="center" vertical="center"/>
      <protection hidden="1"/>
    </xf>
    <xf numFmtId="181" fontId="26" fillId="27" borderId="169" xfId="0" applyNumberFormat="1" applyFont="1" applyFill="1" applyBorder="1" applyAlignment="1" applyProtection="1">
      <alignment horizontal="center" vertical="center"/>
      <protection hidden="1"/>
    </xf>
    <xf numFmtId="181" fontId="28" fillId="31" borderId="56" xfId="0" applyNumberFormat="1" applyFont="1" applyFill="1" applyBorder="1" applyAlignment="1" applyProtection="1">
      <alignment horizontal="centerContinuous" vertical="center"/>
      <protection hidden="1"/>
    </xf>
    <xf numFmtId="0" fontId="45" fillId="38" borderId="0" xfId="0" applyFont="1" applyFill="1" applyProtection="1">
      <alignment vertical="center"/>
      <protection hidden="1"/>
    </xf>
    <xf numFmtId="0" fontId="45" fillId="38" borderId="0" xfId="0" applyFont="1" applyFill="1" applyAlignment="1" applyProtection="1">
      <alignment vertical="center"/>
      <protection hidden="1"/>
    </xf>
    <xf numFmtId="0" fontId="45" fillId="38" borderId="0" xfId="0" applyFont="1" applyFill="1" applyBorder="1" applyProtection="1">
      <alignment vertical="center"/>
      <protection hidden="1"/>
    </xf>
    <xf numFmtId="181" fontId="28" fillId="0" borderId="17" xfId="0" applyNumberFormat="1"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8" fillId="38" borderId="0" xfId="0" applyFont="1" applyFill="1" applyAlignment="1" applyProtection="1">
      <alignment horizontal="center" vertical="center"/>
    </xf>
    <xf numFmtId="0" fontId="28" fillId="27" borderId="144" xfId="0" applyFont="1" applyFill="1" applyBorder="1" applyAlignment="1" applyProtection="1">
      <alignment horizontal="center" vertical="center"/>
      <protection locked="0"/>
    </xf>
    <xf numFmtId="0" fontId="28" fillId="38" borderId="57" xfId="0" applyFont="1" applyFill="1" applyBorder="1" applyAlignment="1" applyProtection="1">
      <alignment horizontal="left" wrapText="1"/>
      <protection hidden="1"/>
    </xf>
    <xf numFmtId="201" fontId="26" fillId="31" borderId="92" xfId="0" applyNumberFormat="1" applyFont="1" applyFill="1" applyBorder="1" applyAlignment="1" applyProtection="1">
      <alignment horizontal="center" vertical="center"/>
      <protection hidden="1"/>
    </xf>
    <xf numFmtId="0" fontId="28" fillId="27" borderId="50" xfId="0" applyFont="1" applyFill="1" applyBorder="1" applyAlignment="1" applyProtection="1">
      <alignment horizontal="centerContinuous" vertical="center"/>
      <protection hidden="1"/>
    </xf>
    <xf numFmtId="0" fontId="28" fillId="27" borderId="10" xfId="0" applyFont="1" applyFill="1" applyBorder="1" applyAlignment="1" applyProtection="1">
      <alignment horizontal="centerContinuous" vertical="center"/>
      <protection hidden="1"/>
    </xf>
    <xf numFmtId="0" fontId="6" fillId="38" borderId="0" xfId="0" applyFont="1" applyFill="1">
      <alignment vertical="center"/>
    </xf>
    <xf numFmtId="193" fontId="28" fillId="31" borderId="54"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Continuous" vertical="center"/>
      <protection hidden="1"/>
    </xf>
    <xf numFmtId="181" fontId="28" fillId="31" borderId="54" xfId="0" applyNumberFormat="1" applyFont="1" applyFill="1" applyBorder="1" applyAlignment="1" applyProtection="1">
      <alignment horizontal="centerContinuous" vertical="center"/>
      <protection hidden="1"/>
    </xf>
    <xf numFmtId="0" fontId="0" fillId="28" borderId="0" xfId="0" applyFill="1">
      <alignment vertical="center"/>
    </xf>
    <xf numFmtId="181" fontId="28" fillId="31" borderId="56" xfId="0" quotePrefix="1" applyNumberFormat="1" applyFont="1" applyFill="1" applyBorder="1" applyAlignment="1" applyProtection="1">
      <alignment horizontal="centerContinuous" vertical="center"/>
      <protection hidden="1"/>
    </xf>
    <xf numFmtId="0" fontId="28" fillId="27" borderId="164" xfId="0"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protection hidden="1"/>
    </xf>
    <xf numFmtId="0" fontId="28" fillId="27" borderId="166"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69" xfId="0" applyFont="1" applyFill="1" applyBorder="1" applyAlignment="1" applyProtection="1">
      <alignment horizontal="left" vertical="center"/>
      <protection hidden="1"/>
    </xf>
    <xf numFmtId="0" fontId="28" fillId="27" borderId="171" xfId="0" applyFont="1" applyFill="1" applyBorder="1" applyAlignment="1" applyProtection="1">
      <alignment horizontal="left" vertical="center"/>
      <protection hidden="1"/>
    </xf>
    <xf numFmtId="0" fontId="28" fillId="27" borderId="170" xfId="0" applyFont="1" applyFill="1" applyBorder="1" applyAlignment="1" applyProtection="1">
      <alignment horizontal="left" vertical="center"/>
      <protection hidden="1"/>
    </xf>
    <xf numFmtId="0" fontId="23" fillId="38" borderId="0" xfId="0" applyFont="1" applyFill="1" applyAlignment="1" applyProtection="1">
      <alignment vertical="center"/>
      <protection hidden="1"/>
    </xf>
    <xf numFmtId="0" fontId="28" fillId="38" borderId="0" xfId="0" applyFont="1" applyFill="1" applyAlignment="1" applyProtection="1">
      <alignment horizontal="left" vertical="top"/>
      <protection hidden="1"/>
    </xf>
    <xf numFmtId="0" fontId="28" fillId="27" borderId="27" xfId="0" applyFont="1" applyFill="1" applyBorder="1" applyAlignment="1" applyProtection="1">
      <alignment horizontal="centerContinuous" vertical="center"/>
      <protection hidden="1"/>
    </xf>
    <xf numFmtId="0" fontId="28" fillId="27" borderId="184" xfId="0" applyFont="1" applyFill="1" applyBorder="1" applyAlignment="1" applyProtection="1">
      <alignment vertical="center"/>
      <protection hidden="1"/>
    </xf>
    <xf numFmtId="0" fontId="28" fillId="27" borderId="165" xfId="0" applyFont="1" applyFill="1" applyBorder="1" applyAlignment="1" applyProtection="1">
      <alignment vertical="center"/>
      <protection hidden="1"/>
    </xf>
    <xf numFmtId="0" fontId="28" fillId="27" borderId="166" xfId="0" applyFont="1" applyFill="1" applyBorder="1" applyAlignment="1" applyProtection="1">
      <alignment vertical="center"/>
      <protection hidden="1"/>
    </xf>
    <xf numFmtId="0" fontId="28" fillId="27" borderId="185" xfId="0" applyFont="1" applyFill="1" applyBorder="1" applyAlignment="1" applyProtection="1">
      <alignment vertical="center"/>
      <protection hidden="1"/>
    </xf>
    <xf numFmtId="0" fontId="28" fillId="27" borderId="13" xfId="0" applyFont="1" applyFill="1" applyBorder="1" applyAlignment="1" applyProtection="1">
      <alignment vertical="center"/>
      <protection hidden="1"/>
    </xf>
    <xf numFmtId="0" fontId="28" fillId="27" borderId="14" xfId="0" applyFont="1" applyFill="1" applyBorder="1" applyAlignment="1" applyProtection="1">
      <alignment vertical="center"/>
      <protection hidden="1"/>
    </xf>
    <xf numFmtId="0" fontId="28" fillId="27" borderId="186" xfId="0" applyFont="1" applyFill="1" applyBorder="1" applyAlignment="1" applyProtection="1">
      <alignment vertical="center"/>
      <protection hidden="1"/>
    </xf>
    <xf numFmtId="0" fontId="28" fillId="27" borderId="171" xfId="0" applyFont="1" applyFill="1" applyBorder="1" applyAlignment="1" applyProtection="1">
      <alignment vertical="center"/>
      <protection hidden="1"/>
    </xf>
    <xf numFmtId="0" fontId="28" fillId="27" borderId="170" xfId="0" applyFont="1" applyFill="1" applyBorder="1" applyAlignment="1" applyProtection="1">
      <alignment vertical="center"/>
      <protection hidden="1"/>
    </xf>
    <xf numFmtId="0" fontId="152" fillId="27" borderId="56" xfId="0" applyFont="1" applyFill="1" applyBorder="1" applyAlignment="1" applyProtection="1">
      <alignment horizontal="center" vertical="center"/>
      <protection hidden="1"/>
    </xf>
    <xf numFmtId="195" fontId="45" fillId="27" borderId="50" xfId="0" applyNumberFormat="1" applyFont="1" applyFill="1" applyBorder="1" applyAlignment="1" applyProtection="1">
      <alignment horizontal="center" vertical="center" wrapText="1"/>
      <protection hidden="1"/>
    </xf>
    <xf numFmtId="0" fontId="28" fillId="27" borderId="50" xfId="0" applyFont="1" applyFill="1" applyBorder="1" applyAlignment="1" applyProtection="1">
      <alignment horizontal="center" vertical="center"/>
      <protection hidden="1"/>
    </xf>
    <xf numFmtId="196" fontId="26" fillId="27" borderId="50" xfId="0" applyNumberFormat="1" applyFont="1" applyFill="1" applyBorder="1" applyAlignment="1" applyProtection="1">
      <alignment horizontal="center" vertical="center" wrapText="1"/>
      <protection hidden="1"/>
    </xf>
    <xf numFmtId="196" fontId="26" fillId="27" borderId="27" xfId="0" applyNumberFormat="1" applyFont="1" applyFill="1" applyBorder="1" applyAlignment="1" applyProtection="1">
      <alignment horizontal="center" vertical="center" wrapText="1"/>
      <protection hidden="1"/>
    </xf>
    <xf numFmtId="0" fontId="28" fillId="27" borderId="51" xfId="0" applyFont="1" applyFill="1" applyBorder="1" applyAlignment="1" applyProtection="1">
      <alignment horizontal="center" vertical="center"/>
      <protection hidden="1"/>
    </xf>
    <xf numFmtId="206" fontId="23" fillId="39" borderId="172"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protection hidden="1"/>
    </xf>
    <xf numFmtId="206" fontId="23" fillId="39" borderId="173" xfId="0" applyNumberFormat="1" applyFont="1" applyFill="1" applyBorder="1" applyAlignment="1" applyProtection="1">
      <alignment horizontal="center" vertical="center"/>
      <protection locked="0" hidden="1"/>
    </xf>
    <xf numFmtId="0" fontId="6" fillId="27" borderId="11" xfId="0" applyFont="1" applyFill="1" applyBorder="1" applyAlignment="1" applyProtection="1">
      <alignment horizontal="center" vertical="center"/>
      <protection hidden="1"/>
    </xf>
    <xf numFmtId="206" fontId="23" fillId="39" borderId="174" xfId="0" applyNumberFormat="1" applyFont="1" applyFill="1" applyBorder="1" applyAlignment="1" applyProtection="1">
      <alignment horizontal="center" vertical="center"/>
      <protection locked="0" hidden="1"/>
    </xf>
    <xf numFmtId="0" fontId="6" fillId="27" borderId="177" xfId="0" applyFont="1" applyFill="1" applyBorder="1" applyAlignment="1" applyProtection="1">
      <alignment horizontal="center" vertical="center"/>
      <protection hidden="1"/>
    </xf>
    <xf numFmtId="178" fontId="26" fillId="27" borderId="27" xfId="0" applyNumberFormat="1" applyFont="1" applyFill="1" applyBorder="1" applyAlignment="1" applyProtection="1">
      <alignment horizontal="center" vertical="center" wrapText="1"/>
      <protection hidden="1"/>
    </xf>
    <xf numFmtId="206" fontId="23" fillId="27" borderId="172" xfId="0" applyNumberFormat="1" applyFont="1" applyFill="1" applyBorder="1" applyAlignment="1" applyProtection="1">
      <alignment horizontal="center" vertical="center"/>
      <protection locked="0" hidden="1"/>
    </xf>
    <xf numFmtId="206" fontId="23" fillId="27" borderId="173" xfId="0" applyNumberFormat="1" applyFont="1" applyFill="1" applyBorder="1" applyAlignment="1" applyProtection="1">
      <alignment horizontal="center" vertical="center"/>
      <protection locked="0" hidden="1"/>
    </xf>
    <xf numFmtId="206" fontId="23" fillId="27" borderId="174" xfId="0" applyNumberFormat="1" applyFont="1" applyFill="1" applyBorder="1" applyAlignment="1" applyProtection="1">
      <alignment horizontal="center" vertical="center"/>
      <protection locked="0" hidden="1"/>
    </xf>
    <xf numFmtId="0" fontId="28" fillId="27" borderId="54" xfId="0" applyFont="1" applyFill="1" applyBorder="1" applyAlignment="1" applyProtection="1">
      <alignment horizontal="centerContinuous" vertical="center"/>
      <protection hidden="1"/>
    </xf>
    <xf numFmtId="0" fontId="28" fillId="27" borderId="185" xfId="0" applyFont="1" applyFill="1" applyBorder="1" applyAlignment="1" applyProtection="1">
      <alignment horizontal="left" vertical="center"/>
      <protection hidden="1"/>
    </xf>
    <xf numFmtId="0" fontId="28" fillId="27" borderId="13" xfId="0" applyFont="1" applyFill="1" applyBorder="1" applyAlignment="1">
      <alignment vertical="center"/>
    </xf>
    <xf numFmtId="195" fontId="45" fillId="27" borderId="50" xfId="0" applyNumberFormat="1" applyFont="1" applyFill="1" applyBorder="1" applyAlignment="1" applyProtection="1">
      <alignment vertical="center" wrapText="1"/>
      <protection hidden="1"/>
    </xf>
    <xf numFmtId="0" fontId="0" fillId="25" borderId="0" xfId="0" applyFill="1">
      <alignment vertical="center"/>
    </xf>
    <xf numFmtId="0" fontId="28" fillId="27" borderId="10" xfId="0" quotePrefix="1" applyFont="1" applyFill="1" applyBorder="1" applyAlignment="1" applyProtection="1">
      <alignment horizontal="left" vertical="center"/>
      <protection hidden="1"/>
    </xf>
    <xf numFmtId="0" fontId="28" fillId="27" borderId="187" xfId="0" applyFont="1" applyFill="1" applyBorder="1" applyAlignment="1" applyProtection="1">
      <alignment horizontal="centerContinuous" vertical="center"/>
      <protection hidden="1"/>
    </xf>
    <xf numFmtId="0" fontId="28" fillId="27" borderId="118" xfId="0" applyFont="1" applyFill="1" applyBorder="1" applyAlignment="1" applyProtection="1">
      <alignment horizontal="centerContinuous" vertical="center"/>
      <protection hidden="1"/>
    </xf>
    <xf numFmtId="0" fontId="28" fillId="27" borderId="120" xfId="0" applyFont="1" applyFill="1" applyBorder="1" applyAlignment="1" applyProtection="1">
      <alignment horizontal="centerContinuous" vertical="center"/>
      <protection hidden="1"/>
    </xf>
    <xf numFmtId="0" fontId="33" fillId="29" borderId="0" xfId="0" applyFont="1" applyFill="1" applyBorder="1" applyAlignment="1" applyProtection="1">
      <alignment vertical="center" wrapText="1"/>
      <protection hidden="1"/>
    </xf>
    <xf numFmtId="0" fontId="28" fillId="38" borderId="77" xfId="0" applyFont="1" applyFill="1" applyBorder="1" applyAlignment="1" applyProtection="1">
      <alignment horizontal="center" vertical="center"/>
    </xf>
    <xf numFmtId="0" fontId="6" fillId="38" borderId="57" xfId="0" applyFont="1" applyFill="1" applyBorder="1">
      <alignment vertical="center"/>
    </xf>
    <xf numFmtId="0" fontId="48" fillId="38" borderId="57" xfId="0" applyFont="1" applyFill="1" applyBorder="1" applyAlignment="1" applyProtection="1">
      <alignment horizontal="left" vertical="center"/>
      <protection hidden="1"/>
    </xf>
    <xf numFmtId="217" fontId="23" fillId="27" borderId="92" xfId="0" applyNumberFormat="1" applyFont="1" applyFill="1" applyBorder="1" applyAlignment="1" applyProtection="1">
      <alignment horizontal="center" vertical="center"/>
      <protection locked="0" hidden="1"/>
    </xf>
    <xf numFmtId="0" fontId="6" fillId="27" borderId="51" xfId="0" quotePrefix="1" applyFont="1" applyFill="1" applyBorder="1" applyAlignment="1" applyProtection="1">
      <alignment horizontal="center" vertical="center"/>
      <protection hidden="1"/>
    </xf>
    <xf numFmtId="0" fontId="6" fillId="27" borderId="11" xfId="0" quotePrefix="1" applyFont="1" applyFill="1" applyBorder="1" applyAlignment="1" applyProtection="1">
      <alignment horizontal="center" vertical="center"/>
      <protection hidden="1"/>
    </xf>
    <xf numFmtId="0" fontId="6" fillId="27" borderId="168" xfId="0" applyFont="1" applyFill="1" applyBorder="1" applyAlignment="1" applyProtection="1">
      <alignment horizontal="center" vertical="center"/>
      <protection hidden="1"/>
    </xf>
    <xf numFmtId="217" fontId="23" fillId="27" borderId="173"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protection hidden="1"/>
    </xf>
    <xf numFmtId="0" fontId="153" fillId="38" borderId="0" xfId="0" applyFont="1" applyFill="1" applyProtection="1">
      <alignment vertical="center"/>
      <protection hidden="1"/>
    </xf>
    <xf numFmtId="0" fontId="48" fillId="0" borderId="0" xfId="29" applyFont="1" applyFill="1" applyAlignment="1" applyProtection="1">
      <alignment horizontal="left"/>
      <protection hidden="1"/>
    </xf>
    <xf numFmtId="0" fontId="45" fillId="38" borderId="0" xfId="0" applyFont="1" applyFill="1" applyAlignment="1" applyProtection="1">
      <alignment horizontal="left" vertical="center"/>
      <protection hidden="1"/>
    </xf>
    <xf numFmtId="181" fontId="28" fillId="27" borderId="165" xfId="0" applyNumberFormat="1" applyFont="1" applyFill="1" applyBorder="1" applyAlignment="1" applyProtection="1">
      <alignment vertical="center" wrapText="1"/>
      <protection hidden="1"/>
    </xf>
    <xf numFmtId="0" fontId="28" fillId="38" borderId="0" xfId="0" applyFont="1" applyFill="1" applyBorder="1" applyProtection="1">
      <alignment vertical="center"/>
      <protection hidden="1"/>
    </xf>
    <xf numFmtId="181" fontId="28" fillId="0" borderId="0" xfId="0" applyNumberFormat="1" applyFont="1" applyFill="1" applyBorder="1" applyAlignment="1" applyProtection="1">
      <alignment vertical="center"/>
      <protection hidden="1"/>
    </xf>
    <xf numFmtId="0" fontId="28" fillId="38" borderId="0" xfId="0" applyFont="1" applyFill="1" applyBorder="1" applyProtection="1">
      <alignment vertical="center"/>
    </xf>
    <xf numFmtId="180" fontId="28" fillId="31" borderId="57" xfId="0" applyNumberFormat="1" applyFont="1" applyFill="1" applyBorder="1" applyAlignment="1" applyProtection="1">
      <alignment horizontal="centerContinuous" vertical="top"/>
      <protection hidden="1"/>
    </xf>
    <xf numFmtId="181" fontId="28" fillId="31" borderId="27" xfId="0" applyNumberFormat="1" applyFont="1" applyFill="1" applyBorder="1" applyAlignment="1" applyProtection="1">
      <alignment horizontal="centerContinuous" vertical="top"/>
      <protection hidden="1"/>
    </xf>
    <xf numFmtId="0" fontId="28" fillId="0" borderId="0" xfId="0" applyFont="1" applyFill="1" applyBorder="1" applyAlignment="1" applyProtection="1">
      <protection hidden="1"/>
    </xf>
    <xf numFmtId="181" fontId="26" fillId="38" borderId="0" xfId="0" applyNumberFormat="1" applyFont="1" applyFill="1" applyBorder="1" applyAlignment="1" applyProtection="1">
      <protection hidden="1"/>
    </xf>
    <xf numFmtId="181" fontId="28" fillId="38" borderId="0" xfId="0" applyNumberFormat="1" applyFont="1" applyFill="1" applyBorder="1" applyAlignment="1" applyProtection="1">
      <protection hidden="1"/>
    </xf>
    <xf numFmtId="0" fontId="28" fillId="38" borderId="0" xfId="0" applyFont="1" applyFill="1" applyBorder="1" applyAlignment="1" applyProtection="1">
      <protection hidden="1"/>
    </xf>
    <xf numFmtId="0" fontId="28" fillId="0" borderId="0" xfId="0" applyFont="1" applyFill="1" applyBorder="1" applyProtection="1">
      <alignment vertical="center"/>
      <protection hidden="1"/>
    </xf>
    <xf numFmtId="181" fontId="28" fillId="38" borderId="0" xfId="0" applyNumberFormat="1" applyFont="1" applyFill="1" applyBorder="1" applyAlignment="1" applyProtection="1">
      <alignment vertical="center"/>
      <protection hidden="1"/>
    </xf>
    <xf numFmtId="181" fontId="28" fillId="27" borderId="55" xfId="0" applyNumberFormat="1" applyFont="1" applyFill="1" applyBorder="1" applyAlignment="1" applyProtection="1">
      <alignment horizontal="centerContinuous" vertical="center"/>
      <protection hidden="1"/>
    </xf>
    <xf numFmtId="181" fontId="28" fillId="27" borderId="26" xfId="0" applyNumberFormat="1" applyFont="1" applyFill="1" applyBorder="1" applyAlignment="1" applyProtection="1">
      <alignment horizontal="centerContinuous" vertical="top" wrapText="1"/>
      <protection hidden="1"/>
    </xf>
    <xf numFmtId="193" fontId="28" fillId="27" borderId="27" xfId="0" applyNumberFormat="1" applyFont="1" applyFill="1" applyBorder="1" applyAlignment="1" applyProtection="1">
      <alignment horizontal="centerContinuous" vertical="center"/>
      <protection hidden="1"/>
    </xf>
    <xf numFmtId="0" fontId="28" fillId="27" borderId="10" xfId="0" applyNumberFormat="1" applyFont="1" applyFill="1" applyBorder="1" applyAlignment="1" applyProtection="1">
      <alignment horizontal="centerContinuous" vertical="center"/>
      <protection hidden="1"/>
    </xf>
    <xf numFmtId="193" fontId="28" fillId="27" borderId="26" xfId="0" applyNumberFormat="1" applyFont="1" applyFill="1" applyBorder="1" applyAlignment="1" applyProtection="1">
      <alignment horizontal="center" vertical="center"/>
      <protection hidden="1"/>
    </xf>
    <xf numFmtId="193" fontId="28" fillId="27" borderId="27" xfId="0" applyNumberFormat="1" applyFont="1" applyFill="1" applyBorder="1" applyAlignment="1" applyProtection="1">
      <alignment horizontal="center" vertical="center"/>
      <protection hidden="1"/>
    </xf>
    <xf numFmtId="0" fontId="28" fillId="27" borderId="51" xfId="0" applyNumberFormat="1" applyFont="1" applyFill="1" applyBorder="1" applyAlignment="1" applyProtection="1">
      <alignment horizontal="centerContinuous" vertical="center"/>
      <protection hidden="1"/>
    </xf>
    <xf numFmtId="201" fontId="26" fillId="27" borderId="26" xfId="0" applyNumberFormat="1" applyFont="1" applyFill="1" applyBorder="1" applyAlignment="1" applyProtection="1">
      <alignment horizontal="centerContinuous" vertical="center"/>
      <protection hidden="1"/>
    </xf>
    <xf numFmtId="194" fontId="26" fillId="27" borderId="27" xfId="0" applyNumberFormat="1" applyFont="1" applyFill="1" applyBorder="1" applyAlignment="1" applyProtection="1">
      <alignment horizontal="centerContinuous" vertical="center"/>
      <protection hidden="1"/>
    </xf>
    <xf numFmtId="194" fontId="26" fillId="27" borderId="172" xfId="0" applyNumberFormat="1" applyFont="1" applyFill="1" applyBorder="1" applyAlignment="1" applyProtection="1">
      <alignment horizontal="center" vertical="center"/>
      <protection locked="0" hidden="1"/>
    </xf>
    <xf numFmtId="0" fontId="28" fillId="27" borderId="165"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194" fontId="26" fillId="27" borderId="173" xfId="0" applyNumberFormat="1" applyFont="1" applyFill="1" applyBorder="1" applyAlignment="1" applyProtection="1">
      <alignment horizontal="center" vertical="center"/>
      <protection locked="0" hidden="1"/>
    </xf>
    <xf numFmtId="0" fontId="26" fillId="27" borderId="115" xfId="0" applyFont="1" applyFill="1" applyBorder="1" applyAlignment="1" applyProtection="1">
      <alignment horizontal="center" vertical="center"/>
      <protection locked="0" hidden="1"/>
    </xf>
    <xf numFmtId="0" fontId="28" fillId="38" borderId="0" xfId="0" applyFont="1" applyFill="1" applyBorder="1" applyAlignment="1" applyProtection="1">
      <alignment horizontal="center" vertical="center"/>
      <protection hidden="1"/>
    </xf>
    <xf numFmtId="0" fontId="37" fillId="38" borderId="0" xfId="0" applyFont="1" applyFill="1" applyBorder="1" applyAlignment="1" applyProtection="1">
      <alignment horizontal="left" vertical="top" wrapText="1"/>
      <protection hidden="1"/>
    </xf>
    <xf numFmtId="181" fontId="28" fillId="27" borderId="10" xfId="0" applyNumberFormat="1" applyFont="1" applyFill="1" applyBorder="1" applyAlignment="1" applyProtection="1">
      <alignment horizontal="centerContinuous" vertical="center"/>
      <protection hidden="1"/>
    </xf>
    <xf numFmtId="193" fontId="28" fillId="27" borderId="50" xfId="0" applyNumberFormat="1" applyFont="1" applyFill="1" applyBorder="1" applyAlignment="1" applyProtection="1">
      <alignment horizontal="center" vertical="center"/>
      <protection hidden="1"/>
    </xf>
    <xf numFmtId="194" fontId="26" fillId="27" borderId="174" xfId="0" applyNumberFormat="1" applyFont="1" applyFill="1" applyBorder="1" applyAlignment="1" applyProtection="1">
      <alignment horizontal="center" vertical="center"/>
      <protection locked="0" hidden="1"/>
    </xf>
    <xf numFmtId="0" fontId="28" fillId="0" borderId="0" xfId="0" applyFont="1" applyFill="1" applyAlignment="1" applyProtection="1">
      <protection hidden="1"/>
    </xf>
    <xf numFmtId="181" fontId="28" fillId="27" borderId="10" xfId="0" applyNumberFormat="1" applyFont="1" applyFill="1" applyBorder="1" applyAlignment="1" applyProtection="1">
      <alignment horizontal="centerContinuous" vertical="top"/>
      <protection hidden="1"/>
    </xf>
    <xf numFmtId="181" fontId="28" fillId="27" borderId="27" xfId="0" applyNumberFormat="1" applyFont="1" applyFill="1" applyBorder="1" applyAlignment="1" applyProtection="1">
      <alignment horizontal="centerContinuous" vertical="top" wrapText="1"/>
      <protection hidden="1"/>
    </xf>
    <xf numFmtId="0" fontId="28" fillId="27" borderId="51" xfId="0" applyNumberFormat="1" applyFont="1" applyFill="1" applyBorder="1" applyAlignment="1" applyProtection="1">
      <alignment horizontal="centerContinuous" vertical="top"/>
      <protection hidden="1"/>
    </xf>
    <xf numFmtId="201" fontId="26" fillId="27" borderId="26" xfId="0" applyNumberFormat="1" applyFont="1" applyFill="1" applyBorder="1" applyAlignment="1" applyProtection="1">
      <alignment horizontal="centerContinuous" vertical="top"/>
      <protection hidden="1"/>
    </xf>
    <xf numFmtId="194" fontId="26" fillId="27" borderId="27" xfId="0" applyNumberFormat="1" applyFont="1" applyFill="1" applyBorder="1" applyAlignment="1" applyProtection="1">
      <alignment horizontal="centerContinuous" vertical="top"/>
      <protection hidden="1"/>
    </xf>
    <xf numFmtId="0" fontId="28" fillId="27" borderId="184" xfId="0" applyFont="1" applyFill="1" applyBorder="1" applyAlignment="1" applyProtection="1">
      <alignment horizontal="left" vertical="center"/>
      <protection hidden="1"/>
    </xf>
    <xf numFmtId="0" fontId="37" fillId="38" borderId="0" xfId="0" applyFont="1" applyFill="1" applyBorder="1" applyAlignment="1" applyProtection="1">
      <alignment vertical="top" wrapText="1"/>
      <protection hidden="1"/>
    </xf>
    <xf numFmtId="181" fontId="28" fillId="31" borderId="50" xfId="0" applyNumberFormat="1" applyFont="1" applyFill="1" applyBorder="1" applyAlignment="1" applyProtection="1">
      <alignment horizontal="centerContinuous" vertical="top"/>
      <protection hidden="1"/>
    </xf>
    <xf numFmtId="181" fontId="28" fillId="27" borderId="165" xfId="0" applyNumberFormat="1" applyFont="1" applyFill="1" applyBorder="1" applyAlignment="1" applyProtection="1">
      <alignment horizontal="left" vertical="top"/>
      <protection hidden="1"/>
    </xf>
    <xf numFmtId="181" fontId="28" fillId="27" borderId="13" xfId="0" applyNumberFormat="1" applyFont="1" applyFill="1" applyBorder="1" applyAlignment="1" applyProtection="1">
      <alignment horizontal="left" vertical="top"/>
      <protection hidden="1"/>
    </xf>
    <xf numFmtId="181" fontId="28" fillId="27" borderId="171" xfId="0" applyNumberFormat="1" applyFont="1" applyFill="1" applyBorder="1" applyAlignment="1" applyProtection="1">
      <alignment horizontal="left" vertical="top"/>
      <protection hidden="1"/>
    </xf>
    <xf numFmtId="200" fontId="26" fillId="31" borderId="92"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Continuous" vertical="top"/>
      <protection hidden="1"/>
    </xf>
    <xf numFmtId="0" fontId="28" fillId="27" borderId="165" xfId="0" applyFont="1" applyFill="1" applyBorder="1" applyAlignment="1">
      <alignment vertical="center"/>
    </xf>
    <xf numFmtId="0" fontId="28" fillId="27" borderId="166" xfId="0" applyFont="1" applyFill="1" applyBorder="1" applyAlignment="1">
      <alignment vertical="center"/>
    </xf>
    <xf numFmtId="0" fontId="28" fillId="27" borderId="14" xfId="0" applyFont="1" applyFill="1" applyBorder="1" applyAlignment="1">
      <alignment vertical="center"/>
    </xf>
    <xf numFmtId="0" fontId="6" fillId="38" borderId="0" xfId="0" applyFont="1" applyFill="1" applyBorder="1" applyAlignment="1" applyProtection="1">
      <alignment vertical="top" wrapText="1"/>
      <protection hidden="1"/>
    </xf>
    <xf numFmtId="181" fontId="28" fillId="27" borderId="166" xfId="0" applyNumberFormat="1" applyFont="1" applyFill="1" applyBorder="1" applyAlignment="1" applyProtection="1">
      <alignment horizontal="left" vertical="top"/>
      <protection hidden="1"/>
    </xf>
    <xf numFmtId="181" fontId="28" fillId="27" borderId="14" xfId="0" applyNumberFormat="1" applyFont="1" applyFill="1" applyBorder="1" applyAlignment="1" applyProtection="1">
      <alignment horizontal="left" vertical="top"/>
      <protection hidden="1"/>
    </xf>
    <xf numFmtId="181" fontId="28" fillId="27" borderId="170" xfId="0" applyNumberFormat="1" applyFont="1" applyFill="1" applyBorder="1" applyAlignment="1" applyProtection="1">
      <alignment horizontal="left" vertical="top"/>
      <protection hidden="1"/>
    </xf>
    <xf numFmtId="0" fontId="37" fillId="38" borderId="0" xfId="0" applyFont="1" applyFill="1" applyAlignment="1" applyProtection="1">
      <alignment horizontal="right" vertical="center"/>
      <protection hidden="1"/>
    </xf>
    <xf numFmtId="0" fontId="37" fillId="38" borderId="57" xfId="0" applyFont="1" applyFill="1" applyBorder="1" applyAlignment="1" applyProtection="1">
      <alignment horizontal="left" vertical="center"/>
      <protection hidden="1"/>
    </xf>
    <xf numFmtId="0" fontId="37" fillId="38" borderId="53" xfId="0" applyFont="1" applyFill="1" applyBorder="1" applyAlignment="1" applyProtection="1">
      <alignment horizontal="left" vertical="center"/>
      <protection hidden="1"/>
    </xf>
    <xf numFmtId="0" fontId="37" fillId="38" borderId="0" xfId="0" applyFont="1" applyFill="1" applyAlignment="1" applyProtection="1">
      <alignment horizontal="left" vertical="center"/>
      <protection hidden="1"/>
    </xf>
    <xf numFmtId="0" fontId="37" fillId="38" borderId="0" xfId="0" applyFont="1" applyFill="1" applyAlignment="1" applyProtection="1">
      <alignment horizontal="centerContinuous" vertical="center"/>
      <protection hidden="1"/>
    </xf>
    <xf numFmtId="0" fontId="48" fillId="0" borderId="0" xfId="0" applyFont="1" applyFill="1" applyBorder="1" applyAlignment="1" applyProtection="1">
      <alignment horizontal="left" vertical="center"/>
      <protection hidden="1"/>
    </xf>
    <xf numFmtId="181" fontId="37" fillId="38" borderId="0" xfId="0" applyNumberFormat="1" applyFont="1" applyFill="1" applyBorder="1" applyAlignment="1" applyProtection="1">
      <alignment vertical="top" wrapText="1"/>
      <protection hidden="1"/>
    </xf>
    <xf numFmtId="0" fontId="94" fillId="0" borderId="0" xfId="0" applyFont="1" applyFill="1" applyProtection="1">
      <alignment vertical="center"/>
      <protection hidden="1"/>
    </xf>
    <xf numFmtId="0" fontId="28" fillId="0" borderId="0" xfId="0" applyFont="1" applyProtection="1">
      <alignmen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left" vertical="top"/>
      <protection hidden="1"/>
    </xf>
    <xf numFmtId="0" fontId="28" fillId="0" borderId="0" xfId="0" applyFont="1" applyFill="1" applyAlignment="1" applyProtection="1">
      <alignment horizontal="left" vertical="top"/>
      <protection hidden="1"/>
    </xf>
    <xf numFmtId="0" fontId="72" fillId="0" borderId="0" xfId="0" applyFont="1" applyAlignment="1" applyProtection="1">
      <alignment horizontal="left" vertical="center"/>
      <protection hidden="1"/>
    </xf>
    <xf numFmtId="0" fontId="150" fillId="0" borderId="0" xfId="0" applyFont="1" applyFill="1" applyProtection="1">
      <alignment vertical="center"/>
      <protection hidden="1"/>
    </xf>
    <xf numFmtId="0" fontId="151" fillId="0" borderId="0" xfId="0" applyFont="1" applyProtection="1">
      <alignment vertical="center"/>
      <protection hidden="1"/>
    </xf>
    <xf numFmtId="0" fontId="26" fillId="0" borderId="0" xfId="0" applyFont="1" applyFill="1" applyAlignment="1" applyProtection="1">
      <alignment horizontal="center" vertical="center"/>
      <protection hidden="1"/>
    </xf>
    <xf numFmtId="0" fontId="151" fillId="0" borderId="0" xfId="0" applyFont="1" applyFill="1" applyAlignment="1" applyProtection="1">
      <alignment horizontal="left" vertical="top"/>
      <protection hidden="1"/>
    </xf>
    <xf numFmtId="0" fontId="152" fillId="0" borderId="0" xfId="0" applyFont="1" applyFill="1" applyProtection="1">
      <alignment vertical="center"/>
      <protection hidden="1"/>
    </xf>
    <xf numFmtId="2" fontId="28" fillId="31" borderId="27" xfId="0" applyNumberFormat="1" applyFont="1" applyFill="1" applyBorder="1" applyAlignment="1" applyProtection="1">
      <alignment horizontal="center" vertical="center"/>
      <protection hidden="1"/>
    </xf>
    <xf numFmtId="199" fontId="26" fillId="31" borderId="144" xfId="0" applyNumberFormat="1" applyFont="1" applyFill="1" applyBorder="1" applyAlignment="1" applyProtection="1">
      <alignment horizontal="center" vertical="center"/>
      <protection hidden="1"/>
    </xf>
    <xf numFmtId="181" fontId="28" fillId="31" borderId="58" xfId="0" applyNumberFormat="1"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28" fillId="27" borderId="51" xfId="0" applyFont="1" applyFill="1" applyBorder="1" applyAlignment="1" applyProtection="1">
      <alignment horizontal="center" vertical="center" wrapText="1"/>
      <protection hidden="1"/>
    </xf>
    <xf numFmtId="0" fontId="28" fillId="27" borderId="27" xfId="0" applyFont="1" applyFill="1" applyBorder="1" applyAlignment="1" applyProtection="1">
      <alignment horizontal="center" vertical="center"/>
      <protection hidden="1"/>
    </xf>
    <xf numFmtId="206" fontId="23" fillId="31" borderId="92" xfId="0" applyNumberFormat="1" applyFont="1" applyFill="1" applyBorder="1" applyAlignment="1" applyProtection="1">
      <alignment horizontal="center" vertical="center"/>
      <protection locked="0"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6" fillId="27" borderId="14" xfId="0" quotePrefix="1" applyFont="1" applyFill="1" applyBorder="1" applyAlignment="1" applyProtection="1">
      <alignment horizontal="center" vertical="center" wrapText="1"/>
      <protection hidden="1"/>
    </xf>
    <xf numFmtId="0" fontId="28" fillId="27" borderId="1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center" wrapText="1"/>
      <protection hidden="1"/>
    </xf>
    <xf numFmtId="0" fontId="28" fillId="27" borderId="182"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206" fontId="23" fillId="31" borderId="173" xfId="0" applyNumberFormat="1" applyFont="1" applyFill="1" applyBorder="1" applyAlignment="1" applyProtection="1">
      <alignment horizontal="center" vertical="center"/>
      <protection locked="0" hidden="1"/>
    </xf>
    <xf numFmtId="206" fontId="23" fillId="31" borderId="174" xfId="0" applyNumberFormat="1" applyFont="1" applyFill="1" applyBorder="1" applyAlignment="1" applyProtection="1">
      <alignment horizontal="center" vertical="center"/>
      <protection locked="0" hidden="1"/>
    </xf>
    <xf numFmtId="0" fontId="28" fillId="27" borderId="171" xfId="0" applyFont="1" applyFill="1" applyBorder="1" applyAlignment="1" applyProtection="1">
      <alignment horizontal="left" vertical="center" wrapText="1"/>
      <protection hidden="1"/>
    </xf>
    <xf numFmtId="0" fontId="28" fillId="27" borderId="170" xfId="0" applyFont="1" applyFill="1" applyBorder="1" applyAlignment="1" applyProtection="1">
      <alignment horizontal="left" vertical="center" wrapText="1"/>
      <protection hidden="1"/>
    </xf>
    <xf numFmtId="0" fontId="28" fillId="27" borderId="176" xfId="0" applyFont="1" applyFill="1" applyBorder="1" applyAlignment="1" applyProtection="1">
      <alignment horizontal="left" vertical="center"/>
      <protection hidden="1"/>
    </xf>
    <xf numFmtId="0" fontId="6" fillId="27" borderId="177" xfId="0" applyFont="1" applyFill="1" applyBorder="1" applyAlignment="1" applyProtection="1">
      <alignment horizontal="center" vertical="center" wrapText="1"/>
      <protection hidden="1"/>
    </xf>
    <xf numFmtId="0" fontId="152" fillId="0" borderId="0" xfId="0" applyFont="1" applyFill="1" applyAlignment="1" applyProtection="1">
      <alignment horizontal="left" vertical="top"/>
      <protection hidden="1"/>
    </xf>
    <xf numFmtId="199" fontId="26" fillId="31" borderId="92" xfId="0" applyNumberFormat="1" applyFont="1" applyFill="1" applyBorder="1" applyAlignment="1" applyProtection="1">
      <alignment horizontal="center" vertical="center"/>
      <protection hidden="1"/>
    </xf>
    <xf numFmtId="207" fontId="23" fillId="31" borderId="172"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wrapText="1"/>
      <protection hidden="1"/>
    </xf>
    <xf numFmtId="207" fontId="23" fillId="31" borderId="173" xfId="0" applyNumberFormat="1" applyFont="1" applyFill="1" applyBorder="1" applyAlignment="1" applyProtection="1">
      <alignment horizontal="center" vertical="center"/>
      <protection locked="0" hidden="1"/>
    </xf>
    <xf numFmtId="207" fontId="23" fillId="31" borderId="188" xfId="0" applyNumberFormat="1" applyFont="1" applyFill="1" applyBorder="1" applyAlignment="1" applyProtection="1">
      <alignment horizontal="center" vertical="center"/>
      <protection locked="0" hidden="1"/>
    </xf>
    <xf numFmtId="0" fontId="6" fillId="27" borderId="15" xfId="0"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protection hidden="1"/>
    </xf>
    <xf numFmtId="0" fontId="6" fillId="27" borderId="11" xfId="0" applyFont="1" applyFill="1" applyBorder="1" applyAlignment="1">
      <alignment horizontal="center" vertical="center" wrapText="1"/>
    </xf>
    <xf numFmtId="207" fontId="23" fillId="31" borderId="174" xfId="0" applyNumberFormat="1" applyFont="1" applyFill="1" applyBorder="1" applyAlignment="1" applyProtection="1">
      <alignment horizontal="center" vertical="center"/>
      <protection locked="0" hidden="1"/>
    </xf>
    <xf numFmtId="0" fontId="6" fillId="27" borderId="168" xfId="0" applyFont="1" applyFill="1" applyBorder="1" applyAlignment="1">
      <alignment horizontal="center" vertical="center" wrapText="1"/>
    </xf>
    <xf numFmtId="0" fontId="48" fillId="0" borderId="0" xfId="0" applyFont="1" applyFill="1" applyAlignment="1">
      <alignment horizontal="left" vertical="center"/>
    </xf>
    <xf numFmtId="0" fontId="28" fillId="0" borderId="0" xfId="0" applyFont="1" applyFill="1">
      <alignment vertical="center"/>
    </xf>
    <xf numFmtId="0" fontId="28" fillId="0" borderId="0" xfId="0" applyFont="1" applyFill="1" applyAlignment="1">
      <alignment vertical="center"/>
    </xf>
    <xf numFmtId="0" fontId="26" fillId="0" borderId="0" xfId="0" applyFont="1" applyFill="1" applyAlignment="1" applyProtection="1">
      <alignment horizontal="right" vertical="center"/>
      <protection hidden="1"/>
    </xf>
    <xf numFmtId="0" fontId="48" fillId="0" borderId="0" xfId="0" applyFont="1" applyAlignment="1">
      <alignment horizontal="left" vertical="center"/>
    </xf>
    <xf numFmtId="0" fontId="152" fillId="0" borderId="0" xfId="0" applyFont="1" applyFill="1">
      <alignment vertical="center"/>
    </xf>
    <xf numFmtId="0" fontId="28" fillId="31" borderId="50" xfId="0" applyFont="1" applyFill="1" applyBorder="1" applyAlignment="1">
      <alignment horizontal="centerContinuous" vertical="center"/>
    </xf>
    <xf numFmtId="0" fontId="28" fillId="31" borderId="55" xfId="0" applyFont="1" applyFill="1" applyBorder="1">
      <alignment vertical="center"/>
    </xf>
    <xf numFmtId="181" fontId="28" fillId="31" borderId="50" xfId="0" applyNumberFormat="1" applyFont="1" applyFill="1" applyBorder="1" applyAlignment="1" applyProtection="1">
      <alignment horizontal="left" vertical="center"/>
      <protection hidden="1"/>
    </xf>
    <xf numFmtId="181" fontId="28" fillId="31" borderId="56" xfId="0" applyNumberFormat="1" applyFont="1" applyFill="1" applyBorder="1" applyAlignment="1" applyProtection="1">
      <alignment horizontal="left" vertical="center"/>
      <protection hidden="1"/>
    </xf>
    <xf numFmtId="0" fontId="28" fillId="31" borderId="0" xfId="0" applyFont="1" applyFill="1" applyAlignment="1">
      <alignment vertical="center"/>
    </xf>
    <xf numFmtId="181" fontId="26" fillId="27" borderId="175" xfId="0" applyNumberFormat="1" applyFont="1" applyFill="1" applyBorder="1" applyAlignment="1" applyProtection="1">
      <alignment horizontal="centerContinuous" vertical="center"/>
      <protection hidden="1"/>
    </xf>
    <xf numFmtId="181" fontId="26" fillId="27" borderId="12" xfId="0" applyNumberFormat="1" applyFont="1" applyFill="1" applyBorder="1" applyAlignment="1" applyProtection="1">
      <alignment horizontal="centerContinuous" vertical="center"/>
      <protection hidden="1"/>
    </xf>
    <xf numFmtId="181" fontId="26" fillId="27" borderId="56" xfId="0" applyNumberFormat="1" applyFont="1" applyFill="1" applyBorder="1" applyAlignment="1" applyProtection="1">
      <alignment horizontal="centerContinuous" vertical="center"/>
      <protection hidden="1"/>
    </xf>
    <xf numFmtId="0" fontId="28" fillId="27" borderId="52" xfId="0" quotePrefix="1" applyNumberFormat="1" applyFont="1" applyFill="1" applyBorder="1" applyAlignment="1" applyProtection="1">
      <alignment vertical="center"/>
      <protection hidden="1"/>
    </xf>
    <xf numFmtId="0" fontId="28" fillId="27" borderId="64" xfId="0" quotePrefix="1" applyNumberFormat="1" applyFont="1" applyFill="1" applyBorder="1" applyAlignment="1" applyProtection="1">
      <alignment vertical="center"/>
      <protection hidden="1"/>
    </xf>
    <xf numFmtId="0" fontId="28" fillId="27" borderId="56" xfId="0" quotePrefix="1" applyNumberFormat="1" applyFont="1" applyFill="1" applyBorder="1" applyAlignment="1" applyProtection="1">
      <alignment vertical="center"/>
      <protection hidden="1"/>
    </xf>
    <xf numFmtId="0" fontId="23" fillId="0" borderId="0" xfId="0" applyFont="1" applyFill="1" applyAlignment="1" applyProtection="1">
      <alignment horizontal="left" vertical="center"/>
      <protection hidden="1"/>
    </xf>
    <xf numFmtId="0" fontId="26" fillId="0" borderId="0" xfId="0" applyFont="1" applyFill="1" applyAlignment="1" applyProtection="1">
      <alignment horizontal="left" vertical="center"/>
      <protection hidden="1"/>
    </xf>
    <xf numFmtId="0" fontId="28" fillId="27" borderId="50" xfId="0" applyFont="1" applyFill="1" applyBorder="1" applyAlignment="1" applyProtection="1">
      <alignment horizontal="left" vertical="center"/>
      <protection hidden="1"/>
    </xf>
    <xf numFmtId="181" fontId="28" fillId="31" borderId="53" xfId="0" applyNumberFormat="1" applyFont="1" applyFill="1" applyBorder="1" applyAlignment="1" applyProtection="1">
      <alignment horizontal="centerContinuous" vertical="center"/>
      <protection hidden="1"/>
    </xf>
    <xf numFmtId="0" fontId="26" fillId="0" borderId="0" xfId="0" applyFont="1">
      <alignment vertical="center"/>
    </xf>
    <xf numFmtId="181" fontId="28" fillId="29" borderId="0" xfId="0" applyNumberFormat="1" applyFont="1" applyFill="1" applyBorder="1" applyAlignment="1" applyProtection="1">
      <alignment vertical="center"/>
    </xf>
    <xf numFmtId="0" fontId="28" fillId="0" borderId="0" xfId="0" applyFont="1" applyFill="1" applyAlignment="1" applyProtection="1">
      <alignment horizontal="right" vertical="center"/>
      <protection hidden="1"/>
    </xf>
    <xf numFmtId="0" fontId="23" fillId="0" borderId="0" xfId="0" applyFont="1" applyFill="1">
      <alignment vertical="center"/>
    </xf>
    <xf numFmtId="176" fontId="28" fillId="31" borderId="26" xfId="0" applyNumberFormat="1" applyFont="1" applyFill="1" applyBorder="1" applyAlignment="1" applyProtection="1">
      <alignment horizontal="centerContinuous" vertical="center"/>
      <protection hidden="1"/>
    </xf>
    <xf numFmtId="176" fontId="28" fillId="31" borderId="53" xfId="0" applyNumberFormat="1" applyFont="1" applyFill="1" applyBorder="1" applyAlignment="1" applyProtection="1">
      <alignment horizontal="centerContinuous" vertical="center"/>
      <protection hidden="1"/>
    </xf>
    <xf numFmtId="188" fontId="26" fillId="27" borderId="144" xfId="35" applyNumberFormat="1" applyFont="1" applyFill="1" applyBorder="1" applyAlignment="1" applyProtection="1">
      <alignment horizontal="center" vertical="center"/>
      <protection locked="0"/>
    </xf>
    <xf numFmtId="0" fontId="33" fillId="27" borderId="10" xfId="0" applyNumberFormat="1" applyFont="1" applyFill="1" applyBorder="1" applyAlignment="1" applyProtection="1">
      <alignment horizontal="center" vertical="center"/>
      <protection hidden="1"/>
    </xf>
    <xf numFmtId="0" fontId="28" fillId="27" borderId="51" xfId="0" applyFont="1" applyFill="1" applyBorder="1" applyProtection="1">
      <alignment vertical="center"/>
      <protection hidden="1"/>
    </xf>
    <xf numFmtId="0" fontId="28" fillId="27" borderId="26"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protection hidden="1"/>
    </xf>
    <xf numFmtId="0" fontId="28" fillId="27" borderId="27" xfId="0" applyFont="1" applyFill="1" applyBorder="1" applyAlignment="1" applyProtection="1">
      <alignment horizontal="center"/>
      <protection hidden="1"/>
    </xf>
    <xf numFmtId="0" fontId="28" fillId="27" borderId="16" xfId="0" applyFont="1" applyFill="1" applyBorder="1" applyAlignment="1" applyProtection="1">
      <alignment horizontal="center" vertical="center"/>
      <protection hidden="1"/>
    </xf>
    <xf numFmtId="0" fontId="28" fillId="27" borderId="11" xfId="0"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protection hidden="1"/>
    </xf>
    <xf numFmtId="194" fontId="26" fillId="27" borderId="174" xfId="0" applyNumberFormat="1" applyFont="1" applyFill="1" applyBorder="1" applyAlignment="1" applyProtection="1">
      <alignment horizontal="center" vertical="center"/>
      <protection locked="0"/>
    </xf>
    <xf numFmtId="0" fontId="28" fillId="27" borderId="56" xfId="0" applyFont="1" applyFill="1" applyBorder="1" applyAlignment="1" applyProtection="1">
      <alignment horizontal="left" vertical="center"/>
      <protection hidden="1"/>
    </xf>
    <xf numFmtId="0" fontId="48" fillId="0" borderId="0" xfId="0" applyFont="1" applyAlignment="1">
      <alignment horizontal="right" vertical="center"/>
    </xf>
    <xf numFmtId="199" fontId="26" fillId="31" borderId="10"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 vertical="center"/>
      <protection hidden="1"/>
    </xf>
    <xf numFmtId="0" fontId="6" fillId="0" borderId="0" xfId="0" applyFont="1" applyFill="1">
      <alignment vertical="center"/>
    </xf>
    <xf numFmtId="177" fontId="28" fillId="27" borderId="87" xfId="0" applyNumberFormat="1" applyFont="1" applyFill="1" applyBorder="1" applyAlignment="1" applyProtection="1">
      <alignment horizontal="left" vertical="center"/>
      <protection hidden="1"/>
    </xf>
    <xf numFmtId="181" fontId="26" fillId="27" borderId="167" xfId="0" applyNumberFormat="1" applyFont="1" applyFill="1" applyBorder="1" applyAlignment="1" applyProtection="1">
      <alignment horizontal="centerContinuous" vertical="center"/>
      <protection hidden="1"/>
    </xf>
    <xf numFmtId="0" fontId="28" fillId="27" borderId="0" xfId="0" quotePrefix="1" applyNumberFormat="1" applyFont="1" applyFill="1" applyBorder="1" applyAlignment="1" applyProtection="1">
      <alignment vertical="center"/>
      <protection hidden="1"/>
    </xf>
    <xf numFmtId="181" fontId="26" fillId="27" borderId="11"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Continuous" vertical="center"/>
      <protection hidden="1"/>
    </xf>
    <xf numFmtId="0" fontId="28" fillId="27" borderId="57" xfId="0" quotePrefix="1" applyNumberFormat="1" applyFont="1" applyFill="1" applyBorder="1" applyAlignment="1" applyProtection="1">
      <alignment vertical="center"/>
      <protection hidden="1"/>
    </xf>
    <xf numFmtId="0" fontId="28" fillId="31" borderId="53" xfId="0" applyFont="1" applyFill="1" applyBorder="1" applyAlignment="1" applyProtection="1">
      <alignment horizontal="centerContinuous" vertical="center"/>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26" xfId="0" applyFont="1" applyFill="1" applyBorder="1" applyAlignment="1">
      <alignment horizontal="centerContinuous" vertical="center"/>
    </xf>
    <xf numFmtId="0" fontId="28" fillId="27" borderId="27" xfId="0" applyFont="1" applyFill="1" applyBorder="1" applyAlignment="1">
      <alignment horizontal="centerContinuous" vertical="center"/>
    </xf>
    <xf numFmtId="0" fontId="28" fillId="27" borderId="10" xfId="0" applyFont="1" applyFill="1" applyBorder="1" applyAlignment="1">
      <alignment horizontal="center" vertical="center" wrapText="1"/>
    </xf>
    <xf numFmtId="0" fontId="28" fillId="27" borderId="26" xfId="0" applyFont="1" applyFill="1" applyBorder="1" applyAlignment="1">
      <alignment horizontal="left" vertical="center"/>
    </xf>
    <xf numFmtId="0" fontId="28" fillId="27" borderId="50" xfId="0" applyFont="1" applyFill="1" applyBorder="1" applyAlignment="1">
      <alignment horizontal="left" vertical="center"/>
    </xf>
    <xf numFmtId="0" fontId="28" fillId="27" borderId="27" xfId="0" applyFont="1" applyFill="1" applyBorder="1" applyAlignment="1">
      <alignment horizontal="left" vertical="center"/>
    </xf>
    <xf numFmtId="0" fontId="28" fillId="27" borderId="55" xfId="0" applyFont="1" applyFill="1" applyBorder="1" applyAlignment="1" applyProtection="1">
      <alignment vertical="center"/>
      <protection hidden="1"/>
    </xf>
    <xf numFmtId="177" fontId="28" fillId="27" borderId="57" xfId="0" applyNumberFormat="1" applyFont="1" applyFill="1" applyBorder="1" applyAlignment="1" applyProtection="1">
      <alignment horizontal="left" vertical="center"/>
      <protection hidden="1"/>
    </xf>
    <xf numFmtId="0" fontId="6" fillId="0" borderId="57" xfId="0" applyFont="1" applyFill="1" applyBorder="1" applyAlignment="1" applyProtection="1">
      <alignment horizontal="center" vertical="center"/>
    </xf>
    <xf numFmtId="0" fontId="0" fillId="0" borderId="17" xfId="0" applyBorder="1">
      <alignment vertical="center"/>
    </xf>
    <xf numFmtId="0" fontId="33" fillId="27" borderId="0" xfId="0" applyFont="1" applyFill="1" applyBorder="1" applyAlignment="1" applyProtection="1">
      <alignment horizontal="right" vertical="center"/>
      <protection hidden="1"/>
    </xf>
    <xf numFmtId="0" fontId="33" fillId="27" borderId="10" xfId="0" applyFont="1" applyFill="1" applyBorder="1" applyAlignment="1">
      <alignment vertical="center" shrinkToFit="1"/>
    </xf>
    <xf numFmtId="0" fontId="0" fillId="0" borderId="0" xfId="0" applyBorder="1">
      <alignment vertical="center"/>
    </xf>
    <xf numFmtId="0" fontId="126" fillId="0" borderId="0" xfId="0" applyFont="1" applyFill="1" applyAlignment="1" applyProtection="1">
      <alignment horizontal="left" vertical="center"/>
      <protection hidden="1"/>
    </xf>
    <xf numFmtId="0" fontId="33" fillId="27" borderId="26" xfId="0" applyFont="1" applyFill="1" applyBorder="1" applyAlignment="1" applyProtection="1">
      <alignment horizontal="left" vertical="center"/>
      <protection hidden="1"/>
    </xf>
    <xf numFmtId="0" fontId="33" fillId="27" borderId="10" xfId="0" applyFont="1" applyFill="1" applyBorder="1" applyAlignment="1">
      <alignment horizontal="left" vertical="center" shrinkToFit="1"/>
    </xf>
    <xf numFmtId="38" fontId="6" fillId="0" borderId="0" xfId="35">
      <alignment vertical="center"/>
    </xf>
    <xf numFmtId="0" fontId="28" fillId="27" borderId="64" xfId="0" applyFont="1" applyFill="1" applyBorder="1">
      <alignment vertical="center"/>
    </xf>
    <xf numFmtId="0" fontId="33" fillId="0" borderId="57" xfId="0" applyFont="1" applyFill="1" applyBorder="1" applyAlignment="1" applyProtection="1">
      <alignment horizontal="center" vertical="top"/>
    </xf>
    <xf numFmtId="0" fontId="28" fillId="0" borderId="0" xfId="0" applyFont="1" applyFill="1" applyAlignment="1" applyProtection="1">
      <alignment vertical="top"/>
    </xf>
    <xf numFmtId="0" fontId="72" fillId="0" borderId="0" xfId="0" applyFont="1" applyAlignment="1">
      <alignment horizontal="left" vertical="center"/>
    </xf>
    <xf numFmtId="0" fontId="28" fillId="0" borderId="0" xfId="0" applyFont="1" applyFill="1" applyAlignment="1" applyProtection="1">
      <alignment vertical="top"/>
      <protection hidden="1"/>
    </xf>
    <xf numFmtId="0" fontId="152" fillId="0" borderId="0" xfId="0" applyFont="1" applyFill="1" applyAlignment="1" applyProtection="1">
      <alignment vertical="top"/>
      <protection hidden="1"/>
    </xf>
    <xf numFmtId="0" fontId="152" fillId="0" borderId="0" xfId="0" applyFont="1" applyFill="1" applyProtection="1">
      <alignment vertical="center"/>
    </xf>
    <xf numFmtId="181" fontId="37" fillId="27" borderId="166" xfId="0" applyNumberFormat="1" applyFont="1" applyFill="1" applyBorder="1" applyAlignment="1" applyProtection="1">
      <alignment vertical="top"/>
      <protection hidden="1"/>
    </xf>
    <xf numFmtId="181" fontId="37" fillId="27" borderId="17" xfId="0" applyNumberFormat="1" applyFont="1" applyFill="1" applyBorder="1" applyAlignment="1" applyProtection="1">
      <alignment vertical="top"/>
      <protection hidden="1"/>
    </xf>
    <xf numFmtId="181" fontId="37" fillId="27" borderId="182" xfId="0" applyNumberFormat="1" applyFont="1" applyFill="1" applyBorder="1" applyAlignment="1" applyProtection="1">
      <alignment vertical="top"/>
      <protection hidden="1"/>
    </xf>
    <xf numFmtId="181" fontId="37" fillId="27" borderId="170" xfId="0" applyNumberFormat="1" applyFont="1" applyFill="1" applyBorder="1" applyAlignment="1" applyProtection="1">
      <alignment vertical="top"/>
      <protection hidden="1"/>
    </xf>
    <xf numFmtId="0" fontId="37" fillId="0" borderId="0" xfId="0" applyFont="1" applyFill="1" applyAlignment="1" applyProtection="1">
      <alignment horizontal="right" vertical="center"/>
      <protection hidden="1"/>
    </xf>
    <xf numFmtId="0" fontId="37" fillId="0" borderId="0" xfId="0" applyFont="1" applyFill="1" applyBorder="1" applyAlignment="1" applyProtection="1">
      <alignment horizontal="left" vertical="center"/>
      <protection hidden="1"/>
    </xf>
    <xf numFmtId="0" fontId="153" fillId="0" borderId="0" xfId="0" applyFont="1" applyFill="1" applyAlignment="1" applyProtection="1">
      <alignment vertical="top"/>
      <protection hidden="1"/>
    </xf>
    <xf numFmtId="181" fontId="28" fillId="31" borderId="82" xfId="0" applyNumberFormat="1" applyFont="1" applyFill="1" applyBorder="1" applyAlignment="1" applyProtection="1">
      <alignment horizontal="centerContinuous" vertical="center"/>
      <protection hidden="1"/>
    </xf>
    <xf numFmtId="0" fontId="37" fillId="0" borderId="57" xfId="0" applyFont="1" applyFill="1" applyBorder="1" applyAlignment="1" applyProtection="1">
      <alignment horizontal="centerContinuous" vertical="center"/>
      <protection hidden="1"/>
    </xf>
    <xf numFmtId="0" fontId="45" fillId="0" borderId="0" xfId="0" applyFont="1" applyFill="1" applyAlignment="1" applyProtection="1">
      <alignment horizontal="left" vertical="top"/>
      <protection hidden="1"/>
    </xf>
    <xf numFmtId="0" fontId="37" fillId="0" borderId="0" xfId="0" applyFont="1" applyFill="1" applyAlignment="1" applyProtection="1">
      <alignment horizontal="left" vertical="center"/>
      <protection hidden="1"/>
    </xf>
    <xf numFmtId="0" fontId="37" fillId="0" borderId="0" xfId="0" applyFont="1" applyFill="1" applyAlignment="1" applyProtection="1">
      <alignment horizontal="left" vertical="top"/>
      <protection hidden="1"/>
    </xf>
    <xf numFmtId="0" fontId="48" fillId="0" borderId="0" xfId="0" applyFont="1" applyAlignment="1" applyProtection="1">
      <alignment horizontal="left" vertical="center"/>
      <protection hidden="1"/>
    </xf>
    <xf numFmtId="181" fontId="28" fillId="44" borderId="27" xfId="0" applyNumberFormat="1" applyFont="1" applyFill="1" applyBorder="1" applyAlignment="1" applyProtection="1">
      <alignment horizontal="centerContinuous" vertical="center"/>
      <protection hidden="1"/>
    </xf>
    <xf numFmtId="181" fontId="28" fillId="42" borderId="164" xfId="0" applyNumberFormat="1" applyFont="1" applyFill="1" applyBorder="1" applyAlignment="1" applyProtection="1">
      <alignment horizontal="left" vertical="center"/>
      <protection hidden="1"/>
    </xf>
    <xf numFmtId="0" fontId="28" fillId="42" borderId="166" xfId="0"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protection hidden="1"/>
    </xf>
    <xf numFmtId="0" fontId="28" fillId="42" borderId="14" xfId="0" applyFont="1" applyFill="1" applyBorder="1" applyAlignment="1" applyProtection="1">
      <alignment horizontal="left" vertical="center" wrapText="1"/>
      <protection hidden="1"/>
    </xf>
    <xf numFmtId="0" fontId="29" fillId="0" borderId="0" xfId="0" applyFont="1" applyFill="1" applyAlignment="1" applyProtection="1">
      <alignment horizontal="left" vertical="center"/>
      <protection hidden="1"/>
    </xf>
    <xf numFmtId="0" fontId="28" fillId="27" borderId="52" xfId="0" applyFont="1" applyFill="1" applyBorder="1" applyAlignment="1" applyProtection="1">
      <alignment horizontal="center" vertical="center"/>
      <protection hidden="1"/>
    </xf>
    <xf numFmtId="0" fontId="28" fillId="27" borderId="53" xfId="0" applyFont="1" applyFill="1" applyBorder="1" applyAlignment="1" applyProtection="1">
      <alignment horizontal="center" vertical="top"/>
      <protection hidden="1"/>
    </xf>
    <xf numFmtId="0" fontId="28" fillId="27" borderId="53" xfId="0" applyFont="1" applyFill="1" applyBorder="1" applyAlignment="1" applyProtection="1">
      <alignment horizontal="center" vertical="center"/>
      <protection hidden="1"/>
    </xf>
    <xf numFmtId="0" fontId="28" fillId="27" borderId="165" xfId="0" applyFont="1" applyFill="1" applyBorder="1" applyAlignment="1" applyProtection="1">
      <alignment horizontal="left" vertical="top" wrapText="1"/>
      <protection hidden="1"/>
    </xf>
    <xf numFmtId="0" fontId="28" fillId="27" borderId="13" xfId="0" applyFont="1" applyFill="1" applyBorder="1" applyAlignment="1" applyProtection="1">
      <alignment horizontal="left" vertical="top" wrapText="1"/>
      <protection hidden="1"/>
    </xf>
    <xf numFmtId="0" fontId="28" fillId="27" borderId="189" xfId="0" applyFont="1" applyFill="1" applyBorder="1" applyAlignment="1" applyProtection="1">
      <alignment horizontal="left" vertical="center" wrapText="1"/>
      <protection hidden="1"/>
    </xf>
    <xf numFmtId="0" fontId="28" fillId="27" borderId="76" xfId="0" applyFont="1" applyFill="1" applyBorder="1" applyAlignment="1" applyProtection="1">
      <alignment horizontal="left" vertical="center"/>
      <protection hidden="1"/>
    </xf>
    <xf numFmtId="0" fontId="28" fillId="27" borderId="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top" wrapText="1"/>
      <protection hidden="1"/>
    </xf>
    <xf numFmtId="196" fontId="26" fillId="27" borderId="50" xfId="0" applyNumberFormat="1" applyFont="1" applyFill="1" applyBorder="1" applyAlignment="1" applyProtection="1">
      <alignment horizontal="center" vertical="top" wrapText="1"/>
      <protection hidden="1"/>
    </xf>
    <xf numFmtId="0" fontId="158" fillId="0" borderId="0" xfId="0" applyFont="1" applyFill="1" applyAlignment="1" applyProtection="1">
      <alignment vertical="center"/>
      <protection hidden="1"/>
    </xf>
    <xf numFmtId="0" fontId="37" fillId="0" borderId="0" xfId="0" applyFont="1" applyFill="1" applyBorder="1" applyAlignment="1" applyProtection="1">
      <alignment horizontal="justify"/>
      <protection hidden="1"/>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horizontal="left" vertical="top"/>
      <protection hidden="1"/>
    </xf>
    <xf numFmtId="0" fontId="34" fillId="0" borderId="0" xfId="0" applyFont="1" applyFill="1" applyAlignment="1" applyProtection="1">
      <alignment horizontal="left" vertical="center"/>
      <protection hidden="1"/>
    </xf>
    <xf numFmtId="0" fontId="28" fillId="27" borderId="190" xfId="0" applyFont="1" applyFill="1" applyBorder="1" applyAlignment="1" applyProtection="1">
      <alignment horizontal="centerContinuous" vertical="center"/>
      <protection hidden="1"/>
    </xf>
    <xf numFmtId="0" fontId="28" fillId="27" borderId="191" xfId="0" applyFont="1" applyFill="1" applyBorder="1" applyAlignment="1">
      <alignment horizontal="centerContinuous" vertical="center"/>
    </xf>
    <xf numFmtId="0" fontId="28" fillId="27" borderId="192" xfId="0" applyFont="1" applyFill="1" applyBorder="1" applyAlignment="1">
      <alignment horizontal="centerContinuous" vertical="top"/>
    </xf>
    <xf numFmtId="0" fontId="28" fillId="27" borderId="193" xfId="0" applyFont="1" applyFill="1" applyBorder="1" applyAlignment="1" applyProtection="1">
      <alignment vertical="center"/>
      <protection hidden="1"/>
    </xf>
    <xf numFmtId="0" fontId="28" fillId="27" borderId="194" xfId="0" applyFont="1" applyFill="1" applyBorder="1" applyAlignment="1">
      <alignment vertical="center"/>
    </xf>
    <xf numFmtId="0" fontId="28" fillId="27" borderId="194" xfId="0" applyFont="1" applyFill="1" applyBorder="1" applyAlignment="1" applyProtection="1">
      <alignment vertical="center"/>
    </xf>
    <xf numFmtId="0" fontId="28" fillId="27" borderId="194" xfId="0" applyFont="1" applyFill="1" applyBorder="1" applyAlignment="1">
      <alignment vertical="top"/>
    </xf>
    <xf numFmtId="0" fontId="28" fillId="27" borderId="195" xfId="0" applyFont="1" applyFill="1" applyBorder="1" applyAlignment="1">
      <alignment vertical="top"/>
    </xf>
    <xf numFmtId="0" fontId="29" fillId="27" borderId="12" xfId="0" applyFont="1" applyFill="1" applyBorder="1" applyAlignment="1" applyProtection="1">
      <alignment vertical="center"/>
      <protection hidden="1"/>
    </xf>
    <xf numFmtId="0" fontId="28" fillId="27" borderId="13" xfId="0" applyFont="1" applyFill="1" applyBorder="1" applyAlignment="1" applyProtection="1">
      <alignment vertical="center"/>
    </xf>
    <xf numFmtId="0" fontId="28" fillId="27" borderId="13" xfId="0" applyFont="1" applyFill="1" applyBorder="1" applyProtection="1">
      <alignment vertical="center"/>
    </xf>
    <xf numFmtId="0" fontId="28" fillId="27" borderId="14" xfId="0" applyFont="1" applyFill="1" applyBorder="1" applyAlignment="1" applyProtection="1">
      <alignment vertical="center"/>
    </xf>
    <xf numFmtId="0" fontId="28" fillId="27" borderId="13" xfId="0" applyFont="1" applyFill="1" applyBorder="1" applyAlignment="1">
      <alignment vertical="top"/>
    </xf>
    <xf numFmtId="0" fontId="28" fillId="27" borderId="14" xfId="0" applyFont="1" applyFill="1" applyBorder="1" applyAlignment="1">
      <alignment vertical="top"/>
    </xf>
    <xf numFmtId="0" fontId="29" fillId="27" borderId="175" xfId="0" applyFont="1" applyFill="1" applyBorder="1" applyAlignment="1" applyProtection="1">
      <alignment vertical="center"/>
      <protection hidden="1"/>
    </xf>
    <xf numFmtId="0" fontId="28" fillId="27" borderId="87" xfId="0" applyFont="1" applyFill="1" applyBorder="1" applyAlignment="1" applyProtection="1">
      <alignment vertical="center"/>
    </xf>
    <xf numFmtId="0" fontId="28" fillId="27" borderId="87" xfId="0" applyFont="1" applyFill="1" applyBorder="1" applyProtection="1">
      <alignment vertical="center"/>
    </xf>
    <xf numFmtId="0" fontId="28" fillId="27" borderId="87" xfId="0" applyFont="1" applyFill="1" applyBorder="1" applyAlignment="1">
      <alignment vertical="center"/>
    </xf>
    <xf numFmtId="0" fontId="28" fillId="27" borderId="87" xfId="0" applyFont="1" applyFill="1" applyBorder="1" applyAlignment="1">
      <alignment vertical="top"/>
    </xf>
    <xf numFmtId="0" fontId="28" fillId="27" borderId="175" xfId="0" applyFont="1" applyFill="1" applyBorder="1" applyAlignment="1" applyProtection="1">
      <alignment vertical="center"/>
      <protection hidden="1"/>
    </xf>
    <xf numFmtId="0" fontId="28" fillId="27" borderId="169" xfId="0" applyFont="1" applyFill="1" applyBorder="1" applyAlignment="1" applyProtection="1">
      <alignment vertical="center"/>
      <protection hidden="1"/>
    </xf>
    <xf numFmtId="0" fontId="28" fillId="27" borderId="171" xfId="0" applyFont="1" applyFill="1" applyBorder="1" applyAlignment="1">
      <alignment vertical="center"/>
    </xf>
    <xf numFmtId="0" fontId="28" fillId="27" borderId="171" xfId="0" applyFont="1" applyFill="1" applyBorder="1" applyProtection="1">
      <alignment vertical="center"/>
    </xf>
    <xf numFmtId="0" fontId="28" fillId="27" borderId="171" xfId="0" applyFont="1" applyFill="1" applyBorder="1" applyAlignment="1">
      <alignment vertical="top"/>
    </xf>
    <xf numFmtId="0" fontId="28" fillId="27" borderId="170" xfId="0" applyFont="1" applyFill="1" applyBorder="1" applyAlignment="1">
      <alignment vertical="top"/>
    </xf>
    <xf numFmtId="0" fontId="28" fillId="0" borderId="0" xfId="0" applyFont="1">
      <alignment vertical="center"/>
    </xf>
    <xf numFmtId="0" fontId="37" fillId="0" borderId="0" xfId="0" applyFont="1">
      <alignment vertical="center"/>
    </xf>
    <xf numFmtId="0" fontId="37" fillId="0" borderId="0" xfId="0" applyFont="1" applyFill="1" applyBorder="1" applyAlignment="1" applyProtection="1">
      <alignment vertical="center"/>
      <protection hidden="1"/>
    </xf>
    <xf numFmtId="0" fontId="27" fillId="0" borderId="0" xfId="0" applyFont="1" applyFill="1" applyAlignment="1" applyProtection="1">
      <alignment horizontal="left" vertical="center"/>
      <protection hidden="1"/>
    </xf>
    <xf numFmtId="0" fontId="48" fillId="0" borderId="0" xfId="0" applyFont="1" applyFill="1" applyAlignment="1" applyProtection="1">
      <alignment horizontal="left" vertical="top"/>
      <protection hidden="1"/>
    </xf>
    <xf numFmtId="181" fontId="28" fillId="27" borderId="190" xfId="0" applyNumberFormat="1" applyFont="1" applyFill="1" applyBorder="1" applyAlignment="1" applyProtection="1">
      <alignment horizontal="left" vertical="center"/>
      <protection hidden="1"/>
    </xf>
    <xf numFmtId="181" fontId="28" fillId="27" borderId="191" xfId="0" applyNumberFormat="1" applyFont="1" applyFill="1" applyBorder="1" applyAlignment="1" applyProtection="1">
      <alignment horizontal="left" vertical="center"/>
      <protection hidden="1"/>
    </xf>
    <xf numFmtId="181" fontId="28" fillId="27" borderId="192" xfId="0" applyNumberFormat="1" applyFont="1" applyFill="1" applyBorder="1" applyAlignment="1" applyProtection="1">
      <alignment horizontal="left" vertical="center"/>
      <protection hidden="1"/>
    </xf>
    <xf numFmtId="181" fontId="28" fillId="27" borderId="196" xfId="0" applyNumberFormat="1" applyFont="1" applyFill="1" applyBorder="1" applyAlignment="1" applyProtection="1">
      <alignment horizontal="left" vertical="center"/>
      <protection hidden="1"/>
    </xf>
    <xf numFmtId="0" fontId="159" fillId="0" borderId="0" xfId="0" applyFont="1" applyFill="1" applyAlignment="1" applyProtection="1">
      <alignment horizontal="left" vertical="center"/>
      <protection hidden="1"/>
    </xf>
    <xf numFmtId="181" fontId="37" fillId="0" borderId="0" xfId="0" applyNumberFormat="1" applyFont="1" applyFill="1" applyBorder="1" applyAlignment="1" applyProtection="1">
      <alignment horizontal="left" vertical="top"/>
      <protection hidden="1"/>
    </xf>
    <xf numFmtId="0" fontId="152" fillId="0" borderId="0" xfId="0" applyFont="1" applyProtection="1">
      <alignment vertical="center"/>
    </xf>
    <xf numFmtId="0" fontId="28" fillId="0" borderId="0" xfId="0" applyFont="1" applyFill="1" applyBorder="1" applyAlignment="1" applyProtection="1">
      <alignment horizontal="right"/>
      <protection hidden="1"/>
    </xf>
    <xf numFmtId="0" fontId="26" fillId="0" borderId="144" xfId="0" applyNumberFormat="1" applyFont="1" applyFill="1" applyBorder="1" applyAlignment="1" applyProtection="1">
      <alignment horizontal="center" vertical="center"/>
      <protection hidden="1"/>
    </xf>
    <xf numFmtId="0" fontId="28" fillId="27" borderId="27" xfId="0" applyFont="1" applyFill="1" applyBorder="1" applyAlignment="1" applyProtection="1">
      <alignment vertical="center"/>
    </xf>
    <xf numFmtId="0" fontId="26" fillId="0" borderId="0" xfId="0" applyFont="1" applyFill="1" applyBorder="1" applyAlignment="1" applyProtection="1">
      <alignment vertical="center"/>
      <protection hidden="1"/>
    </xf>
    <xf numFmtId="0" fontId="28" fillId="0" borderId="0" xfId="0" applyFont="1" applyAlignment="1" applyProtection="1">
      <alignment vertical="top"/>
    </xf>
    <xf numFmtId="0" fontId="28" fillId="0" borderId="17" xfId="0" applyFont="1" applyFill="1" applyBorder="1" applyAlignment="1" applyProtection="1">
      <protection hidden="1"/>
    </xf>
    <xf numFmtId="0" fontId="28" fillId="27" borderId="54" xfId="0" applyFont="1" applyFill="1" applyBorder="1" applyAlignment="1" applyProtection="1">
      <alignment horizontal="center" vertical="center"/>
      <protection hidden="1"/>
    </xf>
    <xf numFmtId="0" fontId="28" fillId="27" borderId="0"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top"/>
      <protection hidden="1"/>
    </xf>
    <xf numFmtId="0" fontId="37" fillId="0" borderId="17" xfId="0" applyFont="1" applyFill="1" applyBorder="1" applyAlignment="1" applyProtection="1">
      <alignment vertical="center"/>
      <protection hidden="1"/>
    </xf>
    <xf numFmtId="0" fontId="28" fillId="27" borderId="58"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7"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top"/>
      <protection hidden="1"/>
    </xf>
    <xf numFmtId="0" fontId="28" fillId="0" borderId="17" xfId="0" applyFont="1" applyFill="1" applyBorder="1" applyAlignment="1" applyProtection="1">
      <alignment vertical="center"/>
      <protection hidden="1"/>
    </xf>
    <xf numFmtId="0" fontId="28" fillId="27" borderId="16" xfId="0" applyFont="1" applyFill="1" applyBorder="1" applyAlignment="1" applyProtection="1">
      <alignment horizontal="center" vertical="center"/>
      <protection locked="0" hidden="1"/>
    </xf>
    <xf numFmtId="0" fontId="37" fillId="27" borderId="164"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center"/>
      <protection hidden="1"/>
    </xf>
    <xf numFmtId="0" fontId="37" fillId="27" borderId="165"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top"/>
      <protection hidden="1"/>
    </xf>
    <xf numFmtId="0" fontId="28" fillId="0" borderId="17" xfId="0" applyFont="1" applyFill="1" applyBorder="1" applyAlignment="1" applyProtection="1">
      <alignment horizontal="left" vertical="center"/>
      <protection hidden="1"/>
    </xf>
    <xf numFmtId="0" fontId="28" fillId="27" borderId="11" xfId="0" applyFont="1" applyFill="1" applyBorder="1" applyAlignment="1" applyProtection="1">
      <alignment horizontal="center" vertical="center"/>
      <protection locked="0" hidden="1"/>
    </xf>
    <xf numFmtId="0" fontId="37" fillId="27" borderId="12"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top"/>
      <protection hidden="1"/>
    </xf>
    <xf numFmtId="0" fontId="37" fillId="27" borderId="12"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top"/>
      <protection hidden="1"/>
    </xf>
    <xf numFmtId="0" fontId="26" fillId="0" borderId="17" xfId="0" applyFont="1" applyFill="1" applyBorder="1" applyAlignment="1" applyProtection="1">
      <alignment horizontal="center" vertical="top"/>
      <protection hidden="1"/>
    </xf>
    <xf numFmtId="0" fontId="26" fillId="0" borderId="0" xfId="0" applyFont="1" applyFill="1" applyBorder="1" applyAlignment="1" applyProtection="1">
      <alignment horizontal="center" vertical="top"/>
      <protection hidden="1"/>
    </xf>
    <xf numFmtId="0" fontId="28" fillId="27" borderId="168" xfId="0" applyFont="1" applyFill="1" applyBorder="1" applyAlignment="1" applyProtection="1">
      <alignment horizontal="center" vertical="center"/>
      <protection locked="0" hidden="1"/>
    </xf>
    <xf numFmtId="0" fontId="37" fillId="27" borderId="169" xfId="0" applyFont="1" applyFill="1" applyBorder="1" applyAlignment="1" applyProtection="1">
      <alignment horizontal="left" vertical="center"/>
      <protection hidden="1"/>
    </xf>
    <xf numFmtId="0" fontId="37" fillId="27" borderId="170" xfId="0" applyFont="1" applyFill="1" applyBorder="1" applyAlignment="1" applyProtection="1">
      <alignment horizontal="left" vertical="center"/>
      <protection hidden="1"/>
    </xf>
    <xf numFmtId="0" fontId="37" fillId="27" borderId="171" xfId="0" applyFont="1" applyFill="1" applyBorder="1" applyAlignment="1" applyProtection="1">
      <alignment horizontal="left" vertical="center"/>
      <protection hidden="1"/>
    </xf>
    <xf numFmtId="0" fontId="37" fillId="27" borderId="170"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center"/>
      <protection hidden="1"/>
    </xf>
    <xf numFmtId="0" fontId="28" fillId="0" borderId="17" xfId="0" applyFont="1" applyFill="1" applyBorder="1" applyAlignment="1" applyProtection="1">
      <alignment horizontal="left"/>
      <protection hidden="1"/>
    </xf>
    <xf numFmtId="0" fontId="28" fillId="0" borderId="0" xfId="0" applyFont="1" applyFill="1" applyBorder="1" applyAlignment="1" applyProtection="1">
      <alignment horizontal="left"/>
      <protection hidden="1"/>
    </xf>
    <xf numFmtId="0" fontId="37" fillId="27" borderId="175" xfId="0" applyFont="1" applyFill="1" applyBorder="1" applyAlignment="1" applyProtection="1">
      <alignment horizontal="left" vertical="center"/>
      <protection hidden="1"/>
    </xf>
    <xf numFmtId="0" fontId="37" fillId="27" borderId="196" xfId="0" applyFont="1" applyFill="1" applyBorder="1" applyAlignment="1" applyProtection="1">
      <alignment horizontal="left" vertical="center"/>
      <protection hidden="1"/>
    </xf>
    <xf numFmtId="0" fontId="37" fillId="27" borderId="87" xfId="0" applyFont="1" applyFill="1" applyBorder="1" applyAlignment="1" applyProtection="1">
      <alignment horizontal="left" vertical="center"/>
      <protection hidden="1"/>
    </xf>
    <xf numFmtId="0" fontId="37" fillId="27" borderId="181" xfId="0" applyFont="1" applyFill="1" applyBorder="1" applyAlignment="1" applyProtection="1">
      <alignment horizontal="left" vertical="center"/>
      <protection hidden="1"/>
    </xf>
    <xf numFmtId="0" fontId="37" fillId="27" borderId="182" xfId="0" applyFont="1" applyFill="1" applyBorder="1" applyAlignment="1" applyProtection="1">
      <alignment horizontal="left" vertical="center"/>
      <protection hidden="1"/>
    </xf>
    <xf numFmtId="0" fontId="28" fillId="27" borderId="55" xfId="0" applyFont="1" applyFill="1" applyBorder="1" applyAlignment="1" applyProtection="1">
      <alignment horizontal="center" vertical="center"/>
      <protection locked="0" hidden="1"/>
    </xf>
    <xf numFmtId="0" fontId="37" fillId="27" borderId="56" xfId="0" applyFont="1" applyFill="1" applyBorder="1" applyAlignment="1" applyProtection="1">
      <alignment horizontal="left" vertical="center"/>
      <protection hidden="1"/>
    </xf>
    <xf numFmtId="0" fontId="37" fillId="27" borderId="58" xfId="0" applyFont="1" applyFill="1" applyBorder="1" applyAlignment="1" applyProtection="1">
      <alignment horizontal="left" vertical="center"/>
      <protection hidden="1"/>
    </xf>
    <xf numFmtId="0" fontId="28" fillId="0" borderId="53" xfId="0" applyFont="1" applyBorder="1" applyProtection="1">
      <alignment vertical="center"/>
    </xf>
    <xf numFmtId="0" fontId="28" fillId="0" borderId="53" xfId="0" applyFont="1" applyBorder="1" applyAlignment="1" applyProtection="1">
      <alignment vertical="top"/>
    </xf>
    <xf numFmtId="181" fontId="28" fillId="31" borderId="80" xfId="0" applyNumberFormat="1" applyFont="1" applyFill="1" applyBorder="1" applyAlignment="1" applyProtection="1">
      <alignment horizontal="centerContinuous" vertical="top"/>
      <protection hidden="1"/>
    </xf>
    <xf numFmtId="0" fontId="0" fillId="43" borderId="10" xfId="0" applyFill="1" applyBorder="1">
      <alignment vertical="center"/>
    </xf>
    <xf numFmtId="0" fontId="26"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top"/>
      <protection hidden="1"/>
    </xf>
    <xf numFmtId="0" fontId="28" fillId="27" borderId="26" xfId="0" applyFont="1" applyFill="1" applyBorder="1" applyAlignment="1" applyProtection="1">
      <alignment horizontal="left"/>
      <protection hidden="1"/>
    </xf>
    <xf numFmtId="0" fontId="28" fillId="27" borderId="50" xfId="0" applyFont="1" applyFill="1" applyBorder="1" applyAlignment="1" applyProtection="1">
      <alignment horizontal="left"/>
      <protection hidden="1"/>
    </xf>
    <xf numFmtId="0" fontId="28" fillId="27" borderId="27" xfId="0" applyFont="1" applyFill="1" applyBorder="1" applyAlignment="1" applyProtection="1">
      <alignment horizontal="left"/>
      <protection hidden="1"/>
    </xf>
    <xf numFmtId="0" fontId="28" fillId="27" borderId="26" xfId="0" applyFont="1" applyFill="1" applyBorder="1" applyAlignment="1" applyProtection="1">
      <protection hidden="1"/>
    </xf>
    <xf numFmtId="0" fontId="28" fillId="27" borderId="50" xfId="0" applyFont="1" applyFill="1" applyBorder="1" applyAlignment="1" applyProtection="1">
      <protection hidden="1"/>
    </xf>
    <xf numFmtId="0" fontId="28" fillId="27" borderId="50" xfId="0" applyFont="1" applyFill="1" applyBorder="1" applyAlignment="1" applyProtection="1">
      <alignment vertical="top"/>
      <protection hidden="1"/>
    </xf>
    <xf numFmtId="0" fontId="28" fillId="27" borderId="27" xfId="0" applyFont="1" applyFill="1" applyBorder="1" applyAlignment="1" applyProtection="1">
      <protection hidden="1"/>
    </xf>
    <xf numFmtId="0" fontId="37" fillId="27" borderId="26" xfId="0" applyFont="1" applyFill="1" applyBorder="1" applyAlignment="1" applyProtection="1">
      <alignment horizontal="left"/>
      <protection hidden="1"/>
    </xf>
    <xf numFmtId="0" fontId="37" fillId="27" borderId="50" xfId="0" applyFont="1" applyFill="1" applyBorder="1" applyAlignment="1" applyProtection="1">
      <alignment horizontal="left"/>
      <protection hidden="1"/>
    </xf>
    <xf numFmtId="0" fontId="37" fillId="27" borderId="50" xfId="0" applyFont="1" applyFill="1" applyBorder="1" applyAlignment="1" applyProtection="1">
      <alignment horizontal="left" vertical="top"/>
      <protection hidden="1"/>
    </xf>
    <xf numFmtId="0" fontId="37" fillId="27" borderId="27" xfId="0" applyFont="1" applyFill="1" applyBorder="1" applyAlignment="1" applyProtection="1">
      <alignment horizontal="left"/>
      <protection hidden="1"/>
    </xf>
    <xf numFmtId="0" fontId="28" fillId="27" borderId="15" xfId="0" applyFont="1" applyFill="1" applyBorder="1" applyAlignment="1" applyProtection="1">
      <alignment vertical="center"/>
      <protection hidden="1"/>
    </xf>
    <xf numFmtId="0" fontId="28" fillId="27" borderId="50" xfId="0" applyFont="1" applyFill="1" applyBorder="1" applyAlignment="1" applyProtection="1">
      <alignment horizontal="left" vertical="top"/>
      <protection hidden="1"/>
    </xf>
    <xf numFmtId="0" fontId="28" fillId="27" borderId="10" xfId="0" applyFont="1" applyFill="1" applyBorder="1" applyAlignment="1" applyProtection="1">
      <protection hidden="1"/>
    </xf>
    <xf numFmtId="181" fontId="26" fillId="0" borderId="0" xfId="0" applyNumberFormat="1" applyFont="1" applyFill="1" applyBorder="1" applyAlignment="1" applyProtection="1">
      <alignment horizontal="left" vertical="center"/>
      <protection hidden="1"/>
    </xf>
    <xf numFmtId="181" fontId="28" fillId="0" borderId="0" xfId="0" applyNumberFormat="1" applyFont="1" applyFill="1" applyBorder="1" applyAlignment="1" applyProtection="1">
      <alignment vertical="top"/>
      <protection hidden="1"/>
    </xf>
    <xf numFmtId="181" fontId="28" fillId="27" borderId="26" xfId="0" applyNumberFormat="1" applyFont="1" applyFill="1" applyBorder="1" applyAlignment="1" applyProtection="1">
      <alignment horizontal="left" vertical="center"/>
      <protection hidden="1"/>
    </xf>
    <xf numFmtId="181" fontId="28" fillId="27" borderId="50" xfId="0" applyNumberFormat="1" applyFont="1" applyFill="1" applyBorder="1" applyAlignment="1" applyProtection="1">
      <alignment horizontal="left" vertical="center"/>
      <protection hidden="1"/>
    </xf>
    <xf numFmtId="181" fontId="28" fillId="27" borderId="27" xfId="0" applyNumberFormat="1" applyFont="1" applyFill="1" applyBorder="1" applyAlignment="1" applyProtection="1">
      <alignment horizontal="left" vertical="center"/>
      <protection hidden="1"/>
    </xf>
    <xf numFmtId="181" fontId="28" fillId="27" borderId="26" xfId="0" applyNumberFormat="1" applyFont="1" applyFill="1" applyBorder="1" applyAlignment="1" applyProtection="1">
      <alignment vertical="center"/>
      <protection hidden="1"/>
    </xf>
    <xf numFmtId="181" fontId="28" fillId="27" borderId="26" xfId="0" applyNumberFormat="1" applyFont="1" applyFill="1" applyBorder="1" applyAlignment="1" applyProtection="1">
      <alignment horizontal="center" vertical="center"/>
      <protection hidden="1"/>
    </xf>
    <xf numFmtId="181" fontId="28" fillId="27" borderId="27" xfId="0" applyNumberFormat="1" applyFont="1" applyFill="1" applyBorder="1" applyAlignment="1" applyProtection="1">
      <alignment horizontal="center" vertical="center"/>
      <protection hidden="1"/>
    </xf>
    <xf numFmtId="181" fontId="28" fillId="27" borderId="10" xfId="0" applyNumberFormat="1" applyFont="1" applyFill="1" applyBorder="1" applyAlignment="1" applyProtection="1">
      <alignment vertical="top"/>
      <protection hidden="1"/>
    </xf>
    <xf numFmtId="181" fontId="28" fillId="27" borderId="10"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center"/>
      <protection hidden="1"/>
    </xf>
    <xf numFmtId="181" fontId="28" fillId="27" borderId="53" xfId="0" applyNumberFormat="1" applyFont="1" applyFill="1" applyBorder="1" applyAlignment="1" applyProtection="1">
      <alignment horizontal="left" vertical="center"/>
      <protection hidden="1"/>
    </xf>
    <xf numFmtId="181" fontId="28" fillId="27" borderId="54" xfId="0" applyNumberFormat="1" applyFont="1" applyFill="1" applyBorder="1" applyAlignment="1" applyProtection="1">
      <alignment horizontal="left" vertical="center"/>
      <protection hidden="1"/>
    </xf>
    <xf numFmtId="0" fontId="28" fillId="27" borderId="10" xfId="0" applyNumberFormat="1" applyFont="1" applyFill="1" applyBorder="1" applyAlignment="1" applyProtection="1">
      <alignment vertical="top"/>
      <protection hidden="1"/>
    </xf>
    <xf numFmtId="3" fontId="28" fillId="27" borderId="27" xfId="0" applyNumberFormat="1" applyFont="1" applyFill="1" applyBorder="1" applyAlignment="1" applyProtection="1">
      <alignment horizontal="right" vertical="top"/>
      <protection hidden="1"/>
    </xf>
    <xf numFmtId="181" fontId="28" fillId="27" borderId="56" xfId="0" applyNumberFormat="1" applyFont="1" applyFill="1" applyBorder="1" applyAlignment="1" applyProtection="1">
      <alignment horizontal="left" vertical="center"/>
      <protection hidden="1"/>
    </xf>
    <xf numFmtId="181" fontId="28" fillId="27" borderId="57" xfId="0" applyNumberFormat="1" applyFont="1" applyFill="1" applyBorder="1" applyAlignment="1" applyProtection="1">
      <alignment horizontal="left" vertical="center"/>
      <protection hidden="1"/>
    </xf>
    <xf numFmtId="181" fontId="28" fillId="27" borderId="58" xfId="0" applyNumberFormat="1" applyFont="1" applyFill="1" applyBorder="1" applyAlignment="1" applyProtection="1">
      <alignment horizontal="left" vertical="center"/>
      <protection hidden="1"/>
    </xf>
    <xf numFmtId="0" fontId="28" fillId="27" borderId="27"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top"/>
      <protection hidden="1"/>
    </xf>
    <xf numFmtId="181" fontId="28" fillId="27" borderId="53" xfId="0" applyNumberFormat="1" applyFont="1" applyFill="1" applyBorder="1" applyAlignment="1" applyProtection="1">
      <alignment horizontal="left" vertical="top"/>
      <protection hidden="1"/>
    </xf>
    <xf numFmtId="181" fontId="28" fillId="27" borderId="54" xfId="0" applyNumberFormat="1" applyFont="1" applyFill="1" applyBorder="1" applyAlignment="1" applyProtection="1">
      <alignment horizontal="left" vertical="top"/>
      <protection hidden="1"/>
    </xf>
    <xf numFmtId="3" fontId="28" fillId="27" borderId="27" xfId="0" applyNumberFormat="1" applyFont="1" applyFill="1" applyBorder="1" applyAlignment="1" applyProtection="1">
      <alignment vertical="center"/>
      <protection hidden="1"/>
    </xf>
    <xf numFmtId="181" fontId="28" fillId="27" borderId="64" xfId="0" applyNumberFormat="1" applyFont="1" applyFill="1" applyBorder="1" applyAlignment="1" applyProtection="1">
      <alignment horizontal="left" vertical="top"/>
      <protection hidden="1"/>
    </xf>
    <xf numFmtId="181" fontId="28" fillId="27" borderId="0" xfId="0" applyNumberFormat="1" applyFont="1" applyFill="1" applyBorder="1" applyAlignment="1" applyProtection="1">
      <alignment horizontal="left" vertical="top"/>
      <protection hidden="1"/>
    </xf>
    <xf numFmtId="181" fontId="28" fillId="27" borderId="17" xfId="0" applyNumberFormat="1" applyFont="1" applyFill="1" applyBorder="1" applyAlignment="1" applyProtection="1">
      <alignment horizontal="left" vertical="top"/>
      <protection hidden="1"/>
    </xf>
    <xf numFmtId="181" fontId="28" fillId="27" borderId="56" xfId="0" applyNumberFormat="1" applyFont="1" applyFill="1" applyBorder="1" applyAlignment="1" applyProtection="1">
      <alignment horizontal="left" vertical="top"/>
      <protection hidden="1"/>
    </xf>
    <xf numFmtId="181" fontId="28" fillId="27" borderId="57" xfId="0" applyNumberFormat="1" applyFont="1" applyFill="1" applyBorder="1" applyAlignment="1" applyProtection="1">
      <alignment horizontal="left" vertical="top"/>
      <protection hidden="1"/>
    </xf>
    <xf numFmtId="181" fontId="28" fillId="27" borderId="58" xfId="0" applyNumberFormat="1" applyFont="1" applyFill="1" applyBorder="1" applyAlignment="1" applyProtection="1">
      <alignment horizontal="left" vertical="top"/>
      <protection hidden="1"/>
    </xf>
    <xf numFmtId="181" fontId="28" fillId="27" borderId="64" xfId="0" applyNumberFormat="1" applyFont="1" applyFill="1" applyBorder="1" applyAlignment="1" applyProtection="1">
      <alignment horizontal="left" vertical="center"/>
      <protection hidden="1"/>
    </xf>
    <xf numFmtId="181" fontId="28" fillId="27" borderId="0" xfId="0" applyNumberFormat="1" applyFont="1" applyFill="1" applyBorder="1" applyAlignment="1" applyProtection="1">
      <alignment horizontal="left" vertical="center"/>
      <protection hidden="1"/>
    </xf>
    <xf numFmtId="181" fontId="28" fillId="27" borderId="17"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vertical="center"/>
    </xf>
    <xf numFmtId="181" fontId="28" fillId="0" borderId="0" xfId="0" applyNumberFormat="1" applyFont="1" applyFill="1" applyBorder="1" applyAlignment="1" applyProtection="1">
      <alignment vertical="center"/>
    </xf>
    <xf numFmtId="181" fontId="37" fillId="0" borderId="0" xfId="0" applyNumberFormat="1" applyFont="1" applyFill="1" applyBorder="1" applyAlignment="1" applyProtection="1">
      <alignment horizontal="left" vertical="top"/>
    </xf>
    <xf numFmtId="0" fontId="28" fillId="27" borderId="52" xfId="0" applyFont="1" applyFill="1" applyBorder="1">
      <alignment vertical="center"/>
    </xf>
    <xf numFmtId="0" fontId="28" fillId="27" borderId="51" xfId="0" applyFont="1" applyFill="1" applyBorder="1" applyAlignment="1">
      <alignment horizontal="center" vertical="center"/>
    </xf>
    <xf numFmtId="0" fontId="28" fillId="27" borderId="51" xfId="0" applyFont="1" applyFill="1" applyBorder="1">
      <alignment vertical="center"/>
    </xf>
    <xf numFmtId="0" fontId="28" fillId="27" borderId="10" xfId="0" applyFont="1" applyFill="1" applyBorder="1" applyAlignment="1">
      <alignment horizontal="center" vertical="center"/>
    </xf>
    <xf numFmtId="38" fontId="28" fillId="27" borderId="51" xfId="35" applyFont="1" applyFill="1" applyBorder="1">
      <alignment vertical="center"/>
    </xf>
    <xf numFmtId="0" fontId="28" fillId="27" borderId="54" xfId="0" applyFont="1" applyFill="1" applyBorder="1">
      <alignment vertical="center"/>
    </xf>
    <xf numFmtId="0" fontId="28" fillId="27" borderId="15" xfId="0" applyFont="1" applyFill="1" applyBorder="1">
      <alignment vertical="center"/>
    </xf>
    <xf numFmtId="38" fontId="28" fillId="27" borderId="15" xfId="35" applyFont="1" applyFill="1" applyBorder="1">
      <alignment vertical="center"/>
    </xf>
    <xf numFmtId="0" fontId="28" fillId="27" borderId="17" xfId="0" applyFont="1" applyFill="1" applyBorder="1">
      <alignment vertical="center"/>
    </xf>
    <xf numFmtId="0" fontId="28" fillId="27" borderId="56" xfId="0" applyFont="1" applyFill="1" applyBorder="1">
      <alignment vertical="center"/>
    </xf>
    <xf numFmtId="0" fontId="28" fillId="27" borderId="55" xfId="0" applyFont="1" applyFill="1" applyBorder="1">
      <alignment vertical="center"/>
    </xf>
    <xf numFmtId="38" fontId="28" fillId="27" borderId="55" xfId="35" applyFont="1" applyFill="1" applyBorder="1">
      <alignment vertical="center"/>
    </xf>
    <xf numFmtId="0" fontId="28" fillId="27" borderId="58" xfId="0" applyFont="1" applyFill="1" applyBorder="1">
      <alignment vertical="center"/>
    </xf>
    <xf numFmtId="0" fontId="33" fillId="0" borderId="57" xfId="0" applyFont="1" applyFill="1" applyBorder="1" applyAlignment="1" applyProtection="1">
      <alignment horizontal="right" vertical="center"/>
    </xf>
    <xf numFmtId="0" fontId="48" fillId="0" borderId="0" xfId="0" applyFont="1" applyFill="1" applyAlignment="1" applyProtection="1">
      <alignment horizontal="right" vertical="center"/>
    </xf>
    <xf numFmtId="176" fontId="28" fillId="27" borderId="12" xfId="0" applyNumberFormat="1" applyFont="1" applyFill="1" applyBorder="1" applyAlignment="1" applyProtection="1">
      <alignment horizontal="left" vertical="center"/>
      <protection hidden="1"/>
    </xf>
    <xf numFmtId="176" fontId="28" fillId="27" borderId="169"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8" fillId="0" borderId="0" xfId="0" applyFont="1" applyFill="1" applyBorder="1" applyAlignment="1" applyProtection="1">
      <alignment vertical="center"/>
    </xf>
    <xf numFmtId="0" fontId="28" fillId="0" borderId="0" xfId="0" applyFont="1" applyAlignment="1" applyProtection="1">
      <protection hidden="1"/>
    </xf>
    <xf numFmtId="0" fontId="28" fillId="31" borderId="10" xfId="0" applyFont="1" applyFill="1" applyBorder="1" applyAlignment="1" applyProtection="1">
      <alignment horizontal="center" vertical="center"/>
    </xf>
    <xf numFmtId="0" fontId="33" fillId="31" borderId="26"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3" fillId="31" borderId="10" xfId="44" applyFont="1" applyFill="1" applyBorder="1" applyAlignment="1" applyProtection="1">
      <alignment horizontal="center" vertical="center"/>
      <protection hidden="1"/>
    </xf>
    <xf numFmtId="0" fontId="26" fillId="0" borderId="0" xfId="0" applyFont="1" applyFill="1" applyAlignment="1" applyProtection="1">
      <alignment horizontal="right" vertical="center"/>
    </xf>
    <xf numFmtId="0" fontId="28" fillId="31" borderId="10" xfId="0" applyFont="1" applyFill="1" applyBorder="1" applyProtection="1">
      <alignment vertical="center"/>
    </xf>
    <xf numFmtId="178" fontId="28" fillId="27" borderId="10" xfId="0" applyNumberFormat="1" applyFont="1" applyFill="1" applyBorder="1" applyProtection="1">
      <alignment vertical="center"/>
    </xf>
    <xf numFmtId="178" fontId="28" fillId="27" borderId="26" xfId="0" applyNumberFormat="1" applyFont="1" applyFill="1" applyBorder="1" applyProtection="1">
      <alignment vertical="center"/>
    </xf>
    <xf numFmtId="9" fontId="28"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6" fillId="27" borderId="10" xfId="28"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Alignment="1">
      <alignment horizontal="left" vertical="center"/>
    </xf>
    <xf numFmtId="0" fontId="67" fillId="0" borderId="53" xfId="0" applyFont="1" applyBorder="1" applyAlignment="1" applyProtection="1">
      <alignment vertical="top" wrapText="1"/>
    </xf>
    <xf numFmtId="0" fontId="67" fillId="0" borderId="0" xfId="0" applyFont="1" applyBorder="1" applyAlignment="1" applyProtection="1">
      <alignment vertical="top" wrapText="1"/>
    </xf>
    <xf numFmtId="176" fontId="28" fillId="0" borderId="0" xfId="0"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protection hidden="1"/>
    </xf>
    <xf numFmtId="176" fontId="37" fillId="0" borderId="0" xfId="0" applyNumberFormat="1" applyFont="1" applyFill="1" applyBorder="1" applyAlignment="1" applyProtection="1">
      <alignment horizontal="left" vertical="top"/>
      <protection hidden="1"/>
    </xf>
    <xf numFmtId="0" fontId="6" fillId="43" borderId="0" xfId="0" applyFont="1" applyFill="1">
      <alignment vertical="center"/>
    </xf>
    <xf numFmtId="0" fontId="27" fillId="0" borderId="0" xfId="0" applyFont="1" applyFill="1" applyAlignment="1" applyProtection="1">
      <alignment vertical="center"/>
      <protection hidden="1"/>
    </xf>
    <xf numFmtId="0" fontId="28" fillId="27" borderId="171" xfId="0" applyFont="1" applyFill="1" applyBorder="1" applyAlignment="1" applyProtection="1">
      <alignment horizontal="left" vertical="top" wrapText="1"/>
      <protection hidden="1"/>
    </xf>
    <xf numFmtId="181" fontId="26" fillId="27" borderId="51" xfId="0" applyNumberFormat="1" applyFont="1" applyFill="1" applyBorder="1" applyAlignment="1" applyProtection="1">
      <alignment horizontal="center" vertical="center"/>
      <protection hidden="1"/>
    </xf>
    <xf numFmtId="0" fontId="45" fillId="27" borderId="55" xfId="0" applyFont="1" applyFill="1" applyBorder="1" applyAlignment="1" applyProtection="1">
      <alignment vertical="center"/>
      <protection hidden="1"/>
    </xf>
    <xf numFmtId="0" fontId="28" fillId="27" borderId="175" xfId="0" applyFont="1" applyFill="1" applyBorder="1" applyAlignment="1" applyProtection="1">
      <alignment horizontal="center" vertical="center"/>
      <protection hidden="1"/>
    </xf>
    <xf numFmtId="0" fontId="28" fillId="27" borderId="197" xfId="0" applyFont="1" applyFill="1" applyBorder="1" applyAlignment="1" applyProtection="1">
      <alignment horizontal="center" vertical="center"/>
      <protection hidden="1"/>
    </xf>
    <xf numFmtId="0" fontId="28" fillId="27" borderId="196" xfId="0" applyFont="1" applyFill="1" applyBorder="1" applyAlignment="1" applyProtection="1">
      <alignment horizontal="center" vertical="center"/>
      <protection hidden="1"/>
    </xf>
    <xf numFmtId="0" fontId="28" fillId="27" borderId="164" xfId="0" applyFont="1" applyFill="1" applyBorder="1" applyAlignment="1" applyProtection="1">
      <alignment horizontal="center" vertical="center" wrapText="1"/>
      <protection hidden="1"/>
    </xf>
    <xf numFmtId="0" fontId="28" fillId="27" borderId="198" xfId="0" applyFont="1" applyFill="1" applyBorder="1" applyAlignment="1" applyProtection="1">
      <alignment horizontal="center" vertical="center" wrapText="1"/>
      <protection hidden="1"/>
    </xf>
    <xf numFmtId="0" fontId="28" fillId="27" borderId="166" xfId="0" applyFont="1" applyFill="1" applyBorder="1" applyAlignment="1" applyProtection="1">
      <alignment horizontal="center" vertical="center" wrapText="1"/>
      <protection hidden="1"/>
    </xf>
    <xf numFmtId="0" fontId="28" fillId="27" borderId="12" xfId="0" applyFont="1" applyFill="1" applyBorder="1" applyAlignment="1" applyProtection="1">
      <alignment horizontal="center" vertical="center"/>
      <protection hidden="1"/>
    </xf>
    <xf numFmtId="0" fontId="28" fillId="27" borderId="14" xfId="0" applyFont="1" applyFill="1" applyBorder="1" applyAlignment="1" applyProtection="1">
      <alignment horizontal="center" vertical="center"/>
      <protection hidden="1"/>
    </xf>
    <xf numFmtId="0" fontId="28" fillId="27" borderId="169" xfId="0" applyFont="1" applyFill="1" applyBorder="1" applyAlignment="1" applyProtection="1">
      <alignment horizontal="center" vertical="center"/>
      <protection hidden="1"/>
    </xf>
    <xf numFmtId="0" fontId="28" fillId="27" borderId="199" xfId="0" applyFont="1" applyFill="1" applyBorder="1" applyAlignment="1" applyProtection="1">
      <alignment horizontal="center" vertical="center"/>
      <protection hidden="1"/>
    </xf>
    <xf numFmtId="0" fontId="28" fillId="27" borderId="170" xfId="0" applyFont="1" applyFill="1" applyBorder="1" applyAlignment="1" applyProtection="1">
      <alignment horizontal="center" vertical="center"/>
      <protection hidden="1"/>
    </xf>
    <xf numFmtId="0" fontId="45" fillId="27" borderId="51" xfId="0" applyFont="1" applyFill="1" applyBorder="1" applyAlignment="1" applyProtection="1">
      <alignment vertical="center"/>
      <protection hidden="1"/>
    </xf>
    <xf numFmtId="0" fontId="28" fillId="27" borderId="166" xfId="0" applyFont="1" applyFill="1" applyBorder="1" applyAlignment="1" applyProtection="1">
      <alignment horizontal="center" vertical="center"/>
      <protection hidden="1"/>
    </xf>
    <xf numFmtId="0" fontId="28" fillId="0" borderId="53" xfId="0" applyFont="1" applyBorder="1" applyAlignment="1">
      <alignment vertical="center" wrapText="1"/>
    </xf>
    <xf numFmtId="0" fontId="28" fillId="0" borderId="0" xfId="0" applyFont="1" applyBorder="1" applyAlignment="1">
      <alignment horizontal="left" vertical="center" wrapText="1"/>
    </xf>
    <xf numFmtId="202" fontId="28" fillId="0" borderId="0" xfId="35" applyNumberFormat="1" applyFont="1" applyFill="1" applyBorder="1" applyAlignment="1" applyProtection="1">
      <alignment horizontal="center" vertical="center"/>
      <protection hidden="1"/>
    </xf>
    <xf numFmtId="0" fontId="28" fillId="0" borderId="0" xfId="0" applyFont="1" applyBorder="1" applyAlignment="1">
      <alignment horizontal="left" vertical="top" wrapText="1"/>
    </xf>
    <xf numFmtId="176" fontId="28" fillId="27" borderId="13" xfId="0" applyNumberFormat="1" applyFont="1" applyFill="1" applyBorder="1" applyAlignment="1" applyProtection="1">
      <alignment horizontal="left" vertical="center"/>
      <protection hidden="1"/>
    </xf>
    <xf numFmtId="176" fontId="28" fillId="27" borderId="171" xfId="0" applyNumberFormat="1" applyFont="1" applyFill="1" applyBorder="1" applyAlignment="1" applyProtection="1">
      <alignment horizontal="left" vertical="center"/>
      <protection hidden="1"/>
    </xf>
    <xf numFmtId="0" fontId="45" fillId="0" borderId="0" xfId="44" applyFont="1" applyBorder="1" applyAlignment="1"/>
    <xf numFmtId="0" fontId="23" fillId="0" borderId="0" xfId="44" applyFont="1" applyFill="1" applyBorder="1" applyAlignment="1">
      <alignment vertical="center"/>
    </xf>
    <xf numFmtId="0" fontId="126" fillId="0" borderId="0" xfId="44" applyFont="1" applyFill="1" applyBorder="1" applyAlignment="1">
      <alignment vertical="center"/>
    </xf>
    <xf numFmtId="0" fontId="33" fillId="0" borderId="0" xfId="44" applyFont="1" applyBorder="1" applyAlignment="1"/>
    <xf numFmtId="0" fontId="33" fillId="41" borderId="26" xfId="44" applyFont="1" applyFill="1" applyBorder="1" applyAlignment="1">
      <alignment horizontal="left"/>
    </xf>
    <xf numFmtId="0" fontId="33" fillId="41" borderId="50" xfId="44" applyFont="1" applyFill="1" applyBorder="1" applyAlignment="1">
      <alignment horizontal="center"/>
    </xf>
    <xf numFmtId="0" fontId="33" fillId="41" borderId="50" xfId="44" applyFont="1" applyFill="1" applyBorder="1" applyAlignment="1">
      <alignment horizontal="left"/>
    </xf>
    <xf numFmtId="0" fontId="33" fillId="41" borderId="27" xfId="44" applyFont="1" applyFill="1" applyBorder="1" applyAlignment="1"/>
    <xf numFmtId="0" fontId="33" fillId="0" borderId="0" xfId="44" applyFont="1" applyBorder="1" applyAlignment="1">
      <alignment horizontal="left"/>
    </xf>
    <xf numFmtId="0" fontId="33" fillId="0" borderId="0" xfId="44" applyFont="1" applyFill="1" applyBorder="1" applyAlignment="1">
      <alignment vertical="center"/>
    </xf>
    <xf numFmtId="0" fontId="33" fillId="41" borderId="26" xfId="44" applyFont="1" applyFill="1" applyBorder="1" applyAlignment="1" applyProtection="1">
      <alignment horizontal="left" vertical="center"/>
      <protection hidden="1"/>
    </xf>
    <xf numFmtId="0" fontId="33" fillId="41" borderId="27" xfId="44" applyFont="1" applyFill="1" applyBorder="1" applyAlignment="1">
      <alignment horizontal="left"/>
    </xf>
    <xf numFmtId="0" fontId="33" fillId="27" borderId="26" xfId="44" applyFont="1" applyFill="1" applyBorder="1" applyAlignment="1"/>
    <xf numFmtId="0" fontId="33" fillId="27" borderId="50" xfId="44" applyFont="1" applyFill="1" applyBorder="1" applyAlignment="1">
      <alignment horizontal="left"/>
    </xf>
    <xf numFmtId="0" fontId="33" fillId="27" borderId="50" xfId="44" applyFont="1" applyFill="1" applyBorder="1" applyAlignment="1"/>
    <xf numFmtId="0" fontId="33" fillId="27" borderId="27" xfId="44" applyFont="1" applyFill="1" applyBorder="1" applyAlignment="1"/>
    <xf numFmtId="0" fontId="33" fillId="31" borderId="10" xfId="44" applyFont="1" applyFill="1" applyBorder="1" applyAlignment="1">
      <alignment horizontal="center"/>
    </xf>
    <xf numFmtId="0" fontId="33" fillId="41" borderId="10" xfId="44" applyFont="1" applyFill="1" applyBorder="1" applyAlignment="1">
      <alignment horizontal="center"/>
    </xf>
    <xf numFmtId="0" fontId="33" fillId="31" borderId="0" xfId="44" applyFont="1" applyFill="1" applyBorder="1" applyAlignment="1">
      <alignment horizontal="left"/>
    </xf>
    <xf numFmtId="0" fontId="33" fillId="31" borderId="0" xfId="44" applyFont="1" applyFill="1" applyBorder="1" applyAlignment="1">
      <alignment vertical="center"/>
    </xf>
    <xf numFmtId="0" fontId="33" fillId="31" borderId="26" xfId="44" applyFont="1" applyFill="1" applyBorder="1" applyAlignment="1">
      <alignment horizontal="center"/>
    </xf>
    <xf numFmtId="0" fontId="33" fillId="27" borderId="52" xfId="44" applyFont="1" applyFill="1" applyBorder="1" applyAlignment="1"/>
    <xf numFmtId="0" fontId="33" fillId="27" borderId="53" xfId="44" applyFont="1" applyFill="1" applyBorder="1" applyAlignment="1">
      <alignment horizontal="left"/>
    </xf>
    <xf numFmtId="178" fontId="161" fillId="0" borderId="10" xfId="44" applyNumberFormat="1" applyFont="1" applyFill="1" applyBorder="1" applyAlignment="1"/>
    <xf numFmtId="0" fontId="33" fillId="27" borderId="64" xfId="44" applyFont="1" applyFill="1" applyBorder="1" applyAlignment="1"/>
    <xf numFmtId="9" fontId="33" fillId="27" borderId="27" xfId="44" applyNumberFormat="1" applyFont="1" applyFill="1" applyBorder="1" applyAlignment="1"/>
    <xf numFmtId="178" fontId="33" fillId="0" borderId="10" xfId="44" applyNumberFormat="1" applyFont="1" applyFill="1" applyBorder="1" applyAlignment="1"/>
    <xf numFmtId="0" fontId="33" fillId="31" borderId="52" xfId="44" applyFont="1" applyFill="1" applyBorder="1" applyAlignment="1">
      <alignment horizontal="center"/>
    </xf>
    <xf numFmtId="0" fontId="33" fillId="31" borderId="64" xfId="44" applyFont="1" applyFill="1" applyBorder="1" applyAlignment="1"/>
    <xf numFmtId="0" fontId="33" fillId="31" borderId="17" xfId="44" applyFont="1" applyFill="1" applyBorder="1" applyAlignment="1">
      <alignment horizontal="left"/>
    </xf>
    <xf numFmtId="0" fontId="33" fillId="31" borderId="26" xfId="0" applyFont="1" applyFill="1" applyBorder="1">
      <alignment vertical="center"/>
    </xf>
    <xf numFmtId="9" fontId="33" fillId="31" borderId="27" xfId="44" applyNumberFormat="1" applyFont="1" applyFill="1" applyBorder="1" applyAlignment="1"/>
    <xf numFmtId="0" fontId="33" fillId="31" borderId="15" xfId="44" applyFont="1" applyFill="1" applyBorder="1" applyAlignment="1">
      <alignment horizontal="center"/>
    </xf>
    <xf numFmtId="0" fontId="33" fillId="31" borderId="55" xfId="44" applyFont="1" applyFill="1" applyBorder="1" applyAlignment="1">
      <alignment horizontal="center"/>
    </xf>
    <xf numFmtId="0" fontId="33" fillId="31" borderId="56" xfId="44" applyFont="1" applyFill="1" applyBorder="1" applyAlignment="1"/>
    <xf numFmtId="0" fontId="33" fillId="31" borderId="57" xfId="44" applyFont="1" applyFill="1" applyBorder="1" applyAlignment="1">
      <alignment horizontal="left"/>
    </xf>
    <xf numFmtId="0" fontId="33" fillId="31" borderId="0" xfId="44" applyFont="1" applyFill="1" applyBorder="1" applyAlignment="1">
      <alignment horizontal="center"/>
    </xf>
    <xf numFmtId="0" fontId="33" fillId="0" borderId="53" xfId="44" applyFont="1" applyBorder="1" applyAlignment="1"/>
    <xf numFmtId="0" fontId="33" fillId="27" borderId="10" xfId="44" applyFont="1" applyFill="1" applyBorder="1" applyAlignment="1">
      <alignment horizontal="center"/>
    </xf>
    <xf numFmtId="0" fontId="33" fillId="27" borderId="53" xfId="44" applyFont="1" applyFill="1" applyBorder="1" applyAlignment="1"/>
    <xf numFmtId="192" fontId="33" fillId="27" borderId="54" xfId="44" applyNumberFormat="1" applyFont="1" applyFill="1" applyBorder="1" applyAlignment="1">
      <alignment horizontal="left"/>
    </xf>
    <xf numFmtId="0" fontId="33" fillId="27" borderId="0" xfId="44" applyFont="1" applyFill="1" applyBorder="1" applyAlignment="1">
      <alignment horizontal="center"/>
    </xf>
    <xf numFmtId="40" fontId="33" fillId="0" borderId="10" xfId="35" applyNumberFormat="1" applyFont="1" applyFill="1" applyBorder="1" applyAlignment="1"/>
    <xf numFmtId="9" fontId="33" fillId="31" borderId="50" xfId="0" applyNumberFormat="1" applyFont="1" applyFill="1" applyBorder="1">
      <alignment vertical="center"/>
    </xf>
    <xf numFmtId="9" fontId="33" fillId="31" borderId="15" xfId="44" applyNumberFormat="1" applyFont="1" applyFill="1" applyBorder="1" applyAlignment="1">
      <alignment horizontal="center"/>
    </xf>
    <xf numFmtId="0" fontId="33" fillId="27" borderId="56" xfId="44" applyFont="1" applyFill="1" applyBorder="1" applyAlignment="1"/>
    <xf numFmtId="40" fontId="33" fillId="0" borderId="51" xfId="35" applyNumberFormat="1" applyFont="1" applyFill="1" applyBorder="1" applyAlignment="1"/>
    <xf numFmtId="0" fontId="33" fillId="27" borderId="50" xfId="44" applyFont="1" applyFill="1" applyBorder="1" applyAlignment="1">
      <alignment horizontal="center"/>
    </xf>
    <xf numFmtId="9" fontId="33" fillId="31" borderId="53" xfId="0" applyNumberFormat="1" applyFont="1" applyFill="1" applyBorder="1">
      <alignment vertical="center"/>
    </xf>
    <xf numFmtId="40" fontId="33" fillId="25" borderId="51" xfId="35" applyNumberFormat="1" applyFont="1" applyFill="1" applyBorder="1" applyAlignment="1"/>
    <xf numFmtId="0" fontId="33" fillId="0" borderId="53" xfId="44" applyFont="1" applyBorder="1" applyAlignment="1">
      <alignment horizontal="left"/>
    </xf>
    <xf numFmtId="0" fontId="33" fillId="0" borderId="52" xfId="44" applyFont="1" applyBorder="1" applyAlignment="1"/>
    <xf numFmtId="0" fontId="33" fillId="0" borderId="54" xfId="44" applyFont="1" applyBorder="1" applyAlignment="1"/>
    <xf numFmtId="0" fontId="28" fillId="0" borderId="0" xfId="44" applyFont="1" applyBorder="1" applyAlignment="1"/>
    <xf numFmtId="0" fontId="33" fillId="0" borderId="17" xfId="44" applyFont="1" applyBorder="1" applyAlignment="1"/>
    <xf numFmtId="0" fontId="33" fillId="0" borderId="64" xfId="44" applyFont="1" applyBorder="1" applyAlignment="1"/>
    <xf numFmtId="0" fontId="28" fillId="0" borderId="56" xfId="44" applyFont="1" applyBorder="1" applyAlignment="1"/>
    <xf numFmtId="0" fontId="33" fillId="0" borderId="57" xfId="44" applyFont="1" applyBorder="1" applyAlignment="1"/>
    <xf numFmtId="0" fontId="33" fillId="0" borderId="58" xfId="44" applyFont="1" applyBorder="1" applyAlignment="1"/>
    <xf numFmtId="213" fontId="33" fillId="0" borderId="0" xfId="44" applyNumberFormat="1" applyFont="1" applyBorder="1" applyAlignment="1"/>
    <xf numFmtId="0" fontId="33" fillId="0" borderId="10" xfId="44" applyFont="1" applyBorder="1" applyAlignment="1"/>
    <xf numFmtId="192" fontId="33" fillId="27" borderId="27" xfId="44" applyNumberFormat="1" applyFont="1" applyFill="1" applyBorder="1" applyAlignment="1">
      <alignment horizontal="left"/>
    </xf>
    <xf numFmtId="9" fontId="33" fillId="0" borderId="10" xfId="28" applyFont="1" applyFill="1" applyBorder="1" applyAlignment="1"/>
    <xf numFmtId="0" fontId="33" fillId="0" borderId="10" xfId="44" applyFont="1" applyFill="1" applyBorder="1" applyAlignment="1"/>
    <xf numFmtId="0" fontId="23" fillId="0" borderId="0" xfId="44" applyFont="1" applyBorder="1" applyAlignment="1"/>
    <xf numFmtId="0" fontId="33" fillId="0" borderId="0" xfId="44" applyFont="1" applyFill="1" applyBorder="1" applyAlignment="1" applyProtection="1">
      <alignment horizontal="left" vertical="center"/>
      <protection hidden="1"/>
    </xf>
    <xf numFmtId="0" fontId="33" fillId="0" borderId="0" xfId="44" applyFont="1" applyFill="1" applyBorder="1" applyAlignment="1">
      <alignment horizontal="left"/>
    </xf>
    <xf numFmtId="38" fontId="33" fillId="0" borderId="10" xfId="35" applyFont="1" applyBorder="1" applyAlignment="1"/>
    <xf numFmtId="38" fontId="33" fillId="0" borderId="0" xfId="35" applyFont="1" applyBorder="1" applyAlignment="1"/>
    <xf numFmtId="0" fontId="33" fillId="27" borderId="10" xfId="0" applyFont="1" applyFill="1" applyBorder="1" applyAlignment="1">
      <alignment vertical="center"/>
    </xf>
    <xf numFmtId="191" fontId="33" fillId="0" borderId="10" xfId="44" applyNumberFormat="1" applyFont="1" applyFill="1" applyBorder="1" applyAlignment="1"/>
    <xf numFmtId="0" fontId="33" fillId="0" borderId="0" xfId="44" applyFont="1" applyFill="1" applyBorder="1" applyAlignment="1"/>
    <xf numFmtId="0" fontId="45" fillId="0" borderId="57" xfId="0" applyFont="1" applyBorder="1">
      <alignment vertical="center"/>
    </xf>
    <xf numFmtId="0" fontId="0" fillId="0" borderId="57" xfId="0" applyBorder="1">
      <alignment vertical="center"/>
    </xf>
    <xf numFmtId="0" fontId="26" fillId="0" borderId="0" xfId="0" applyFont="1" applyAlignment="1">
      <alignment horizontal="right" vertical="center"/>
    </xf>
    <xf numFmtId="0" fontId="33" fillId="27" borderId="10"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51" xfId="0" applyFont="1" applyFill="1" applyBorder="1" applyAlignment="1">
      <alignment horizontal="center" vertical="center" wrapText="1"/>
    </xf>
    <xf numFmtId="193" fontId="33" fillId="27" borderId="10" xfId="0" applyNumberFormat="1"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27" xfId="0" applyFont="1" applyFill="1" applyBorder="1" applyAlignment="1">
      <alignment horizontal="center" vertical="center" wrapText="1"/>
    </xf>
    <xf numFmtId="211" fontId="33" fillId="27" borderId="10" xfId="0" applyNumberFormat="1" applyFont="1" applyFill="1" applyBorder="1" applyAlignment="1">
      <alignment horizontal="center" vertical="center"/>
    </xf>
    <xf numFmtId="0" fontId="33" fillId="27" borderId="10" xfId="0" applyFont="1" applyFill="1" applyBorder="1" applyAlignment="1">
      <alignment vertical="center" wrapText="1"/>
    </xf>
    <xf numFmtId="0" fontId="33" fillId="27" borderId="15" xfId="0" applyFont="1" applyFill="1" applyBorder="1" applyAlignment="1">
      <alignment horizontal="center" vertical="center" wrapText="1"/>
    </xf>
    <xf numFmtId="179" fontId="33" fillId="27" borderId="10" xfId="0" applyNumberFormat="1" applyFont="1" applyFill="1" applyBorder="1" applyAlignment="1">
      <alignment horizontal="center" vertical="center"/>
    </xf>
    <xf numFmtId="0" fontId="33" fillId="27" borderId="10" xfId="0" applyFont="1" applyFill="1" applyBorder="1" applyAlignment="1" applyProtection="1">
      <alignment vertical="center" wrapText="1"/>
    </xf>
    <xf numFmtId="0" fontId="33" fillId="27" borderId="10" xfId="0" applyFont="1" applyFill="1" applyBorder="1" applyAlignment="1">
      <alignment horizontal="left" vertical="center" wrapText="1"/>
    </xf>
    <xf numFmtId="0" fontId="33" fillId="27" borderId="10" xfId="0" applyFont="1" applyFill="1" applyBorder="1" applyAlignment="1">
      <alignment horizontal="left" vertical="center" wrapText="1" shrinkToFit="1"/>
    </xf>
    <xf numFmtId="0" fontId="33" fillId="27" borderId="10" xfId="0" applyFont="1" applyFill="1" applyBorder="1" applyAlignment="1">
      <alignment horizontal="center" vertical="center" wrapText="1" shrinkToFit="1"/>
    </xf>
    <xf numFmtId="0" fontId="33" fillId="27" borderId="51" xfId="0" applyFont="1" applyFill="1" applyBorder="1" applyAlignment="1">
      <alignment horizontal="left" vertical="center" wrapText="1"/>
    </xf>
    <xf numFmtId="0" fontId="33" fillId="27" borderId="51" xfId="0" applyFont="1" applyFill="1" applyBorder="1" applyAlignment="1">
      <alignment horizontal="center" vertical="center" wrapText="1" shrinkToFit="1"/>
    </xf>
    <xf numFmtId="0" fontId="33" fillId="27" borderId="51" xfId="0" applyFont="1" applyFill="1" applyBorder="1" applyAlignment="1">
      <alignment vertical="center" wrapText="1"/>
    </xf>
    <xf numFmtId="0" fontId="33" fillId="27" borderId="64"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wrapText="1"/>
    </xf>
    <xf numFmtId="0" fontId="33" fillId="27" borderId="50" xfId="0" applyFont="1" applyFill="1" applyBorder="1" applyAlignment="1">
      <alignment horizontal="left" vertical="center" wrapText="1" shrinkToFit="1"/>
    </xf>
    <xf numFmtId="0" fontId="33" fillId="27" borderId="27" xfId="0" applyFont="1" applyFill="1" applyBorder="1" applyAlignment="1">
      <alignment vertical="center" wrapText="1"/>
    </xf>
    <xf numFmtId="0" fontId="33" fillId="27" borderId="167" xfId="0" applyFont="1" applyFill="1" applyBorder="1" applyAlignment="1">
      <alignment horizontal="center" vertical="center" wrapText="1"/>
    </xf>
    <xf numFmtId="40" fontId="33" fillId="27" borderId="167" xfId="0" applyNumberFormat="1" applyFont="1" applyFill="1" applyBorder="1" applyAlignment="1">
      <alignment horizontal="center" vertical="center" wrapText="1"/>
    </xf>
    <xf numFmtId="178" fontId="33" fillId="27" borderId="167" xfId="0" applyNumberFormat="1" applyFont="1" applyFill="1" applyBorder="1" applyAlignment="1">
      <alignment horizontal="center" vertical="center" wrapText="1" shrinkToFit="1"/>
    </xf>
    <xf numFmtId="0" fontId="33" fillId="27" borderId="16" xfId="0" applyFont="1" applyFill="1" applyBorder="1" applyAlignment="1" applyProtection="1">
      <alignment vertical="center" wrapText="1"/>
    </xf>
    <xf numFmtId="0" fontId="33" fillId="27" borderId="11" xfId="0" applyFont="1" applyFill="1" applyBorder="1" applyAlignment="1">
      <alignment horizontal="center" vertical="center" wrapText="1"/>
    </xf>
    <xf numFmtId="40" fontId="33" fillId="27" borderId="11" xfId="0" applyNumberFormat="1" applyFont="1" applyFill="1" applyBorder="1" applyAlignment="1">
      <alignment horizontal="center" vertical="center" wrapText="1"/>
    </xf>
    <xf numFmtId="178" fontId="33" fillId="27" borderId="11" xfId="0" applyNumberFormat="1" applyFont="1" applyFill="1" applyBorder="1" applyAlignment="1">
      <alignment horizontal="center" vertical="center" wrapText="1" shrinkToFit="1"/>
    </xf>
    <xf numFmtId="0" fontId="33" fillId="27" borderId="167" xfId="0" applyFont="1" applyFill="1" applyBorder="1" applyAlignment="1" applyProtection="1">
      <alignment vertical="center" wrapText="1"/>
    </xf>
    <xf numFmtId="0" fontId="33" fillId="27" borderId="11" xfId="0" applyFont="1" applyFill="1" applyBorder="1" applyAlignment="1" applyProtection="1">
      <alignment vertical="center" wrapText="1"/>
    </xf>
    <xf numFmtId="0" fontId="33" fillId="27" borderId="177" xfId="0" applyFont="1" applyFill="1" applyBorder="1" applyAlignment="1">
      <alignment horizontal="center" vertical="center" wrapText="1"/>
    </xf>
    <xf numFmtId="0" fontId="33" fillId="27" borderId="177" xfId="0" applyFont="1" applyFill="1" applyBorder="1" applyAlignment="1">
      <alignment horizontal="center" vertical="center" wrapText="1" shrinkToFit="1"/>
    </xf>
    <xf numFmtId="0" fontId="33" fillId="27" borderId="177" xfId="0" applyFont="1" applyFill="1" applyBorder="1" applyAlignment="1" applyProtection="1">
      <alignment vertical="center" wrapText="1"/>
    </xf>
    <xf numFmtId="0" fontId="33" fillId="27" borderId="27" xfId="0" applyFont="1" applyFill="1" applyBorder="1" applyAlignment="1" applyProtection="1">
      <alignment vertical="center" wrapText="1"/>
    </xf>
    <xf numFmtId="0" fontId="33" fillId="27" borderId="53" xfId="0" applyFont="1" applyFill="1" applyBorder="1" applyAlignment="1">
      <alignment horizontal="left" vertical="center" wrapText="1" shrinkToFit="1"/>
    </xf>
    <xf numFmtId="0" fontId="33" fillId="27" borderId="54" xfId="0" applyFont="1" applyFill="1" applyBorder="1" applyAlignment="1">
      <alignment vertical="center"/>
    </xf>
    <xf numFmtId="9" fontId="33" fillId="27" borderId="175" xfId="0" applyNumberFormat="1" applyFont="1" applyFill="1" applyBorder="1" applyAlignment="1">
      <alignment horizontal="center" vertical="center" wrapText="1"/>
    </xf>
    <xf numFmtId="9" fontId="33" fillId="41" borderId="200" xfId="0" applyNumberFormat="1" applyFont="1" applyFill="1" applyBorder="1" applyAlignment="1" applyProtection="1">
      <alignment horizontal="center" vertical="center" wrapText="1"/>
      <protection locked="0"/>
    </xf>
    <xf numFmtId="0" fontId="33" fillId="41" borderId="201" xfId="0" applyFont="1" applyFill="1" applyBorder="1" applyAlignment="1" applyProtection="1">
      <alignment vertical="center"/>
      <protection locked="0"/>
    </xf>
    <xf numFmtId="9" fontId="33" fillId="41" borderId="116" xfId="0" applyNumberFormat="1" applyFont="1" applyFill="1" applyBorder="1" applyAlignment="1" applyProtection="1">
      <alignment horizontal="center" vertical="center" wrapText="1"/>
      <protection locked="0"/>
    </xf>
    <xf numFmtId="0" fontId="33" fillId="41" borderId="117" xfId="0" applyFont="1" applyFill="1" applyBorder="1" applyAlignment="1" applyProtection="1">
      <alignment vertical="center"/>
      <protection locked="0"/>
    </xf>
    <xf numFmtId="0" fontId="33" fillId="27" borderId="167" xfId="0" applyFont="1" applyFill="1" applyBorder="1" applyAlignment="1">
      <alignment vertical="center" wrapText="1"/>
    </xf>
    <xf numFmtId="0" fontId="33" fillId="27" borderId="168" xfId="0" applyFont="1" applyFill="1" applyBorder="1" applyAlignment="1">
      <alignment horizontal="center" vertical="center" wrapText="1"/>
    </xf>
    <xf numFmtId="9" fontId="33" fillId="27" borderId="169" xfId="0" applyNumberFormat="1" applyFont="1" applyFill="1" applyBorder="1" applyAlignment="1">
      <alignment horizontal="center" vertical="center" wrapText="1" shrinkToFit="1"/>
    </xf>
    <xf numFmtId="0" fontId="33" fillId="27" borderId="15" xfId="0" applyFont="1" applyFill="1" applyBorder="1" applyAlignment="1">
      <alignment vertical="center" wrapText="1"/>
    </xf>
    <xf numFmtId="0" fontId="33" fillId="27" borderId="54" xfId="0" applyFont="1" applyFill="1" applyBorder="1" applyAlignment="1">
      <alignment horizontal="center" vertical="center" wrapText="1"/>
    </xf>
    <xf numFmtId="179" fontId="33" fillId="27" borderId="51" xfId="0" applyNumberFormat="1" applyFont="1" applyFill="1" applyBorder="1" applyAlignment="1">
      <alignment horizontal="center" vertical="center"/>
    </xf>
    <xf numFmtId="179" fontId="33" fillId="27" borderId="15" xfId="0" applyNumberFormat="1" applyFont="1" applyFill="1" applyBorder="1" applyAlignment="1">
      <alignment horizontal="center" vertical="center"/>
    </xf>
    <xf numFmtId="0" fontId="33" fillId="27" borderId="26" xfId="0" applyFont="1" applyFill="1" applyBorder="1" applyAlignment="1">
      <alignment horizontal="center" vertical="center" wrapText="1"/>
    </xf>
    <xf numFmtId="0" fontId="33" fillId="27" borderId="50" xfId="0" applyFont="1" applyFill="1" applyBorder="1" applyAlignment="1">
      <alignment horizontal="center" vertical="center"/>
    </xf>
    <xf numFmtId="0" fontId="33" fillId="27" borderId="58" xfId="0" applyFont="1" applyFill="1" applyBorder="1" applyAlignment="1">
      <alignment horizontal="center" vertical="center" wrapText="1"/>
    </xf>
    <xf numFmtId="211" fontId="33" fillId="27" borderId="15" xfId="0" applyNumberFormat="1" applyFont="1" applyFill="1" applyBorder="1" applyAlignment="1">
      <alignment horizontal="center" vertical="center"/>
    </xf>
    <xf numFmtId="211" fontId="33" fillId="27" borderId="11" xfId="0" applyNumberFormat="1" applyFont="1" applyFill="1" applyBorder="1" applyAlignment="1">
      <alignment horizontal="center" vertical="center"/>
    </xf>
    <xf numFmtId="0" fontId="33" fillId="27" borderId="11" xfId="0" applyFont="1" applyFill="1" applyBorder="1" applyAlignment="1">
      <alignment vertical="center" wrapText="1"/>
    </xf>
    <xf numFmtId="9" fontId="33" fillId="27" borderId="15" xfId="0" applyNumberFormat="1" applyFont="1" applyFill="1" applyBorder="1" applyAlignment="1">
      <alignment horizontal="center" vertical="center"/>
    </xf>
    <xf numFmtId="0" fontId="33" fillId="27" borderId="15" xfId="0" applyFont="1" applyFill="1" applyBorder="1" applyAlignment="1">
      <alignment vertical="center"/>
    </xf>
    <xf numFmtId="9" fontId="33" fillId="27" borderId="11" xfId="0" applyNumberFormat="1" applyFont="1" applyFill="1" applyBorder="1" applyAlignment="1">
      <alignment horizontal="center" vertical="center"/>
    </xf>
    <xf numFmtId="0" fontId="33" fillId="27" borderId="11" xfId="0" applyFont="1" applyFill="1" applyBorder="1" applyAlignment="1">
      <alignment vertical="center"/>
    </xf>
    <xf numFmtId="9" fontId="33" fillId="27" borderId="55" xfId="0" applyNumberFormat="1" applyFont="1" applyFill="1" applyBorder="1" applyAlignment="1">
      <alignment horizontal="center" vertical="center"/>
    </xf>
    <xf numFmtId="0" fontId="33" fillId="27" borderId="55" xfId="0" applyFont="1" applyFill="1" applyBorder="1" applyAlignment="1">
      <alignment vertical="center"/>
    </xf>
    <xf numFmtId="0" fontId="33" fillId="27" borderId="55" xfId="0" applyFont="1" applyFill="1" applyBorder="1" applyAlignment="1">
      <alignment horizontal="center" vertical="center" wrapText="1"/>
    </xf>
    <xf numFmtId="0" fontId="33" fillId="27" borderId="50" xfId="0" applyFont="1" applyFill="1" applyBorder="1" applyAlignment="1">
      <alignment horizontal="center" vertical="center" wrapText="1"/>
    </xf>
    <xf numFmtId="0" fontId="33" fillId="27" borderId="27" xfId="0" applyFont="1" applyFill="1" applyBorder="1" applyAlignment="1">
      <alignment vertical="center"/>
    </xf>
    <xf numFmtId="179" fontId="33" fillId="27" borderId="167" xfId="0" quotePrefix="1" applyNumberFormat="1" applyFont="1" applyFill="1" applyBorder="1" applyAlignment="1">
      <alignment horizontal="center" vertical="center"/>
    </xf>
    <xf numFmtId="178" fontId="33" fillId="27" borderId="167" xfId="0" applyNumberFormat="1" applyFont="1" applyFill="1" applyBorder="1" applyAlignment="1">
      <alignment horizontal="center" vertical="center"/>
    </xf>
    <xf numFmtId="179" fontId="33" fillId="27" borderId="11" xfId="0" applyNumberFormat="1" applyFont="1" applyFill="1" applyBorder="1" applyAlignment="1">
      <alignment horizontal="center" vertical="center" wrapText="1"/>
    </xf>
    <xf numFmtId="179" fontId="33" fillId="27" borderId="11" xfId="0" applyNumberFormat="1" applyFont="1" applyFill="1" applyBorder="1" applyAlignment="1">
      <alignment horizontal="center" vertical="center"/>
    </xf>
    <xf numFmtId="0" fontId="33" fillId="27" borderId="11" xfId="0" applyFont="1" applyFill="1" applyBorder="1" applyAlignment="1" applyProtection="1">
      <alignment vertical="center" wrapText="1"/>
      <protection locked="0"/>
    </xf>
    <xf numFmtId="179" fontId="33" fillId="27" borderId="15" xfId="0" applyNumberFormat="1" applyFont="1" applyFill="1" applyBorder="1" applyAlignment="1">
      <alignment horizontal="right" vertical="center" wrapText="1"/>
    </xf>
    <xf numFmtId="179" fontId="33" fillId="27" borderId="167" xfId="0" applyNumberFormat="1" applyFont="1" applyFill="1" applyBorder="1" applyAlignment="1">
      <alignment horizontal="right" vertical="center" wrapText="1"/>
    </xf>
    <xf numFmtId="179" fontId="33" fillId="27" borderId="167" xfId="0" applyNumberFormat="1" applyFont="1" applyFill="1" applyBorder="1" applyAlignment="1">
      <alignment horizontal="center" vertical="center"/>
    </xf>
    <xf numFmtId="0" fontId="33" fillId="27" borderId="167" xfId="0" applyFont="1" applyFill="1" applyBorder="1" applyAlignment="1" applyProtection="1">
      <alignment vertical="center" wrapText="1"/>
      <protection locked="0"/>
    </xf>
    <xf numFmtId="179" fontId="33" fillId="27" borderId="55" xfId="0" applyNumberFormat="1" applyFont="1" applyFill="1" applyBorder="1" applyAlignment="1">
      <alignment horizontal="center" vertical="center"/>
    </xf>
    <xf numFmtId="179" fontId="33" fillId="27" borderId="55" xfId="0" quotePrefix="1" applyNumberFormat="1" applyFont="1" applyFill="1" applyBorder="1" applyAlignment="1">
      <alignment horizontal="center" vertical="center"/>
    </xf>
    <xf numFmtId="0" fontId="33" fillId="27" borderId="55" xfId="0" applyFont="1" applyFill="1" applyBorder="1" applyAlignment="1" applyProtection="1">
      <alignment vertical="center" wrapText="1"/>
    </xf>
    <xf numFmtId="0" fontId="33" fillId="27" borderId="16" xfId="0" applyFont="1" applyFill="1" applyBorder="1" applyAlignment="1">
      <alignment horizontal="center" vertical="center" wrapText="1"/>
    </xf>
    <xf numFmtId="179" fontId="33" fillId="27" borderId="15" xfId="0" quotePrefix="1" applyNumberFormat="1" applyFont="1" applyFill="1" applyBorder="1" applyAlignment="1">
      <alignment horizontal="center" vertical="center"/>
    </xf>
    <xf numFmtId="0" fontId="33" fillId="27" borderId="15" xfId="0" applyFont="1" applyFill="1" applyBorder="1" applyAlignment="1" applyProtection="1">
      <alignment vertical="center" wrapText="1"/>
    </xf>
    <xf numFmtId="0" fontId="33" fillId="27" borderId="11" xfId="0" applyFont="1" applyFill="1" applyBorder="1" applyAlignment="1">
      <alignment horizontal="left" vertical="center" wrapText="1"/>
    </xf>
    <xf numFmtId="179" fontId="33" fillId="27" borderId="11" xfId="0" quotePrefix="1" applyNumberFormat="1" applyFont="1" applyFill="1" applyBorder="1" applyAlignment="1">
      <alignment horizontal="center" vertical="center"/>
    </xf>
    <xf numFmtId="179" fontId="33" fillId="27" borderId="55" xfId="0" applyNumberFormat="1" applyFont="1" applyFill="1" applyBorder="1" applyAlignment="1">
      <alignment horizontal="left" vertical="center" wrapText="1"/>
    </xf>
    <xf numFmtId="38" fontId="33" fillId="27" borderId="51" xfId="35" applyFont="1" applyFill="1" applyBorder="1" applyAlignment="1">
      <alignment horizontal="center" vertical="center" wrapText="1"/>
    </xf>
    <xf numFmtId="0" fontId="33" fillId="27" borderId="51" xfId="0" applyFont="1" applyFill="1" applyBorder="1" applyAlignment="1">
      <alignment vertical="center"/>
    </xf>
    <xf numFmtId="0" fontId="33" fillId="27" borderId="26" xfId="0" applyFont="1" applyFill="1" applyBorder="1" applyAlignment="1">
      <alignment vertical="center"/>
    </xf>
    <xf numFmtId="0" fontId="33" fillId="27" borderId="196" xfId="0" applyFont="1" applyFill="1" applyBorder="1" applyAlignment="1">
      <alignment horizontal="center" vertical="center" shrinkToFit="1"/>
    </xf>
    <xf numFmtId="213" fontId="33" fillId="27" borderId="167" xfId="0" applyNumberFormat="1" applyFont="1" applyFill="1" applyBorder="1" applyAlignment="1">
      <alignment horizontal="center" vertical="center"/>
    </xf>
    <xf numFmtId="0" fontId="33" fillId="27" borderId="167" xfId="0" applyFont="1" applyFill="1" applyBorder="1" applyAlignment="1">
      <alignment horizontal="center" vertical="center"/>
    </xf>
    <xf numFmtId="0" fontId="33" fillId="27" borderId="14" xfId="0" applyFont="1" applyFill="1" applyBorder="1" applyAlignment="1">
      <alignment horizontal="center" vertical="center"/>
    </xf>
    <xf numFmtId="0" fontId="33" fillId="27" borderId="11" xfId="0" applyFont="1" applyFill="1" applyBorder="1" applyAlignment="1">
      <alignment horizontal="center" vertical="center"/>
    </xf>
    <xf numFmtId="0" fontId="33" fillId="27" borderId="170" xfId="0" applyFont="1" applyFill="1" applyBorder="1" applyAlignment="1">
      <alignment horizontal="center" vertical="center" wrapText="1"/>
    </xf>
    <xf numFmtId="0" fontId="33" fillId="27" borderId="168" xfId="0" applyFont="1" applyFill="1" applyBorder="1" applyAlignment="1">
      <alignment horizontal="center" vertical="center"/>
    </xf>
    <xf numFmtId="0" fontId="33" fillId="27" borderId="168" xfId="0" applyFont="1" applyFill="1" applyBorder="1" applyAlignment="1" applyProtection="1">
      <alignment vertical="center" wrapText="1"/>
      <protection locked="0"/>
    </xf>
    <xf numFmtId="0" fontId="33" fillId="27" borderId="0" xfId="0" applyFont="1" applyFill="1" applyBorder="1" applyAlignment="1">
      <alignment horizontal="center" vertical="center" wrapText="1"/>
    </xf>
    <xf numFmtId="0" fontId="33" fillId="41" borderId="55" xfId="0" applyFont="1" applyFill="1" applyBorder="1" applyAlignment="1" applyProtection="1">
      <alignment horizontal="center" vertical="center"/>
      <protection locked="0"/>
    </xf>
    <xf numFmtId="0" fontId="33" fillId="41" borderId="55" xfId="0" applyFont="1" applyFill="1" applyBorder="1" applyAlignment="1" applyProtection="1">
      <alignment vertical="center"/>
      <protection locked="0"/>
    </xf>
    <xf numFmtId="0" fontId="33" fillId="41" borderId="10" xfId="0" applyFont="1" applyFill="1" applyBorder="1" applyAlignment="1" applyProtection="1">
      <alignment horizontal="center" vertical="center"/>
      <protection locked="0"/>
    </xf>
    <xf numFmtId="0" fontId="33" fillId="41" borderId="10" xfId="0" applyFont="1" applyFill="1" applyBorder="1" applyAlignment="1" applyProtection="1">
      <alignment vertical="center"/>
      <protection locked="0"/>
    </xf>
    <xf numFmtId="211"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vertical="center" wrapText="1"/>
      <protection locked="0"/>
    </xf>
    <xf numFmtId="17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left" vertical="center" wrapText="1"/>
      <protection locked="0"/>
    </xf>
    <xf numFmtId="0" fontId="33" fillId="41" borderId="10" xfId="0" applyFont="1" applyFill="1" applyBorder="1" applyAlignment="1" applyProtection="1">
      <alignment horizontal="left" vertical="center" wrapText="1" shrinkToFit="1"/>
      <protection locked="0"/>
    </xf>
    <xf numFmtId="0" fontId="33" fillId="41" borderId="10"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horizontal="center" vertical="center" wrapText="1"/>
      <protection locked="0"/>
    </xf>
    <xf numFmtId="0" fontId="33" fillId="41" borderId="16"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vertical="center" wrapText="1"/>
      <protection locked="0"/>
    </xf>
    <xf numFmtId="0" fontId="33" fillId="27" borderId="11" xfId="0" applyFont="1" applyFill="1" applyBorder="1" applyAlignment="1">
      <alignment horizontal="center" vertical="center" shrinkToFit="1"/>
    </xf>
    <xf numFmtId="0" fontId="33" fillId="41" borderId="11" xfId="0" applyFont="1" applyFill="1" applyBorder="1" applyAlignment="1" applyProtection="1">
      <alignment horizontal="center" vertical="center" wrapText="1"/>
      <protection locked="0"/>
    </xf>
    <xf numFmtId="0" fontId="33" fillId="41" borderId="11" xfId="0" applyFont="1" applyFill="1" applyBorder="1" applyAlignment="1" applyProtection="1">
      <alignment horizontal="center" vertical="center" wrapText="1" shrinkToFit="1"/>
      <protection locked="0"/>
    </xf>
    <xf numFmtId="0" fontId="33" fillId="41" borderId="167" xfId="0" applyFont="1" applyFill="1" applyBorder="1" applyAlignment="1" applyProtection="1">
      <alignment vertical="center" wrapText="1"/>
      <protection locked="0"/>
    </xf>
    <xf numFmtId="0" fontId="33" fillId="41" borderId="11" xfId="0" applyFont="1" applyFill="1" applyBorder="1" applyAlignment="1" applyProtection="1">
      <alignment vertical="center" wrapText="1"/>
      <protection locked="0"/>
    </xf>
    <xf numFmtId="0" fontId="33" fillId="41" borderId="177" xfId="0" applyFont="1" applyFill="1" applyBorder="1" applyAlignment="1" applyProtection="1">
      <alignment horizontal="center" vertical="center" wrapText="1"/>
      <protection locked="0"/>
    </xf>
    <xf numFmtId="0" fontId="33" fillId="41" borderId="177" xfId="0" applyFont="1" applyFill="1" applyBorder="1" applyAlignment="1" applyProtection="1">
      <alignment horizontal="center" vertical="center" wrapText="1" shrinkToFit="1"/>
      <protection locked="0"/>
    </xf>
    <xf numFmtId="0" fontId="33" fillId="41" borderId="177" xfId="0" applyFont="1" applyFill="1" applyBorder="1" applyAlignment="1" applyProtection="1">
      <alignment vertical="center" wrapText="1"/>
      <protection locked="0"/>
    </xf>
    <xf numFmtId="0" fontId="33" fillId="41" borderId="167" xfId="0" applyFont="1" applyFill="1" applyBorder="1" applyAlignment="1" applyProtection="1">
      <alignment horizontal="center" vertical="center" wrapText="1"/>
      <protection locked="0"/>
    </xf>
    <xf numFmtId="0" fontId="33" fillId="41" borderId="167" xfId="0" applyFont="1" applyFill="1" applyBorder="1" applyAlignment="1" applyProtection="1">
      <alignment horizontal="center" vertical="center" wrapText="1" shrinkToFit="1"/>
      <protection locked="0"/>
    </xf>
    <xf numFmtId="0" fontId="33" fillId="27" borderId="11" xfId="0" applyFont="1" applyFill="1" applyBorder="1" applyAlignment="1" applyProtection="1">
      <alignment horizontal="center" vertical="center" wrapText="1"/>
      <protection locked="0"/>
    </xf>
    <xf numFmtId="9" fontId="33" fillId="41" borderId="167" xfId="0" applyNumberFormat="1" applyFont="1" applyFill="1" applyBorder="1" applyAlignment="1" applyProtection="1">
      <alignment horizontal="center" vertical="center" wrapText="1"/>
      <protection locked="0"/>
    </xf>
    <xf numFmtId="0" fontId="33" fillId="41" borderId="167" xfId="0" applyFont="1" applyFill="1" applyBorder="1" applyAlignment="1" applyProtection="1">
      <alignment vertical="center"/>
      <protection locked="0"/>
    </xf>
    <xf numFmtId="0" fontId="33" fillId="41" borderId="11" xfId="0" applyFont="1" applyFill="1" applyBorder="1" applyAlignment="1" applyProtection="1">
      <alignment vertical="center"/>
      <protection locked="0"/>
    </xf>
    <xf numFmtId="9" fontId="33" fillId="41" borderId="168" xfId="0" applyNumberFormat="1" applyFont="1" applyFill="1" applyBorder="1" applyAlignment="1" applyProtection="1">
      <alignment horizontal="center" vertical="center" wrapText="1" shrinkToFit="1"/>
      <protection locked="0"/>
    </xf>
    <xf numFmtId="0" fontId="33" fillId="41" borderId="168" xfId="0" applyFont="1" applyFill="1" applyBorder="1" applyAlignment="1" applyProtection="1">
      <alignment vertical="center"/>
      <protection locked="0"/>
    </xf>
    <xf numFmtId="179" fontId="33" fillId="41" borderId="51" xfId="0" applyNumberFormat="1" applyFont="1" applyFill="1" applyBorder="1" applyAlignment="1" applyProtection="1">
      <alignment horizontal="center" vertical="center"/>
      <protection locked="0"/>
    </xf>
    <xf numFmtId="211" fontId="33" fillId="41" borderId="55" xfId="0" applyNumberFormat="1" applyFont="1" applyFill="1" applyBorder="1" applyAlignment="1" applyProtection="1">
      <alignment horizontal="center" vertical="center"/>
      <protection locked="0"/>
    </xf>
    <xf numFmtId="0" fontId="33" fillId="41" borderId="55" xfId="0" applyFont="1" applyFill="1" applyBorder="1" applyAlignment="1" applyProtection="1">
      <alignment vertical="center" wrapText="1"/>
      <protection locked="0"/>
    </xf>
    <xf numFmtId="211" fontId="33" fillId="41" borderId="51" xfId="0" applyNumberFormat="1" applyFont="1" applyFill="1" applyBorder="1" applyAlignment="1" applyProtection="1">
      <alignment horizontal="center" vertical="center"/>
      <protection locked="0"/>
    </xf>
    <xf numFmtId="0" fontId="33" fillId="41" borderId="51" xfId="0" applyFont="1" applyFill="1" applyBorder="1" applyAlignment="1" applyProtection="1">
      <alignment vertical="center" wrapText="1"/>
      <protection locked="0"/>
    </xf>
    <xf numFmtId="9" fontId="33" fillId="41" borderId="55" xfId="0" applyNumberFormat="1" applyFont="1" applyFill="1" applyBorder="1" applyAlignment="1" applyProtection="1">
      <alignment horizontal="center" vertical="center"/>
      <protection locked="0"/>
    </xf>
    <xf numFmtId="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center" vertical="center" wrapText="1"/>
      <protection locked="0"/>
    </xf>
    <xf numFmtId="178" fontId="33" fillId="41" borderId="167" xfId="0" applyNumberFormat="1" applyFont="1" applyFill="1" applyBorder="1" applyAlignment="1" applyProtection="1">
      <alignment horizontal="center" vertical="center"/>
      <protection locked="0"/>
    </xf>
    <xf numFmtId="0" fontId="33" fillId="27" borderId="17" xfId="0" applyFont="1" applyFill="1" applyBorder="1" applyAlignment="1">
      <alignment horizontal="center" vertical="center" wrapText="1"/>
    </xf>
    <xf numFmtId="178" fontId="33" fillId="41" borderId="11" xfId="0" applyNumberFormat="1" applyFont="1" applyFill="1" applyBorder="1" applyAlignment="1" applyProtection="1">
      <alignment horizontal="center" vertical="center"/>
      <protection locked="0"/>
    </xf>
    <xf numFmtId="178" fontId="33" fillId="41" borderId="15" xfId="0" applyNumberFormat="1" applyFont="1" applyFill="1" applyBorder="1" applyAlignment="1" applyProtection="1">
      <alignment horizontal="center" vertical="center"/>
      <protection locked="0"/>
    </xf>
    <xf numFmtId="179" fontId="33" fillId="41" borderId="55" xfId="0" applyNumberFormat="1" applyFont="1" applyFill="1" applyBorder="1" applyAlignment="1" applyProtection="1">
      <alignment horizontal="center" vertical="center"/>
      <protection locked="0"/>
    </xf>
    <xf numFmtId="0" fontId="33" fillId="41" borderId="168" xfId="0" applyFont="1" applyFill="1" applyBorder="1" applyAlignment="1" applyProtection="1">
      <alignment vertical="center" wrapText="1"/>
      <protection locked="0"/>
    </xf>
    <xf numFmtId="38" fontId="33" fillId="41" borderId="51" xfId="35" applyFont="1" applyFill="1" applyBorder="1" applyAlignment="1" applyProtection="1">
      <alignment horizontal="center" vertical="center" wrapText="1"/>
      <protection locked="0"/>
    </xf>
    <xf numFmtId="0" fontId="33" fillId="41" borderId="51" xfId="0" applyFont="1" applyFill="1" applyBorder="1" applyAlignment="1" applyProtection="1">
      <alignment vertical="center"/>
      <protection locked="0"/>
    </xf>
    <xf numFmtId="0" fontId="33" fillId="41" borderId="167" xfId="0" applyFont="1" applyFill="1" applyBorder="1" applyAlignment="1" applyProtection="1">
      <alignment horizontal="center" vertical="center"/>
      <protection locked="0"/>
    </xf>
    <xf numFmtId="0" fontId="33" fillId="41" borderId="11" xfId="0" applyFont="1" applyFill="1" applyBorder="1" applyAlignment="1" applyProtection="1">
      <alignment horizontal="center" vertical="center"/>
      <protection locked="0"/>
    </xf>
    <xf numFmtId="0" fontId="33" fillId="41" borderId="170" xfId="0" applyFont="1" applyFill="1" applyBorder="1" applyAlignment="1" applyProtection="1">
      <alignment horizontal="center" vertical="center" wrapText="1"/>
      <protection locked="0"/>
    </xf>
    <xf numFmtId="0" fontId="33" fillId="41" borderId="168" xfId="0" applyFont="1" applyFill="1" applyBorder="1" applyAlignment="1" applyProtection="1">
      <alignment horizontal="center" vertical="center"/>
      <protection locked="0"/>
    </xf>
    <xf numFmtId="38" fontId="33" fillId="27" borderId="11" xfId="35" applyFont="1" applyFill="1" applyBorder="1" applyAlignment="1">
      <alignment horizontal="center" vertical="center" wrapText="1" shrinkToFit="1"/>
    </xf>
    <xf numFmtId="0" fontId="33" fillId="27" borderId="177" xfId="0" applyFont="1" applyFill="1" applyBorder="1" applyAlignment="1" applyProtection="1">
      <alignment vertical="center" wrapText="1"/>
      <protection locked="0"/>
    </xf>
    <xf numFmtId="190" fontId="33" fillId="27" borderId="11" xfId="0" applyNumberFormat="1" applyFont="1" applyFill="1" applyBorder="1" applyAlignment="1">
      <alignment horizontal="center" vertical="center" wrapText="1" shrinkToFit="1"/>
    </xf>
    <xf numFmtId="0" fontId="33" fillId="27" borderId="167" xfId="0" applyFont="1" applyFill="1" applyBorder="1" applyAlignment="1">
      <alignment horizontal="left" vertical="center"/>
    </xf>
    <xf numFmtId="38" fontId="33" fillId="27" borderId="167" xfId="35" applyFont="1" applyFill="1" applyBorder="1" applyAlignment="1">
      <alignment horizontal="center" vertical="center" wrapText="1" shrinkToFit="1"/>
    </xf>
    <xf numFmtId="40" fontId="33" fillId="27" borderId="177" xfId="0" applyNumberFormat="1" applyFont="1" applyFill="1" applyBorder="1" applyAlignment="1">
      <alignment horizontal="center" vertical="center" wrapText="1"/>
    </xf>
    <xf numFmtId="38" fontId="33" fillId="27" borderId="177" xfId="35" applyFont="1" applyFill="1" applyBorder="1" applyAlignment="1">
      <alignment horizontal="center" vertical="center" wrapText="1" shrinkToFit="1"/>
    </xf>
    <xf numFmtId="40" fontId="33" fillId="27" borderId="168" xfId="0" applyNumberFormat="1" applyFont="1" applyFill="1" applyBorder="1" applyAlignment="1">
      <alignment horizontal="center" vertical="center" wrapText="1"/>
    </xf>
    <xf numFmtId="178" fontId="33" fillId="27" borderId="168" xfId="0" applyNumberFormat="1" applyFont="1" applyFill="1" applyBorder="1" applyAlignment="1">
      <alignment horizontal="center" vertical="center" wrapText="1" shrinkToFit="1"/>
    </xf>
    <xf numFmtId="0" fontId="33" fillId="0" borderId="0" xfId="0" applyFont="1" applyFill="1" applyAlignment="1">
      <alignment horizontal="left"/>
    </xf>
    <xf numFmtId="0" fontId="33" fillId="0" borderId="0" xfId="0" applyFont="1" applyFill="1" applyAlignment="1">
      <alignment shrinkToFit="1"/>
    </xf>
    <xf numFmtId="190" fontId="33" fillId="0" borderId="0" xfId="35" applyNumberFormat="1" applyFont="1" applyFill="1" applyBorder="1" applyAlignment="1"/>
    <xf numFmtId="178" fontId="33" fillId="0" borderId="0" xfId="35" applyNumberFormat="1" applyFont="1" applyFill="1" applyBorder="1" applyAlignment="1"/>
    <xf numFmtId="49" fontId="33" fillId="0" borderId="0" xfId="35" applyNumberFormat="1" applyFont="1" applyFill="1" applyBorder="1" applyAlignment="1">
      <alignment horizontal="center"/>
    </xf>
    <xf numFmtId="2" fontId="33" fillId="0" borderId="0" xfId="0" applyNumberFormat="1" applyFont="1" applyFill="1" applyBorder="1" applyAlignment="1">
      <alignment horizontal="left" shrinkToFit="1"/>
    </xf>
    <xf numFmtId="2" fontId="33"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8" fontId="150" fillId="0" borderId="0" xfId="35" applyNumberFormat="1" applyFont="1" applyFill="1" applyBorder="1" applyAlignment="1" applyProtection="1">
      <protection hidden="1"/>
    </xf>
    <xf numFmtId="0" fontId="33" fillId="0" borderId="0" xfId="0" applyFont="1" applyFill="1" applyAlignment="1" applyProtection="1">
      <alignment shrinkToFit="1"/>
      <protection hidden="1"/>
    </xf>
    <xf numFmtId="0" fontId="151" fillId="0" borderId="0" xfId="0" applyNumberFormat="1" applyFont="1" applyFill="1" applyBorder="1" applyAlignment="1" applyProtection="1">
      <alignment horizontal="left" vertical="center"/>
      <protection hidden="1"/>
    </xf>
    <xf numFmtId="178" fontId="151" fillId="0" borderId="0" xfId="35" applyNumberFormat="1" applyFont="1" applyFill="1" applyBorder="1" applyAlignment="1" applyProtection="1">
      <protection hidden="1"/>
    </xf>
    <xf numFmtId="178" fontId="33" fillId="0" borderId="0" xfId="35" applyNumberFormat="1" applyFont="1" applyFill="1" applyBorder="1" applyAlignment="1" applyProtection="1">
      <protection hidden="1"/>
    </xf>
    <xf numFmtId="2" fontId="150" fillId="0" borderId="0" xfId="0" applyNumberFormat="1" applyFont="1" applyFill="1" applyBorder="1" applyAlignment="1" applyProtection="1">
      <alignment horizontal="left"/>
      <protection hidden="1"/>
    </xf>
    <xf numFmtId="49" fontId="150" fillId="0" borderId="0" xfId="0" applyNumberFormat="1" applyFont="1" applyFill="1" applyBorder="1" applyProtection="1">
      <alignment vertical="center"/>
      <protection hidden="1"/>
    </xf>
    <xf numFmtId="0" fontId="151" fillId="0" borderId="0" xfId="0" applyFont="1" applyAlignment="1">
      <alignment vertical="center" shrinkToFit="1"/>
    </xf>
    <xf numFmtId="0" fontId="151" fillId="0" borderId="0" xfId="0" applyFont="1">
      <alignment vertical="center"/>
    </xf>
    <xf numFmtId="2" fontId="151" fillId="0" borderId="0" xfId="0" applyNumberFormat="1" applyFont="1" applyFill="1" applyBorder="1" applyAlignment="1" applyProtection="1">
      <alignment horizontal="center"/>
      <protection hidden="1"/>
    </xf>
    <xf numFmtId="0" fontId="151" fillId="0" borderId="0" xfId="0" applyNumberFormat="1" applyFont="1">
      <alignment vertical="center"/>
    </xf>
    <xf numFmtId="0" fontId="151" fillId="0" borderId="0" xfId="0" applyFont="1" applyAlignment="1">
      <alignment horizontal="left" vertical="center" shrinkToFit="1"/>
    </xf>
    <xf numFmtId="0" fontId="151" fillId="0" borderId="0" xfId="0" applyFont="1" applyFill="1">
      <alignment vertical="center"/>
    </xf>
    <xf numFmtId="0" fontId="150" fillId="0" borderId="0" xfId="0" applyNumberFormat="1" applyFont="1" applyFill="1" applyBorder="1" applyProtection="1">
      <alignment vertical="center"/>
      <protection hidden="1"/>
    </xf>
    <xf numFmtId="2" fontId="6" fillId="0" borderId="0" xfId="0" applyNumberFormat="1" applyFont="1" applyFill="1" applyBorder="1" applyAlignment="1" applyProtection="1">
      <alignment horizontal="left" shrinkToFit="1"/>
      <protection hidden="1"/>
    </xf>
    <xf numFmtId="1" fontId="150" fillId="0" borderId="0" xfId="0" applyNumberFormat="1" applyFont="1" applyFill="1" applyBorder="1" applyAlignment="1" applyProtection="1">
      <alignment horizontal="center"/>
      <protection hidden="1"/>
    </xf>
    <xf numFmtId="2" fontId="151" fillId="0" borderId="0" xfId="0" applyNumberFormat="1" applyFont="1" applyFill="1" applyBorder="1" applyAlignment="1" applyProtection="1">
      <alignment horizontal="left" shrinkToFit="1"/>
      <protection hidden="1"/>
    </xf>
    <xf numFmtId="0" fontId="6" fillId="35" borderId="52" xfId="0" applyFont="1" applyFill="1" applyBorder="1" applyAlignment="1" applyProtection="1">
      <alignment horizontal="center" vertical="center"/>
      <protection hidden="1"/>
    </xf>
    <xf numFmtId="0" fontId="6" fillId="35" borderId="54" xfId="0" applyFont="1" applyFill="1" applyBorder="1" applyAlignment="1" applyProtection="1">
      <alignment horizontal="center" vertical="center" shrinkToFit="1"/>
      <protection hidden="1"/>
    </xf>
    <xf numFmtId="0" fontId="6" fillId="35" borderId="26" xfId="0" applyFont="1" applyFill="1" applyBorder="1" applyAlignment="1" applyProtection="1">
      <alignment horizontal="centerContinuous" vertical="center"/>
      <protection hidden="1"/>
    </xf>
    <xf numFmtId="0" fontId="6" fillId="35" borderId="27" xfId="0" applyFont="1" applyFill="1" applyBorder="1" applyAlignment="1" applyProtection="1">
      <alignment horizontal="centerContinuous" vertical="center"/>
      <protection hidden="1"/>
    </xf>
    <xf numFmtId="0" fontId="33" fillId="35" borderId="26" xfId="0" applyFont="1" applyFill="1" applyBorder="1" applyAlignment="1" applyProtection="1">
      <alignment horizontal="centerContinuous" vertical="center"/>
      <protection hidden="1"/>
    </xf>
    <xf numFmtId="0" fontId="33" fillId="35" borderId="27" xfId="0" applyFont="1" applyFill="1" applyBorder="1" applyAlignment="1" applyProtection="1">
      <alignment horizontal="centerContinuous" vertical="center"/>
      <protection hidden="1"/>
    </xf>
    <xf numFmtId="178" fontId="33" fillId="35" borderId="10" xfId="35" applyNumberFormat="1" applyFont="1" applyFill="1" applyBorder="1" applyAlignment="1" applyProtection="1">
      <alignment horizontal="centerContinuous" vertical="center"/>
      <protection hidden="1"/>
    </xf>
    <xf numFmtId="0" fontId="33" fillId="35" borderId="50" xfId="0" applyFont="1" applyFill="1" applyBorder="1" applyAlignment="1" applyProtection="1">
      <alignment horizontal="centerContinuous" vertical="center"/>
      <protection hidden="1"/>
    </xf>
    <xf numFmtId="0" fontId="6" fillId="35" borderId="10" xfId="0" applyFont="1" applyFill="1" applyBorder="1" applyAlignment="1" applyProtection="1">
      <alignment horizontal="center" vertical="center"/>
      <protection hidden="1"/>
    </xf>
    <xf numFmtId="0" fontId="6" fillId="35" borderId="10" xfId="0"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protection hidden="1"/>
    </xf>
    <xf numFmtId="0" fontId="6" fillId="35" borderId="10" xfId="0" applyNumberFormat="1" applyFont="1" applyFill="1" applyBorder="1" applyAlignment="1" applyProtection="1">
      <alignment horizontal="center" vertical="center"/>
      <protection hidden="1"/>
    </xf>
    <xf numFmtId="0" fontId="6" fillId="35" borderId="10" xfId="0" applyFont="1" applyFill="1" applyBorder="1" applyAlignment="1" applyProtection="1">
      <alignment horizontal="left" vertical="center" shrinkToFit="1"/>
      <protection hidden="1"/>
    </xf>
    <xf numFmtId="0" fontId="6" fillId="35" borderId="56" xfId="0" applyFont="1" applyFill="1" applyBorder="1" applyAlignment="1" applyProtection="1">
      <alignment horizontal="center" vertical="center" shrinkToFit="1"/>
      <protection hidden="1"/>
    </xf>
    <xf numFmtId="0" fontId="6" fillId="35" borderId="58" xfId="0" applyFont="1" applyFill="1" applyBorder="1" applyAlignment="1" applyProtection="1">
      <alignment horizontal="center" vertical="center" shrinkToFit="1"/>
      <protection hidden="1"/>
    </xf>
    <xf numFmtId="178" fontId="33" fillId="35" borderId="10" xfId="35" applyNumberFormat="1" applyFont="1" applyFill="1" applyBorder="1" applyAlignment="1" applyProtection="1">
      <alignment horizontal="center" shrinkToFit="1"/>
      <protection hidden="1"/>
    </xf>
    <xf numFmtId="2" fontId="33" fillId="35" borderId="10" xfId="0" applyNumberFormat="1" applyFont="1" applyFill="1" applyBorder="1" applyAlignment="1" applyProtection="1">
      <alignment horizontal="center" vertical="top" shrinkToFit="1"/>
      <protection hidden="1"/>
    </xf>
    <xf numFmtId="2" fontId="33" fillId="35" borderId="26" xfId="0" applyNumberFormat="1" applyFont="1" applyFill="1" applyBorder="1" applyAlignment="1" applyProtection="1">
      <alignment horizontal="center" vertical="top" shrinkToFit="1"/>
      <protection hidden="1"/>
    </xf>
    <xf numFmtId="2" fontId="33" fillId="35" borderId="27" xfId="0" applyNumberFormat="1" applyFont="1" applyFill="1" applyBorder="1" applyAlignment="1" applyProtection="1">
      <alignment horizontal="center" vertical="top" shrinkToFit="1"/>
      <protection hidden="1"/>
    </xf>
    <xf numFmtId="0" fontId="6" fillId="35"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6" fillId="35" borderId="56" xfId="0" applyFont="1" applyFill="1" applyBorder="1" applyAlignment="1" applyProtection="1">
      <alignment horizontal="center" vertical="center"/>
      <protection hidden="1"/>
    </xf>
    <xf numFmtId="0" fontId="33" fillId="35" borderId="58" xfId="0" applyFont="1" applyFill="1" applyBorder="1" applyAlignment="1" applyProtection="1">
      <alignment horizontal="center" vertical="center" shrinkToFit="1"/>
      <protection hidden="1"/>
    </xf>
    <xf numFmtId="190" fontId="33" fillId="35" borderId="27" xfId="35" applyNumberFormat="1" applyFont="1" applyFill="1" applyBorder="1" applyAlignment="1" applyProtection="1">
      <protection hidden="1"/>
    </xf>
    <xf numFmtId="178" fontId="33" fillId="35" borderId="10" xfId="35" applyNumberFormat="1" applyFont="1" applyFill="1" applyBorder="1" applyAlignment="1" applyProtection="1">
      <alignment horizontal="center"/>
      <protection hidden="1"/>
    </xf>
    <xf numFmtId="197" fontId="33" fillId="35" borderId="10" xfId="35" applyNumberFormat="1" applyFont="1" applyFill="1" applyBorder="1" applyAlignment="1" applyProtection="1">
      <alignment horizontal="center" vertical="top"/>
      <protection hidden="1"/>
    </xf>
    <xf numFmtId="197" fontId="33" fillId="35" borderId="26" xfId="35" applyNumberFormat="1" applyFont="1" applyFill="1" applyBorder="1" applyAlignment="1" applyProtection="1">
      <alignment horizontal="center" vertical="top"/>
      <protection hidden="1"/>
    </xf>
    <xf numFmtId="40" fontId="33" fillId="35" borderId="10" xfId="35" applyNumberFormat="1" applyFont="1" applyFill="1" applyBorder="1" applyAlignment="1" applyProtection="1">
      <alignment horizontal="center" vertical="top"/>
      <protection hidden="1"/>
    </xf>
    <xf numFmtId="40" fontId="33" fillId="35" borderId="26" xfId="35" applyNumberFormat="1" applyFont="1" applyFill="1" applyBorder="1" applyAlignment="1" applyProtection="1">
      <alignment horizontal="center" vertical="top"/>
      <protection hidden="1"/>
    </xf>
    <xf numFmtId="0" fontId="23" fillId="35" borderId="10" xfId="0" applyFont="1" applyFill="1" applyBorder="1" applyAlignment="1" applyProtection="1">
      <alignment horizontal="center" vertical="center"/>
      <protection hidden="1"/>
    </xf>
    <xf numFmtId="0" fontId="45" fillId="35" borderId="58" xfId="0" applyFont="1" applyFill="1" applyBorder="1" applyAlignment="1" applyProtection="1">
      <alignment horizontal="left" vertical="center" shrinkToFit="1"/>
      <protection hidden="1"/>
    </xf>
    <xf numFmtId="190"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197" fontId="33" fillId="35" borderId="27" xfId="0" applyNumberFormat="1" applyFont="1" applyFill="1" applyBorder="1" applyAlignment="1" applyProtection="1">
      <alignment horizontal="center" vertical="top"/>
      <protection hidden="1"/>
    </xf>
    <xf numFmtId="197" fontId="33" fillId="35" borderId="10" xfId="0" applyNumberFormat="1" applyFont="1" applyFill="1" applyBorder="1" applyAlignment="1" applyProtection="1">
      <alignment horizontal="center" vertical="top"/>
      <protection hidden="1"/>
    </xf>
    <xf numFmtId="0" fontId="23" fillId="35" borderId="10" xfId="0" applyNumberFormat="1" applyFont="1" applyFill="1" applyBorder="1" applyAlignment="1" applyProtection="1">
      <alignment horizontal="center" vertical="center"/>
      <protection hidden="1"/>
    </xf>
    <xf numFmtId="0" fontId="23"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shrinkToFit="1"/>
      <protection hidden="1"/>
    </xf>
    <xf numFmtId="190" fontId="126" fillId="31" borderId="10" xfId="35" applyNumberFormat="1" applyFont="1" applyFill="1" applyBorder="1" applyAlignment="1" applyProtection="1">
      <alignment horizontal="right"/>
      <protection hidden="1"/>
    </xf>
    <xf numFmtId="191"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197" fontId="126" fillId="31" borderId="10" xfId="35" applyNumberFormat="1" applyFont="1" applyFill="1" applyBorder="1" applyAlignment="1" applyProtection="1">
      <alignment horizontal="center" vertical="center"/>
      <protection hidden="1"/>
    </xf>
    <xf numFmtId="197" fontId="126" fillId="31" borderId="27" xfId="35" applyNumberFormat="1"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0" fontId="126" fillId="27" borderId="10" xfId="0" applyNumberFormat="1" applyFont="1" applyFill="1" applyBorder="1" applyAlignment="1" applyProtection="1">
      <alignment vertical="center" shrinkToFit="1"/>
      <protection hidden="1"/>
    </xf>
    <xf numFmtId="190" fontId="126" fillId="27" borderId="10" xfId="35" applyNumberFormat="1" applyFont="1" applyFill="1" applyBorder="1" applyAlignment="1" applyProtection="1">
      <alignment horizontal="right"/>
      <protection hidden="1"/>
    </xf>
    <xf numFmtId="191" fontId="126" fillId="27" borderId="10" xfId="35" applyNumberFormat="1" applyFont="1" applyFill="1" applyBorder="1" applyAlignment="1" applyProtection="1">
      <protection hidden="1"/>
    </xf>
    <xf numFmtId="190" fontId="33"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197" fontId="126" fillId="27" borderId="10" xfId="35" applyNumberFormat="1" applyFont="1" applyFill="1" applyBorder="1" applyAlignment="1" applyProtection="1">
      <alignment horizontal="center"/>
      <protection hidden="1"/>
    </xf>
    <xf numFmtId="197" fontId="126" fillId="27" borderId="26" xfId="35" applyNumberFormat="1" applyFont="1" applyFill="1" applyBorder="1" applyAlignment="1" applyProtection="1">
      <alignment horizontal="center" vertical="center"/>
      <protection hidden="1"/>
    </xf>
    <xf numFmtId="197" fontId="126" fillId="27" borderId="27" xfId="35"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0" fontId="33" fillId="27" borderId="10" xfId="0" applyFont="1" applyFill="1" applyBorder="1" applyAlignment="1" applyProtection="1">
      <alignment vertical="center" shrinkToFit="1"/>
      <protection hidden="1"/>
    </xf>
    <xf numFmtId="190" fontId="33" fillId="27" borderId="10" xfId="35" applyNumberFormat="1" applyFont="1" applyFill="1" applyBorder="1" applyAlignment="1" applyProtection="1">
      <alignment horizontal="right"/>
      <protection hidden="1"/>
    </xf>
    <xf numFmtId="191" fontId="33" fillId="27" borderId="10" xfId="35" applyNumberFormat="1" applyFont="1" applyFill="1" applyBorder="1" applyAlignment="1" applyProtection="1">
      <protection hidden="1"/>
    </xf>
    <xf numFmtId="0" fontId="33" fillId="27" borderId="10" xfId="0" applyNumberFormat="1" applyFont="1" applyFill="1" applyBorder="1" applyAlignment="1" applyProtection="1">
      <alignment horizontal="left" vertical="center"/>
      <protection hidden="1"/>
    </xf>
    <xf numFmtId="0"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vertical="center"/>
      <protection hidden="1"/>
    </xf>
    <xf numFmtId="197" fontId="33" fillId="27" borderId="27" xfId="35" applyNumberFormat="1" applyFont="1" applyFill="1" applyBorder="1" applyAlignment="1" applyProtection="1">
      <alignment horizontal="center" vertical="center"/>
      <protection hidden="1"/>
    </xf>
    <xf numFmtId="49" fontId="33" fillId="27" borderId="10" xfId="0" applyNumberFormat="1" applyFont="1" applyFill="1" applyBorder="1" applyAlignment="1" applyProtection="1">
      <alignment horizontal="left" vertical="center"/>
      <protection hidden="1"/>
    </xf>
    <xf numFmtId="0" fontId="33" fillId="27" borderId="10" xfId="0" applyFont="1" applyFill="1" applyBorder="1" applyAlignment="1" applyProtection="1">
      <alignment horizontal="left" vertical="center" shrinkToFit="1"/>
      <protection hidden="1"/>
    </xf>
    <xf numFmtId="197" fontId="33" fillId="45" borderId="10" xfId="35" applyNumberFormat="1" applyFont="1" applyFill="1" applyBorder="1" applyAlignment="1" applyProtection="1">
      <alignment horizontal="center" vertical="center"/>
      <protection hidden="1"/>
    </xf>
    <xf numFmtId="2" fontId="33" fillId="27" borderId="10" xfId="35" applyNumberFormat="1" applyFont="1" applyFill="1" applyBorder="1" applyAlignment="1" applyProtection="1">
      <alignment horizontal="center" vertical="center"/>
      <protection hidden="1"/>
    </xf>
    <xf numFmtId="2" fontId="33" fillId="27" borderId="27" xfId="35" applyNumberFormat="1" applyFont="1" applyFill="1" applyBorder="1" applyAlignment="1" applyProtection="1">
      <alignment horizontal="center" vertical="center"/>
      <protection hidden="1"/>
    </xf>
    <xf numFmtId="178" fontId="33" fillId="27" borderId="26" xfId="0" applyNumberFormat="1" applyFont="1" applyFill="1" applyBorder="1" applyAlignment="1" applyProtection="1">
      <alignment horizontal="center" vertical="center"/>
      <protection hidden="1"/>
    </xf>
    <xf numFmtId="2" fontId="33" fillId="45" borderId="10" xfId="35" applyNumberFormat="1" applyFont="1" applyFill="1" applyBorder="1" applyAlignment="1" applyProtection="1">
      <alignment horizontal="center" vertical="center"/>
      <protection hidden="1"/>
    </xf>
    <xf numFmtId="197" fontId="33" fillId="27" borderId="26" xfId="35" applyNumberFormat="1" applyFont="1" applyFill="1" applyBorder="1" applyAlignment="1" applyProtection="1">
      <alignment horizontal="center" vertical="center"/>
      <protection hidden="1"/>
    </xf>
    <xf numFmtId="197" fontId="33" fillId="42" borderId="10" xfId="35" applyNumberFormat="1" applyFont="1" applyFill="1" applyBorder="1" applyAlignment="1" applyProtection="1">
      <alignment horizontal="center" vertical="center"/>
      <protection hidden="1"/>
    </xf>
    <xf numFmtId="2" fontId="33" fillId="46" borderId="10" xfId="35" applyNumberFormat="1" applyFont="1" applyFill="1" applyBorder="1" applyAlignment="1" applyProtection="1">
      <alignment horizontal="center" vertical="center"/>
      <protection hidden="1"/>
    </xf>
    <xf numFmtId="2" fontId="33" fillId="27" borderId="26" xfId="35" applyNumberFormat="1" applyFont="1" applyFill="1" applyBorder="1" applyAlignment="1" applyProtection="1">
      <alignment horizontal="center" vertical="center"/>
      <protection hidden="1"/>
    </xf>
    <xf numFmtId="0" fontId="126" fillId="27" borderId="10" xfId="0" applyFont="1" applyFill="1" applyBorder="1" applyAlignment="1" applyProtection="1">
      <alignment vertical="center" shrinkToFit="1"/>
      <protection hidden="1"/>
    </xf>
    <xf numFmtId="197" fontId="126" fillId="27" borderId="26" xfId="0" applyNumberFormat="1"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3" fillId="27" borderId="10" xfId="0" applyNumberFormat="1" applyFont="1" applyFill="1" applyBorder="1" applyAlignment="1" applyProtection="1">
      <alignment vertical="center" shrinkToFit="1"/>
      <protection hidden="1"/>
    </xf>
    <xf numFmtId="197" fontId="33" fillId="27" borderId="26" xfId="0" applyNumberFormat="1" applyFont="1" applyFill="1" applyBorder="1" applyAlignment="1" applyProtection="1">
      <alignment horizontal="center" vertical="center"/>
      <protection hidden="1"/>
    </xf>
    <xf numFmtId="197" fontId="33" fillId="27" borderId="10" xfId="0" applyNumberFormat="1" applyFont="1" applyFill="1" applyBorder="1" applyAlignment="1" applyProtection="1">
      <alignment horizontal="center"/>
      <protection hidden="1"/>
    </xf>
    <xf numFmtId="197" fontId="33" fillId="42" borderId="26" xfId="0" applyNumberFormat="1" applyFont="1" applyFill="1" applyBorder="1" applyAlignment="1" applyProtection="1">
      <alignment horizontal="center" vertical="center"/>
      <protection hidden="1"/>
    </xf>
    <xf numFmtId="2" fontId="33" fillId="27" borderId="10" xfId="0" applyNumberFormat="1" applyFont="1" applyFill="1" applyBorder="1" applyAlignment="1" applyProtection="1">
      <alignment horizontal="center"/>
      <protection hidden="1"/>
    </xf>
    <xf numFmtId="2" fontId="33" fillId="25" borderId="10" xfId="35" applyNumberFormat="1" applyFont="1" applyFill="1" applyBorder="1" applyAlignment="1" applyProtection="1">
      <alignment horizontal="center" vertical="center"/>
      <protection hidden="1"/>
    </xf>
    <xf numFmtId="0" fontId="33" fillId="42" borderId="10" xfId="0" applyFont="1" applyFill="1" applyBorder="1" applyAlignment="1" applyProtection="1">
      <alignment vertical="center" shrinkToFit="1"/>
      <protection hidden="1"/>
    </xf>
    <xf numFmtId="190" fontId="33" fillId="42" borderId="10" xfId="0" applyNumberFormat="1" applyFont="1" applyFill="1" applyBorder="1" applyProtection="1">
      <alignment vertical="center"/>
      <protection hidden="1"/>
    </xf>
    <xf numFmtId="191" fontId="33" fillId="42" borderId="10" xfId="35" applyNumberFormat="1" applyFont="1" applyFill="1" applyBorder="1" applyAlignment="1" applyProtection="1">
      <protection hidden="1"/>
    </xf>
    <xf numFmtId="0" fontId="33" fillId="42" borderId="10" xfId="0" applyNumberFormat="1" applyFont="1" applyFill="1" applyBorder="1" applyAlignment="1" applyProtection="1">
      <alignment horizontal="left" vertical="center"/>
      <protection hidden="1"/>
    </xf>
    <xf numFmtId="0" fontId="33" fillId="42" borderId="10" xfId="0" applyNumberFormat="1" applyFont="1" applyFill="1" applyBorder="1" applyAlignment="1" applyProtection="1">
      <alignment horizontal="left" vertical="center" shrinkToFit="1"/>
      <protection hidden="1"/>
    </xf>
    <xf numFmtId="197" fontId="33" fillId="42" borderId="26" xfId="35" applyNumberFormat="1" applyFont="1" applyFill="1" applyBorder="1" applyAlignment="1" applyProtection="1">
      <alignment horizontal="center" vertical="center"/>
      <protection hidden="1"/>
    </xf>
    <xf numFmtId="197" fontId="33" fillId="42" borderId="27" xfId="35" applyNumberFormat="1" applyFont="1" applyFill="1" applyBorder="1" applyAlignment="1" applyProtection="1">
      <alignment horizontal="center" vertical="center"/>
      <protection hidden="1"/>
    </xf>
    <xf numFmtId="49" fontId="33" fillId="42" borderId="10" xfId="0" applyNumberFormat="1" applyFont="1" applyFill="1" applyBorder="1" applyAlignment="1" applyProtection="1">
      <alignment horizontal="left" vertical="center"/>
      <protection hidden="1"/>
    </xf>
    <xf numFmtId="0" fontId="33" fillId="42" borderId="10" xfId="0" applyFont="1" applyFill="1" applyBorder="1" applyAlignment="1" applyProtection="1">
      <alignment horizontal="left" vertical="center" shrinkToFit="1"/>
      <protection hidden="1"/>
    </xf>
    <xf numFmtId="2" fontId="33" fillId="42" borderId="10" xfId="35" applyNumberFormat="1" applyFont="1" applyFill="1" applyBorder="1" applyAlignment="1" applyProtection="1">
      <alignment horizontal="center" vertical="center"/>
      <protection hidden="1"/>
    </xf>
    <xf numFmtId="2" fontId="33" fillId="42" borderId="26" xfId="35" applyNumberFormat="1" applyFont="1" applyFill="1" applyBorder="1" applyAlignment="1" applyProtection="1">
      <alignment horizontal="center" vertical="center"/>
      <protection hidden="1"/>
    </xf>
    <xf numFmtId="2" fontId="33" fillId="42" borderId="27" xfId="35" applyNumberFormat="1" applyFont="1" applyFill="1" applyBorder="1" applyAlignment="1" applyProtection="1">
      <alignment horizontal="center" vertical="center"/>
      <protection hidden="1"/>
    </xf>
    <xf numFmtId="178" fontId="33" fillId="42" borderId="10" xfId="35" applyNumberFormat="1" applyFont="1" applyFill="1" applyBorder="1" applyAlignment="1" applyProtection="1">
      <alignment horizontal="center" vertical="center"/>
      <protection hidden="1"/>
    </xf>
    <xf numFmtId="178" fontId="33" fillId="42" borderId="26" xfId="35" applyNumberFormat="1" applyFont="1" applyFill="1" applyBorder="1" applyAlignment="1" applyProtection="1">
      <alignment horizontal="center" vertical="center"/>
      <protection hidden="1"/>
    </xf>
    <xf numFmtId="178" fontId="33"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3" fillId="27" borderId="10" xfId="35" applyNumberFormat="1" applyFont="1" applyFill="1" applyBorder="1" applyAlignment="1" applyProtection="1">
      <alignment horizontal="center" vertical="center"/>
      <protection hidden="1"/>
    </xf>
    <xf numFmtId="178" fontId="33" fillId="27" borderId="26" xfId="35" applyNumberFormat="1" applyFont="1" applyFill="1" applyBorder="1" applyAlignment="1" applyProtection="1">
      <alignment horizontal="center" vertical="center"/>
      <protection hidden="1"/>
    </xf>
    <xf numFmtId="178" fontId="33" fillId="27" borderId="27" xfId="35" applyNumberFormat="1" applyFont="1" applyFill="1" applyBorder="1" applyAlignment="1" applyProtection="1">
      <alignment horizontal="center" vertical="center"/>
      <protection hidden="1"/>
    </xf>
    <xf numFmtId="178" fontId="157" fillId="27" borderId="10" xfId="35" applyNumberFormat="1" applyFont="1" applyFill="1" applyBorder="1" applyAlignment="1" applyProtection="1">
      <alignment horizontal="center" vertical="center"/>
      <protection hidden="1"/>
    </xf>
    <xf numFmtId="178" fontId="157" fillId="42" borderId="10" xfId="35" applyNumberFormat="1" applyFont="1" applyFill="1" applyBorder="1" applyAlignment="1" applyProtection="1">
      <alignment horizontal="center" vertical="center"/>
      <protection hidden="1"/>
    </xf>
    <xf numFmtId="197" fontId="126" fillId="27" borderId="10" xfId="35" applyNumberFormat="1" applyFont="1" applyFill="1" applyBorder="1" applyAlignment="1" applyProtection="1">
      <alignment horizontal="center" vertical="center"/>
      <protection hidden="1"/>
    </xf>
    <xf numFmtId="197" fontId="126" fillId="27" borderId="27" xfId="35" applyNumberFormat="1"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0" fontId="6" fillId="26" borderId="0" xfId="0" applyFont="1" applyFill="1">
      <alignment vertical="center"/>
    </xf>
    <xf numFmtId="179" fontId="33" fillId="27" borderId="26" xfId="0" applyNumberFormat="1" applyFont="1" applyFill="1" applyBorder="1" applyAlignment="1" applyProtection="1">
      <alignment horizontal="center" vertical="center"/>
      <protection hidden="1"/>
    </xf>
    <xf numFmtId="197" fontId="126" fillId="27" borderId="26"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3" fillId="27" borderId="53" xfId="0" applyFont="1" applyFill="1" applyBorder="1" applyAlignment="1" applyProtection="1">
      <alignment vertical="center" shrinkToFit="1"/>
      <protection hidden="1"/>
    </xf>
    <xf numFmtId="0" fontId="33" fillId="42" borderId="53" xfId="0" applyNumberFormat="1" applyFont="1" applyFill="1" applyBorder="1" applyAlignment="1" applyProtection="1">
      <alignment horizontal="left" vertical="center"/>
      <protection hidden="1"/>
    </xf>
    <xf numFmtId="191" fontId="126" fillId="27" borderId="10" xfId="0" applyNumberFormat="1" applyFont="1" applyFill="1" applyBorder="1">
      <alignment vertical="center"/>
    </xf>
    <xf numFmtId="2"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protection hidden="1"/>
    </xf>
    <xf numFmtId="197" fontId="33" fillId="27" borderId="27" xfId="35" applyNumberFormat="1" applyFont="1" applyFill="1" applyBorder="1" applyAlignment="1" applyProtection="1">
      <alignment horizontal="center"/>
      <protection hidden="1"/>
    </xf>
    <xf numFmtId="2" fontId="33" fillId="27" borderId="10" xfId="35" applyNumberFormat="1" applyFont="1" applyFill="1" applyBorder="1" applyAlignment="1" applyProtection="1">
      <alignment horizontal="center"/>
      <protection hidden="1"/>
    </xf>
    <xf numFmtId="2" fontId="33" fillId="27" borderId="27" xfId="35" applyNumberFormat="1" applyFont="1" applyFill="1" applyBorder="1" applyAlignment="1" applyProtection="1">
      <alignment horizontal="center"/>
      <protection hidden="1"/>
    </xf>
    <xf numFmtId="0" fontId="23" fillId="31" borderId="10" xfId="0" applyNumberFormat="1" applyFont="1" applyFill="1" applyBorder="1" applyAlignment="1" applyProtection="1">
      <alignment horizontal="center" vertical="center"/>
      <protection hidden="1"/>
    </xf>
    <xf numFmtId="0" fontId="23" fillId="35" borderId="10" xfId="0" applyNumberFormat="1" applyFont="1" applyFill="1" applyBorder="1" applyAlignment="1" applyProtection="1">
      <alignment horizontal="center" vertical="center" shrinkToFit="1"/>
      <protection hidden="1"/>
    </xf>
    <xf numFmtId="197" fontId="126" fillId="35" borderId="10" xfId="35" applyNumberFormat="1" applyFont="1" applyFill="1" applyBorder="1" applyAlignment="1" applyProtection="1">
      <alignment horizontal="center" vertical="top"/>
      <protection hidden="1"/>
    </xf>
    <xf numFmtId="197" fontId="126" fillId="35" borderId="26" xfId="35" applyNumberFormat="1" applyFont="1" applyFill="1" applyBorder="1" applyAlignment="1" applyProtection="1">
      <alignment horizontal="center" vertical="top"/>
      <protection hidden="1"/>
    </xf>
    <xf numFmtId="197" fontId="126" fillId="35" borderId="27" xfId="0" applyNumberFormat="1" applyFont="1" applyFill="1" applyBorder="1" applyAlignment="1" applyProtection="1">
      <alignment horizontal="center" vertical="top"/>
      <protection hidden="1"/>
    </xf>
    <xf numFmtId="197" fontId="126" fillId="35" borderId="10" xfId="0" applyNumberFormat="1" applyFont="1" applyFill="1" applyBorder="1" applyAlignment="1" applyProtection="1">
      <alignment horizontal="center" vertical="top"/>
      <protection hidden="1"/>
    </xf>
    <xf numFmtId="190"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91" fontId="33" fillId="27" borderId="10" xfId="0" applyNumberFormat="1" applyFont="1" applyFill="1" applyBorder="1">
      <alignment vertical="center"/>
    </xf>
    <xf numFmtId="0" fontId="33" fillId="27" borderId="10" xfId="0" quotePrefix="1" applyNumberFormat="1" applyFont="1" applyFill="1" applyBorder="1" applyAlignment="1" applyProtection="1">
      <alignment horizontal="left" vertical="center"/>
      <protection hidden="1"/>
    </xf>
    <xf numFmtId="49" fontId="33" fillId="27" borderId="10" xfId="0" quotePrefix="1" applyNumberFormat="1" applyFont="1" applyFill="1" applyBorder="1" applyAlignment="1" applyProtection="1">
      <alignment horizontal="left" vertical="center"/>
      <protection hidden="1"/>
    </xf>
    <xf numFmtId="0" fontId="6" fillId="0" borderId="0" xfId="0" applyFont="1" applyFill="1" applyBorder="1">
      <alignment vertical="center"/>
    </xf>
    <xf numFmtId="0" fontId="126" fillId="31" borderId="10" xfId="0" applyNumberFormat="1" applyFont="1" applyFill="1" applyBorder="1" applyAlignment="1" applyProtection="1">
      <alignment vertical="center"/>
      <protection hidden="1"/>
    </xf>
    <xf numFmtId="197" fontId="126" fillId="31" borderId="26" xfId="35" applyNumberFormat="1" applyFont="1" applyFill="1" applyBorder="1" applyAlignment="1" applyProtection="1">
      <alignment horizontal="center" vertical="center"/>
      <protection hidden="1"/>
    </xf>
    <xf numFmtId="197" fontId="126" fillId="31" borderId="27" xfId="0" applyNumberFormat="1" applyFont="1" applyFill="1" applyBorder="1" applyAlignment="1" applyProtection="1">
      <alignment horizontal="center"/>
      <protection hidden="1"/>
    </xf>
    <xf numFmtId="197" fontId="126" fillId="31" borderId="10" xfId="0" applyNumberFormat="1" applyFont="1" applyFill="1" applyBorder="1" applyAlignment="1" applyProtection="1">
      <alignment horizont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197" fontId="126" fillId="27"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197" fontId="33" fillId="27" borderId="27" xfId="0" applyNumberFormat="1" applyFont="1" applyFill="1" applyBorder="1" applyAlignment="1" applyProtection="1">
      <alignment horizontal="center"/>
      <protection hidden="1"/>
    </xf>
    <xf numFmtId="2" fontId="33" fillId="27" borderId="27" xfId="0" applyNumberFormat="1" applyFont="1" applyFill="1" applyBorder="1" applyAlignment="1" applyProtection="1">
      <alignment horizontal="center"/>
      <protection hidden="1"/>
    </xf>
    <xf numFmtId="210"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3" fillId="27" borderId="10" xfId="0" applyNumberFormat="1" applyFont="1" applyFill="1" applyBorder="1" applyAlignment="1" applyProtection="1">
      <alignment vertical="center"/>
      <protection hidden="1"/>
    </xf>
    <xf numFmtId="0" fontId="33" fillId="27" borderId="10" xfId="0" applyNumberFormat="1" applyFont="1" applyFill="1" applyBorder="1" applyAlignment="1" applyProtection="1">
      <alignment vertical="center"/>
      <protection hidden="1"/>
    </xf>
    <xf numFmtId="0" fontId="33"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8" fillId="0" borderId="0" xfId="46" applyFont="1" applyFill="1" applyProtection="1">
      <protection hidden="1"/>
    </xf>
    <xf numFmtId="0" fontId="166" fillId="0" borderId="0" xfId="0" applyFont="1">
      <alignment vertical="center"/>
    </xf>
    <xf numFmtId="0" fontId="166" fillId="0" borderId="0" xfId="0" applyFont="1" applyFill="1">
      <alignment vertical="center"/>
    </xf>
    <xf numFmtId="0" fontId="166" fillId="0" borderId="0" xfId="0" applyFont="1" applyBorder="1" applyAlignment="1">
      <alignment horizontal="left" vertical="center" wrapText="1"/>
    </xf>
    <xf numFmtId="0" fontId="166" fillId="0" borderId="0" xfId="0" applyFont="1" applyAlignment="1" applyProtection="1">
      <alignment vertical="center"/>
      <protection hidden="1"/>
    </xf>
    <xf numFmtId="0" fontId="166" fillId="27" borderId="16" xfId="0" applyFont="1" applyFill="1" applyBorder="1" applyAlignment="1" applyProtection="1">
      <alignment horizontal="center" vertical="center" wrapText="1"/>
      <protection hidden="1"/>
    </xf>
    <xf numFmtId="0" fontId="166" fillId="27" borderId="13" xfId="0" applyFont="1" applyFill="1" applyBorder="1" applyAlignment="1" applyProtection="1">
      <alignment horizontal="left" vertical="top" wrapText="1"/>
      <protection hidden="1"/>
    </xf>
    <xf numFmtId="0" fontId="166" fillId="27" borderId="13" xfId="0" applyFont="1" applyFill="1" applyBorder="1" applyAlignment="1" applyProtection="1">
      <alignment horizontal="left" vertical="center" wrapText="1"/>
      <protection hidden="1"/>
    </xf>
    <xf numFmtId="0" fontId="166" fillId="27" borderId="177" xfId="0" applyFont="1" applyFill="1" applyBorder="1" applyAlignment="1" applyProtection="1">
      <alignment horizontal="center" vertical="center" wrapText="1"/>
      <protection hidden="1"/>
    </xf>
    <xf numFmtId="0" fontId="166" fillId="27" borderId="11" xfId="0" applyFont="1" applyFill="1" applyBorder="1" applyAlignment="1" applyProtection="1">
      <alignment horizontal="center" vertical="center" wrapText="1"/>
      <protection hidden="1"/>
    </xf>
    <xf numFmtId="0" fontId="166" fillId="27" borderId="167" xfId="0" applyFont="1" applyFill="1" applyBorder="1" applyAlignment="1" applyProtection="1">
      <alignment horizontal="center" vertical="center" wrapText="1"/>
      <protection hidden="1"/>
    </xf>
    <xf numFmtId="0" fontId="166" fillId="27" borderId="171" xfId="0" applyFont="1" applyFill="1" applyBorder="1" applyAlignment="1" applyProtection="1">
      <alignment horizontal="left" vertical="top" wrapText="1"/>
      <protection hidden="1"/>
    </xf>
    <xf numFmtId="0" fontId="166" fillId="27" borderId="171" xfId="0" applyFont="1" applyFill="1" applyBorder="1" applyAlignment="1" applyProtection="1">
      <alignment horizontal="left" vertical="center" wrapText="1"/>
      <protection hidden="1"/>
    </xf>
    <xf numFmtId="0" fontId="166" fillId="0" borderId="0" xfId="0" applyFont="1" applyAlignment="1">
      <alignment vertical="top"/>
    </xf>
    <xf numFmtId="0" fontId="166" fillId="27" borderId="50" xfId="0" applyFont="1" applyFill="1" applyBorder="1">
      <alignment vertical="center"/>
    </xf>
    <xf numFmtId="0" fontId="166" fillId="27" borderId="165" xfId="0" applyFont="1" applyFill="1" applyBorder="1" applyAlignment="1">
      <alignment vertical="center"/>
    </xf>
    <xf numFmtId="0" fontId="166" fillId="27" borderId="87" xfId="0" applyFont="1" applyFill="1" applyBorder="1" applyAlignment="1">
      <alignment vertical="center"/>
    </xf>
    <xf numFmtId="0" fontId="166" fillId="27" borderId="165" xfId="0" applyFont="1" applyFill="1" applyBorder="1" applyAlignment="1">
      <alignment vertical="top"/>
    </xf>
    <xf numFmtId="0" fontId="166" fillId="27" borderId="166" xfId="0" applyFont="1" applyFill="1" applyBorder="1" applyAlignment="1">
      <alignment vertical="center"/>
    </xf>
    <xf numFmtId="0" fontId="166" fillId="27" borderId="13" xfId="0" applyFont="1" applyFill="1" applyBorder="1" applyAlignment="1">
      <alignment vertical="center"/>
    </xf>
    <xf numFmtId="0" fontId="166" fillId="27" borderId="13" xfId="0" applyFont="1" applyFill="1" applyBorder="1" applyAlignment="1">
      <alignment vertical="top"/>
    </xf>
    <xf numFmtId="0" fontId="166" fillId="27" borderId="14" xfId="0" applyFont="1" applyFill="1" applyBorder="1" applyAlignment="1">
      <alignment vertical="center"/>
    </xf>
    <xf numFmtId="0" fontId="166" fillId="27" borderId="171" xfId="0" applyFont="1" applyFill="1" applyBorder="1" applyAlignment="1">
      <alignment vertical="center"/>
    </xf>
    <xf numFmtId="0" fontId="166" fillId="27" borderId="171" xfId="0" applyFont="1" applyFill="1" applyBorder="1" applyAlignment="1">
      <alignment vertical="top"/>
    </xf>
    <xf numFmtId="0" fontId="166" fillId="27" borderId="170" xfId="0" applyFont="1" applyFill="1" applyBorder="1" applyAlignment="1">
      <alignment vertical="center"/>
    </xf>
    <xf numFmtId="0" fontId="166" fillId="0" borderId="0" xfId="0" applyFont="1" applyFill="1" applyAlignment="1" applyProtection="1">
      <alignment vertical="center"/>
      <protection hidden="1"/>
    </xf>
    <xf numFmtId="0" fontId="166" fillId="0" borderId="0" xfId="0" applyFont="1" applyFill="1" applyProtection="1">
      <alignment vertical="center"/>
    </xf>
    <xf numFmtId="0" fontId="48" fillId="0" borderId="0" xfId="0" applyFont="1" applyFill="1" applyAlignment="1" applyProtection="1">
      <alignment horizontal="right" vertical="center"/>
      <protection hidden="1"/>
    </xf>
    <xf numFmtId="0" fontId="166" fillId="27" borderId="13" xfId="0" applyFont="1" applyFill="1" applyBorder="1" applyAlignment="1">
      <alignment horizontal="left" vertical="center"/>
    </xf>
    <xf numFmtId="0" fontId="166" fillId="27" borderId="171" xfId="0" applyFont="1" applyFill="1" applyBorder="1" applyAlignment="1">
      <alignment horizontal="left" vertical="center"/>
    </xf>
    <xf numFmtId="0" fontId="166" fillId="0" borderId="57" xfId="0" applyFont="1" applyBorder="1" applyAlignment="1">
      <alignment horizontal="left" vertical="center" wrapText="1"/>
    </xf>
    <xf numFmtId="177" fontId="28" fillId="0" borderId="0" xfId="0" applyNumberFormat="1" applyFont="1" applyFill="1" applyBorder="1" applyAlignment="1" applyProtection="1">
      <alignment horizontal="justify" vertical="center"/>
      <protection hidden="1"/>
    </xf>
    <xf numFmtId="0" fontId="166" fillId="27" borderId="16" xfId="0" applyFont="1" applyFill="1" applyBorder="1" applyAlignment="1">
      <alignment horizontal="center" vertical="center" wrapText="1"/>
    </xf>
    <xf numFmtId="0" fontId="166" fillId="27" borderId="11" xfId="0" applyFont="1" applyFill="1" applyBorder="1" applyAlignment="1">
      <alignment horizontal="center" vertical="center" wrapText="1"/>
    </xf>
    <xf numFmtId="0" fontId="166" fillId="27" borderId="168" xfId="0" applyFont="1" applyFill="1" applyBorder="1" applyAlignment="1">
      <alignment horizontal="center" vertical="center" wrapText="1"/>
    </xf>
    <xf numFmtId="0" fontId="166" fillId="0" borderId="0" xfId="0" applyFont="1" applyProtection="1">
      <alignment vertical="center"/>
    </xf>
    <xf numFmtId="0" fontId="166" fillId="0" borderId="0" xfId="0" applyFont="1" applyBorder="1" applyAlignment="1">
      <alignment vertical="center" wrapText="1"/>
    </xf>
    <xf numFmtId="203" fontId="26" fillId="44" borderId="144" xfId="0" applyNumberFormat="1" applyFont="1" applyFill="1" applyBorder="1" applyAlignment="1" applyProtection="1">
      <alignment horizontal="center" vertical="center"/>
      <protection hidden="1"/>
    </xf>
    <xf numFmtId="203" fontId="26" fillId="31" borderId="144" xfId="0" applyNumberFormat="1" applyFont="1" applyFill="1" applyBorder="1" applyAlignment="1" applyProtection="1">
      <alignment horizontal="center" vertical="center"/>
      <protection hidden="1"/>
    </xf>
    <xf numFmtId="0" fontId="126" fillId="27" borderId="50" xfId="0" applyFont="1" applyFill="1" applyBorder="1" applyAlignment="1" applyProtection="1">
      <alignment horizontal="right" vertical="center"/>
      <protection hidden="1"/>
    </xf>
    <xf numFmtId="2" fontId="167" fillId="27" borderId="27" xfId="35" applyNumberFormat="1" applyFont="1" applyFill="1" applyBorder="1" applyAlignment="1" applyProtection="1">
      <alignment horizontal="center" vertical="center"/>
      <protection hidden="1"/>
    </xf>
    <xf numFmtId="2" fontId="167" fillId="27" borderId="10" xfId="35" applyNumberFormat="1" applyFont="1" applyFill="1" applyBorder="1" applyAlignment="1" applyProtection="1">
      <alignment horizontal="center" vertical="center"/>
      <protection hidden="1"/>
    </xf>
    <xf numFmtId="202" fontId="28" fillId="0" borderId="17" xfId="35" applyNumberFormat="1" applyFont="1" applyFill="1" applyBorder="1" applyAlignment="1" applyProtection="1">
      <alignment horizontal="center" vertical="center"/>
      <protection hidden="1"/>
    </xf>
    <xf numFmtId="203" fontId="26" fillId="31" borderId="92" xfId="0" applyNumberFormat="1"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wrapText="1"/>
      <protection hidden="1"/>
    </xf>
    <xf numFmtId="0" fontId="28" fillId="27" borderId="53" xfId="0" quotePrefix="1" applyNumberFormat="1" applyFont="1" applyFill="1" applyBorder="1" applyAlignment="1" applyProtection="1">
      <alignment vertical="center"/>
      <protection hidden="1"/>
    </xf>
    <xf numFmtId="0" fontId="6" fillId="27" borderId="72" xfId="0" applyFont="1" applyFill="1" applyBorder="1" applyAlignment="1" applyProtection="1"/>
    <xf numFmtId="0" fontId="45" fillId="27" borderId="73" xfId="0" applyFont="1" applyFill="1" applyBorder="1" applyAlignment="1" applyProtection="1"/>
    <xf numFmtId="0" fontId="33" fillId="27" borderId="73" xfId="0" applyFont="1" applyFill="1" applyBorder="1" applyProtection="1">
      <alignment vertical="center"/>
    </xf>
    <xf numFmtId="0" fontId="0" fillId="27" borderId="73" xfId="0" applyFill="1" applyBorder="1" applyProtection="1">
      <alignment vertical="center"/>
    </xf>
    <xf numFmtId="0" fontId="33" fillId="27" borderId="73" xfId="0" applyFont="1" applyFill="1" applyBorder="1" applyAlignment="1" applyProtection="1">
      <alignment horizontal="right" vertical="center"/>
    </xf>
    <xf numFmtId="0" fontId="33" fillId="27" borderId="73" xfId="0" applyFont="1" applyFill="1" applyBorder="1" applyAlignment="1" applyProtection="1">
      <alignment vertical="center"/>
    </xf>
    <xf numFmtId="0" fontId="6" fillId="27" borderId="73" xfId="0" applyFont="1" applyFill="1" applyBorder="1" applyAlignment="1" applyProtection="1">
      <alignment horizontal="right"/>
    </xf>
    <xf numFmtId="0" fontId="0" fillId="27" borderId="61" xfId="0" applyFill="1" applyBorder="1" applyProtection="1">
      <alignment vertical="center"/>
    </xf>
    <xf numFmtId="0" fontId="126" fillId="27" borderId="0" xfId="0" applyFont="1" applyFill="1" applyBorder="1" applyProtection="1">
      <alignment vertical="center"/>
    </xf>
    <xf numFmtId="38" fontId="33" fillId="41" borderId="153" xfId="35" applyFont="1" applyFill="1" applyBorder="1" applyAlignment="1" applyProtection="1">
      <alignment horizontal="right" vertical="center"/>
      <protection locked="0"/>
    </xf>
    <xf numFmtId="38" fontId="33" fillId="41" borderId="144" xfId="35" applyFont="1" applyFill="1" applyBorder="1" applyAlignment="1" applyProtection="1">
      <alignment horizontal="center" vertical="center"/>
      <protection locked="0"/>
    </xf>
    <xf numFmtId="38" fontId="33" fillId="41" borderId="139" xfId="35" applyFont="1" applyFill="1" applyBorder="1" applyAlignment="1" applyProtection="1">
      <alignment horizontal="right" vertical="center"/>
      <protection locked="0"/>
    </xf>
    <xf numFmtId="0" fontId="126" fillId="27" borderId="0" xfId="0" applyFont="1" applyFill="1" applyBorder="1" applyAlignment="1" applyProtection="1">
      <alignment vertical="center"/>
    </xf>
    <xf numFmtId="0" fontId="33" fillId="27" borderId="63" xfId="0" applyFont="1" applyFill="1" applyBorder="1" applyAlignment="1" applyProtection="1">
      <alignment horizontal="right" vertical="center"/>
    </xf>
    <xf numFmtId="38" fontId="33" fillId="41" borderId="123" xfId="35" applyFont="1" applyFill="1" applyBorder="1" applyAlignment="1" applyProtection="1">
      <alignment horizontal="right" vertical="center"/>
      <protection locked="0"/>
    </xf>
    <xf numFmtId="0" fontId="33" fillId="27" borderId="62" xfId="0" applyFont="1" applyFill="1" applyBorder="1" applyProtection="1">
      <alignment vertical="center"/>
    </xf>
    <xf numFmtId="0" fontId="33" fillId="27" borderId="0" xfId="0" applyFont="1" applyFill="1" applyBorder="1" applyProtection="1">
      <alignment vertical="center"/>
    </xf>
    <xf numFmtId="0" fontId="33" fillId="27" borderId="0" xfId="44" applyFont="1" applyFill="1" applyBorder="1" applyAlignment="1" applyProtection="1">
      <alignment horizontal="right"/>
    </xf>
    <xf numFmtId="0" fontId="33" fillId="27" borderId="0" xfId="44" applyFont="1" applyFill="1" applyBorder="1" applyAlignment="1" applyProtection="1"/>
    <xf numFmtId="0" fontId="33" fillId="27" borderId="62" xfId="44" applyFont="1" applyFill="1" applyBorder="1" applyAlignment="1" applyProtection="1">
      <alignment vertical="center"/>
    </xf>
    <xf numFmtId="0" fontId="33" fillId="27" borderId="0" xfId="0" applyFont="1" applyFill="1" applyBorder="1" applyAlignment="1" applyProtection="1">
      <alignment horizontal="right" vertical="center"/>
    </xf>
    <xf numFmtId="0" fontId="33" fillId="27" borderId="0" xfId="0" applyFont="1" applyFill="1" applyBorder="1" applyAlignment="1" applyProtection="1">
      <alignment horizontal="left" vertical="center"/>
    </xf>
    <xf numFmtId="178" fontId="33" fillId="27" borderId="10" xfId="28" applyNumberFormat="1" applyFont="1" applyFill="1" applyBorder="1" applyProtection="1">
      <alignment vertical="center"/>
    </xf>
    <xf numFmtId="40" fontId="33" fillId="27" borderId="10" xfId="0" applyNumberFormat="1" applyFont="1" applyFill="1" applyBorder="1" applyProtection="1">
      <alignment vertical="center"/>
    </xf>
    <xf numFmtId="178" fontId="33" fillId="27" borderId="0" xfId="0" applyNumberFormat="1" applyFont="1" applyFill="1" applyBorder="1" applyAlignment="1" applyProtection="1">
      <alignment horizontal="left" vertical="center"/>
    </xf>
    <xf numFmtId="40" fontId="33" fillId="27" borderId="152" xfId="35" applyNumberFormat="1" applyFont="1" applyFill="1" applyBorder="1" applyAlignment="1" applyProtection="1">
      <alignment horizontal="right" vertical="center"/>
    </xf>
    <xf numFmtId="38" fontId="33" fillId="27" borderId="10" xfId="35" applyFont="1" applyFill="1" applyBorder="1" applyProtection="1">
      <alignment vertical="center"/>
    </xf>
    <xf numFmtId="40" fontId="33" fillId="27" borderId="62" xfId="0" applyNumberFormat="1" applyFont="1" applyFill="1" applyBorder="1" applyProtection="1">
      <alignment vertical="center"/>
    </xf>
    <xf numFmtId="213" fontId="33" fillId="27" borderId="0" xfId="0" applyNumberFormat="1" applyFont="1" applyFill="1" applyBorder="1" applyProtection="1">
      <alignment vertical="center"/>
    </xf>
    <xf numFmtId="40" fontId="33" fillId="27" borderId="0" xfId="0" applyNumberFormat="1" applyFont="1" applyFill="1" applyBorder="1" applyProtection="1">
      <alignment vertical="center"/>
    </xf>
    <xf numFmtId="178" fontId="33" fillId="27" borderId="63" xfId="0" applyNumberFormat="1" applyFont="1" applyFill="1" applyBorder="1" applyAlignment="1" applyProtection="1">
      <alignment horizontal="right" vertical="center"/>
    </xf>
    <xf numFmtId="178" fontId="40" fillId="27" borderId="10" xfId="44" applyNumberFormat="1" applyFont="1" applyFill="1" applyBorder="1" applyAlignment="1" applyProtection="1">
      <alignment vertical="center"/>
    </xf>
    <xf numFmtId="190" fontId="40" fillId="27" borderId="10" xfId="44" applyNumberFormat="1" applyFont="1" applyFill="1" applyBorder="1" applyAlignment="1" applyProtection="1">
      <alignment vertical="center"/>
    </xf>
    <xf numFmtId="177" fontId="33" fillId="27" borderId="10" xfId="44" applyNumberFormat="1" applyFont="1" applyFill="1" applyBorder="1" applyAlignment="1" applyProtection="1">
      <alignment horizontal="center" vertical="center"/>
    </xf>
    <xf numFmtId="190" fontId="33" fillId="27" borderId="10" xfId="28" applyNumberFormat="1" applyFont="1" applyFill="1" applyBorder="1" applyAlignment="1" applyProtection="1">
      <alignment horizontal="center" vertical="center"/>
    </xf>
    <xf numFmtId="0" fontId="40" fillId="27" borderId="0" xfId="44" applyFont="1" applyFill="1" applyBorder="1" applyAlignment="1" applyProtection="1">
      <alignment horizontal="left" vertical="center"/>
    </xf>
    <xf numFmtId="0" fontId="28" fillId="27" borderId="182" xfId="0" applyFont="1" applyFill="1" applyBorder="1" applyAlignment="1">
      <alignment vertical="center"/>
    </xf>
    <xf numFmtId="0" fontId="33" fillId="27" borderId="0" xfId="0" applyFont="1" applyFill="1" applyBorder="1" applyAlignment="1" applyProtection="1">
      <alignment horizontal="center" vertical="center"/>
      <protection hidden="1"/>
    </xf>
    <xf numFmtId="0" fontId="33" fillId="27" borderId="24" xfId="0" applyFont="1" applyFill="1" applyBorder="1" applyAlignment="1" applyProtection="1">
      <alignment horizontal="right" vertical="center"/>
      <protection hidden="1"/>
    </xf>
    <xf numFmtId="178" fontId="33" fillId="27" borderId="28" xfId="0" applyNumberFormat="1" applyFont="1" applyFill="1" applyBorder="1" applyProtection="1">
      <alignment vertical="center"/>
      <protection hidden="1"/>
    </xf>
    <xf numFmtId="0" fontId="6" fillId="27" borderId="0" xfId="45" applyFont="1" applyFill="1" applyBorder="1" applyAlignment="1" applyProtection="1">
      <alignment vertical="center"/>
      <protection locked="0"/>
    </xf>
    <xf numFmtId="181" fontId="28" fillId="27" borderId="164" xfId="0" applyNumberFormat="1" applyFont="1" applyFill="1" applyBorder="1" applyAlignment="1" applyProtection="1">
      <alignment vertical="center"/>
      <protection hidden="1"/>
    </xf>
    <xf numFmtId="181" fontId="28" fillId="27" borderId="14" xfId="0" applyNumberFormat="1" applyFont="1" applyFill="1" applyBorder="1" applyAlignment="1" applyProtection="1">
      <alignment vertical="center"/>
      <protection hidden="1"/>
    </xf>
    <xf numFmtId="199" fontId="26" fillId="31" borderId="10" xfId="0" applyNumberFormat="1" applyFont="1" applyFill="1" applyBorder="1" applyAlignment="1" applyProtection="1">
      <alignment horizontal="center" vertical="center"/>
      <protection hidden="1"/>
    </xf>
    <xf numFmtId="179" fontId="28" fillId="31" borderId="53" xfId="0" applyNumberFormat="1" applyFont="1" applyFill="1" applyBorder="1" applyAlignment="1" applyProtection="1">
      <alignment horizontal="left" vertical="center"/>
      <protection hidden="1"/>
    </xf>
    <xf numFmtId="194" fontId="26" fillId="27" borderId="188" xfId="0" applyNumberFormat="1" applyFont="1" applyFill="1" applyBorder="1" applyAlignment="1" applyProtection="1">
      <alignment horizontal="center" vertical="center"/>
      <protection locked="0" hidden="1"/>
    </xf>
    <xf numFmtId="194" fontId="26" fillId="27" borderId="115" xfId="0" applyNumberFormat="1" applyFont="1" applyFill="1" applyBorder="1" applyAlignment="1" applyProtection="1">
      <alignment horizontal="center" vertical="center"/>
      <protection locked="0" hidden="1"/>
    </xf>
    <xf numFmtId="0" fontId="26" fillId="27" borderId="26" xfId="0" applyNumberFormat="1" applyFont="1" applyFill="1" applyBorder="1" applyAlignment="1" applyProtection="1">
      <alignment horizontal="centerContinuous" vertical="center"/>
      <protection hidden="1"/>
    </xf>
    <xf numFmtId="0" fontId="28" fillId="27" borderId="55" xfId="0" applyNumberFormat="1" applyFont="1" applyFill="1" applyBorder="1" applyAlignment="1" applyProtection="1">
      <alignment horizontal="centerContinuous" vertical="center"/>
      <protection hidden="1"/>
    </xf>
    <xf numFmtId="0" fontId="28" fillId="27" borderId="202" xfId="0" applyFont="1" applyFill="1" applyBorder="1" applyAlignment="1" applyProtection="1">
      <alignment horizontal="left" vertical="center"/>
      <protection hidden="1"/>
    </xf>
    <xf numFmtId="180" fontId="28" fillId="31" borderId="26" xfId="0" applyNumberFormat="1" applyFont="1" applyFill="1" applyBorder="1" applyAlignment="1" applyProtection="1">
      <alignment horizontal="centerContinuous" vertical="center"/>
      <protection hidden="1"/>
    </xf>
    <xf numFmtId="0" fontId="28" fillId="27" borderId="181" xfId="0" applyFont="1" applyFill="1" applyBorder="1" applyAlignment="1">
      <alignment vertical="center"/>
    </xf>
    <xf numFmtId="0" fontId="28" fillId="27" borderId="181" xfId="0" applyFont="1" applyFill="1" applyBorder="1" applyAlignment="1" applyProtection="1">
      <alignment horizontal="left" vertical="center"/>
      <protection hidden="1"/>
    </xf>
    <xf numFmtId="0" fontId="166" fillId="27" borderId="181" xfId="0" applyFont="1" applyFill="1" applyBorder="1" applyAlignment="1">
      <alignment vertical="center"/>
    </xf>
    <xf numFmtId="0" fontId="166" fillId="27" borderId="181" xfId="0" applyFont="1" applyFill="1" applyBorder="1" applyAlignment="1">
      <alignment vertical="top"/>
    </xf>
    <xf numFmtId="0" fontId="166" fillId="27" borderId="182" xfId="0" applyFont="1" applyFill="1" applyBorder="1" applyAlignment="1">
      <alignment vertical="center"/>
    </xf>
    <xf numFmtId="0" fontId="28" fillId="27" borderId="171" xfId="0" applyFont="1" applyFill="1" applyBorder="1" applyAlignment="1" applyProtection="1">
      <alignment vertical="center"/>
    </xf>
    <xf numFmtId="0" fontId="168" fillId="27" borderId="0" xfId="0" applyFont="1" applyFill="1" applyBorder="1" applyProtection="1">
      <alignment vertical="center"/>
    </xf>
    <xf numFmtId="177" fontId="28" fillId="27" borderId="165" xfId="0" applyNumberFormat="1" applyFont="1" applyFill="1" applyBorder="1" applyAlignment="1" applyProtection="1">
      <alignment vertical="center" wrapText="1"/>
      <protection hidden="1"/>
    </xf>
    <xf numFmtId="0" fontId="28" fillId="27" borderId="175" xfId="0" applyFont="1" applyFill="1" applyBorder="1" applyAlignment="1" applyProtection="1">
      <alignment horizontal="left" vertical="center"/>
      <protection hidden="1"/>
    </xf>
    <xf numFmtId="193" fontId="28" fillId="31" borderId="27" xfId="0" applyNumberFormat="1" applyFont="1" applyFill="1" applyBorder="1" applyAlignment="1" applyProtection="1">
      <alignment horizontal="center" vertical="center"/>
      <protection hidden="1"/>
    </xf>
    <xf numFmtId="219" fontId="26" fillId="31" borderId="144" xfId="0" applyNumberFormat="1" applyFont="1" applyFill="1" applyBorder="1" applyAlignment="1" applyProtection="1">
      <alignment horizontal="center" vertical="center"/>
      <protection hidden="1"/>
    </xf>
    <xf numFmtId="0" fontId="27" fillId="0" borderId="0" xfId="0" applyFont="1" applyFill="1" applyProtection="1">
      <alignment vertical="center"/>
      <protection hidden="1"/>
    </xf>
    <xf numFmtId="0" fontId="45"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153" fillId="29" borderId="0" xfId="0" applyFont="1" applyFill="1" applyAlignment="1" applyProtection="1">
      <alignment vertical="center"/>
      <protection hidden="1"/>
    </xf>
    <xf numFmtId="0" fontId="45" fillId="29" borderId="0" xfId="0" applyFont="1" applyFill="1" applyAlignment="1" applyProtection="1">
      <alignment horizontal="left" vertical="center"/>
      <protection hidden="1"/>
    </xf>
    <xf numFmtId="0" fontId="152" fillId="29" borderId="0" xfId="0" applyFont="1" applyFill="1" applyAlignment="1" applyProtection="1">
      <alignment vertical="center"/>
    </xf>
    <xf numFmtId="0" fontId="28" fillId="27" borderId="87" xfId="0" applyFont="1" applyFill="1" applyBorder="1" applyAlignment="1" applyProtection="1">
      <alignment horizontal="left" vertical="center"/>
      <protection hidden="1"/>
    </xf>
    <xf numFmtId="0" fontId="28" fillId="27" borderId="196" xfId="0" applyFont="1" applyFill="1" applyBorder="1" applyAlignment="1" applyProtection="1">
      <alignment horizontal="left" vertical="center"/>
      <protection hidden="1"/>
    </xf>
    <xf numFmtId="0" fontId="28" fillId="27" borderId="12" xfId="0" applyFont="1" applyFill="1" applyBorder="1" applyAlignment="1" applyProtection="1">
      <alignment vertical="center"/>
      <protection hidden="1"/>
    </xf>
    <xf numFmtId="0" fontId="6" fillId="27" borderId="13" xfId="0" applyFont="1" applyFill="1" applyBorder="1" applyAlignment="1">
      <alignment vertical="center"/>
    </xf>
    <xf numFmtId="0" fontId="6" fillId="27" borderId="14" xfId="0" applyFont="1" applyFill="1" applyBorder="1" applyAlignment="1">
      <alignment vertical="center"/>
    </xf>
    <xf numFmtId="0" fontId="152" fillId="29" borderId="0" xfId="0" applyFont="1" applyFill="1" applyAlignment="1" applyProtection="1">
      <alignment horizontal="left" vertical="center"/>
      <protection hidden="1"/>
    </xf>
    <xf numFmtId="0" fontId="26" fillId="29" borderId="0" xfId="0" applyFont="1" applyFill="1" applyProtection="1">
      <alignment vertical="center"/>
    </xf>
    <xf numFmtId="0" fontId="28" fillId="29" borderId="0" xfId="0" applyFont="1" applyFill="1" applyProtection="1">
      <alignment vertical="center"/>
    </xf>
    <xf numFmtId="0" fontId="37" fillId="29" borderId="0" xfId="0" applyFont="1" applyFill="1" applyBorder="1" applyAlignment="1" applyProtection="1">
      <alignment horizontal="justify"/>
      <protection hidden="1"/>
    </xf>
    <xf numFmtId="220" fontId="126" fillId="27" borderId="10" xfId="35" applyNumberFormat="1" applyFont="1" applyFill="1" applyBorder="1" applyAlignment="1" applyProtection="1">
      <alignment horizontal="center" vertical="center"/>
      <protection hidden="1"/>
    </xf>
    <xf numFmtId="2" fontId="33" fillId="47" borderId="10" xfId="35" applyNumberFormat="1" applyFont="1" applyFill="1" applyBorder="1" applyAlignment="1" applyProtection="1">
      <alignment horizontal="center" vertical="center"/>
      <protection hidden="1"/>
    </xf>
    <xf numFmtId="177" fontId="28" fillId="27" borderId="169" xfId="0" applyNumberFormat="1" applyFont="1" applyFill="1" applyBorder="1" applyAlignment="1" applyProtection="1">
      <alignment vertical="center"/>
      <protection hidden="1"/>
    </xf>
    <xf numFmtId="0" fontId="28" fillId="31" borderId="89" xfId="0" applyFont="1" applyFill="1" applyBorder="1" applyAlignment="1" applyProtection="1">
      <alignment horizontal="centerContinuous" vertical="center"/>
      <protection hidden="1"/>
    </xf>
    <xf numFmtId="188" fontId="33" fillId="41" borderId="153" xfId="35" applyNumberFormat="1" applyFont="1" applyFill="1" applyBorder="1" applyAlignment="1" applyProtection="1">
      <alignment horizontal="right" vertical="center"/>
      <protection locked="0"/>
    </xf>
    <xf numFmtId="188" fontId="33" fillId="41" borderId="123" xfId="35" applyNumberFormat="1" applyFont="1" applyFill="1" applyBorder="1" applyAlignment="1" applyProtection="1">
      <alignment horizontal="right" vertical="center"/>
      <protection locked="0"/>
    </xf>
    <xf numFmtId="188" fontId="33" fillId="41" borderId="139" xfId="35" applyNumberFormat="1" applyFont="1" applyFill="1" applyBorder="1" applyAlignment="1" applyProtection="1">
      <alignment horizontal="right" vertical="center"/>
      <protection locked="0"/>
    </xf>
    <xf numFmtId="0" fontId="28" fillId="31" borderId="50" xfId="0" applyFont="1" applyFill="1" applyBorder="1" applyAlignment="1" applyProtection="1">
      <alignment horizontal="right" vertical="center"/>
      <protection hidden="1"/>
    </xf>
    <xf numFmtId="178" fontId="33" fillId="27" borderId="10" xfId="44" applyNumberFormat="1" applyFont="1" applyFill="1" applyBorder="1" applyAlignment="1" applyProtection="1">
      <alignment horizontal="right" vertical="center"/>
    </xf>
    <xf numFmtId="0" fontId="0" fillId="0" borderId="0" xfId="0" quotePrefix="1">
      <alignment vertical="center"/>
    </xf>
    <xf numFmtId="0" fontId="126" fillId="27" borderId="0" xfId="0" applyFont="1" applyFill="1" applyBorder="1" applyAlignment="1" applyProtection="1">
      <alignment horizontal="center" vertical="center"/>
    </xf>
    <xf numFmtId="179" fontId="28" fillId="31" borderId="10" xfId="0" applyNumberFormat="1" applyFont="1" applyFill="1" applyBorder="1" applyAlignment="1" applyProtection="1">
      <alignment horizontal="center" vertical="center"/>
      <protection hidden="1"/>
    </xf>
    <xf numFmtId="181" fontId="28" fillId="27" borderId="166" xfId="0" applyNumberFormat="1" applyFont="1" applyFill="1" applyBorder="1" applyAlignment="1" applyProtection="1">
      <alignment vertical="center"/>
      <protection hidden="1"/>
    </xf>
    <xf numFmtId="181" fontId="28" fillId="27" borderId="170" xfId="0" applyNumberFormat="1" applyFont="1" applyFill="1" applyBorder="1" applyAlignment="1" applyProtection="1">
      <alignment vertical="center"/>
      <protection hidden="1"/>
    </xf>
    <xf numFmtId="0" fontId="28" fillId="27" borderId="52" xfId="0" quotePrefix="1" applyNumberFormat="1" applyFont="1" applyFill="1" applyBorder="1" applyAlignment="1" applyProtection="1">
      <alignment vertical="center" wrapText="1"/>
      <protection hidden="1"/>
    </xf>
    <xf numFmtId="0" fontId="28" fillId="27" borderId="64" xfId="0" quotePrefix="1" applyNumberFormat="1" applyFont="1" applyFill="1" applyBorder="1" applyAlignment="1" applyProtection="1">
      <alignment vertical="center" wrapText="1"/>
      <protection hidden="1"/>
    </xf>
    <xf numFmtId="0" fontId="28" fillId="27" borderId="56" xfId="0" quotePrefix="1" applyNumberFormat="1" applyFont="1" applyFill="1" applyBorder="1" applyAlignment="1" applyProtection="1">
      <alignment vertical="center" wrapText="1"/>
      <protection hidden="1"/>
    </xf>
    <xf numFmtId="181" fontId="28" fillId="27" borderId="165" xfId="0" applyNumberFormat="1" applyFont="1" applyFill="1" applyBorder="1" applyAlignment="1" applyProtection="1">
      <alignment vertical="center"/>
      <protection hidden="1"/>
    </xf>
    <xf numFmtId="181" fontId="28" fillId="27" borderId="171" xfId="0" applyNumberFormat="1" applyFont="1" applyFill="1" applyBorder="1" applyAlignment="1" applyProtection="1">
      <alignment vertical="center"/>
      <protection hidden="1"/>
    </xf>
    <xf numFmtId="0" fontId="28" fillId="27" borderId="203" xfId="0" quotePrefix="1" applyNumberFormat="1" applyFont="1" applyFill="1" applyBorder="1" applyAlignment="1" applyProtection="1">
      <alignment horizontal="left" vertical="center" wrapText="1"/>
      <protection hidden="1"/>
    </xf>
    <xf numFmtId="0" fontId="28" fillId="27" borderId="204" xfId="0" applyNumberFormat="1" applyFont="1" applyFill="1" applyBorder="1" applyAlignment="1" applyProtection="1">
      <alignment horizontal="left" vertical="center" wrapText="1"/>
      <protection hidden="1"/>
    </xf>
    <xf numFmtId="0" fontId="28" fillId="27" borderId="204" xfId="0" applyNumberFormat="1" applyFont="1" applyFill="1" applyBorder="1" applyAlignment="1" applyProtection="1">
      <alignment horizontal="left" vertical="center" shrinkToFit="1"/>
      <protection hidden="1"/>
    </xf>
    <xf numFmtId="0" fontId="28" fillId="27" borderId="205" xfId="0" applyNumberFormat="1" applyFont="1" applyFill="1" applyBorder="1" applyAlignment="1" applyProtection="1">
      <alignment horizontal="left" vertical="center" wrapText="1"/>
      <protection hidden="1"/>
    </xf>
    <xf numFmtId="213" fontId="33" fillId="0" borderId="26" xfId="44" applyNumberFormat="1" applyFont="1" applyBorder="1" applyAlignment="1"/>
    <xf numFmtId="0" fontId="28"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3" fillId="0" borderId="0" xfId="44" applyFont="1" applyBorder="1" applyAlignment="1">
      <alignment horizontal="right"/>
    </xf>
    <xf numFmtId="0" fontId="28" fillId="0" borderId="52" xfId="0" applyFont="1" applyBorder="1">
      <alignment vertical="center"/>
    </xf>
    <xf numFmtId="0" fontId="166" fillId="0" borderId="53" xfId="0" applyFont="1" applyBorder="1">
      <alignment vertical="center"/>
    </xf>
    <xf numFmtId="0" fontId="166" fillId="0" borderId="54" xfId="0" applyFont="1" applyBorder="1">
      <alignment vertical="center"/>
    </xf>
    <xf numFmtId="0" fontId="166" fillId="0" borderId="0" xfId="0" applyFont="1" applyBorder="1">
      <alignment vertical="center"/>
    </xf>
    <xf numFmtId="0" fontId="166" fillId="0" borderId="17" xfId="0" applyFont="1" applyBorder="1">
      <alignment vertical="center"/>
    </xf>
    <xf numFmtId="0" fontId="28" fillId="0" borderId="56" xfId="0" applyFont="1" applyBorder="1">
      <alignment vertical="center"/>
    </xf>
    <xf numFmtId="0" fontId="166" fillId="0" borderId="57" xfId="0" applyFont="1" applyBorder="1">
      <alignment vertical="center"/>
    </xf>
    <xf numFmtId="0" fontId="166" fillId="0" borderId="58" xfId="0" applyFont="1" applyBorder="1">
      <alignment vertical="center"/>
    </xf>
    <xf numFmtId="0" fontId="28" fillId="0" borderId="64" xfId="0" applyFont="1" applyBorder="1">
      <alignment vertical="center"/>
    </xf>
    <xf numFmtId="0" fontId="0" fillId="0" borderId="64" xfId="0" applyBorder="1" applyAlignment="1">
      <alignment vertical="top"/>
    </xf>
    <xf numFmtId="0" fontId="31" fillId="28" borderId="0" xfId="0" applyFont="1" applyFill="1" applyBorder="1" applyAlignment="1" applyProtection="1">
      <alignment horizontal="center" vertical="center"/>
      <protection hidden="1"/>
    </xf>
    <xf numFmtId="0" fontId="42" fillId="27" borderId="42" xfId="29" applyFont="1"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3" fillId="27" borderId="57" xfId="0" applyFont="1" applyFill="1" applyBorder="1" applyAlignment="1" applyProtection="1">
      <alignment horizontal="left" vertical="top"/>
      <protection hidden="1"/>
    </xf>
    <xf numFmtId="0" fontId="28" fillId="27" borderId="0" xfId="0" applyFont="1" applyFill="1" applyBorder="1" applyAlignment="1" applyProtection="1">
      <alignment horizontal="right" vertical="center"/>
      <protection hidden="1"/>
    </xf>
    <xf numFmtId="179" fontId="28" fillId="27" borderId="25" xfId="0" applyNumberFormat="1" applyFont="1" applyFill="1" applyBorder="1" applyAlignment="1" applyProtection="1">
      <alignment horizontal="left" vertical="center"/>
    </xf>
    <xf numFmtId="179" fontId="0" fillId="0" borderId="10" xfId="0" applyNumberFormat="1" applyBorder="1" applyAlignment="1">
      <alignment vertical="top"/>
    </xf>
    <xf numFmtId="0" fontId="33" fillId="0" borderId="52" xfId="0" applyFont="1" applyBorder="1" applyAlignment="1">
      <alignment vertical="top"/>
    </xf>
    <xf numFmtId="0" fontId="33" fillId="0" borderId="53" xfId="0" applyFont="1" applyBorder="1" applyAlignment="1">
      <alignment vertical="top"/>
    </xf>
    <xf numFmtId="0" fontId="33" fillId="0" borderId="54" xfId="0" applyFont="1" applyBorder="1" applyAlignment="1">
      <alignment vertical="top"/>
    </xf>
    <xf numFmtId="0" fontId="33" fillId="0" borderId="10" xfId="0" applyFont="1" applyBorder="1">
      <alignment vertical="center"/>
    </xf>
    <xf numFmtId="0" fontId="33" fillId="0" borderId="26" xfId="0" applyFont="1" applyBorder="1" applyAlignment="1">
      <alignment vertical="top" wrapText="1"/>
    </xf>
    <xf numFmtId="0" fontId="33" fillId="0" borderId="50" xfId="0" applyFont="1" applyBorder="1" applyAlignment="1">
      <alignment vertical="top" wrapText="1"/>
    </xf>
    <xf numFmtId="0" fontId="33" fillId="0" borderId="27" xfId="0" applyFont="1" applyBorder="1" applyAlignment="1">
      <alignment vertical="top" wrapText="1"/>
    </xf>
    <xf numFmtId="0" fontId="33" fillId="0" borderId="26" xfId="0" applyFont="1" applyBorder="1" applyAlignment="1">
      <alignment vertical="top"/>
    </xf>
    <xf numFmtId="0" fontId="33" fillId="0" borderId="50" xfId="0" applyFont="1" applyBorder="1" applyAlignment="1">
      <alignment vertical="top"/>
    </xf>
    <xf numFmtId="0" fontId="33" fillId="0" borderId="27" xfId="0" applyFont="1" applyBorder="1">
      <alignment vertical="center"/>
    </xf>
    <xf numFmtId="0" fontId="33" fillId="0" borderId="51" xfId="0" applyFont="1" applyBorder="1">
      <alignment vertical="center"/>
    </xf>
    <xf numFmtId="0" fontId="33" fillId="0" borderId="64" xfId="0" applyFont="1" applyBorder="1" applyAlignment="1">
      <alignment vertical="top"/>
    </xf>
    <xf numFmtId="0" fontId="33" fillId="0" borderId="0" xfId="0" applyFont="1" applyBorder="1" applyAlignment="1">
      <alignment vertical="top"/>
    </xf>
    <xf numFmtId="0" fontId="33" fillId="0" borderId="17" xfId="0" applyFont="1" applyBorder="1" applyAlignment="1">
      <alignment vertical="top"/>
    </xf>
    <xf numFmtId="213" fontId="33" fillId="0" borderId="26" xfId="0" applyNumberFormat="1" applyFont="1" applyBorder="1" applyAlignment="1">
      <alignment vertical="top"/>
    </xf>
    <xf numFmtId="213" fontId="33" fillId="0" borderId="50" xfId="0" applyNumberFormat="1" applyFont="1" applyBorder="1" applyAlignment="1">
      <alignment vertical="top"/>
    </xf>
    <xf numFmtId="213" fontId="33" fillId="0" borderId="27" xfId="0" applyNumberFormat="1" applyFont="1" applyBorder="1">
      <alignment vertical="center"/>
    </xf>
    <xf numFmtId="0" fontId="33" fillId="0" borderId="15" xfId="0" applyFont="1" applyBorder="1">
      <alignment vertical="center"/>
    </xf>
    <xf numFmtId="0" fontId="33" fillId="0" borderId="56" xfId="0" applyFont="1" applyBorder="1" applyAlignment="1">
      <alignment vertical="top"/>
    </xf>
    <xf numFmtId="0" fontId="33" fillId="0" borderId="57" xfId="0" applyFont="1" applyBorder="1" applyAlignment="1">
      <alignment vertical="top"/>
    </xf>
    <xf numFmtId="0" fontId="33" fillId="0" borderId="58" xfId="0" applyFont="1" applyBorder="1" applyAlignment="1">
      <alignment vertical="top"/>
    </xf>
    <xf numFmtId="0" fontId="33" fillId="0" borderId="10" xfId="0" applyFont="1" applyBorder="1" applyAlignment="1">
      <alignment vertical="top"/>
    </xf>
    <xf numFmtId="0" fontId="33" fillId="0" borderId="10" xfId="0" applyFont="1" applyBorder="1" applyAlignment="1">
      <alignment vertical="top" wrapText="1"/>
    </xf>
    <xf numFmtId="0" fontId="33" fillId="0" borderId="10" xfId="0" applyFont="1" applyFill="1" applyBorder="1" applyAlignment="1">
      <alignment vertical="top"/>
    </xf>
    <xf numFmtId="0" fontId="33" fillId="0" borderId="55" xfId="0" applyFont="1" applyFill="1" applyBorder="1" applyAlignment="1">
      <alignment vertical="top"/>
    </xf>
    <xf numFmtId="0" fontId="33" fillId="0" borderId="51" xfId="0" applyFont="1" applyBorder="1" applyAlignment="1">
      <alignment vertical="top"/>
    </xf>
    <xf numFmtId="0" fontId="33" fillId="0" borderId="27" xfId="0" applyFont="1" applyBorder="1" applyAlignment="1">
      <alignment vertical="top"/>
    </xf>
    <xf numFmtId="38" fontId="33" fillId="0" borderId="10" xfId="35" applyFont="1" applyBorder="1" applyAlignment="1">
      <alignment vertical="top"/>
    </xf>
    <xf numFmtId="9" fontId="33" fillId="0" borderId="10" xfId="0" applyNumberFormat="1" applyFont="1" applyBorder="1" applyAlignment="1">
      <alignment vertical="top"/>
    </xf>
    <xf numFmtId="0" fontId="33" fillId="0" borderId="10" xfId="0" applyFont="1" applyBorder="1" applyAlignment="1">
      <alignment horizontal="center"/>
    </xf>
    <xf numFmtId="213" fontId="33" fillId="0" borderId="10" xfId="0" applyNumberFormat="1" applyFont="1" applyBorder="1">
      <alignment vertical="center"/>
    </xf>
    <xf numFmtId="0" fontId="33" fillId="0" borderId="55" xfId="0" applyFont="1" applyBorder="1" applyAlignment="1">
      <alignment vertical="top"/>
    </xf>
    <xf numFmtId="0" fontId="33" fillId="0" borderId="15" xfId="0" applyFont="1" applyBorder="1" applyAlignment="1">
      <alignment vertical="top"/>
    </xf>
    <xf numFmtId="0" fontId="33" fillId="26" borderId="0" xfId="0" applyFont="1" applyFill="1">
      <alignment vertical="center"/>
    </xf>
    <xf numFmtId="0" fontId="33" fillId="0" borderId="56" xfId="0" applyFont="1" applyFill="1" applyBorder="1" applyAlignment="1">
      <alignment vertical="top"/>
    </xf>
    <xf numFmtId="0" fontId="33" fillId="0" borderId="58" xfId="0" applyFont="1" applyFill="1" applyBorder="1" applyAlignment="1">
      <alignment vertical="top"/>
    </xf>
    <xf numFmtId="0" fontId="33" fillId="0" borderId="55" xfId="0" applyFont="1" applyBorder="1">
      <alignment vertical="center"/>
    </xf>
    <xf numFmtId="0" fontId="33" fillId="0" borderId="26" xfId="0" applyFont="1" applyFill="1" applyBorder="1" applyAlignment="1">
      <alignment vertical="top"/>
    </xf>
    <xf numFmtId="0" fontId="33" fillId="0" borderId="27" xfId="0" applyFont="1" applyFill="1" applyBorder="1" applyAlignment="1">
      <alignment vertical="top"/>
    </xf>
    <xf numFmtId="0" fontId="33" fillId="0" borderId="0" xfId="0" applyFont="1" applyFill="1" applyBorder="1" applyAlignment="1">
      <alignment vertical="top"/>
    </xf>
    <xf numFmtId="0" fontId="33" fillId="0" borderId="26" xfId="0" applyFont="1" applyBorder="1">
      <alignment vertical="center"/>
    </xf>
    <xf numFmtId="0" fontId="33" fillId="0" borderId="50" xfId="0" applyFont="1" applyBorder="1">
      <alignment vertical="center"/>
    </xf>
    <xf numFmtId="38" fontId="33" fillId="0" borderId="10" xfId="35" applyFont="1" applyBorder="1">
      <alignment vertical="center"/>
    </xf>
    <xf numFmtId="38" fontId="33" fillId="0" borderId="0" xfId="0" applyNumberFormat="1" applyFont="1">
      <alignment vertical="center"/>
    </xf>
    <xf numFmtId="0" fontId="33" fillId="27" borderId="63" xfId="44" applyFont="1" applyFill="1" applyBorder="1" applyAlignment="1" applyProtection="1">
      <alignment horizontal="left"/>
    </xf>
    <xf numFmtId="212" fontId="33" fillId="27" borderId="10" xfId="35" applyNumberFormat="1" applyFont="1" applyFill="1" applyBorder="1" applyAlignment="1" applyProtection="1"/>
    <xf numFmtId="40" fontId="33" fillId="27" borderId="10" xfId="35" applyNumberFormat="1" applyFont="1" applyFill="1" applyBorder="1" applyAlignment="1" applyProtection="1">
      <alignment horizontal="right" vertical="center"/>
    </xf>
    <xf numFmtId="38" fontId="33" fillId="41" borderId="96" xfId="35" applyFont="1" applyFill="1" applyBorder="1" applyAlignment="1" applyProtection="1">
      <alignment horizontal="right" vertical="center"/>
      <protection locked="0"/>
    </xf>
    <xf numFmtId="0" fontId="6" fillId="0" borderId="0" xfId="0" applyFont="1" applyAlignment="1">
      <alignment vertical="top"/>
    </xf>
    <xf numFmtId="40" fontId="33" fillId="27" borderId="0" xfId="35" applyNumberFormat="1" applyFont="1" applyFill="1" applyBorder="1" applyAlignment="1" applyProtection="1">
      <alignment horizontal="right" vertical="center"/>
    </xf>
    <xf numFmtId="40" fontId="33" fillId="27" borderId="63" xfId="35" applyNumberFormat="1" applyFont="1" applyFill="1" applyBorder="1" applyAlignment="1" applyProtection="1">
      <alignment horizontal="right" vertical="center"/>
    </xf>
    <xf numFmtId="0" fontId="33" fillId="0" borderId="50" xfId="0" applyFont="1" applyBorder="1" applyAlignment="1">
      <alignment horizontal="center" vertical="center"/>
    </xf>
    <xf numFmtId="0" fontId="33" fillId="27" borderId="51" xfId="0" applyFont="1" applyFill="1" applyBorder="1" applyAlignment="1">
      <alignment vertical="top"/>
    </xf>
    <xf numFmtId="0" fontId="33" fillId="27" borderId="26" xfId="0" applyFont="1" applyFill="1" applyBorder="1" applyAlignment="1">
      <alignment vertical="top"/>
    </xf>
    <xf numFmtId="0" fontId="33" fillId="27" borderId="27" xfId="0" applyFont="1" applyFill="1" applyBorder="1" applyAlignment="1">
      <alignment vertical="top"/>
    </xf>
    <xf numFmtId="0" fontId="33" fillId="27" borderId="55" xfId="0" applyFont="1" applyFill="1" applyBorder="1" applyAlignment="1">
      <alignment vertical="top"/>
    </xf>
    <xf numFmtId="0" fontId="33" fillId="27" borderId="15" xfId="0" applyFont="1" applyFill="1" applyBorder="1" applyAlignment="1">
      <alignment vertical="top"/>
    </xf>
    <xf numFmtId="0" fontId="33" fillId="27" borderId="52" xfId="0" applyFont="1" applyFill="1" applyBorder="1" applyAlignment="1">
      <alignment vertical="top"/>
    </xf>
    <xf numFmtId="0" fontId="33" fillId="27" borderId="10" xfId="0" applyFont="1" applyFill="1" applyBorder="1" applyAlignment="1">
      <alignment vertical="top"/>
    </xf>
    <xf numFmtId="0" fontId="33" fillId="27" borderId="56" xfId="0" applyFont="1" applyFill="1" applyBorder="1" applyAlignment="1">
      <alignment vertical="top"/>
    </xf>
    <xf numFmtId="0" fontId="33" fillId="27" borderId="50" xfId="0" applyFont="1" applyFill="1" applyBorder="1" applyAlignment="1">
      <alignment vertical="top"/>
    </xf>
    <xf numFmtId="0" fontId="33" fillId="27" borderId="54" xfId="0" applyFont="1" applyFill="1" applyBorder="1" applyAlignment="1">
      <alignment vertical="top"/>
    </xf>
    <xf numFmtId="38" fontId="33" fillId="27" borderId="26" xfId="35" applyFont="1" applyFill="1" applyBorder="1" applyProtection="1">
      <alignment vertical="center"/>
    </xf>
    <xf numFmtId="38" fontId="33" fillId="27" borderId="144" xfId="35" applyFont="1" applyFill="1" applyBorder="1" applyProtection="1">
      <alignment vertical="center"/>
    </xf>
    <xf numFmtId="0" fontId="33" fillId="27" borderId="0" xfId="0" applyFont="1" applyFill="1" applyBorder="1" applyAlignment="1">
      <alignment vertical="top"/>
    </xf>
    <xf numFmtId="0" fontId="33"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3" fillId="27" borderId="10" xfId="0" applyNumberFormat="1" applyFont="1" applyFill="1" applyBorder="1" applyProtection="1">
      <alignment vertical="center"/>
    </xf>
    <xf numFmtId="190" fontId="33" fillId="39" borderId="144" xfId="0" applyNumberFormat="1" applyFont="1" applyFill="1" applyBorder="1" applyProtection="1">
      <alignment vertical="center"/>
      <protection locked="0"/>
    </xf>
    <xf numFmtId="178" fontId="33" fillId="27" borderId="0" xfId="0" applyNumberFormat="1" applyFont="1" applyFill="1" applyBorder="1" applyProtection="1">
      <alignment vertical="center"/>
    </xf>
    <xf numFmtId="201" fontId="33" fillId="27" borderId="144" xfId="0" applyNumberFormat="1" applyFont="1" applyFill="1" applyBorder="1" applyAlignment="1" applyProtection="1">
      <alignment horizontal="center" vertical="center"/>
    </xf>
    <xf numFmtId="178" fontId="33" fillId="27" borderId="55" xfId="0" applyNumberFormat="1" applyFont="1" applyFill="1" applyBorder="1" applyProtection="1">
      <alignment vertical="center"/>
    </xf>
    <xf numFmtId="0" fontId="126" fillId="27" borderId="0" xfId="0" applyFont="1" applyFill="1" applyBorder="1" applyAlignment="1" applyProtection="1">
      <alignment horizontal="left" vertical="center"/>
    </xf>
    <xf numFmtId="38" fontId="33" fillId="27" borderId="10" xfId="35" applyFont="1" applyFill="1" applyBorder="1">
      <alignment vertical="center"/>
    </xf>
    <xf numFmtId="0" fontId="33" fillId="27" borderId="65" xfId="0" applyFont="1" applyFill="1" applyBorder="1" applyProtection="1">
      <alignment vertical="center"/>
    </xf>
    <xf numFmtId="0" fontId="33" fillId="27" borderId="66" xfId="0" applyFont="1" applyFill="1" applyBorder="1" applyProtection="1">
      <alignment vertical="center"/>
    </xf>
    <xf numFmtId="0" fontId="33" fillId="27" borderId="67" xfId="0" applyFont="1" applyFill="1" applyBorder="1" applyProtection="1">
      <alignment vertical="center"/>
    </xf>
    <xf numFmtId="0" fontId="126" fillId="27" borderId="66" xfId="0" applyFont="1" applyFill="1" applyBorder="1" applyProtection="1">
      <alignment vertical="center"/>
    </xf>
    <xf numFmtId="0" fontId="33" fillId="27" borderId="59" xfId="0" applyFont="1" applyFill="1" applyBorder="1" applyProtection="1">
      <alignment vertical="center"/>
    </xf>
    <xf numFmtId="0" fontId="126" fillId="27" borderId="60" xfId="44" applyFont="1" applyFill="1" applyBorder="1" applyAlignment="1" applyProtection="1">
      <alignment vertical="center"/>
    </xf>
    <xf numFmtId="0" fontId="33" fillId="27" borderId="60" xfId="0" applyFont="1" applyFill="1" applyBorder="1" applyProtection="1">
      <alignment vertical="center"/>
    </xf>
    <xf numFmtId="0" fontId="33" fillId="27" borderId="60" xfId="44" applyFont="1" applyFill="1" applyBorder="1" applyAlignment="1" applyProtection="1">
      <alignment horizontal="right"/>
    </xf>
    <xf numFmtId="0" fontId="33" fillId="27" borderId="60" xfId="44" applyFont="1" applyFill="1" applyBorder="1" applyAlignment="1" applyProtection="1"/>
    <xf numFmtId="0" fontId="33" fillId="27" borderId="61" xfId="44" applyFont="1" applyFill="1" applyBorder="1" applyAlignment="1" applyProtection="1">
      <alignment horizontal="right"/>
    </xf>
    <xf numFmtId="0" fontId="33" fillId="27" borderId="10" xfId="0" applyFont="1" applyFill="1" applyBorder="1" applyProtection="1">
      <alignment vertical="center"/>
    </xf>
    <xf numFmtId="201" fontId="33" fillId="27" borderId="0" xfId="0" applyNumberFormat="1" applyFont="1" applyFill="1" applyBorder="1" applyAlignment="1" applyProtection="1">
      <alignment horizontal="center" vertical="center"/>
    </xf>
    <xf numFmtId="178" fontId="33" fillId="27" borderId="27" xfId="0" applyNumberFormat="1" applyFont="1" applyFill="1" applyBorder="1" applyProtection="1">
      <alignment vertical="center"/>
    </xf>
    <xf numFmtId="200" fontId="33" fillId="27" borderId="10" xfId="0" applyNumberFormat="1" applyFont="1" applyFill="1" applyBorder="1" applyAlignment="1" applyProtection="1">
      <alignment horizontal="center" vertical="center"/>
    </xf>
    <xf numFmtId="178" fontId="126" fillId="27" borderId="10" xfId="0" applyNumberFormat="1" applyFont="1" applyFill="1" applyBorder="1" applyProtection="1">
      <alignment vertical="center"/>
    </xf>
    <xf numFmtId="190" fontId="0" fillId="0" borderId="0" xfId="0" applyNumberFormat="1">
      <alignment vertical="center"/>
    </xf>
    <xf numFmtId="0" fontId="0" fillId="0" borderId="51" xfId="0" applyBorder="1">
      <alignment vertical="center"/>
    </xf>
    <xf numFmtId="0" fontId="126" fillId="27" borderId="0" xfId="0" applyFont="1" applyFill="1" applyBorder="1" applyAlignment="1" applyProtection="1">
      <alignment horizontal="right" vertical="center"/>
    </xf>
    <xf numFmtId="194" fontId="33" fillId="41" borderId="144" xfId="35" applyNumberFormat="1" applyFont="1" applyFill="1" applyBorder="1" applyAlignment="1" applyProtection="1">
      <alignment horizontal="center" vertical="center"/>
      <protection locked="0"/>
    </xf>
    <xf numFmtId="40" fontId="0" fillId="0" borderId="0" xfId="0" applyNumberFormat="1">
      <alignment vertical="center"/>
    </xf>
    <xf numFmtId="179" fontId="0" fillId="0" borderId="0" xfId="0" applyNumberFormat="1">
      <alignment vertical="center"/>
    </xf>
    <xf numFmtId="38" fontId="33" fillId="27" borderId="0" xfId="35" applyFont="1" applyFill="1" applyBorder="1">
      <alignment vertical="center"/>
    </xf>
    <xf numFmtId="38" fontId="33" fillId="27" borderId="10" xfId="0" applyNumberFormat="1" applyFont="1" applyFill="1" applyBorder="1" applyProtection="1">
      <alignment vertical="center"/>
    </xf>
    <xf numFmtId="38" fontId="33" fillId="27" borderId="0" xfId="0" applyNumberFormat="1" applyFont="1" applyFill="1" applyBorder="1" applyProtection="1">
      <alignment vertical="center"/>
    </xf>
    <xf numFmtId="0" fontId="33" fillId="0" borderId="54" xfId="0" applyFont="1" applyBorder="1">
      <alignment vertical="center"/>
    </xf>
    <xf numFmtId="0" fontId="33" fillId="0" borderId="0" xfId="0" applyFont="1" applyAlignment="1">
      <alignment horizontal="right" vertical="center"/>
    </xf>
    <xf numFmtId="177" fontId="33" fillId="27" borderId="10" xfId="28" applyNumberFormat="1" applyFont="1" applyFill="1" applyBorder="1" applyAlignment="1" applyProtection="1">
      <alignment horizontal="center" vertical="center"/>
    </xf>
    <xf numFmtId="177" fontId="40" fillId="27" borderId="10" xfId="44" applyNumberFormat="1" applyFont="1" applyFill="1" applyBorder="1" applyAlignment="1" applyProtection="1">
      <alignment vertical="center"/>
    </xf>
    <xf numFmtId="38" fontId="28" fillId="31" borderId="27" xfId="0" applyNumberFormat="1" applyFont="1" applyFill="1" applyBorder="1" applyAlignment="1" applyProtection="1">
      <alignment horizontal="centerContinuous" vertical="center"/>
      <protection hidden="1"/>
    </xf>
    <xf numFmtId="221" fontId="33" fillId="27" borderId="144" xfId="0" applyNumberFormat="1" applyFont="1" applyFill="1" applyBorder="1" applyAlignment="1" applyProtection="1">
      <alignment horizontal="center" vertical="center"/>
    </xf>
    <xf numFmtId="185" fontId="36" fillId="0" borderId="110" xfId="0" applyNumberFormat="1" applyFont="1" applyFill="1" applyBorder="1" applyAlignment="1" applyProtection="1">
      <alignment horizontal="center" vertical="center"/>
      <protection hidden="1"/>
    </xf>
    <xf numFmtId="185" fontId="36" fillId="27" borderId="206" xfId="0" applyNumberFormat="1" applyFont="1" applyFill="1" applyBorder="1" applyAlignment="1" applyProtection="1">
      <alignment horizontal="center" vertical="center"/>
      <protection hidden="1"/>
    </xf>
    <xf numFmtId="218" fontId="33" fillId="27" borderId="10" xfId="0" applyNumberFormat="1" applyFont="1" applyFill="1" applyBorder="1">
      <alignment vertical="center"/>
    </xf>
    <xf numFmtId="218" fontId="33" fillId="27" borderId="51" xfId="0" applyNumberFormat="1" applyFont="1" applyFill="1" applyBorder="1">
      <alignment vertical="center"/>
    </xf>
    <xf numFmtId="218" fontId="33" fillId="27" borderId="144" xfId="0" applyNumberFormat="1" applyFont="1" applyFill="1" applyBorder="1">
      <alignment vertical="center"/>
    </xf>
    <xf numFmtId="0" fontId="33" fillId="27" borderId="100" xfId="0" applyFont="1" applyFill="1" applyBorder="1" applyProtection="1">
      <alignment vertical="center"/>
    </xf>
    <xf numFmtId="188" fontId="126" fillId="27" borderId="144" xfId="35" applyNumberFormat="1" applyFont="1" applyFill="1" applyBorder="1" applyAlignment="1" applyProtection="1">
      <alignment horizontal="center" vertical="center"/>
    </xf>
    <xf numFmtId="179" fontId="33" fillId="27" borderId="16" xfId="0" quotePrefix="1" applyNumberFormat="1" applyFont="1" applyFill="1" applyBorder="1" applyAlignment="1">
      <alignment horizontal="center" vertical="center"/>
    </xf>
    <xf numFmtId="179" fontId="33"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6" fillId="27" borderId="13" xfId="0" applyFont="1" applyFill="1" applyBorder="1" applyAlignment="1">
      <alignment horizontal="left" vertical="center"/>
    </xf>
    <xf numFmtId="0" fontId="6" fillId="27" borderId="171" xfId="0" applyFont="1" applyFill="1" applyBorder="1" applyAlignment="1">
      <alignment horizontal="left" vertical="center"/>
    </xf>
    <xf numFmtId="185" fontId="36" fillId="27" borderId="148" xfId="0" applyNumberFormat="1" applyFont="1" applyFill="1" applyBorder="1" applyAlignment="1" applyProtection="1">
      <alignment horizontal="center" vertical="center"/>
      <protection hidden="1"/>
    </xf>
    <xf numFmtId="0" fontId="0" fillId="0" borderId="0" xfId="0">
      <alignment vertical="center"/>
    </xf>
    <xf numFmtId="181" fontId="28" fillId="27" borderId="13" xfId="0" applyNumberFormat="1" applyFont="1" applyFill="1" applyBorder="1" applyAlignment="1" applyProtection="1">
      <alignment horizontal="left" vertical="center"/>
      <protection hidden="1"/>
    </xf>
    <xf numFmtId="0" fontId="27" fillId="49" borderId="0" xfId="0" applyFont="1" applyFill="1" applyBorder="1" applyAlignment="1">
      <alignment horizontal="left" vertical="center"/>
    </xf>
    <xf numFmtId="181" fontId="37" fillId="31" borderId="26" xfId="0" applyNumberFormat="1" applyFont="1" applyFill="1" applyBorder="1" applyAlignment="1" applyProtection="1">
      <alignment horizontal="centerContinuous" vertical="center"/>
      <protection hidden="1"/>
    </xf>
    <xf numFmtId="0" fontId="45" fillId="49" borderId="0" xfId="0" applyFont="1" applyFill="1" applyBorder="1" applyAlignment="1" applyProtection="1">
      <alignment horizontal="left" vertical="center"/>
      <protection hidden="1"/>
    </xf>
    <xf numFmtId="0" fontId="0" fillId="50" borderId="10" xfId="0" applyFill="1" applyBorder="1">
      <alignment vertical="center"/>
    </xf>
    <xf numFmtId="177" fontId="29" fillId="0" borderId="144" xfId="0" applyNumberFormat="1" applyFont="1" applyFill="1" applyBorder="1" applyAlignment="1" applyProtection="1">
      <alignment horizontal="center" vertical="center"/>
      <protection hidden="1"/>
    </xf>
    <xf numFmtId="0" fontId="33" fillId="0" borderId="0" xfId="0" applyFont="1" applyBorder="1">
      <alignment vertical="center"/>
    </xf>
    <xf numFmtId="0" fontId="126" fillId="0" borderId="0" xfId="0" applyFont="1">
      <alignment vertical="center"/>
    </xf>
    <xf numFmtId="0" fontId="33" fillId="0" borderId="52" xfId="0" applyFont="1" applyBorder="1">
      <alignment vertical="center"/>
    </xf>
    <xf numFmtId="0" fontId="33" fillId="0" borderId="64" xfId="0" applyFont="1" applyBorder="1">
      <alignment vertical="center"/>
    </xf>
    <xf numFmtId="0" fontId="33" fillId="0" borderId="56" xfId="0" applyFont="1" applyBorder="1">
      <alignment vertical="center"/>
    </xf>
    <xf numFmtId="0" fontId="33" fillId="0" borderId="17" xfId="0" applyFont="1" applyBorder="1">
      <alignment vertical="center"/>
    </xf>
    <xf numFmtId="38" fontId="33" fillId="0" borderId="10" xfId="35" applyFont="1" applyBorder="1" applyAlignment="1">
      <alignment horizontal="center"/>
    </xf>
    <xf numFmtId="0" fontId="0" fillId="50" borderId="0" xfId="0" applyFill="1">
      <alignment vertical="center"/>
    </xf>
    <xf numFmtId="188" fontId="33" fillId="27" borderId="0" xfId="0" applyNumberFormat="1" applyFont="1" applyFill="1" applyBorder="1" applyProtection="1">
      <alignment vertical="center"/>
    </xf>
    <xf numFmtId="0" fontId="0" fillId="50" borderId="57" xfId="0" quotePrefix="1" applyFill="1" applyBorder="1">
      <alignment vertical="center"/>
    </xf>
    <xf numFmtId="0" fontId="33" fillId="50" borderId="10" xfId="0" applyFont="1" applyFill="1" applyBorder="1">
      <alignment vertical="center"/>
    </xf>
    <xf numFmtId="222" fontId="33" fillId="50" borderId="10" xfId="0" applyNumberFormat="1" applyFont="1" applyFill="1" applyBorder="1">
      <alignment vertical="center"/>
    </xf>
    <xf numFmtId="222" fontId="33" fillId="50" borderId="10" xfId="35" applyNumberFormat="1" applyFont="1" applyFill="1" applyBorder="1">
      <alignment vertical="center"/>
    </xf>
    <xf numFmtId="0" fontId="33" fillId="50" borderId="0" xfId="0" applyFont="1" applyFill="1">
      <alignment vertical="center"/>
    </xf>
    <xf numFmtId="38" fontId="33" fillId="50" borderId="10" xfId="35" applyFont="1" applyFill="1" applyBorder="1">
      <alignment vertical="center"/>
    </xf>
    <xf numFmtId="0" fontId="0" fillId="0" borderId="0" xfId="0">
      <alignment vertical="center"/>
    </xf>
    <xf numFmtId="181" fontId="28" fillId="27" borderId="164"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179" fontId="28" fillId="31" borderId="26" xfId="0" applyNumberFormat="1" applyFont="1" applyFill="1" applyBorder="1" applyAlignment="1" applyProtection="1">
      <alignment vertical="center"/>
      <protection hidden="1"/>
    </xf>
    <xf numFmtId="180" fontId="28" fillId="31" borderId="155" xfId="0" applyNumberFormat="1" applyFont="1" applyFill="1" applyBorder="1" applyAlignment="1" applyProtection="1">
      <alignment horizontal="left" vertical="center"/>
      <protection hidden="1"/>
    </xf>
    <xf numFmtId="0" fontId="33" fillId="51" borderId="0" xfId="0" applyFont="1" applyFill="1" applyBorder="1" applyProtection="1">
      <alignment vertical="center"/>
    </xf>
    <xf numFmtId="0" fontId="166" fillId="27" borderId="0"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3" xfId="0" applyFont="1" applyFill="1" applyBorder="1" applyAlignment="1" applyProtection="1">
      <alignment horizontal="left" vertical="center"/>
      <protection hidden="1"/>
    </xf>
    <xf numFmtId="0" fontId="166" fillId="27" borderId="57" xfId="0" applyFont="1" applyFill="1" applyBorder="1" applyAlignment="1">
      <alignment horizontal="left" vertical="center"/>
    </xf>
    <xf numFmtId="181" fontId="28" fillId="31" borderId="89" xfId="0" applyNumberFormat="1" applyFont="1" applyFill="1" applyBorder="1" applyAlignment="1" applyProtection="1">
      <alignment horizontal="centerContinuous" vertical="center"/>
      <protection hidden="1"/>
    </xf>
    <xf numFmtId="181" fontId="28" fillId="31" borderId="53" xfId="0" applyNumberFormat="1" applyFont="1" applyFill="1" applyBorder="1" applyAlignment="1" applyProtection="1">
      <alignment horizontal="centerContinuous" vertical="top"/>
      <protection hidden="1"/>
    </xf>
    <xf numFmtId="0" fontId="28" fillId="27" borderId="54" xfId="0" applyFont="1" applyFill="1" applyBorder="1" applyAlignment="1" applyProtection="1">
      <alignment horizontal="left" vertical="center"/>
      <protection hidden="1"/>
    </xf>
    <xf numFmtId="176" fontId="28" fillId="27" borderId="64" xfId="0" applyNumberFormat="1" applyFont="1" applyFill="1" applyBorder="1" applyAlignment="1" applyProtection="1">
      <alignment horizontal="left" vertical="center"/>
      <protection hidden="1"/>
    </xf>
    <xf numFmtId="0" fontId="166" fillId="27" borderId="17" xfId="0" applyFont="1" applyFill="1" applyBorder="1" applyAlignment="1">
      <alignment horizontal="left" vertical="center"/>
    </xf>
    <xf numFmtId="176" fontId="28" fillId="27" borderId="56" xfId="0" applyNumberFormat="1" applyFont="1" applyFill="1" applyBorder="1" applyAlignment="1" applyProtection="1">
      <alignment horizontal="left" vertical="center"/>
      <protection hidden="1"/>
    </xf>
    <xf numFmtId="0" fontId="166" fillId="27" borderId="58" xfId="0" applyFont="1" applyFill="1" applyBorder="1" applyAlignment="1">
      <alignment horizontal="left" vertical="center"/>
    </xf>
    <xf numFmtId="2" fontId="33" fillId="0" borderId="0" xfId="0" applyNumberFormat="1" applyFont="1" applyFill="1" applyBorder="1" applyAlignment="1" applyProtection="1">
      <alignment horizontal="center"/>
      <protection hidden="1"/>
    </xf>
    <xf numFmtId="2" fontId="33" fillId="0" borderId="0" xfId="0" applyNumberFormat="1" applyFont="1" applyFill="1" applyBorder="1" applyAlignment="1" applyProtection="1">
      <alignment horizontal="center" vertical="top" shrinkToFit="1"/>
      <protection hidden="1"/>
    </xf>
    <xf numFmtId="40" fontId="33"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vertical="center"/>
      <protection hidden="1"/>
    </xf>
    <xf numFmtId="178" fontId="33"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6" fillId="0" borderId="0" xfId="0" applyFont="1" applyAlignment="1">
      <alignment horizontal="left" vertical="center"/>
    </xf>
    <xf numFmtId="0" fontId="48" fillId="0" borderId="0" xfId="0" applyFont="1" applyAlignment="1" applyProtection="1">
      <alignment horizontal="left" vertical="center"/>
    </xf>
    <xf numFmtId="0" fontId="152" fillId="0" borderId="0" xfId="0" applyFont="1" applyFill="1" applyAlignment="1" applyProtection="1">
      <alignment horizontal="left" vertical="center"/>
    </xf>
    <xf numFmtId="0" fontId="152" fillId="0" borderId="0" xfId="0" applyFont="1" applyFill="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52" fillId="0" borderId="0" xfId="0" applyFont="1" applyFill="1" applyAlignment="1">
      <alignment horizontal="left" vertical="center"/>
    </xf>
    <xf numFmtId="0" fontId="46" fillId="0" borderId="0" xfId="0" applyFont="1" applyFill="1" applyAlignment="1">
      <alignment horizontal="left" vertical="center"/>
    </xf>
    <xf numFmtId="0" fontId="166" fillId="0" borderId="0" xfId="0" applyFont="1" applyAlignment="1">
      <alignment horizontal="left" vertical="center"/>
    </xf>
    <xf numFmtId="0" fontId="48" fillId="49" borderId="0" xfId="0" applyFont="1" applyFill="1" applyAlignment="1" applyProtection="1">
      <alignment horizontal="left" vertical="center"/>
      <protection hidden="1"/>
    </xf>
    <xf numFmtId="0" fontId="126" fillId="27" borderId="63" xfId="44" applyFont="1" applyFill="1" applyBorder="1" applyAlignment="1" applyProtection="1">
      <alignment horizontal="center" vertical="center"/>
    </xf>
    <xf numFmtId="0" fontId="126" fillId="51" borderId="0" xfId="0" applyFont="1" applyFill="1" applyBorder="1" applyProtection="1">
      <alignment vertical="center"/>
    </xf>
    <xf numFmtId="220" fontId="0" fillId="0" borderId="0" xfId="0" applyNumberFormat="1">
      <alignment vertical="center"/>
    </xf>
    <xf numFmtId="0" fontId="33" fillId="0" borderId="0" xfId="0" applyFont="1" applyProtection="1">
      <alignment vertical="center"/>
    </xf>
    <xf numFmtId="0" fontId="28" fillId="27" borderId="0" xfId="44" applyFont="1" applyFill="1" applyBorder="1" applyAlignment="1" applyProtection="1">
      <alignment horizontal="right" vertical="center"/>
    </xf>
    <xf numFmtId="178" fontId="33" fillId="27" borderId="10" xfId="44" applyNumberFormat="1" applyFont="1" applyFill="1" applyBorder="1" applyAlignment="1" applyProtection="1">
      <alignment vertical="center"/>
    </xf>
    <xf numFmtId="178" fontId="33" fillId="27" borderId="26" xfId="44" applyNumberFormat="1" applyFont="1" applyFill="1" applyBorder="1" applyAlignment="1" applyProtection="1">
      <alignment vertical="center"/>
    </xf>
    <xf numFmtId="178" fontId="33" fillId="27" borderId="10" xfId="28" applyNumberFormat="1" applyFont="1" applyFill="1" applyBorder="1" applyAlignment="1" applyProtection="1">
      <alignment horizontal="center" vertical="center"/>
    </xf>
    <xf numFmtId="178" fontId="33" fillId="27" borderId="152" xfId="44" applyNumberFormat="1" applyFont="1" applyFill="1" applyBorder="1" applyAlignment="1" applyProtection="1">
      <alignment vertical="center"/>
    </xf>
    <xf numFmtId="0" fontId="28" fillId="27" borderId="0" xfId="44" applyFont="1" applyFill="1" applyBorder="1" applyAlignment="1" applyProtection="1">
      <alignment horizontal="left" vertical="center"/>
    </xf>
    <xf numFmtId="178" fontId="33" fillId="27" borderId="0" xfId="44" applyNumberFormat="1" applyFont="1" applyFill="1" applyBorder="1" applyAlignment="1" applyProtection="1">
      <alignment vertical="center"/>
    </xf>
    <xf numFmtId="177" fontId="33" fillId="27" borderId="0" xfId="44" applyNumberFormat="1" applyFont="1" applyFill="1" applyBorder="1" applyAlignment="1" applyProtection="1">
      <alignment horizontal="center" vertical="center"/>
    </xf>
    <xf numFmtId="178" fontId="33" fillId="27" borderId="0" xfId="28" applyNumberFormat="1" applyFont="1" applyFill="1" applyBorder="1" applyAlignment="1" applyProtection="1">
      <alignment horizontal="center" vertical="center"/>
    </xf>
    <xf numFmtId="178" fontId="33" fillId="27" borderId="63" xfId="44" applyNumberFormat="1" applyFont="1" applyFill="1" applyBorder="1" applyAlignment="1" applyProtection="1">
      <alignment vertical="center"/>
    </xf>
    <xf numFmtId="0" fontId="33" fillId="27" borderId="10" xfId="44" applyFont="1" applyFill="1" applyBorder="1" applyAlignment="1" applyProtection="1">
      <alignment vertical="center"/>
    </xf>
    <xf numFmtId="0" fontId="33" fillId="27" borderId="0" xfId="44" applyFont="1" applyFill="1" applyBorder="1" applyAlignment="1" applyProtection="1">
      <alignment horizontal="center" vertical="center"/>
    </xf>
    <xf numFmtId="182" fontId="33" fillId="27" borderId="0" xfId="44" applyNumberFormat="1" applyFont="1" applyFill="1" applyBorder="1" applyAlignment="1" applyProtection="1">
      <alignment horizontal="center" vertical="center"/>
    </xf>
    <xf numFmtId="0" fontId="33" fillId="27" borderId="63" xfId="44" applyFont="1" applyFill="1" applyBorder="1" applyAlignment="1" applyProtection="1">
      <alignment vertical="center"/>
    </xf>
    <xf numFmtId="0" fontId="126" fillId="27" borderId="62" xfId="0" applyFont="1" applyFill="1" applyBorder="1" applyProtection="1">
      <alignment vertical="center"/>
    </xf>
    <xf numFmtId="9" fontId="33" fillId="27" borderId="10" xfId="0" applyNumberFormat="1" applyFont="1" applyFill="1" applyBorder="1" applyProtection="1">
      <alignment vertical="center"/>
    </xf>
    <xf numFmtId="9" fontId="33" fillId="27" borderId="10" xfId="28" applyFont="1" applyFill="1" applyBorder="1" applyProtection="1">
      <alignment vertical="center"/>
    </xf>
    <xf numFmtId="179" fontId="33" fillId="27" borderId="144" xfId="44" applyNumberFormat="1" applyFont="1" applyFill="1" applyBorder="1" applyAlignment="1" applyProtection="1">
      <alignment horizontal="right" vertical="center"/>
    </xf>
    <xf numFmtId="179" fontId="33" fillId="27" borderId="0" xfId="44" applyNumberFormat="1" applyFont="1" applyFill="1" applyBorder="1" applyAlignment="1" applyProtection="1">
      <alignment horizontal="right" vertical="center"/>
    </xf>
    <xf numFmtId="179" fontId="33" fillId="27" borderId="63" xfId="44" applyNumberFormat="1" applyFont="1" applyFill="1" applyBorder="1" applyAlignment="1" applyProtection="1">
      <alignment horizontal="right" vertical="center"/>
    </xf>
    <xf numFmtId="177" fontId="33" fillId="27" borderId="27" xfId="44" applyNumberFormat="1" applyFont="1" applyFill="1" applyBorder="1" applyAlignment="1" applyProtection="1">
      <alignment horizontal="center" vertical="center"/>
    </xf>
    <xf numFmtId="211" fontId="33" fillId="27" borderId="10" xfId="0" applyNumberFormat="1" applyFont="1" applyFill="1" applyBorder="1" applyProtection="1">
      <alignment vertical="center"/>
    </xf>
    <xf numFmtId="0" fontId="33" fillId="27" borderId="152" xfId="0" applyFont="1" applyFill="1" applyBorder="1" applyProtection="1">
      <alignment vertical="center"/>
    </xf>
    <xf numFmtId="0" fontId="33" fillId="27" borderId="144" xfId="0" applyFont="1" applyFill="1" applyBorder="1" applyAlignment="1" applyProtection="1">
      <alignment horizontal="left" vertical="center"/>
    </xf>
    <xf numFmtId="0" fontId="33" fillId="27" borderId="63" xfId="0" applyFont="1" applyFill="1" applyBorder="1" applyAlignment="1" applyProtection="1">
      <alignment horizontal="left" vertical="center"/>
    </xf>
    <xf numFmtId="0" fontId="33" fillId="27" borderId="62" xfId="44" applyFont="1" applyFill="1" applyBorder="1" applyAlignment="1" applyProtection="1"/>
    <xf numFmtId="0" fontId="33" fillId="27" borderId="0" xfId="44" applyFont="1" applyFill="1" applyBorder="1" applyAlignment="1" applyProtection="1">
      <alignment horizontal="left"/>
    </xf>
    <xf numFmtId="38" fontId="33" fillId="27" borderId="10" xfId="35" applyFont="1" applyFill="1" applyBorder="1" applyAlignment="1" applyProtection="1"/>
    <xf numFmtId="0" fontId="33" fillId="27" borderId="26" xfId="0" applyFont="1" applyFill="1" applyBorder="1" applyProtection="1">
      <alignment vertical="center"/>
    </xf>
    <xf numFmtId="38" fontId="33" fillId="27" borderId="0" xfId="35" applyFont="1" applyFill="1" applyBorder="1" applyAlignment="1" applyProtection="1"/>
    <xf numFmtId="38" fontId="33" fillId="27" borderId="63" xfId="35" applyFont="1" applyFill="1" applyBorder="1" applyAlignment="1" applyProtection="1"/>
    <xf numFmtId="0" fontId="33" fillId="27" borderId="152" xfId="44" applyFont="1" applyFill="1" applyBorder="1" applyAlignment="1" applyProtection="1"/>
    <xf numFmtId="38" fontId="33" fillId="27" borderId="153" xfId="35" applyFont="1" applyFill="1" applyBorder="1" applyAlignment="1" applyProtection="1"/>
    <xf numFmtId="38" fontId="33" fillId="27" borderId="26" xfId="35" applyFont="1" applyFill="1" applyBorder="1" applyAlignment="1" applyProtection="1"/>
    <xf numFmtId="38" fontId="33" fillId="27" borderId="123" xfId="35" applyFont="1" applyFill="1" applyBorder="1" applyAlignment="1" applyProtection="1"/>
    <xf numFmtId="38" fontId="33" fillId="27" borderId="139" xfId="35" applyFont="1" applyFill="1" applyBorder="1" applyAlignment="1" applyProtection="1"/>
    <xf numFmtId="0" fontId="33" fillId="27" borderId="0" xfId="0" applyFont="1" applyFill="1" applyBorder="1" applyAlignment="1" applyProtection="1">
      <alignment horizontal="right"/>
    </xf>
    <xf numFmtId="38" fontId="33" fillId="27" borderId="10" xfId="35" applyFont="1" applyFill="1" applyBorder="1" applyAlignment="1" applyProtection="1">
      <alignment vertical="center"/>
    </xf>
    <xf numFmtId="40" fontId="33" fillId="27" borderId="152" xfId="35" applyNumberFormat="1" applyFont="1" applyFill="1" applyBorder="1" applyAlignment="1" applyProtection="1">
      <alignment vertical="center"/>
    </xf>
    <xf numFmtId="0" fontId="28" fillId="27" borderId="0" xfId="0" applyFont="1" applyFill="1" applyBorder="1" applyAlignment="1" applyProtection="1">
      <alignment horizontal="center" vertical="center"/>
    </xf>
    <xf numFmtId="182" fontId="33" fillId="27" borderId="0" xfId="44" applyNumberFormat="1" applyFont="1" applyFill="1" applyBorder="1" applyAlignment="1" applyProtection="1">
      <alignment horizontal="left" vertical="center"/>
    </xf>
    <xf numFmtId="0" fontId="28" fillId="27" borderId="10" xfId="0" applyFont="1" applyFill="1" applyBorder="1" applyAlignment="1" applyProtection="1">
      <alignment horizontal="center" vertical="center"/>
      <protection locked="0" hidden="1"/>
    </xf>
    <xf numFmtId="0" fontId="0" fillId="0" borderId="0" xfId="0">
      <alignment vertical="center"/>
    </xf>
    <xf numFmtId="182" fontId="63" fillId="37" borderId="60" xfId="0" applyNumberFormat="1" applyFont="1" applyFill="1" applyBorder="1" applyAlignment="1" applyProtection="1">
      <alignment horizontal="left" vertical="center"/>
      <protection hidden="1"/>
    </xf>
    <xf numFmtId="182" fontId="111" fillId="37" borderId="69" xfId="0" applyNumberFormat="1" applyFont="1" applyFill="1" applyBorder="1" applyAlignment="1" applyProtection="1">
      <alignment horizontal="left" vertical="center"/>
      <protection hidden="1"/>
    </xf>
    <xf numFmtId="198" fontId="33" fillId="27" borderId="51" xfId="0" applyNumberFormat="1" applyFont="1" applyFill="1" applyBorder="1" applyAlignment="1" applyProtection="1">
      <alignment horizontal="center" vertical="center"/>
      <protection hidden="1"/>
    </xf>
    <xf numFmtId="185" fontId="15" fillId="27" borderId="100" xfId="0" applyNumberFormat="1" applyFont="1" applyFill="1" applyBorder="1" applyAlignment="1" applyProtection="1">
      <alignment horizontal="center" vertical="top" wrapText="1"/>
      <protection hidden="1"/>
    </xf>
    <xf numFmtId="198" fontId="36" fillId="33" borderId="225" xfId="0" applyNumberFormat="1" applyFont="1" applyFill="1" applyBorder="1" applyAlignment="1" applyProtection="1">
      <alignment horizontal="center" vertical="center"/>
      <protection hidden="1"/>
    </xf>
    <xf numFmtId="185" fontId="64" fillId="33" borderId="134" xfId="0" applyNumberFormat="1" applyFont="1" applyFill="1" applyBorder="1" applyAlignment="1" applyProtection="1">
      <alignment horizontal="center" vertical="center"/>
      <protection hidden="1"/>
    </xf>
    <xf numFmtId="223" fontId="36" fillId="31" borderId="226" xfId="0" applyNumberFormat="1" applyFont="1" applyFill="1" applyBorder="1" applyAlignment="1" applyProtection="1">
      <alignment horizontal="center" vertical="center"/>
      <protection hidden="1"/>
    </xf>
    <xf numFmtId="185" fontId="127" fillId="27" borderId="229" xfId="0" applyNumberFormat="1" applyFont="1" applyFill="1" applyBorder="1" applyAlignment="1" applyProtection="1">
      <alignment horizontal="center" vertical="center"/>
      <protection hidden="1"/>
    </xf>
    <xf numFmtId="2" fontId="28" fillId="0" borderId="10" xfId="0" applyNumberFormat="1" applyFont="1" applyFill="1" applyBorder="1" applyAlignment="1" applyProtection="1">
      <alignment horizontal="center" vertical="justify"/>
      <protection hidden="1"/>
    </xf>
    <xf numFmtId="178" fontId="28" fillId="0" borderId="230" xfId="0" applyNumberFormat="1" applyFont="1" applyFill="1" applyBorder="1" applyAlignment="1" applyProtection="1">
      <alignment horizontal="center" vertical="justify"/>
      <protection hidden="1"/>
    </xf>
    <xf numFmtId="198" fontId="33" fillId="27" borderId="52" xfId="0" applyNumberFormat="1" applyFont="1" applyFill="1" applyBorder="1" applyAlignment="1" applyProtection="1">
      <alignment horizontal="center" vertical="center"/>
      <protection hidden="1"/>
    </xf>
    <xf numFmtId="198" fontId="36" fillId="33" borderId="232" xfId="0" applyNumberFormat="1" applyFont="1" applyFill="1" applyBorder="1" applyAlignment="1" applyProtection="1">
      <alignment horizontal="center" vertical="center"/>
      <protection hidden="1"/>
    </xf>
    <xf numFmtId="223" fontId="36" fillId="31" borderId="233" xfId="0" applyNumberFormat="1" applyFont="1" applyFill="1" applyBorder="1" applyAlignment="1" applyProtection="1">
      <alignment horizontal="center" vertical="center"/>
      <protection hidden="1"/>
    </xf>
    <xf numFmtId="0" fontId="28" fillId="27" borderId="72" xfId="0" applyFont="1" applyFill="1" applyBorder="1" applyAlignment="1" applyProtection="1">
      <alignment horizontal="centerContinuous" vertical="center" shrinkToFit="1"/>
      <protection hidden="1"/>
    </xf>
    <xf numFmtId="0" fontId="6" fillId="27" borderId="75" xfId="0" applyFont="1" applyFill="1" applyBorder="1" applyAlignment="1" applyProtection="1">
      <alignment horizontal="centerContinuous" vertical="center"/>
      <protection hidden="1"/>
    </xf>
    <xf numFmtId="185" fontId="26" fillId="27" borderId="235" xfId="0" applyNumberFormat="1" applyFont="1" applyFill="1" applyBorder="1" applyAlignment="1" applyProtection="1">
      <alignment horizontal="center" vertical="center" wrapText="1"/>
      <protection hidden="1"/>
    </xf>
    <xf numFmtId="185" fontId="85" fillId="27" borderId="140" xfId="0" applyNumberFormat="1" applyFont="1" applyFill="1" applyBorder="1" applyAlignment="1" applyProtection="1">
      <alignment horizontal="center" vertical="center" wrapText="1"/>
      <protection hidden="1"/>
    </xf>
    <xf numFmtId="182" fontId="37" fillId="33" borderId="236" xfId="0" applyNumberFormat="1" applyFont="1" applyFill="1" applyBorder="1" applyAlignment="1" applyProtection="1">
      <alignment horizontal="left"/>
      <protection hidden="1"/>
    </xf>
    <xf numFmtId="198" fontId="102" fillId="33" borderId="237" xfId="0" applyNumberFormat="1" applyFont="1" applyFill="1" applyBorder="1" applyAlignment="1" applyProtection="1">
      <alignment horizontal="center" vertical="center"/>
      <protection hidden="1"/>
    </xf>
    <xf numFmtId="182" fontId="37" fillId="31" borderId="238" xfId="0" applyNumberFormat="1" applyFont="1" applyFill="1" applyBorder="1" applyAlignment="1" applyProtection="1">
      <alignment horizontal="left"/>
      <protection hidden="1"/>
    </xf>
    <xf numFmtId="198" fontId="127" fillId="31" borderId="239" xfId="0" applyNumberFormat="1" applyFont="1" applyFill="1" applyBorder="1" applyAlignment="1" applyProtection="1">
      <alignment horizontal="center" vertical="center"/>
      <protection hidden="1"/>
    </xf>
    <xf numFmtId="185" fontId="36" fillId="27" borderId="240" xfId="0" applyNumberFormat="1" applyFont="1" applyFill="1" applyBorder="1" applyAlignment="1" applyProtection="1">
      <alignment horizontal="center" vertical="center"/>
      <protection hidden="1"/>
    </xf>
    <xf numFmtId="198" fontId="130" fillId="27" borderId="228"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5" fontId="36" fillId="27" borderId="161" xfId="0" applyNumberFormat="1" applyFont="1" applyFill="1" applyBorder="1" applyAlignment="1" applyProtection="1">
      <alignment horizontal="center" vertical="center"/>
      <protection hidden="1"/>
    </xf>
    <xf numFmtId="223" fontId="36" fillId="52" borderId="227" xfId="0" applyNumberFormat="1" applyFont="1" applyFill="1" applyBorder="1" applyAlignment="1" applyProtection="1">
      <alignment horizontal="center" vertical="center"/>
      <protection locked="0"/>
    </xf>
    <xf numFmtId="223" fontId="36" fillId="52" borderId="234" xfId="0" applyNumberFormat="1" applyFont="1" applyFill="1" applyBorder="1" applyAlignment="1" applyProtection="1">
      <alignment horizontal="center" vertical="center"/>
      <protection locked="0"/>
    </xf>
    <xf numFmtId="223" fontId="36" fillId="52" borderId="10" xfId="0" applyNumberFormat="1" applyFont="1" applyFill="1" applyBorder="1" applyAlignment="1" applyProtection="1">
      <alignment horizontal="center" vertical="center"/>
      <protection locked="0"/>
    </xf>
    <xf numFmtId="0" fontId="0" fillId="0" borderId="0" xfId="0">
      <alignment vertical="center"/>
    </xf>
    <xf numFmtId="177" fontId="53" fillId="40" borderId="51" xfId="0" applyNumberFormat="1" applyFont="1" applyFill="1" applyBorder="1" applyAlignment="1" applyProtection="1">
      <alignment horizontal="center" vertical="center"/>
      <protection hidden="1"/>
    </xf>
    <xf numFmtId="0" fontId="130" fillId="0" borderId="51" xfId="0" applyNumberFormat="1" applyFont="1" applyFill="1" applyBorder="1" applyAlignment="1" applyProtection="1">
      <alignment horizontal="center" vertical="center"/>
      <protection hidden="1"/>
    </xf>
    <xf numFmtId="0" fontId="53" fillId="0" borderId="51" xfId="0" applyNumberFormat="1" applyFont="1" applyBorder="1" applyAlignment="1" applyProtection="1">
      <alignment horizontal="center" vertical="center"/>
      <protection hidden="1"/>
    </xf>
    <xf numFmtId="0" fontId="26" fillId="0" borderId="51" xfId="0" applyNumberFormat="1" applyFont="1" applyFill="1" applyBorder="1" applyAlignment="1" applyProtection="1">
      <alignment horizontal="center" vertical="justify"/>
      <protection hidden="1"/>
    </xf>
    <xf numFmtId="0" fontId="26" fillId="0" borderId="60" xfId="0" applyFont="1" applyFill="1" applyBorder="1" applyAlignment="1" applyProtection="1">
      <alignment horizontal="center" vertical="justify"/>
      <protection hidden="1"/>
    </xf>
    <xf numFmtId="0" fontId="0" fillId="0" borderId="60" xfId="0" applyBorder="1">
      <alignment vertical="center"/>
    </xf>
    <xf numFmtId="0" fontId="53" fillId="0" borderId="178" xfId="0" applyNumberFormat="1" applyFont="1" applyBorder="1" applyAlignment="1" applyProtection="1">
      <alignment horizontal="center" vertical="center"/>
      <protection hidden="1"/>
    </xf>
    <xf numFmtId="0" fontId="127" fillId="0" borderId="178" xfId="0" applyNumberFormat="1" applyFont="1" applyFill="1" applyBorder="1" applyAlignment="1" applyProtection="1">
      <alignment horizontal="center" vertical="center"/>
      <protection hidden="1"/>
    </xf>
    <xf numFmtId="0" fontId="26" fillId="0" borderId="178" xfId="0" applyNumberFormat="1" applyFont="1" applyFill="1" applyBorder="1" applyAlignment="1" applyProtection="1">
      <alignment horizontal="center" vertical="justify"/>
      <protection hidden="1"/>
    </xf>
    <xf numFmtId="0" fontId="29" fillId="0" borderId="178" xfId="0" applyFont="1" applyFill="1" applyBorder="1" applyProtection="1">
      <alignment vertical="center"/>
      <protection hidden="1"/>
    </xf>
    <xf numFmtId="0" fontId="29" fillId="0" borderId="60" xfId="0" applyFont="1" applyFill="1" applyBorder="1" applyProtection="1">
      <alignment vertical="center"/>
      <protection hidden="1"/>
    </xf>
    <xf numFmtId="223" fontId="36" fillId="31" borderId="225" xfId="0" applyNumberFormat="1" applyFont="1" applyFill="1" applyBorder="1" applyAlignment="1" applyProtection="1">
      <alignment horizontal="center" vertical="center"/>
      <protection hidden="1"/>
    </xf>
    <xf numFmtId="223" fontId="36" fillId="31" borderId="232" xfId="0" applyNumberFormat="1" applyFont="1" applyFill="1" applyBorder="1" applyAlignment="1" applyProtection="1">
      <alignment horizontal="center" vertical="center"/>
      <protection hidden="1"/>
    </xf>
    <xf numFmtId="182" fontId="37" fillId="31" borderId="236" xfId="0" applyNumberFormat="1" applyFont="1" applyFill="1" applyBorder="1" applyAlignment="1" applyProtection="1">
      <alignment horizontal="left"/>
      <protection hidden="1"/>
    </xf>
    <xf numFmtId="198" fontId="127" fillId="31" borderId="237" xfId="0" applyNumberFormat="1" applyFont="1" applyFill="1" applyBorder="1" applyAlignment="1" applyProtection="1">
      <alignment horizontal="center" vertical="center"/>
      <protection hidden="1"/>
    </xf>
    <xf numFmtId="0" fontId="23" fillId="27" borderId="62" xfId="0" applyNumberFormat="1" applyFont="1" applyFill="1" applyBorder="1" applyAlignment="1" applyProtection="1">
      <alignment vertical="top"/>
      <protection hidden="1"/>
    </xf>
    <xf numFmtId="0" fontId="85" fillId="27" borderId="0" xfId="0" applyFont="1" applyFill="1" applyBorder="1" applyAlignment="1" applyProtection="1">
      <alignment horizontal="left" vertical="top"/>
      <protection hidden="1"/>
    </xf>
    <xf numFmtId="0" fontId="118" fillId="27" borderId="0" xfId="0" applyFont="1" applyFill="1" applyBorder="1" applyAlignment="1" applyProtection="1">
      <alignment vertical="top"/>
      <protection hidden="1"/>
    </xf>
    <xf numFmtId="0" fontId="119" fillId="27" borderId="0" xfId="0" applyFont="1" applyFill="1" applyBorder="1" applyAlignment="1" applyProtection="1">
      <alignment vertical="top"/>
      <protection hidden="1"/>
    </xf>
    <xf numFmtId="0" fontId="119" fillId="27" borderId="63" xfId="0" applyFont="1" applyFill="1" applyBorder="1" applyAlignment="1" applyProtection="1">
      <alignment vertical="top"/>
      <protection hidden="1"/>
    </xf>
    <xf numFmtId="0" fontId="63" fillId="33" borderId="128" xfId="0" applyNumberFormat="1" applyFont="1" applyFill="1" applyBorder="1" applyAlignment="1" applyProtection="1">
      <alignment vertical="center"/>
      <protection hidden="1"/>
    </xf>
    <xf numFmtId="0" fontId="124" fillId="33" borderId="129" xfId="0" applyNumberFormat="1" applyFont="1" applyFill="1" applyBorder="1" applyAlignment="1" applyProtection="1">
      <alignment horizontal="left" vertical="center"/>
      <protection hidden="1"/>
    </xf>
    <xf numFmtId="184" fontId="123" fillId="33" borderId="129" xfId="0" applyNumberFormat="1" applyFont="1" applyFill="1" applyBorder="1" applyAlignment="1" applyProtection="1">
      <alignment horizontal="center" vertical="center"/>
      <protection hidden="1"/>
    </xf>
    <xf numFmtId="184" fontId="63" fillId="33" borderId="129" xfId="0" applyNumberFormat="1" applyFont="1" applyFill="1" applyBorder="1" applyAlignment="1" applyProtection="1">
      <alignment horizontal="center" vertical="center"/>
      <protection hidden="1"/>
    </xf>
    <xf numFmtId="184" fontId="63" fillId="33" borderId="130" xfId="0" applyNumberFormat="1" applyFont="1" applyFill="1" applyBorder="1" applyAlignment="1" applyProtection="1">
      <alignment horizontal="center" vertical="center"/>
      <protection hidden="1"/>
    </xf>
    <xf numFmtId="223" fontId="36" fillId="31" borderId="236" xfId="0" applyNumberFormat="1"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5" fontId="0" fillId="0" borderId="0" xfId="0" applyNumberFormat="1">
      <alignment vertical="center"/>
    </xf>
    <xf numFmtId="2" fontId="0" fillId="50" borderId="10" xfId="0" applyNumberFormat="1" applyFill="1" applyBorder="1">
      <alignment vertical="center"/>
    </xf>
    <xf numFmtId="182" fontId="28" fillId="27" borderId="178" xfId="0" applyNumberFormat="1" applyFont="1" applyFill="1" applyBorder="1" applyAlignment="1" applyProtection="1">
      <alignment horizontal="center" vertical="center"/>
      <protection hidden="1"/>
    </xf>
    <xf numFmtId="182" fontId="28" fillId="27" borderId="231" xfId="0" applyNumberFormat="1" applyFont="1" applyFill="1" applyBorder="1" applyAlignment="1" applyProtection="1">
      <alignment horizontal="center" vertical="center"/>
      <protection hidden="1"/>
    </xf>
    <xf numFmtId="182" fontId="28" fillId="27" borderId="178"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197" fontId="126" fillId="53" borderId="10" xfId="35" applyNumberFormat="1" applyFont="1" applyFill="1" applyBorder="1" applyAlignment="1" applyProtection="1">
      <alignment horizontal="center" vertical="center"/>
      <protection hidden="1"/>
    </xf>
    <xf numFmtId="0" fontId="23" fillId="0" borderId="0" xfId="0" applyFont="1">
      <alignment vertical="center"/>
    </xf>
    <xf numFmtId="0" fontId="23" fillId="29" borderId="57" xfId="0" applyFont="1" applyFill="1" applyBorder="1" applyAlignment="1" applyProtection="1">
      <alignment horizontal="left" vertical="center"/>
    </xf>
    <xf numFmtId="0" fontId="0" fillId="0" borderId="57" xfId="0" applyBorder="1" applyProtection="1">
      <alignment vertical="center"/>
    </xf>
    <xf numFmtId="0" fontId="23" fillId="29" borderId="0" xfId="0" applyFont="1" applyFill="1" applyBorder="1" applyAlignment="1" applyProtection="1">
      <alignment horizontal="left" vertical="center"/>
    </xf>
    <xf numFmtId="0" fontId="0" fillId="0" borderId="0" xfId="0" applyBorder="1" applyProtection="1">
      <alignment vertical="center"/>
    </xf>
    <xf numFmtId="0" fontId="48" fillId="29" borderId="0" xfId="0" applyFont="1" applyFill="1" applyAlignment="1" applyProtection="1">
      <alignment horizontal="left" vertical="center"/>
    </xf>
    <xf numFmtId="0" fontId="33" fillId="41" borderId="144" xfId="0" applyFont="1" applyFill="1" applyBorder="1" applyAlignment="1" applyProtection="1">
      <alignment horizontal="right" vertical="center"/>
    </xf>
    <xf numFmtId="0" fontId="33" fillId="0" borderId="0" xfId="0" applyFont="1" applyFill="1" applyAlignment="1" applyProtection="1">
      <alignment vertical="center"/>
    </xf>
    <xf numFmtId="0" fontId="27" fillId="29" borderId="0" xfId="0" applyFont="1" applyFill="1" applyAlignment="1" applyProtection="1">
      <alignment horizontal="left" vertical="center"/>
    </xf>
    <xf numFmtId="0" fontId="26" fillId="29" borderId="0" xfId="0" applyFont="1" applyFill="1" applyAlignment="1" applyProtection="1">
      <alignment horizontal="left" vertical="center"/>
    </xf>
    <xf numFmtId="0" fontId="126" fillId="0" borderId="0" xfId="0" applyFont="1" applyAlignment="1" applyProtection="1">
      <alignment horizontal="right" vertical="center"/>
    </xf>
    <xf numFmtId="38" fontId="6" fillId="41" borderId="144" xfId="35" applyFill="1" applyBorder="1" applyProtection="1">
      <alignment vertical="center"/>
      <protection locked="0"/>
    </xf>
    <xf numFmtId="0" fontId="126" fillId="29" borderId="0" xfId="0" applyFont="1" applyFill="1" applyAlignment="1" applyProtection="1">
      <alignment horizontal="left" vertical="center"/>
    </xf>
    <xf numFmtId="0" fontId="0" fillId="0" borderId="241" xfId="0" applyBorder="1" applyAlignment="1" applyProtection="1">
      <alignment horizontal="center" vertical="center"/>
    </xf>
    <xf numFmtId="0" fontId="28" fillId="0" borderId="242" xfId="0" applyFont="1" applyBorder="1" applyAlignment="1" applyProtection="1">
      <alignment horizontal="centerContinuous" vertical="center"/>
    </xf>
    <xf numFmtId="0" fontId="0" fillId="0" borderId="242" xfId="0" applyBorder="1" applyAlignment="1" applyProtection="1">
      <alignment horizontal="centerContinuous" vertical="center"/>
    </xf>
    <xf numFmtId="0" fontId="28" fillId="0" borderId="243" xfId="0" applyFont="1" applyBorder="1" applyAlignment="1" applyProtection="1">
      <alignment horizontal="center" vertical="center" shrinkToFit="1"/>
    </xf>
    <xf numFmtId="9" fontId="6" fillId="27" borderId="244" xfId="28" applyFill="1" applyBorder="1" applyProtection="1">
      <alignment vertical="center"/>
    </xf>
    <xf numFmtId="38" fontId="6" fillId="41" borderId="245" xfId="35" applyFont="1" applyFill="1" applyBorder="1" applyProtection="1">
      <alignment vertical="center"/>
      <protection locked="0"/>
    </xf>
    <xf numFmtId="0" fontId="0" fillId="41" borderId="161" xfId="0" applyFill="1" applyBorder="1" applyProtection="1">
      <alignment vertical="center"/>
      <protection locked="0"/>
    </xf>
    <xf numFmtId="9" fontId="6" fillId="27" borderId="246" xfId="28" applyFill="1" applyBorder="1" applyProtection="1">
      <alignment vertical="center"/>
    </xf>
    <xf numFmtId="38" fontId="6" fillId="41" borderId="152" xfId="35" applyFont="1" applyFill="1" applyBorder="1" applyProtection="1">
      <alignment vertical="center"/>
      <protection locked="0"/>
    </xf>
    <xf numFmtId="0" fontId="28" fillId="29" borderId="0" xfId="0" applyFont="1" applyFill="1" applyBorder="1" applyAlignment="1" applyProtection="1">
      <alignment horizontal="center" vertical="center"/>
    </xf>
    <xf numFmtId="0" fontId="0" fillId="41" borderId="247" xfId="0" applyFill="1" applyBorder="1" applyProtection="1">
      <alignment vertical="center"/>
      <protection locked="0"/>
    </xf>
    <xf numFmtId="9" fontId="6" fillId="27" borderId="248" xfId="28" applyFill="1" applyBorder="1" applyProtection="1">
      <alignment vertical="center"/>
    </xf>
    <xf numFmtId="38" fontId="6" fillId="41" borderId="157" xfId="35" applyFont="1" applyFill="1" applyBorder="1" applyProtection="1">
      <alignment vertical="center"/>
      <protection locked="0"/>
    </xf>
    <xf numFmtId="38" fontId="6" fillId="27" borderId="144" xfId="35" applyFill="1" applyBorder="1" applyProtection="1">
      <alignment vertical="center"/>
    </xf>
    <xf numFmtId="0" fontId="126" fillId="0" borderId="0" xfId="0" applyFont="1" applyProtection="1">
      <alignment vertical="center"/>
    </xf>
    <xf numFmtId="0" fontId="135" fillId="39" borderId="144" xfId="0" applyFont="1" applyFill="1" applyBorder="1" applyAlignment="1" applyProtection="1">
      <alignment vertical="center"/>
      <protection locked="0"/>
    </xf>
    <xf numFmtId="0" fontId="6" fillId="0" borderId="0" xfId="0" applyFont="1" applyProtection="1">
      <alignment vertical="center"/>
    </xf>
    <xf numFmtId="0" fontId="28" fillId="0" borderId="0" xfId="0" applyFont="1" applyFill="1" applyBorder="1" applyProtection="1">
      <alignment vertical="center"/>
    </xf>
    <xf numFmtId="0" fontId="23" fillId="0" borderId="0" xfId="0" applyFont="1" applyBorder="1" applyProtection="1">
      <alignment vertical="center"/>
    </xf>
    <xf numFmtId="0" fontId="26" fillId="0" borderId="0" xfId="0" applyFont="1" applyBorder="1" applyProtection="1">
      <alignment vertical="center"/>
    </xf>
    <xf numFmtId="0" fontId="126" fillId="0" borderId="0" xfId="0" applyFont="1" applyAlignment="1" applyProtection="1"/>
    <xf numFmtId="0" fontId="28" fillId="27" borderId="55" xfId="0" applyFont="1" applyFill="1" applyBorder="1" applyProtection="1">
      <alignment vertical="center"/>
    </xf>
    <xf numFmtId="0" fontId="28" fillId="31" borderId="55" xfId="0" applyFont="1" applyFill="1" applyBorder="1" applyProtection="1">
      <alignment vertical="center"/>
    </xf>
    <xf numFmtId="0" fontId="28" fillId="0" borderId="15" xfId="0" applyFont="1" applyBorder="1" applyProtection="1">
      <alignment vertical="center"/>
    </xf>
    <xf numFmtId="0" fontId="26" fillId="0" borderId="10" xfId="0" applyFont="1" applyFill="1" applyBorder="1" applyProtection="1">
      <alignment vertical="center"/>
    </xf>
    <xf numFmtId="0" fontId="28" fillId="27" borderId="52" xfId="0" applyFont="1" applyFill="1" applyBorder="1" applyProtection="1">
      <alignment vertical="center"/>
    </xf>
    <xf numFmtId="38" fontId="28" fillId="27" borderId="51" xfId="35" applyFont="1" applyFill="1" applyBorder="1" applyProtection="1">
      <alignment vertical="center"/>
    </xf>
    <xf numFmtId="0" fontId="28" fillId="0" borderId="26" xfId="0" applyFont="1" applyBorder="1" applyProtection="1">
      <alignment vertical="center"/>
    </xf>
    <xf numFmtId="38" fontId="28" fillId="0" borderId="10" xfId="35" applyFont="1" applyBorder="1" applyProtection="1">
      <alignment vertical="center"/>
    </xf>
    <xf numFmtId="0" fontId="28" fillId="27" borderId="64" xfId="0" applyFont="1" applyFill="1" applyBorder="1" applyProtection="1">
      <alignment vertical="center"/>
    </xf>
    <xf numFmtId="38" fontId="28" fillId="27" borderId="15" xfId="35" applyFont="1" applyFill="1" applyBorder="1" applyProtection="1">
      <alignment vertical="center"/>
    </xf>
    <xf numFmtId="0" fontId="28" fillId="31" borderId="26" xfId="0" applyFont="1" applyFill="1" applyBorder="1" applyProtection="1">
      <alignment vertical="center"/>
    </xf>
    <xf numFmtId="0" fontId="28" fillId="27" borderId="56" xfId="0" applyFont="1" applyFill="1" applyBorder="1" applyProtection="1">
      <alignment vertical="center"/>
    </xf>
    <xf numFmtId="38" fontId="28" fillId="27" borderId="55" xfId="35" applyFont="1" applyFill="1" applyBorder="1" applyProtection="1">
      <alignment vertical="center"/>
    </xf>
    <xf numFmtId="38" fontId="28" fillId="27" borderId="10" xfId="35" applyFont="1" applyFill="1" applyBorder="1" applyProtection="1">
      <alignment vertical="center"/>
    </xf>
    <xf numFmtId="0" fontId="28" fillId="0" borderId="26" xfId="0" applyFont="1" applyFill="1" applyBorder="1" applyProtection="1">
      <alignment vertical="center"/>
    </xf>
    <xf numFmtId="0" fontId="28" fillId="0" borderId="10" xfId="0" applyFont="1" applyBorder="1" applyProtection="1">
      <alignment vertical="center"/>
    </xf>
    <xf numFmtId="0" fontId="28" fillId="0" borderId="55" xfId="0" applyFont="1" applyBorder="1" applyProtection="1">
      <alignment vertical="center"/>
    </xf>
    <xf numFmtId="38" fontId="26" fillId="27" borderId="10" xfId="35" applyFont="1" applyFill="1" applyBorder="1" applyProtection="1">
      <alignment vertical="center"/>
    </xf>
    <xf numFmtId="0" fontId="26" fillId="0" borderId="10" xfId="0" applyFont="1" applyBorder="1" applyProtection="1">
      <alignment vertical="center"/>
    </xf>
    <xf numFmtId="177" fontId="28" fillId="0" borderId="10" xfId="0" applyNumberFormat="1" applyFont="1" applyBorder="1" applyProtection="1">
      <alignment vertical="center"/>
    </xf>
    <xf numFmtId="181" fontId="124" fillId="0" borderId="0" xfId="0" applyNumberFormat="1" applyFont="1" applyFill="1" applyBorder="1" applyAlignment="1" applyProtection="1">
      <alignment horizontal="left" vertical="center"/>
    </xf>
    <xf numFmtId="0" fontId="26" fillId="0" borderId="0" xfId="0" applyFont="1" applyFill="1" applyBorder="1" applyAlignment="1" applyProtection="1">
      <alignment horizontal="right" vertical="center"/>
    </xf>
    <xf numFmtId="0" fontId="126" fillId="0" borderId="0" xfId="0" applyFont="1" applyFill="1" applyBorder="1" applyAlignment="1" applyProtection="1">
      <alignment horizontal="right" vertical="center"/>
    </xf>
    <xf numFmtId="0" fontId="23" fillId="27" borderId="144" xfId="0" applyNumberFormat="1" applyFont="1" applyFill="1" applyBorder="1" applyProtection="1">
      <alignment vertical="center"/>
    </xf>
    <xf numFmtId="0" fontId="28" fillId="0" borderId="0" xfId="0" applyFont="1" applyAlignment="1" applyProtection="1">
      <alignment horizontal="left" vertical="center"/>
    </xf>
    <xf numFmtId="0" fontId="26" fillId="29" borderId="0" xfId="0" applyFont="1" applyFill="1" applyAlignment="1" applyProtection="1">
      <alignment vertical="center"/>
    </xf>
    <xf numFmtId="0" fontId="28" fillId="0" borderId="10" xfId="0" applyNumberFormat="1" applyFont="1" applyFill="1" applyBorder="1" applyAlignment="1" applyProtection="1">
      <alignment vertical="center"/>
    </xf>
    <xf numFmtId="38" fontId="39" fillId="0" borderId="10" xfId="35" applyFont="1" applyBorder="1" applyProtection="1">
      <alignment vertical="center"/>
    </xf>
    <xf numFmtId="0" fontId="28" fillId="0" borderId="10" xfId="0" applyFont="1" applyFill="1" applyBorder="1" applyProtection="1">
      <alignment vertical="center"/>
    </xf>
    <xf numFmtId="0" fontId="0" fillId="0" borderId="0" xfId="0">
      <alignment vertical="center"/>
    </xf>
    <xf numFmtId="181" fontId="28" fillId="27" borderId="12" xfId="0" applyNumberFormat="1" applyFont="1" applyFill="1" applyBorder="1" applyAlignment="1" applyProtection="1">
      <alignment horizontal="left" vertical="center" wrapText="1"/>
      <protection hidden="1"/>
    </xf>
    <xf numFmtId="181" fontId="28" fillId="27" borderId="169" xfId="0" applyNumberFormat="1" applyFont="1" applyFill="1" applyBorder="1" applyAlignment="1" applyProtection="1">
      <alignment vertical="center" wrapText="1"/>
      <protection hidden="1"/>
    </xf>
    <xf numFmtId="181" fontId="28" fillId="27" borderId="164"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horizontal="left" vertical="center" wrapText="1"/>
      <protection hidden="1"/>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4" xfId="0" applyNumberFormat="1" applyFont="1" applyFill="1" applyBorder="1" applyAlignment="1" applyProtection="1">
      <alignment horizontal="left" vertical="center"/>
      <protection hidden="1"/>
    </xf>
    <xf numFmtId="195" fontId="45" fillId="27" borderId="50" xfId="0" applyNumberFormat="1" applyFont="1" applyFill="1" applyBorder="1" applyAlignment="1" applyProtection="1">
      <alignment horizontal="center" vertical="center" wrapText="1"/>
      <protection hidden="1"/>
    </xf>
    <xf numFmtId="181" fontId="28" fillId="27" borderId="13" xfId="0" applyNumberFormat="1"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207" fontId="23" fillId="31" borderId="188" xfId="0" applyNumberFormat="1" applyFont="1" applyFill="1" applyBorder="1" applyAlignment="1" applyProtection="1">
      <alignment horizontal="center" vertical="center"/>
      <protection locked="0" hidden="1"/>
    </xf>
    <xf numFmtId="0" fontId="6" fillId="27" borderId="11" xfId="0" applyFont="1" applyFill="1" applyBorder="1" applyAlignment="1">
      <alignment horizontal="center" vertical="center" wrapText="1"/>
    </xf>
    <xf numFmtId="0" fontId="28" fillId="27" borderId="13"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171" xfId="0" applyFont="1" applyFill="1" applyBorder="1" applyAlignment="1" applyProtection="1">
      <alignment horizontal="left" vertical="center" wrapText="1"/>
      <protection hidden="1"/>
    </xf>
    <xf numFmtId="0" fontId="6" fillId="27" borderId="177" xfId="0" applyFont="1" applyFill="1" applyBorder="1" applyAlignment="1" applyProtection="1">
      <alignment horizontal="center" vertical="center"/>
      <protection hidden="1"/>
    </xf>
    <xf numFmtId="0" fontId="28" fillId="27" borderId="175"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0" fillId="0" borderId="0" xfId="0">
      <alignment vertical="center"/>
    </xf>
    <xf numFmtId="0" fontId="33" fillId="42" borderId="26" xfId="0" applyFont="1" applyFill="1" applyBorder="1" applyAlignment="1" applyProtection="1">
      <alignment vertical="center"/>
      <protection hidden="1"/>
    </xf>
    <xf numFmtId="0" fontId="33" fillId="42" borderId="82" xfId="0" applyFont="1" applyFill="1" applyBorder="1" applyAlignment="1" applyProtection="1">
      <alignment vertical="center"/>
      <protection hidden="1"/>
    </xf>
    <xf numFmtId="181" fontId="26" fillId="42" borderId="16" xfId="0" applyNumberFormat="1" applyFont="1" applyFill="1" applyBorder="1" applyAlignment="1" applyProtection="1">
      <alignment horizontal="center" vertical="center"/>
      <protection hidden="1"/>
    </xf>
    <xf numFmtId="181" fontId="28" fillId="42" borderId="164" xfId="0" applyNumberFormat="1" applyFont="1" applyFill="1" applyBorder="1" applyAlignment="1" applyProtection="1">
      <alignment vertical="center" wrapText="1"/>
      <protection hidden="1"/>
    </xf>
    <xf numFmtId="181" fontId="28" fillId="42" borderId="16" xfId="0" applyNumberFormat="1" applyFont="1" applyFill="1" applyBorder="1" applyAlignment="1" applyProtection="1">
      <alignment vertical="center" wrapText="1"/>
      <protection hidden="1"/>
    </xf>
    <xf numFmtId="181" fontId="28" fillId="42" borderId="176" xfId="0" applyNumberFormat="1" applyFont="1" applyFill="1" applyBorder="1" applyAlignment="1" applyProtection="1">
      <alignment vertical="center" wrapText="1"/>
      <protection hidden="1"/>
    </xf>
    <xf numFmtId="181" fontId="28" fillId="42" borderId="177" xfId="0" applyNumberFormat="1" applyFont="1" applyFill="1" applyBorder="1" applyAlignment="1" applyProtection="1">
      <alignment vertical="center" wrapText="1"/>
      <protection hidden="1"/>
    </xf>
    <xf numFmtId="181" fontId="28" fillId="42" borderId="12" xfId="0" applyNumberFormat="1" applyFont="1" applyFill="1" applyBorder="1" applyAlignment="1" applyProtection="1">
      <alignment vertical="center" wrapText="1"/>
      <protection hidden="1"/>
    </xf>
    <xf numFmtId="181" fontId="85" fillId="27" borderId="164" xfId="0" applyNumberFormat="1" applyFont="1" applyFill="1" applyBorder="1" applyAlignment="1" applyProtection="1">
      <alignment horizontal="left" vertical="center" wrapText="1" shrinkToFit="1"/>
      <protection hidden="1"/>
    </xf>
    <xf numFmtId="181" fontId="28" fillId="42" borderId="14" xfId="0" applyNumberFormat="1" applyFont="1" applyFill="1" applyBorder="1" applyAlignment="1" applyProtection="1">
      <alignment vertical="center" wrapText="1"/>
      <protection hidden="1"/>
    </xf>
    <xf numFmtId="0" fontId="0" fillId="38" borderId="0" xfId="0" applyFill="1">
      <alignment vertical="center"/>
    </xf>
    <xf numFmtId="0" fontId="28" fillId="27" borderId="57" xfId="0" applyFont="1" applyFill="1" applyBorder="1" applyAlignment="1" applyProtection="1">
      <alignment horizontal="centerContinuous" vertical="center"/>
      <protection hidden="1"/>
    </xf>
    <xf numFmtId="0" fontId="28" fillId="38" borderId="62" xfId="0" applyFont="1" applyFill="1" applyBorder="1" applyAlignment="1" applyProtection="1">
      <alignment horizontal="left" wrapText="1"/>
      <protection hidden="1"/>
    </xf>
    <xf numFmtId="0" fontId="6" fillId="27" borderId="15" xfId="0" applyFont="1" applyFill="1" applyBorder="1" applyAlignment="1" applyProtection="1">
      <alignment horizontal="center" vertical="center"/>
      <protection hidden="1"/>
    </xf>
    <xf numFmtId="0" fontId="6" fillId="27" borderId="10" xfId="0" applyFont="1" applyFill="1" applyBorder="1" applyAlignment="1" applyProtection="1">
      <alignment horizontal="center" vertical="center"/>
      <protection hidden="1"/>
    </xf>
    <xf numFmtId="0" fontId="28" fillId="27" borderId="50" xfId="0" applyFont="1" applyFill="1" applyBorder="1" applyAlignment="1" applyProtection="1">
      <alignment vertical="center" wrapText="1"/>
      <protection hidden="1"/>
    </xf>
    <xf numFmtId="0" fontId="28" fillId="27" borderId="52" xfId="0" applyFont="1" applyFill="1" applyBorder="1" applyProtection="1">
      <alignment vertical="center"/>
      <protection hidden="1"/>
    </xf>
    <xf numFmtId="0" fontId="28" fillId="27" borderId="56" xfId="0" applyFont="1" applyFill="1" applyBorder="1" applyProtection="1">
      <alignment vertical="center"/>
      <protection hidden="1"/>
    </xf>
    <xf numFmtId="0" fontId="28" fillId="27" borderId="10" xfId="0" applyFont="1" applyFill="1" applyBorder="1" applyProtection="1">
      <alignment vertical="center"/>
      <protection hidden="1"/>
    </xf>
    <xf numFmtId="0" fontId="28" fillId="27" borderId="54" xfId="0" applyFont="1" applyFill="1" applyBorder="1" applyProtection="1">
      <alignment vertical="center"/>
      <protection hidden="1"/>
    </xf>
    <xf numFmtId="0" fontId="28" fillId="27" borderId="58" xfId="0" applyFont="1" applyFill="1" applyBorder="1" applyProtection="1">
      <alignment vertical="center"/>
      <protection hidden="1"/>
    </xf>
    <xf numFmtId="0" fontId="152" fillId="27" borderId="231" xfId="0" applyFont="1" applyFill="1" applyBorder="1" applyAlignment="1" applyProtection="1">
      <alignment horizontal="center" vertical="center"/>
      <protection hidden="1"/>
    </xf>
    <xf numFmtId="176" fontId="28" fillId="27" borderId="13" xfId="0" applyNumberFormat="1" applyFont="1" applyFill="1" applyBorder="1" applyAlignment="1" applyProtection="1">
      <alignment horizontal="left" vertical="center" wrapText="1"/>
      <protection hidden="1"/>
    </xf>
    <xf numFmtId="176" fontId="28" fillId="27" borderId="171" xfId="0" applyNumberFormat="1" applyFont="1" applyFill="1" applyBorder="1" applyAlignment="1" applyProtection="1">
      <alignment horizontal="left" vertical="center" wrapText="1"/>
      <protection hidden="1"/>
    </xf>
    <xf numFmtId="0" fontId="6" fillId="27" borderId="16" xfId="0" applyFont="1" applyFill="1" applyBorder="1" applyAlignment="1">
      <alignment horizontal="center" vertical="center" wrapText="1"/>
    </xf>
    <xf numFmtId="0" fontId="0" fillId="0" borderId="0" xfId="0">
      <alignment vertical="center"/>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49" fontId="126" fillId="27" borderId="10" xfId="0" quotePrefix="1"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 vertical="center"/>
      <protection hidden="1"/>
    </xf>
    <xf numFmtId="0" fontId="0" fillId="0" borderId="0" xfId="0">
      <alignment vertical="center"/>
    </xf>
    <xf numFmtId="0" fontId="28" fillId="0" borderId="0" xfId="0" applyFont="1" applyBorder="1">
      <alignment vertical="center"/>
    </xf>
    <xf numFmtId="0" fontId="28" fillId="0" borderId="0" xfId="0" applyFont="1" applyBorder="1" applyAlignment="1">
      <alignment horizontal="center" vertical="center"/>
    </xf>
    <xf numFmtId="0" fontId="166" fillId="0" borderId="144" xfId="0" applyFont="1" applyBorder="1">
      <alignment vertical="center"/>
    </xf>
    <xf numFmtId="199" fontId="166" fillId="0" borderId="0" xfId="0" applyNumberFormat="1" applyFont="1">
      <alignment vertical="center"/>
    </xf>
    <xf numFmtId="38" fontId="34" fillId="27" borderId="10" xfId="35" applyFont="1" applyFill="1" applyBorder="1" applyAlignment="1" applyProtection="1">
      <alignment horizontal="right" vertical="center"/>
    </xf>
    <xf numFmtId="0" fontId="0" fillId="41" borderId="187" xfId="0" applyFill="1" applyBorder="1" applyProtection="1">
      <alignment vertical="center"/>
      <protection locked="0"/>
    </xf>
    <xf numFmtId="38" fontId="6" fillId="41" borderId="154" xfId="35" applyFont="1" applyFill="1" applyBorder="1" applyProtection="1">
      <alignment vertical="center"/>
      <protection locked="0"/>
    </xf>
    <xf numFmtId="0" fontId="0" fillId="52" borderId="120" xfId="0" applyFill="1" applyBorder="1" applyProtection="1">
      <alignment vertical="center"/>
    </xf>
    <xf numFmtId="0" fontId="33" fillId="0" borderId="50" xfId="0" applyFont="1" applyFill="1" applyBorder="1" applyAlignment="1">
      <alignment vertical="top"/>
    </xf>
    <xf numFmtId="0" fontId="33" fillId="0" borderId="249" xfId="0" applyFont="1" applyBorder="1" applyAlignment="1">
      <alignment vertical="top"/>
    </xf>
    <xf numFmtId="0" fontId="33" fillId="0" borderId="178" xfId="0" applyFont="1" applyBorder="1" applyAlignment="1">
      <alignment vertical="top"/>
    </xf>
    <xf numFmtId="0" fontId="33" fillId="0" borderId="250" xfId="0" applyFont="1" applyBorder="1" applyAlignment="1">
      <alignment vertical="top"/>
    </xf>
    <xf numFmtId="9" fontId="33" fillId="41" borderId="247" xfId="28" applyFont="1" applyFill="1" applyBorder="1" applyAlignment="1" applyProtection="1">
      <alignment vertical="center"/>
      <protection locked="0"/>
    </xf>
    <xf numFmtId="9" fontId="33" fillId="41" borderId="157" xfId="28" applyFont="1" applyFill="1" applyBorder="1" applyAlignment="1" applyProtection="1">
      <alignment vertical="center"/>
      <protection locked="0"/>
    </xf>
    <xf numFmtId="0" fontId="28" fillId="52" borderId="26" xfId="0" applyFont="1" applyFill="1" applyBorder="1">
      <alignment vertical="center"/>
    </xf>
    <xf numFmtId="0" fontId="28" fillId="52" borderId="50" xfId="0" applyFont="1" applyFill="1" applyBorder="1">
      <alignment vertical="center"/>
    </xf>
    <xf numFmtId="0" fontId="28" fillId="52" borderId="10" xfId="0" applyFont="1" applyFill="1" applyBorder="1" applyAlignment="1">
      <alignment horizontal="center" vertical="center"/>
    </xf>
    <xf numFmtId="0" fontId="28" fillId="52" borderId="10" xfId="0" applyFont="1" applyFill="1" applyBorder="1">
      <alignment vertical="center"/>
    </xf>
    <xf numFmtId="184" fontId="28" fillId="52" borderId="10" xfId="0" applyNumberFormat="1" applyFont="1" applyFill="1" applyBorder="1" applyAlignment="1">
      <alignment horizontal="center" vertical="center"/>
    </xf>
    <xf numFmtId="0" fontId="28" fillId="55" borderId="10" xfId="0" applyFont="1" applyFill="1" applyBorder="1">
      <alignment vertical="center"/>
    </xf>
    <xf numFmtId="0" fontId="28" fillId="55" borderId="10" xfId="0" applyFont="1" applyFill="1" applyBorder="1" applyAlignment="1">
      <alignment horizontal="center" vertical="center"/>
    </xf>
    <xf numFmtId="184" fontId="33" fillId="27" borderId="10" xfId="0" applyNumberFormat="1" applyFont="1" applyFill="1" applyBorder="1" applyAlignment="1" applyProtection="1">
      <alignment horizontal="right" vertical="center"/>
    </xf>
    <xf numFmtId="0" fontId="0" fillId="0" borderId="0" xfId="0">
      <alignment vertical="center"/>
    </xf>
    <xf numFmtId="181" fontId="28" fillId="42" borderId="166" xfId="0" applyNumberFormat="1" applyFont="1" applyFill="1" applyBorder="1" applyAlignment="1" applyProtection="1">
      <alignment horizontal="left" vertical="center"/>
      <protection hidden="1"/>
    </xf>
    <xf numFmtId="181" fontId="28" fillId="42" borderId="14" xfId="0" applyNumberFormat="1" applyFont="1" applyFill="1" applyBorder="1" applyAlignment="1" applyProtection="1">
      <alignment horizontal="left" vertical="center"/>
      <protection hidden="1"/>
    </xf>
    <xf numFmtId="181" fontId="28" fillId="42" borderId="169" xfId="0" applyNumberFormat="1" applyFont="1" applyFill="1" applyBorder="1" applyAlignment="1" applyProtection="1">
      <alignment horizontal="left" vertical="center"/>
      <protection hidden="1"/>
    </xf>
    <xf numFmtId="181" fontId="28" fillId="42" borderId="170" xfId="0" applyNumberFormat="1" applyFont="1" applyFill="1" applyBorder="1" applyAlignment="1" applyProtection="1">
      <alignment horizontal="left" vertical="center"/>
      <protection hidden="1"/>
    </xf>
    <xf numFmtId="0" fontId="0" fillId="27" borderId="0" xfId="0" applyFill="1">
      <alignment vertical="center"/>
    </xf>
    <xf numFmtId="38" fontId="34" fillId="41" borderId="26" xfId="35" applyFont="1" applyFill="1" applyBorder="1" applyAlignment="1" applyProtection="1">
      <alignment horizontal="right" vertical="center"/>
      <protection locked="0"/>
    </xf>
    <xf numFmtId="38" fontId="34" fillId="41" borderId="52" xfId="35" applyFont="1" applyFill="1" applyBorder="1" applyAlignment="1" applyProtection="1">
      <alignment horizontal="right" vertical="center"/>
      <protection locked="0"/>
    </xf>
    <xf numFmtId="38" fontId="48" fillId="41" borderId="155" xfId="35" applyFont="1" applyFill="1" applyBorder="1" applyAlignment="1" applyProtection="1">
      <alignment horizontal="left" vertical="center"/>
      <protection locked="0"/>
    </xf>
    <xf numFmtId="38" fontId="34" fillId="52" borderId="56" xfId="35" applyFont="1" applyFill="1" applyBorder="1" applyAlignment="1" applyProtection="1">
      <alignment horizontal="right" vertical="center"/>
    </xf>
    <xf numFmtId="38" fontId="33" fillId="27" borderId="0" xfId="35" applyFont="1" applyFill="1" applyBorder="1" applyAlignment="1" applyProtection="1">
      <alignment vertical="center"/>
    </xf>
    <xf numFmtId="40" fontId="33" fillId="27" borderId="82" xfId="35" applyNumberFormat="1" applyFont="1" applyFill="1" applyBorder="1" applyAlignment="1" applyProtection="1">
      <alignment vertical="center"/>
    </xf>
    <xf numFmtId="0" fontId="28" fillId="29" borderId="0" xfId="0" applyFont="1" applyFill="1" applyAlignment="1" applyProtection="1">
      <alignment horizontal="left" vertical="center"/>
    </xf>
    <xf numFmtId="0" fontId="126" fillId="27" borderId="120" xfId="0" quotePrefix="1" applyNumberFormat="1" applyFont="1" applyFill="1" applyBorder="1" applyAlignment="1" applyProtection="1">
      <alignment horizontal="center" vertical="center"/>
      <protection hidden="1"/>
    </xf>
    <xf numFmtId="0" fontId="126" fillId="27" borderId="187" xfId="0" applyFont="1" applyFill="1" applyBorder="1" applyAlignment="1" applyProtection="1">
      <alignment horizontal="center"/>
      <protection hidden="1"/>
    </xf>
    <xf numFmtId="0" fontId="170" fillId="0" borderId="0" xfId="0" applyFont="1" applyProtection="1">
      <alignment vertical="center"/>
    </xf>
    <xf numFmtId="0" fontId="170" fillId="29" borderId="0" xfId="0" applyFont="1" applyFill="1" applyAlignment="1" applyProtection="1">
      <alignment horizontal="left" vertical="center"/>
    </xf>
    <xf numFmtId="9" fontId="33" fillId="54" borderId="136" xfId="28" applyFont="1" applyFill="1" applyBorder="1" applyAlignment="1" applyProtection="1">
      <alignment vertical="center"/>
      <protection locked="0"/>
    </xf>
    <xf numFmtId="185" fontId="36" fillId="27" borderId="57" xfId="0" applyNumberFormat="1" applyFont="1" applyFill="1" applyBorder="1" applyAlignment="1" applyProtection="1">
      <alignment horizontal="center" vertical="center"/>
      <protection hidden="1"/>
    </xf>
    <xf numFmtId="0" fontId="0" fillId="0" borderId="0" xfId="0">
      <alignment vertical="center"/>
    </xf>
    <xf numFmtId="184" fontId="49" fillId="39" borderId="153" xfId="0" applyNumberFormat="1" applyFont="1" applyFill="1" applyBorder="1" applyProtection="1">
      <alignment vertical="center"/>
      <protection locked="0"/>
    </xf>
    <xf numFmtId="184" fontId="49" fillId="39" borderId="123" xfId="0" applyNumberFormat="1" applyFont="1" applyFill="1" applyBorder="1" applyProtection="1">
      <alignment vertical="center"/>
      <protection locked="0"/>
    </xf>
    <xf numFmtId="184" fontId="49" fillId="39" borderId="139" xfId="0" applyNumberFormat="1" applyFont="1" applyFill="1" applyBorder="1" applyProtection="1">
      <alignment vertical="center"/>
      <protection locked="0"/>
    </xf>
    <xf numFmtId="0" fontId="0" fillId="0" borderId="0" xfId="0">
      <alignment vertical="center"/>
    </xf>
    <xf numFmtId="178" fontId="33" fillId="27" borderId="0" xfId="28" applyNumberFormat="1" applyFont="1" applyFill="1" applyBorder="1" applyProtection="1">
      <alignment vertical="center"/>
    </xf>
    <xf numFmtId="184" fontId="33" fillId="27" borderId="0" xfId="0" applyNumberFormat="1" applyFont="1" applyFill="1" applyBorder="1" applyAlignment="1" applyProtection="1">
      <alignment horizontal="right" vertical="center"/>
    </xf>
    <xf numFmtId="212" fontId="33" fillId="27" borderId="0" xfId="35" applyNumberFormat="1" applyFont="1" applyFill="1" applyBorder="1" applyAlignment="1" applyProtection="1"/>
    <xf numFmtId="9" fontId="0" fillId="0" borderId="10" xfId="0" applyNumberFormat="1" applyBorder="1">
      <alignment vertical="center"/>
    </xf>
    <xf numFmtId="0" fontId="126" fillId="52" borderId="0" xfId="0" applyFont="1" applyFill="1" applyAlignment="1" applyProtection="1"/>
    <xf numFmtId="0" fontId="0" fillId="0" borderId="0" xfId="0">
      <alignment vertical="center"/>
    </xf>
    <xf numFmtId="181" fontId="28" fillId="27" borderId="164" xfId="0" applyNumberFormat="1" applyFont="1" applyFill="1" applyBorder="1" applyAlignment="1" applyProtection="1">
      <alignment horizontal="left" vertical="center" wrapText="1"/>
      <protection hidden="1"/>
    </xf>
    <xf numFmtId="181" fontId="28" fillId="27" borderId="169"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wrapText="1"/>
      <protection hidden="1"/>
    </xf>
    <xf numFmtId="181" fontId="28" fillId="27" borderId="169" xfId="0" applyNumberFormat="1" applyFont="1" applyFill="1" applyBorder="1" applyAlignment="1" applyProtection="1">
      <alignment vertical="center" wrapText="1"/>
      <protection hidden="1"/>
    </xf>
    <xf numFmtId="181" fontId="28" fillId="27" borderId="12"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64"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4"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119" fillId="0" borderId="0" xfId="0" applyFont="1" applyFill="1" applyBorder="1" applyAlignment="1" applyProtection="1">
      <alignment horizontal="center" vertical="center"/>
      <protection hidden="1"/>
    </xf>
    <xf numFmtId="0" fontId="125" fillId="33" borderId="112" xfId="0" applyFont="1" applyFill="1" applyBorder="1" applyProtection="1">
      <alignment vertical="center"/>
      <protection hidden="1"/>
    </xf>
    <xf numFmtId="0" fontId="126" fillId="31" borderId="108" xfId="0" applyNumberFormat="1" applyFont="1" applyFill="1" applyBorder="1" applyAlignment="1" applyProtection="1">
      <alignment horizontal="center" vertical="center"/>
      <protection hidden="1"/>
    </xf>
    <xf numFmtId="0" fontId="107" fillId="0" borderId="100" xfId="0" quotePrefix="1" applyNumberFormat="1" applyFont="1" applyFill="1" applyBorder="1" applyAlignment="1" applyProtection="1">
      <alignment horizontal="center" vertical="center"/>
      <protection hidden="1"/>
    </xf>
    <xf numFmtId="0" fontId="107" fillId="0" borderId="123" xfId="0" quotePrefix="1" applyNumberFormat="1" applyFont="1" applyFill="1" applyBorder="1" applyAlignment="1" applyProtection="1">
      <alignment horizontal="center" vertical="center"/>
      <protection hidden="1"/>
    </xf>
    <xf numFmtId="0" fontId="38" fillId="0" borderId="100" xfId="0" quotePrefix="1" applyNumberFormat="1" applyFont="1" applyFill="1" applyBorder="1" applyAlignment="1" applyProtection="1">
      <alignment horizontal="center" vertical="center"/>
      <protection hidden="1"/>
    </xf>
    <xf numFmtId="0" fontId="107" fillId="56" borderId="0" xfId="0" quotePrefix="1" applyNumberFormat="1" applyFont="1" applyFill="1" applyBorder="1" applyAlignment="1" applyProtection="1">
      <alignment horizontal="center" vertical="center"/>
      <protection hidden="1"/>
    </xf>
    <xf numFmtId="0" fontId="37" fillId="56" borderId="62" xfId="0" quotePrefix="1" applyNumberFormat="1" applyFont="1" applyFill="1" applyBorder="1" applyAlignment="1" applyProtection="1">
      <alignment horizontal="left" vertical="center"/>
      <protection hidden="1"/>
    </xf>
    <xf numFmtId="0" fontId="37" fillId="0" borderId="62" xfId="0" quotePrefix="1"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left" vertical="center"/>
      <protection hidden="1"/>
    </xf>
    <xf numFmtId="0" fontId="28" fillId="0" borderId="100" xfId="0" applyNumberFormat="1" applyFont="1" applyFill="1" applyBorder="1" applyAlignment="1" applyProtection="1">
      <alignment horizontal="left" vertical="center"/>
      <protection hidden="1"/>
    </xf>
    <xf numFmtId="0" fontId="37" fillId="0" borderId="0" xfId="0" applyFont="1" applyFill="1" applyBorder="1" applyAlignment="1" applyProtection="1">
      <alignment horizontal="center" vertical="center"/>
      <protection hidden="1"/>
    </xf>
    <xf numFmtId="0" fontId="37" fillId="0" borderId="100" xfId="0" applyFont="1" applyFill="1" applyBorder="1" applyAlignment="1" applyProtection="1">
      <alignment horizontal="center" vertical="center"/>
      <protection hidden="1"/>
    </xf>
    <xf numFmtId="0" fontId="6" fillId="31" borderId="134" xfId="0" applyFont="1" applyFill="1" applyBorder="1" applyProtection="1">
      <alignment vertical="center"/>
      <protection hidden="1"/>
    </xf>
    <xf numFmtId="0" fontId="126" fillId="0" borderId="109" xfId="0" applyNumberFormat="1" applyFont="1" applyFill="1" applyBorder="1" applyAlignment="1" applyProtection="1">
      <alignment horizontal="center" vertical="center"/>
      <protection hidden="1"/>
    </xf>
    <xf numFmtId="0" fontId="126" fillId="0" borderId="229" xfId="0" applyNumberFormat="1" applyFont="1" applyFill="1" applyBorder="1" applyAlignment="1" applyProtection="1">
      <alignment horizontal="center" vertical="center"/>
      <protection hidden="1"/>
    </xf>
    <xf numFmtId="0" fontId="107" fillId="56" borderId="0" xfId="0" quotePrefix="1" applyNumberFormat="1" applyFont="1" applyFill="1" applyBorder="1" applyAlignment="1" applyProtection="1">
      <alignment horizontal="center" vertical="center" wrapText="1"/>
      <protection hidden="1"/>
    </xf>
    <xf numFmtId="0" fontId="107" fillId="0" borderId="96" xfId="0" quotePrefix="1" applyNumberFormat="1" applyFont="1" applyFill="1" applyBorder="1" applyAlignment="1" applyProtection="1">
      <alignment horizontal="center" vertical="center"/>
      <protection hidden="1"/>
    </xf>
    <xf numFmtId="0" fontId="107" fillId="0" borderId="112" xfId="0" quotePrefix="1" applyNumberFormat="1" applyFont="1" applyFill="1" applyBorder="1" applyAlignment="1" applyProtection="1">
      <alignment horizontal="center" vertical="center"/>
      <protection hidden="1"/>
    </xf>
    <xf numFmtId="0" fontId="107" fillId="56" borderId="251" xfId="0" quotePrefix="1" applyNumberFormat="1" applyFont="1" applyFill="1" applyBorder="1" applyAlignment="1" applyProtection="1">
      <alignment horizontal="center" vertical="center"/>
      <protection hidden="1"/>
    </xf>
    <xf numFmtId="0" fontId="37" fillId="56" borderId="252" xfId="0" quotePrefix="1" applyNumberFormat="1" applyFont="1" applyFill="1" applyBorder="1" applyAlignment="1" applyProtection="1">
      <alignment horizontal="left" vertical="center"/>
      <protection hidden="1"/>
    </xf>
    <xf numFmtId="0" fontId="37" fillId="56" borderId="253" xfId="0" quotePrefix="1" applyNumberFormat="1" applyFont="1" applyFill="1" applyBorder="1" applyAlignment="1" applyProtection="1">
      <alignment horizontal="left" vertical="center"/>
      <protection hidden="1"/>
    </xf>
    <xf numFmtId="0" fontId="126" fillId="31" borderId="134" xfId="0" applyNumberFormat="1" applyFont="1" applyFill="1" applyBorder="1" applyAlignment="1" applyProtection="1">
      <alignment horizontal="center" vertical="center"/>
      <protection hidden="1"/>
    </xf>
    <xf numFmtId="0" fontId="107" fillId="56" borderId="109" xfId="0" quotePrefix="1" applyNumberFormat="1" applyFont="1" applyFill="1" applyBorder="1" applyAlignment="1" applyProtection="1">
      <alignment horizontal="center" vertical="center"/>
      <protection hidden="1"/>
    </xf>
    <xf numFmtId="0" fontId="37" fillId="56" borderId="229" xfId="0" quotePrefix="1" applyNumberFormat="1" applyFont="1" applyFill="1" applyBorder="1" applyAlignment="1" applyProtection="1">
      <alignment horizontal="left" vertical="center"/>
      <protection hidden="1"/>
    </xf>
    <xf numFmtId="0" fontId="107" fillId="57" borderId="50" xfId="0" quotePrefix="1" applyNumberFormat="1" applyFont="1" applyFill="1" applyBorder="1" applyAlignment="1" applyProtection="1">
      <alignment horizontal="center" vertical="center"/>
      <protection hidden="1"/>
    </xf>
    <xf numFmtId="0" fontId="37" fillId="57" borderId="123" xfId="0" quotePrefix="1" applyNumberFormat="1" applyFont="1" applyFill="1" applyBorder="1" applyAlignment="1" applyProtection="1">
      <alignment horizontal="left" vertical="center" wrapText="1"/>
      <protection hidden="1"/>
    </xf>
    <xf numFmtId="0" fontId="107" fillId="56" borderId="254" xfId="0" quotePrefix="1" applyNumberFormat="1" applyFont="1" applyFill="1" applyBorder="1" applyAlignment="1" applyProtection="1">
      <alignment horizontal="center" vertical="center" wrapText="1"/>
      <protection hidden="1"/>
    </xf>
    <xf numFmtId="0" fontId="37" fillId="56" borderId="255" xfId="0" quotePrefix="1" applyNumberFormat="1" applyFont="1" applyFill="1" applyBorder="1" applyAlignment="1" applyProtection="1">
      <alignment horizontal="left" vertical="center"/>
      <protection hidden="1"/>
    </xf>
    <xf numFmtId="0" fontId="107" fillId="56" borderId="256" xfId="0" quotePrefix="1" applyNumberFormat="1" applyFont="1" applyFill="1" applyBorder="1" applyAlignment="1" applyProtection="1">
      <alignment horizontal="center" vertical="center"/>
      <protection hidden="1"/>
    </xf>
    <xf numFmtId="0" fontId="37" fillId="56" borderId="257" xfId="0" quotePrefix="1" applyNumberFormat="1" applyFont="1" applyFill="1" applyBorder="1" applyAlignment="1" applyProtection="1">
      <alignment horizontal="left" vertical="center"/>
      <protection hidden="1"/>
    </xf>
    <xf numFmtId="0" fontId="119" fillId="0" borderId="100" xfId="0" applyFont="1" applyFill="1" applyBorder="1" applyAlignment="1" applyProtection="1">
      <alignment vertical="center"/>
      <protection hidden="1"/>
    </xf>
    <xf numFmtId="0" fontId="2" fillId="33" borderId="92" xfId="0" applyFont="1" applyFill="1" applyBorder="1" applyProtection="1">
      <alignment vertical="center"/>
      <protection hidden="1"/>
    </xf>
    <xf numFmtId="0" fontId="107" fillId="56" borderId="258" xfId="0" quotePrefix="1" applyNumberFormat="1" applyFont="1" applyFill="1" applyBorder="1" applyAlignment="1" applyProtection="1">
      <alignment horizontal="center" vertical="center"/>
      <protection hidden="1"/>
    </xf>
    <xf numFmtId="0" fontId="37" fillId="56" borderId="259" xfId="0" quotePrefix="1" applyNumberFormat="1" applyFont="1" applyFill="1" applyBorder="1" applyAlignment="1" applyProtection="1">
      <alignment horizontal="left" vertical="center"/>
      <protection hidden="1"/>
    </xf>
    <xf numFmtId="0" fontId="107" fillId="56" borderId="260" xfId="0" quotePrefix="1" applyNumberFormat="1" applyFont="1" applyFill="1" applyBorder="1" applyAlignment="1" applyProtection="1">
      <alignment horizontal="center" vertical="center"/>
      <protection hidden="1"/>
    </xf>
    <xf numFmtId="0" fontId="37" fillId="56" borderId="261" xfId="0" quotePrefix="1" applyNumberFormat="1" applyFont="1" applyFill="1" applyBorder="1" applyAlignment="1" applyProtection="1">
      <alignment horizontal="left" vertical="center"/>
      <protection hidden="1"/>
    </xf>
    <xf numFmtId="0" fontId="107" fillId="56" borderId="100" xfId="0" quotePrefix="1" applyNumberFormat="1" applyFont="1" applyFill="1" applyBorder="1" applyAlignment="1" applyProtection="1">
      <alignment horizontal="center" vertical="center"/>
      <protection hidden="1"/>
    </xf>
    <xf numFmtId="0" fontId="107" fillId="0" borderId="77" xfId="0" quotePrefix="1" applyNumberFormat="1" applyFont="1" applyFill="1" applyBorder="1" applyAlignment="1" applyProtection="1">
      <alignment horizontal="center" vertical="center"/>
      <protection hidden="1"/>
    </xf>
    <xf numFmtId="0" fontId="37" fillId="56" borderId="62" xfId="0" quotePrefix="1" applyNumberFormat="1" applyFont="1" applyFill="1" applyBorder="1" applyAlignment="1" applyProtection="1">
      <alignment horizontal="left" vertical="center" wrapText="1"/>
      <protection hidden="1"/>
    </xf>
    <xf numFmtId="0" fontId="37" fillId="56" borderId="259" xfId="0" quotePrefix="1" applyNumberFormat="1" applyFont="1" applyFill="1" applyBorder="1" applyAlignment="1" applyProtection="1">
      <alignment horizontal="left" vertical="center" wrapText="1"/>
      <protection hidden="1"/>
    </xf>
    <xf numFmtId="0" fontId="37" fillId="56" borderId="262" xfId="0" quotePrefix="1" applyNumberFormat="1" applyFont="1" applyFill="1" applyBorder="1" applyAlignment="1" applyProtection="1">
      <alignment horizontal="left" vertical="center" wrapText="1"/>
      <protection hidden="1"/>
    </xf>
    <xf numFmtId="0" fontId="107" fillId="56" borderId="263" xfId="0" quotePrefix="1" applyNumberFormat="1" applyFont="1" applyFill="1" applyBorder="1" applyAlignment="1" applyProtection="1">
      <alignment horizontal="center" vertical="center"/>
      <protection hidden="1"/>
    </xf>
    <xf numFmtId="0" fontId="126" fillId="0" borderId="100" xfId="0" applyNumberFormat="1" applyFont="1" applyFill="1" applyBorder="1" applyAlignment="1" applyProtection="1">
      <alignment horizontal="center" vertical="center"/>
      <protection hidden="1"/>
    </xf>
    <xf numFmtId="0" fontId="107" fillId="56" borderId="66" xfId="0" quotePrefix="1" applyNumberFormat="1" applyFont="1" applyFill="1" applyBorder="1" applyAlignment="1" applyProtection="1">
      <alignment horizontal="center" vertical="center"/>
      <protection hidden="1"/>
    </xf>
    <xf numFmtId="0" fontId="37" fillId="56" borderId="65" xfId="0" quotePrefix="1"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vertical="center"/>
      <protection hidden="1"/>
    </xf>
    <xf numFmtId="202" fontId="0" fillId="0" borderId="0" xfId="35"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28" fillId="0" borderId="0" xfId="0" applyNumberFormat="1" applyFont="1" applyFill="1" applyAlignment="1" applyProtection="1">
      <alignment vertical="center"/>
      <protection hidden="1"/>
    </xf>
    <xf numFmtId="0" fontId="26" fillId="0" borderId="0" xfId="0" applyNumberFormat="1" applyFont="1" applyFill="1" applyAlignment="1" applyProtection="1">
      <alignment vertical="center"/>
      <protection hidden="1"/>
    </xf>
    <xf numFmtId="0" fontId="28" fillId="38" borderId="0" xfId="0" applyNumberFormat="1" applyFont="1" applyFill="1" applyAlignment="1" applyProtection="1">
      <alignment vertical="center"/>
      <protection hidden="1"/>
    </xf>
    <xf numFmtId="0" fontId="28" fillId="0" borderId="0" xfId="0" applyNumberFormat="1" applyFont="1" applyBorder="1" applyAlignment="1" applyProtection="1">
      <alignment vertical="center"/>
      <protection hidden="1"/>
    </xf>
    <xf numFmtId="0" fontId="28" fillId="0" borderId="0" xfId="0" applyNumberFormat="1" applyFont="1" applyAlignment="1" applyProtection="1">
      <alignment vertical="center"/>
      <protection hidden="1"/>
    </xf>
    <xf numFmtId="0" fontId="28" fillId="31" borderId="52" xfId="0" applyNumberFormat="1" applyFont="1" applyFill="1" applyBorder="1" applyAlignment="1" applyProtection="1">
      <alignment horizontal="left" vertical="center"/>
      <protection hidden="1"/>
    </xf>
    <xf numFmtId="0" fontId="28" fillId="31" borderId="50" xfId="0" applyNumberFormat="1" applyFont="1" applyFill="1" applyBorder="1" applyProtection="1">
      <alignment vertical="center"/>
      <protection hidden="1"/>
    </xf>
    <xf numFmtId="0" fontId="28" fillId="31" borderId="27" xfId="0" applyNumberFormat="1" applyFont="1" applyFill="1" applyBorder="1" applyProtection="1">
      <alignment vertical="center"/>
      <protection hidden="1"/>
    </xf>
    <xf numFmtId="0" fontId="0" fillId="0" borderId="0" xfId="35" applyNumberFormat="1" applyFont="1" applyFill="1" applyBorder="1" applyAlignment="1" applyProtection="1">
      <alignment vertical="center"/>
      <protection hidden="1"/>
    </xf>
    <xf numFmtId="0" fontId="26" fillId="31" borderId="144" xfId="0" applyNumberFormat="1" applyFont="1" applyFill="1" applyBorder="1" applyAlignment="1" applyProtection="1">
      <alignment horizontal="center" vertical="center"/>
      <protection locked="0"/>
    </xf>
    <xf numFmtId="0" fontId="0" fillId="0" borderId="0" xfId="0" applyNumberFormat="1" applyFont="1" applyFill="1" applyBorder="1" applyAlignment="1">
      <alignment vertical="center"/>
    </xf>
    <xf numFmtId="0" fontId="48" fillId="0" borderId="0" xfId="0" applyNumberFormat="1" applyFont="1" applyFill="1" applyBorder="1" applyAlignment="1" applyProtection="1">
      <alignment vertical="center"/>
      <protection hidden="1"/>
    </xf>
    <xf numFmtId="0" fontId="0" fillId="0" borderId="0" xfId="0" applyFont="1">
      <alignment vertical="center"/>
    </xf>
    <xf numFmtId="181" fontId="28" fillId="31" borderId="80" xfId="0" applyNumberFormat="1" applyFont="1" applyFill="1" applyBorder="1" applyAlignment="1" applyProtection="1">
      <alignment vertical="center"/>
      <protection hidden="1"/>
    </xf>
    <xf numFmtId="181" fontId="28" fillId="31" borderId="82" xfId="0" applyNumberFormat="1" applyFont="1" applyFill="1" applyBorder="1" applyAlignment="1" applyProtection="1">
      <alignment horizontal="centerContinuous" vertical="center" wrapText="1"/>
      <protection hidden="1"/>
    </xf>
    <xf numFmtId="181" fontId="28" fillId="27" borderId="164" xfId="0" applyNumberFormat="1" applyFont="1" applyFill="1" applyBorder="1" applyAlignment="1" applyProtection="1">
      <alignment horizontal="left" vertical="center" wrapText="1" shrinkToFit="1"/>
      <protection hidden="1"/>
    </xf>
    <xf numFmtId="0" fontId="26" fillId="38" borderId="0" xfId="0" applyNumberFormat="1" applyFont="1" applyFill="1" applyAlignment="1" applyProtection="1">
      <alignment vertical="center"/>
      <protection hidden="1"/>
    </xf>
    <xf numFmtId="0" fontId="28" fillId="38" borderId="53" xfId="0" applyNumberFormat="1" applyFont="1" applyFill="1" applyBorder="1" applyAlignment="1" applyProtection="1">
      <alignment vertical="center"/>
      <protection hidden="1"/>
    </xf>
    <xf numFmtId="0" fontId="28" fillId="31" borderId="155" xfId="0" applyNumberFormat="1" applyFont="1" applyFill="1" applyBorder="1" applyAlignment="1" applyProtection="1">
      <alignment vertical="center"/>
      <protection hidden="1"/>
    </xf>
    <xf numFmtId="0" fontId="28" fillId="31" borderId="50" xfId="0" applyNumberFormat="1" applyFont="1" applyFill="1" applyBorder="1" applyAlignment="1" applyProtection="1">
      <alignment vertical="center"/>
      <protection hidden="1"/>
    </xf>
    <xf numFmtId="0" fontId="28" fillId="31" borderId="27" xfId="0" applyNumberFormat="1" applyFont="1" applyFill="1" applyBorder="1" applyAlignment="1" applyProtection="1">
      <alignment vertical="center"/>
      <protection hidden="1"/>
    </xf>
    <xf numFmtId="0" fontId="28" fillId="27" borderId="172" xfId="0" applyNumberFormat="1" applyFont="1" applyFill="1" applyBorder="1" applyAlignment="1" applyProtection="1">
      <alignment horizontal="center" vertical="center"/>
      <protection locked="0"/>
    </xf>
    <xf numFmtId="0" fontId="28" fillId="27" borderId="164" xfId="0" applyNumberFormat="1" applyFont="1" applyFill="1" applyBorder="1" applyAlignment="1" applyProtection="1">
      <alignment horizontal="center" vertical="center" wrapText="1"/>
      <protection hidden="1"/>
    </xf>
    <xf numFmtId="0" fontId="28" fillId="27" borderId="92" xfId="0" applyNumberFormat="1" applyFont="1" applyFill="1" applyBorder="1" applyAlignment="1" applyProtection="1">
      <alignment horizontal="center" vertical="center"/>
      <protection locked="0"/>
    </xf>
    <xf numFmtId="0" fontId="28" fillId="27" borderId="265" xfId="0" applyNumberFormat="1" applyFont="1" applyFill="1" applyBorder="1" applyAlignment="1" applyProtection="1">
      <alignment horizontal="center" vertical="center"/>
      <protection hidden="1"/>
    </xf>
    <xf numFmtId="0" fontId="28" fillId="27" borderId="196" xfId="0" applyNumberFormat="1" applyFont="1" applyFill="1" applyBorder="1" applyAlignment="1" applyProtection="1">
      <alignment vertical="center"/>
      <protection hidden="1"/>
    </xf>
    <xf numFmtId="0" fontId="28" fillId="27" borderId="174" xfId="0" applyNumberFormat="1" applyFont="1" applyFill="1" applyBorder="1" applyAlignment="1" applyProtection="1">
      <alignment horizontal="center" vertical="center"/>
      <protection locked="0"/>
    </xf>
    <xf numFmtId="0" fontId="28" fillId="27" borderId="176" xfId="0" applyNumberFormat="1" applyFont="1" applyFill="1" applyBorder="1" applyAlignment="1" applyProtection="1">
      <alignment horizontal="center" vertical="center" wrapText="1"/>
      <protection hidden="1"/>
    </xf>
    <xf numFmtId="0" fontId="28" fillId="27" borderId="267" xfId="0" applyNumberFormat="1" applyFont="1" applyFill="1" applyBorder="1" applyAlignment="1" applyProtection="1">
      <alignment horizontal="center" vertical="center"/>
      <protection hidden="1"/>
    </xf>
    <xf numFmtId="0" fontId="28" fillId="27" borderId="182" xfId="0" applyNumberFormat="1" applyFont="1" applyFill="1" applyBorder="1" applyAlignment="1" applyProtection="1">
      <alignment vertical="center"/>
      <protection hidden="1"/>
    </xf>
    <xf numFmtId="0" fontId="28" fillId="22" borderId="56" xfId="0" applyNumberFormat="1" applyFont="1" applyFill="1" applyBorder="1" applyAlignment="1" applyProtection="1">
      <alignment vertical="center"/>
      <protection hidden="1"/>
    </xf>
    <xf numFmtId="0" fontId="28" fillId="27" borderId="50" xfId="0" applyNumberFormat="1" applyFont="1" applyFill="1" applyBorder="1" applyAlignment="1" applyProtection="1">
      <alignment vertical="center" wrapText="1"/>
      <protection hidden="1"/>
    </xf>
    <xf numFmtId="0" fontId="26" fillId="27" borderId="50" xfId="0" applyNumberFormat="1" applyFont="1" applyFill="1" applyBorder="1" applyAlignment="1" applyProtection="1">
      <alignment vertical="center" wrapText="1"/>
      <protection hidden="1"/>
    </xf>
    <xf numFmtId="0" fontId="28" fillId="22" borderId="50" xfId="0" applyNumberFormat="1" applyFont="1" applyFill="1" applyBorder="1" applyAlignment="1" applyProtection="1">
      <alignment vertical="center" wrapText="1"/>
      <protection hidden="1"/>
    </xf>
    <xf numFmtId="0" fontId="28" fillId="58" borderId="56" xfId="0" applyNumberFormat="1" applyFont="1" applyFill="1" applyBorder="1" applyAlignment="1" applyProtection="1">
      <alignment vertical="center"/>
      <protection hidden="1"/>
    </xf>
    <xf numFmtId="0" fontId="26" fillId="58" borderId="50" xfId="0" applyNumberFormat="1" applyFont="1" applyFill="1" applyBorder="1" applyAlignment="1" applyProtection="1">
      <alignment vertical="center"/>
      <protection hidden="1"/>
    </xf>
    <xf numFmtId="0" fontId="28" fillId="22" borderId="27" xfId="0" applyNumberFormat="1" applyFont="1" applyFill="1" applyBorder="1" applyAlignment="1" applyProtection="1">
      <alignment vertical="center" wrapText="1"/>
      <protection hidden="1"/>
    </xf>
    <xf numFmtId="0" fontId="28" fillId="31" borderId="53" xfId="0" applyNumberFormat="1" applyFont="1" applyFill="1" applyBorder="1" applyAlignment="1" applyProtection="1">
      <alignment horizontal="left" vertical="center"/>
      <protection hidden="1"/>
    </xf>
    <xf numFmtId="0" fontId="28" fillId="27" borderId="50" xfId="0" applyNumberFormat="1" applyFont="1" applyFill="1" applyBorder="1" applyAlignment="1" applyProtection="1">
      <alignment vertical="center"/>
      <protection hidden="1"/>
    </xf>
    <xf numFmtId="0" fontId="28" fillId="0" borderId="0" xfId="0" applyNumberFormat="1" applyFont="1" applyFill="1" applyBorder="1" applyAlignment="1" applyProtection="1">
      <alignment vertical="center"/>
      <protection hidden="1"/>
    </xf>
    <xf numFmtId="0" fontId="28" fillId="0" borderId="0" xfId="0" applyNumberFormat="1" applyFont="1" applyProtection="1">
      <alignment vertical="center"/>
      <protection hidden="1"/>
    </xf>
    <xf numFmtId="0" fontId="26" fillId="0" borderId="0" xfId="0" applyNumberFormat="1" applyFont="1" applyProtection="1">
      <alignment vertical="center"/>
      <protection hidden="1"/>
    </xf>
    <xf numFmtId="0" fontId="28" fillId="31" borderId="144" xfId="0" applyNumberFormat="1" applyFont="1" applyFill="1" applyBorder="1" applyAlignment="1" applyProtection="1">
      <alignment horizontal="center" vertical="center"/>
      <protection hidden="1"/>
    </xf>
    <xf numFmtId="0" fontId="152" fillId="0" borderId="0" xfId="0" applyNumberFormat="1" applyFont="1" applyFill="1" applyBorder="1" applyAlignment="1" applyProtection="1">
      <alignment vertical="center"/>
      <protection hidden="1"/>
    </xf>
    <xf numFmtId="0" fontId="152" fillId="0" borderId="0" xfId="0" applyNumberFormat="1" applyFont="1" applyFill="1" applyAlignment="1" applyProtection="1">
      <alignment vertical="center"/>
      <protection hidden="1"/>
    </xf>
    <xf numFmtId="0" fontId="0" fillId="0" borderId="0" xfId="0" applyNumberFormat="1" applyFont="1">
      <alignment vertical="center"/>
    </xf>
    <xf numFmtId="0" fontId="45" fillId="0" borderId="0" xfId="0" applyNumberFormat="1" applyFont="1" applyFill="1" applyAlignment="1" applyProtection="1">
      <alignment vertical="center"/>
      <protection hidden="1"/>
    </xf>
    <xf numFmtId="0" fontId="48" fillId="0" borderId="0" xfId="0" applyNumberFormat="1" applyFont="1" applyFill="1" applyAlignment="1" applyProtection="1">
      <alignment vertical="center"/>
      <protection hidden="1"/>
    </xf>
    <xf numFmtId="0" fontId="26" fillId="0" borderId="0" xfId="0" applyNumberFormat="1" applyFont="1" applyFill="1" applyAlignment="1" applyProtection="1">
      <alignment horizontal="center" vertical="center"/>
      <protection hidden="1"/>
    </xf>
    <xf numFmtId="0" fontId="26" fillId="29" borderId="0" xfId="0" applyNumberFormat="1" applyFont="1" applyFill="1" applyBorder="1" applyAlignment="1" applyProtection="1">
      <alignment vertical="center" wrapText="1"/>
      <protection hidden="1"/>
    </xf>
    <xf numFmtId="0" fontId="28" fillId="31" borderId="172" xfId="0" applyNumberFormat="1" applyFont="1" applyFill="1" applyBorder="1" applyAlignment="1" applyProtection="1">
      <alignment horizontal="center" vertical="center"/>
      <protection hidden="1"/>
    </xf>
    <xf numFmtId="0" fontId="28" fillId="27" borderId="184" xfId="0" applyNumberFormat="1" applyFont="1" applyFill="1" applyBorder="1" applyAlignment="1" applyProtection="1">
      <alignment horizontal="center" vertical="center" wrapText="1"/>
      <protection hidden="1"/>
    </xf>
    <xf numFmtId="0" fontId="28" fillId="31" borderId="174" xfId="0" applyNumberFormat="1" applyFont="1" applyFill="1" applyBorder="1" applyAlignment="1" applyProtection="1">
      <alignment horizontal="center" vertical="center"/>
      <protection hidden="1"/>
    </xf>
    <xf numFmtId="0" fontId="28" fillId="27" borderId="185" xfId="0" applyNumberFormat="1" applyFont="1" applyFill="1" applyBorder="1" applyAlignment="1" applyProtection="1">
      <alignment horizontal="center" vertical="center" wrapText="1"/>
      <protection hidden="1"/>
    </xf>
    <xf numFmtId="0" fontId="28" fillId="27" borderId="56" xfId="0" applyNumberFormat="1" applyFont="1" applyFill="1" applyBorder="1" applyAlignment="1" applyProtection="1">
      <alignment horizontal="center" vertical="center"/>
      <protection hidden="1"/>
    </xf>
    <xf numFmtId="0" fontId="28" fillId="27" borderId="57" xfId="0" applyNumberFormat="1" applyFont="1" applyFill="1" applyBorder="1" applyAlignment="1" applyProtection="1">
      <alignment horizontal="center" vertical="center"/>
      <protection hidden="1"/>
    </xf>
    <xf numFmtId="0" fontId="26" fillId="27" borderId="57" xfId="0" applyNumberFormat="1" applyFont="1" applyFill="1" applyBorder="1" applyAlignment="1" applyProtection="1">
      <alignment horizontal="center" vertical="center" wrapText="1"/>
      <protection hidden="1"/>
    </xf>
    <xf numFmtId="0" fontId="28" fillId="27" borderId="57" xfId="0" applyNumberFormat="1" applyFont="1" applyFill="1" applyBorder="1" applyAlignment="1" applyProtection="1">
      <alignment horizontal="right" vertical="center" wrapText="1"/>
      <protection hidden="1"/>
    </xf>
    <xf numFmtId="0" fontId="26" fillId="27" borderId="57" xfId="0" applyNumberFormat="1" applyFont="1" applyFill="1" applyBorder="1" applyAlignment="1" applyProtection="1">
      <alignment vertical="center" wrapText="1"/>
      <protection hidden="1"/>
    </xf>
    <xf numFmtId="0" fontId="28" fillId="22" borderId="58" xfId="0" applyNumberFormat="1" applyFont="1" applyFill="1" applyBorder="1" applyAlignment="1" applyProtection="1">
      <alignment vertical="center" wrapText="1"/>
      <protection hidden="1"/>
    </xf>
    <xf numFmtId="0" fontId="26" fillId="0" borderId="53" xfId="0" applyNumberFormat="1" applyFont="1" applyFill="1" applyBorder="1" applyAlignment="1" applyProtection="1">
      <alignment horizontal="left" vertical="center"/>
      <protection hidden="1"/>
    </xf>
    <xf numFmtId="0" fontId="28" fillId="29" borderId="53" xfId="0" applyNumberFormat="1" applyFont="1" applyFill="1" applyBorder="1" applyAlignment="1" applyProtection="1">
      <alignment horizontal="left" vertical="center" wrapText="1"/>
      <protection hidden="1"/>
    </xf>
    <xf numFmtId="0" fontId="28" fillId="27" borderId="144" xfId="0" applyNumberFormat="1" applyFont="1" applyFill="1" applyBorder="1" applyAlignment="1" applyProtection="1">
      <alignment horizontal="center" vertical="center" wrapText="1"/>
      <protection hidden="1"/>
    </xf>
    <xf numFmtId="0" fontId="28" fillId="31" borderId="172" xfId="0" applyNumberFormat="1" applyFont="1" applyFill="1" applyBorder="1" applyAlignment="1" applyProtection="1">
      <alignment horizontal="center" vertical="center" wrapText="1"/>
      <protection hidden="1"/>
    </xf>
    <xf numFmtId="0" fontId="28" fillId="27" borderId="223" xfId="0" applyNumberFormat="1" applyFont="1" applyFill="1" applyBorder="1" applyAlignment="1" applyProtection="1">
      <alignment horizontal="center" vertical="center" wrapText="1"/>
      <protection hidden="1"/>
    </xf>
    <xf numFmtId="0" fontId="28" fillId="27" borderId="167" xfId="0" applyNumberFormat="1" applyFont="1" applyFill="1" applyBorder="1" applyAlignment="1" applyProtection="1">
      <alignment horizontal="center" vertical="center" wrapText="1"/>
      <protection hidden="1"/>
    </xf>
    <xf numFmtId="0" fontId="28" fillId="31" borderId="173" xfId="0" applyNumberFormat="1" applyFont="1" applyFill="1" applyBorder="1" applyAlignment="1" applyProtection="1">
      <alignment horizontal="center" vertical="center" wrapText="1"/>
      <protection hidden="1"/>
    </xf>
    <xf numFmtId="0" fontId="28" fillId="27" borderId="268" xfId="0" applyNumberFormat="1" applyFont="1" applyFill="1" applyBorder="1" applyAlignment="1" applyProtection="1">
      <alignment horizontal="center" vertical="center" wrapText="1"/>
      <protection hidden="1"/>
    </xf>
    <xf numFmtId="0" fontId="28" fillId="27" borderId="11" xfId="0" applyNumberFormat="1" applyFont="1" applyFill="1" applyBorder="1" applyAlignment="1" applyProtection="1">
      <alignment horizontal="center" vertical="center" wrapText="1"/>
      <protection hidden="1"/>
    </xf>
    <xf numFmtId="0" fontId="28" fillId="31" borderId="174" xfId="0" applyNumberFormat="1" applyFont="1" applyFill="1" applyBorder="1" applyAlignment="1" applyProtection="1">
      <alignment horizontal="center" vertical="center" wrapText="1"/>
      <protection hidden="1"/>
    </xf>
    <xf numFmtId="0" fontId="28" fillId="27" borderId="222" xfId="0" applyNumberFormat="1" applyFont="1" applyFill="1" applyBorder="1" applyAlignment="1" applyProtection="1">
      <alignment horizontal="center" vertical="center" wrapText="1"/>
      <protection hidden="1"/>
    </xf>
    <xf numFmtId="0" fontId="28" fillId="27" borderId="177" xfId="0" applyNumberFormat="1" applyFont="1" applyFill="1" applyBorder="1" applyAlignment="1" applyProtection="1">
      <alignment horizontal="center" vertical="center" wrapText="1"/>
      <protection hidden="1"/>
    </xf>
    <xf numFmtId="0" fontId="26" fillId="27" borderId="56" xfId="0" applyNumberFormat="1" applyFont="1" applyFill="1" applyBorder="1" applyAlignment="1" applyProtection="1">
      <alignment horizontal="center" vertical="center" wrapText="1"/>
      <protection hidden="1"/>
    </xf>
    <xf numFmtId="224" fontId="26" fillId="27" borderId="50" xfId="0" applyNumberFormat="1" applyFont="1" applyFill="1" applyBorder="1" applyAlignment="1" applyProtection="1">
      <alignment horizontal="center" vertical="center" wrapText="1"/>
      <protection hidden="1"/>
    </xf>
    <xf numFmtId="0" fontId="28" fillId="27" borderId="50" xfId="0" applyNumberFormat="1" applyFont="1" applyFill="1" applyBorder="1" applyAlignment="1" applyProtection="1">
      <alignment horizontal="left" vertical="center" wrapText="1"/>
      <protection hidden="1"/>
    </xf>
    <xf numFmtId="0" fontId="28" fillId="27" borderId="27" xfId="0" applyNumberFormat="1" applyFont="1" applyFill="1" applyBorder="1" applyAlignment="1" applyProtection="1">
      <alignment horizontal="left" vertical="center" wrapText="1"/>
      <protection hidden="1"/>
    </xf>
    <xf numFmtId="0" fontId="26" fillId="0" borderId="0" xfId="0" applyNumberFormat="1" applyFont="1" applyAlignment="1" applyProtection="1">
      <alignment vertical="center"/>
      <protection hidden="1"/>
    </xf>
    <xf numFmtId="0" fontId="28" fillId="59" borderId="52" xfId="0" applyNumberFormat="1" applyFont="1" applyFill="1" applyBorder="1" applyAlignment="1" applyProtection="1">
      <alignment vertical="center"/>
      <protection hidden="1"/>
    </xf>
    <xf numFmtId="0" fontId="28" fillId="59" borderId="50" xfId="0" applyNumberFormat="1" applyFont="1" applyFill="1" applyBorder="1" applyAlignment="1" applyProtection="1">
      <alignment vertical="center"/>
      <protection hidden="1"/>
    </xf>
    <xf numFmtId="0" fontId="0" fillId="0" borderId="64" xfId="0" applyNumberFormat="1" applyFont="1" applyFill="1" applyBorder="1" applyAlignment="1" applyProtection="1">
      <alignment vertical="center"/>
      <protection hidden="1"/>
    </xf>
    <xf numFmtId="0" fontId="28" fillId="31" borderId="144" xfId="0" applyNumberFormat="1" applyFont="1" applyFill="1" applyBorder="1" applyAlignment="1" applyProtection="1">
      <alignment horizontal="center" vertical="center"/>
      <protection locked="0"/>
    </xf>
    <xf numFmtId="206" fontId="23" fillId="41" borderId="173" xfId="0" applyNumberFormat="1" applyFont="1" applyFill="1" applyBorder="1" applyAlignment="1" applyProtection="1">
      <alignment horizontal="center" vertical="center"/>
      <protection locked="0"/>
    </xf>
    <xf numFmtId="0" fontId="28" fillId="27" borderId="15" xfId="0" applyNumberFormat="1" applyFont="1" applyFill="1" applyBorder="1" applyAlignment="1" applyProtection="1">
      <alignment horizontal="center" vertical="center" wrapText="1"/>
      <protection hidden="1"/>
    </xf>
    <xf numFmtId="0" fontId="28" fillId="27" borderId="11" xfId="0" applyNumberFormat="1" applyFont="1" applyFill="1" applyBorder="1" applyAlignment="1" applyProtection="1">
      <alignment horizontal="center" vertical="center"/>
      <protection hidden="1"/>
    </xf>
    <xf numFmtId="0" fontId="0" fillId="27" borderId="168" xfId="0" applyFont="1" applyFill="1" applyBorder="1" applyAlignment="1" applyProtection="1">
      <alignment horizontal="center" vertical="center" wrapText="1"/>
      <protection hidden="1"/>
    </xf>
    <xf numFmtId="0" fontId="0" fillId="0" borderId="0" xfId="0" applyFont="1" applyFill="1" applyBorder="1">
      <alignment vertical="center"/>
    </xf>
    <xf numFmtId="0" fontId="28" fillId="60" borderId="52" xfId="0" applyNumberFormat="1" applyFont="1" applyFill="1" applyBorder="1" applyAlignment="1" applyProtection="1">
      <alignment horizontal="centerContinuous" vertical="center"/>
      <protection hidden="1"/>
    </xf>
    <xf numFmtId="0" fontId="28" fillId="60" borderId="50" xfId="0" applyNumberFormat="1" applyFont="1" applyFill="1" applyBorder="1" applyAlignment="1" applyProtection="1">
      <alignment horizontal="centerContinuous" vertical="center"/>
      <protection hidden="1"/>
    </xf>
    <xf numFmtId="0" fontId="28" fillId="60" borderId="27" xfId="0" applyNumberFormat="1" applyFont="1" applyFill="1" applyBorder="1" applyAlignment="1" applyProtection="1">
      <alignment horizontal="centerContinuous" vertical="center"/>
      <protection hidden="1"/>
    </xf>
    <xf numFmtId="0" fontId="28" fillId="0" borderId="0" xfId="0" applyNumberFormat="1" applyFont="1" applyFill="1" applyBorder="1" applyAlignment="1" applyProtection="1">
      <alignment horizontal="center" vertical="center"/>
      <protection locked="0"/>
    </xf>
    <xf numFmtId="181" fontId="28" fillId="52" borderId="165" xfId="0" applyNumberFormat="1" applyFont="1" applyFill="1" applyBorder="1" applyAlignment="1" applyProtection="1">
      <alignment horizontal="left" vertical="center"/>
      <protection hidden="1"/>
    </xf>
    <xf numFmtId="0" fontId="0" fillId="52" borderId="166" xfId="0" applyFont="1" applyFill="1" applyBorder="1" applyAlignment="1">
      <alignment horizontal="left" vertical="center"/>
    </xf>
    <xf numFmtId="0" fontId="0" fillId="52" borderId="13" xfId="0" applyFont="1" applyFill="1" applyBorder="1" applyAlignment="1">
      <alignment horizontal="left" vertical="center"/>
    </xf>
    <xf numFmtId="0" fontId="0" fillId="52" borderId="14" xfId="0" applyFont="1" applyFill="1" applyBorder="1" applyAlignment="1">
      <alignment horizontal="left" vertical="center"/>
    </xf>
    <xf numFmtId="0" fontId="0" fillId="52" borderId="171" xfId="0" applyFont="1" applyFill="1" applyBorder="1" applyAlignment="1">
      <alignment horizontal="left" vertical="center"/>
    </xf>
    <xf numFmtId="0" fontId="0" fillId="52" borderId="170" xfId="0" applyFont="1" applyFill="1" applyBorder="1" applyAlignment="1">
      <alignment horizontal="left" vertical="center"/>
    </xf>
    <xf numFmtId="0" fontId="126" fillId="0" borderId="57" xfId="0" applyFont="1" applyFill="1" applyBorder="1" applyAlignment="1" applyProtection="1">
      <alignment horizontal="right" vertical="center"/>
      <protection hidden="1"/>
    </xf>
    <xf numFmtId="0" fontId="0" fillId="0" borderId="0" xfId="0" applyFont="1" applyBorder="1" applyAlignment="1">
      <alignment vertical="center" wrapText="1"/>
    </xf>
    <xf numFmtId="0" fontId="0" fillId="0" borderId="0" xfId="0" applyFont="1" applyFill="1" applyProtection="1">
      <alignment vertical="center"/>
    </xf>
    <xf numFmtId="0" fontId="0" fillId="27" borderId="168" xfId="0" applyFont="1" applyFill="1" applyBorder="1" applyAlignment="1" applyProtection="1">
      <alignment horizontal="center" vertical="center"/>
      <protection hidden="1"/>
    </xf>
    <xf numFmtId="0" fontId="33" fillId="0" borderId="26" xfId="0" applyFont="1" applyFill="1" applyBorder="1" applyAlignment="1" applyProtection="1">
      <alignment horizontal="left" vertical="center" shrinkToFit="1"/>
      <protection locked="0"/>
    </xf>
    <xf numFmtId="0" fontId="33" fillId="0" borderId="50" xfId="0" applyFont="1" applyFill="1" applyBorder="1" applyAlignment="1" applyProtection="1">
      <alignment horizontal="left" vertical="center" shrinkToFit="1"/>
      <protection locked="0"/>
    </xf>
    <xf numFmtId="0" fontId="27" fillId="27" borderId="0" xfId="0" applyFont="1" applyFill="1" applyBorder="1" applyAlignment="1">
      <alignment horizontal="left" vertical="center"/>
    </xf>
    <xf numFmtId="0" fontId="33" fillId="29" borderId="27" xfId="0" applyFont="1" applyFill="1" applyBorder="1" applyAlignment="1" applyProtection="1">
      <alignment horizontal="left" vertical="center" shrinkToFit="1"/>
      <protection locked="0"/>
    </xf>
    <xf numFmtId="55" fontId="33" fillId="0" borderId="10" xfId="0" applyNumberFormat="1" applyFont="1" applyFill="1" applyBorder="1" applyAlignment="1" applyProtection="1">
      <alignment horizontal="right" vertical="center" shrinkToFit="1"/>
      <protection locked="0"/>
    </xf>
    <xf numFmtId="179" fontId="33" fillId="0" borderId="10" xfId="35" applyNumberFormat="1" applyFont="1" applyFill="1" applyBorder="1" applyAlignment="1" applyProtection="1">
      <alignment horizontal="right" vertical="center" shrinkToFit="1"/>
      <protection locked="0"/>
    </xf>
    <xf numFmtId="40" fontId="6" fillId="27" borderId="10" xfId="35" applyNumberFormat="1" applyFont="1" applyFill="1" applyBorder="1" applyAlignment="1" applyProtection="1">
      <alignment horizontal="right" vertical="center" shrinkToFit="1"/>
    </xf>
    <xf numFmtId="0" fontId="33" fillId="0" borderId="10" xfId="0" applyFont="1" applyFill="1" applyBorder="1" applyAlignment="1" applyProtection="1">
      <alignment horizontal="right" vertical="center" shrinkToFit="1"/>
      <protection locked="0"/>
    </xf>
    <xf numFmtId="183" fontId="33" fillId="0" borderId="10" xfId="0" applyNumberFormat="1" applyFont="1" applyFill="1" applyBorder="1" applyAlignment="1" applyProtection="1">
      <alignment horizontal="right" vertical="center" shrinkToFit="1"/>
      <protection locked="0"/>
    </xf>
    <xf numFmtId="31" fontId="33" fillId="0" borderId="10" xfId="0" applyNumberFormat="1" applyFont="1" applyFill="1" applyBorder="1" applyAlignment="1" applyProtection="1">
      <alignment horizontal="right" vertical="center" shrinkToFit="1"/>
      <protection locked="0"/>
    </xf>
    <xf numFmtId="0" fontId="35" fillId="0" borderId="31" xfId="0" applyFont="1" applyFill="1" applyBorder="1" applyAlignment="1" applyProtection="1">
      <alignment horizontal="right" vertical="center" shrinkToFit="1"/>
      <protection locked="0"/>
    </xf>
    <xf numFmtId="182" fontId="28" fillId="0" borderId="146" xfId="0" applyNumberFormat="1" applyFont="1" applyFill="1" applyBorder="1" applyAlignment="1" applyProtection="1">
      <alignment horizontal="left" vertical="center" shrinkToFit="1"/>
      <protection locked="0"/>
    </xf>
    <xf numFmtId="182" fontId="28" fillId="0" borderId="109" xfId="0" applyNumberFormat="1" applyFont="1" applyFill="1" applyBorder="1" applyAlignment="1" applyProtection="1">
      <alignment horizontal="left" vertical="center" shrinkToFit="1"/>
      <protection locked="0"/>
    </xf>
    <xf numFmtId="182" fontId="37" fillId="0" borderId="147" xfId="0" applyNumberFormat="1" applyFont="1" applyFill="1" applyBorder="1" applyAlignment="1" applyProtection="1">
      <alignment horizontal="left" shrinkToFit="1"/>
      <protection locked="0"/>
    </xf>
    <xf numFmtId="182" fontId="28" fillId="0" borderId="62" xfId="0" applyNumberFormat="1" applyFont="1" applyFill="1" applyBorder="1" applyAlignment="1" applyProtection="1">
      <alignment horizontal="left" vertical="center" shrinkToFit="1"/>
      <protection locked="0"/>
    </xf>
    <xf numFmtId="182" fontId="28" fillId="0" borderId="0" xfId="0" applyNumberFormat="1" applyFont="1" applyFill="1" applyBorder="1" applyAlignment="1" applyProtection="1">
      <alignment horizontal="left" vertical="center" shrinkToFit="1"/>
      <protection locked="0"/>
    </xf>
    <xf numFmtId="182" fontId="37" fillId="0" borderId="0" xfId="0" applyNumberFormat="1" applyFont="1" applyFill="1" applyBorder="1" applyAlignment="1" applyProtection="1">
      <alignment horizontal="left" shrinkToFit="1"/>
      <protection locked="0"/>
    </xf>
    <xf numFmtId="182" fontId="28" fillId="0" borderId="80" xfId="0" applyNumberFormat="1" applyFont="1" applyFill="1" applyBorder="1" applyAlignment="1" applyProtection="1">
      <alignment horizontal="left" vertical="center" shrinkToFit="1"/>
      <protection locked="0"/>
    </xf>
    <xf numFmtId="182" fontId="28" fillId="0" borderId="50" xfId="0" applyNumberFormat="1" applyFont="1" applyFill="1" applyBorder="1" applyAlignment="1" applyProtection="1">
      <alignment horizontal="left" vertical="center" shrinkToFit="1"/>
      <protection locked="0"/>
    </xf>
    <xf numFmtId="182" fontId="37" fillId="0" borderId="50" xfId="0" applyNumberFormat="1" applyFont="1" applyFill="1" applyBorder="1" applyAlignment="1" applyProtection="1">
      <alignment horizontal="left" shrinkToFit="1"/>
      <protection locked="0"/>
    </xf>
    <xf numFmtId="182" fontId="28" fillId="0" borderId="89" xfId="0" applyNumberFormat="1" applyFont="1" applyFill="1" applyBorder="1" applyAlignment="1" applyProtection="1">
      <alignment horizontal="left" vertical="center" shrinkToFit="1"/>
      <protection locked="0"/>
    </xf>
    <xf numFmtId="182" fontId="28" fillId="0" borderId="53" xfId="0" applyNumberFormat="1" applyFont="1" applyFill="1" applyBorder="1" applyAlignment="1" applyProtection="1">
      <alignment horizontal="left" vertical="center" shrinkToFit="1"/>
      <protection locked="0"/>
    </xf>
    <xf numFmtId="182" fontId="37" fillId="0" borderId="53" xfId="0" applyNumberFormat="1" applyFont="1" applyFill="1" applyBorder="1" applyAlignment="1" applyProtection="1">
      <alignment horizontal="left" shrinkToFit="1"/>
      <protection locked="0"/>
    </xf>
    <xf numFmtId="182" fontId="28" fillId="0" borderId="77" xfId="0" applyNumberFormat="1" applyFont="1" applyFill="1" applyBorder="1" applyAlignment="1" applyProtection="1">
      <alignment horizontal="left" vertical="center" shrinkToFit="1"/>
      <protection locked="0"/>
    </xf>
    <xf numFmtId="182" fontId="28" fillId="0" borderId="57" xfId="0" applyNumberFormat="1" applyFont="1" applyFill="1" applyBorder="1" applyAlignment="1" applyProtection="1">
      <alignment horizontal="left" vertical="center" shrinkToFit="1"/>
      <protection locked="0"/>
    </xf>
    <xf numFmtId="182" fontId="37" fillId="0" borderId="57" xfId="0" applyNumberFormat="1" applyFont="1" applyFill="1" applyBorder="1" applyAlignment="1" applyProtection="1">
      <alignment horizontal="left" shrinkToFit="1"/>
      <protection locked="0"/>
    </xf>
    <xf numFmtId="182" fontId="28" fillId="0" borderId="89" xfId="0" applyNumberFormat="1" applyFont="1" applyFill="1" applyBorder="1" applyAlignment="1" applyProtection="1">
      <alignment horizontal="left" vertical="top" shrinkToFit="1"/>
      <protection locked="0"/>
    </xf>
    <xf numFmtId="0" fontId="0" fillId="0" borderId="53" xfId="0" applyBorder="1" applyAlignment="1" applyProtection="1">
      <alignment horizontal="left" vertical="top" shrinkToFit="1"/>
      <protection locked="0"/>
    </xf>
    <xf numFmtId="182" fontId="28" fillId="0" borderId="80" xfId="0" applyNumberFormat="1" applyFont="1" applyFill="1" applyBorder="1" applyAlignment="1" applyProtection="1">
      <alignment horizontal="right" vertical="center" shrinkToFit="1"/>
      <protection locked="0"/>
    </xf>
    <xf numFmtId="182" fontId="28" fillId="0" borderId="50" xfId="0" applyNumberFormat="1" applyFont="1" applyFill="1" applyBorder="1" applyAlignment="1" applyProtection="1">
      <alignment horizontal="right" vertical="center" shrinkToFit="1"/>
      <protection locked="0"/>
    </xf>
    <xf numFmtId="189" fontId="28" fillId="0" borderId="50" xfId="0" applyNumberFormat="1" applyFont="1" applyFill="1" applyBorder="1" applyAlignment="1" applyProtection="1">
      <alignment horizontal="left" vertical="center" shrinkToFit="1"/>
      <protection locked="0"/>
    </xf>
    <xf numFmtId="182" fontId="37" fillId="0" borderId="27" xfId="0" applyNumberFormat="1" applyFont="1" applyFill="1" applyBorder="1" applyAlignment="1" applyProtection="1">
      <alignment horizontal="left" shrinkToFit="1"/>
      <protection locked="0"/>
    </xf>
    <xf numFmtId="182" fontId="37" fillId="0" borderId="17" xfId="0" applyNumberFormat="1" applyFont="1" applyFill="1" applyBorder="1" applyAlignment="1" applyProtection="1">
      <alignment horizontal="left" shrinkToFit="1"/>
      <protection locked="0"/>
    </xf>
    <xf numFmtId="182" fontId="28" fillId="0" borderId="80" xfId="0" applyNumberFormat="1" applyFont="1" applyFill="1" applyBorder="1" applyAlignment="1" applyProtection="1">
      <alignment horizontal="left" vertical="top" shrinkToFit="1"/>
      <protection locked="0"/>
    </xf>
    <xf numFmtId="0" fontId="0" fillId="0" borderId="50" xfId="0" applyBorder="1" applyAlignment="1" applyProtection="1">
      <alignment horizontal="left" vertical="top" shrinkToFit="1"/>
      <protection locked="0"/>
    </xf>
    <xf numFmtId="0" fontId="0" fillId="0" borderId="17" xfId="0" applyBorder="1" applyAlignment="1" applyProtection="1">
      <alignment horizontal="left" vertical="top" shrinkToFit="1"/>
      <protection locked="0"/>
    </xf>
    <xf numFmtId="183" fontId="33" fillId="0" borderId="76" xfId="0" applyNumberFormat="1" applyFont="1" applyFill="1" applyBorder="1" applyAlignment="1" applyProtection="1">
      <alignment vertical="center" shrinkToFit="1"/>
      <protection hidden="1"/>
    </xf>
    <xf numFmtId="183" fontId="33" fillId="0" borderId="78" xfId="0" applyNumberFormat="1" applyFont="1" applyFill="1" applyBorder="1" applyAlignment="1" applyProtection="1">
      <alignment vertical="center" shrinkToFit="1"/>
      <protection hidden="1"/>
    </xf>
    <xf numFmtId="0" fontId="6" fillId="0" borderId="0" xfId="0" applyFont="1" applyFill="1" applyBorder="1" applyAlignment="1" applyProtection="1">
      <alignment vertical="center" shrinkToFit="1"/>
    </xf>
    <xf numFmtId="0" fontId="6" fillId="0" borderId="57" xfId="0" applyFont="1" applyFill="1" applyBorder="1" applyAlignment="1" applyProtection="1">
      <alignment vertical="center" shrinkToFit="1"/>
    </xf>
    <xf numFmtId="182" fontId="0" fillId="0" borderId="10" xfId="0" applyNumberFormat="1" applyBorder="1">
      <alignment vertical="center"/>
    </xf>
    <xf numFmtId="182" fontId="0" fillId="0" borderId="0" xfId="0" applyNumberFormat="1">
      <alignment vertical="center"/>
    </xf>
    <xf numFmtId="0" fontId="171" fillId="0" borderId="0" xfId="48">
      <alignment vertical="center"/>
    </xf>
    <xf numFmtId="0" fontId="173" fillId="0" borderId="0" xfId="0" applyFont="1" applyProtection="1">
      <alignment vertical="center"/>
      <protection hidden="1"/>
    </xf>
    <xf numFmtId="0" fontId="173" fillId="0" borderId="0" xfId="0" applyFont="1" applyProtection="1">
      <alignment vertical="center"/>
    </xf>
    <xf numFmtId="0" fontId="33" fillId="0" borderId="0" xfId="49" applyFont="1" applyProtection="1">
      <alignment vertical="center"/>
      <protection hidden="1"/>
    </xf>
    <xf numFmtId="0" fontId="33" fillId="0" borderId="0" xfId="49" applyFont="1" applyAlignment="1" applyProtection="1">
      <alignment vertical="center"/>
      <protection hidden="1"/>
    </xf>
    <xf numFmtId="0" fontId="33" fillId="0" borderId="0" xfId="49" applyFont="1" applyAlignment="1" applyProtection="1">
      <alignment horizontal="center" vertical="center"/>
      <protection hidden="1"/>
    </xf>
    <xf numFmtId="0" fontId="33" fillId="0" borderId="0" xfId="49" applyFont="1" applyFill="1" applyAlignment="1" applyProtection="1">
      <alignment horizontal="center" vertical="center"/>
      <protection hidden="1"/>
    </xf>
    <xf numFmtId="0" fontId="28" fillId="0" borderId="0" xfId="49" applyFont="1" applyFill="1" applyAlignment="1" applyProtection="1">
      <alignment horizontal="center" vertical="center"/>
    </xf>
    <xf numFmtId="0" fontId="33" fillId="29" borderId="0" xfId="49" applyFont="1" applyFill="1" applyProtection="1">
      <alignment vertical="center"/>
      <protection hidden="1"/>
    </xf>
    <xf numFmtId="0" fontId="174" fillId="29" borderId="0" xfId="0" applyFont="1" applyFill="1" applyAlignment="1" applyProtection="1">
      <alignment vertical="center"/>
      <protection hidden="1"/>
    </xf>
    <xf numFmtId="0" fontId="175" fillId="29" borderId="0" xfId="0" applyFont="1" applyFill="1" applyAlignment="1" applyProtection="1">
      <alignment vertical="center"/>
      <protection hidden="1"/>
    </xf>
    <xf numFmtId="0" fontId="33" fillId="29" borderId="0" xfId="49" applyFont="1" applyFill="1" applyAlignment="1" applyProtection="1">
      <alignment vertical="center"/>
      <protection hidden="1"/>
    </xf>
    <xf numFmtId="0" fontId="33" fillId="29" borderId="0" xfId="49" applyFont="1" applyFill="1" applyAlignment="1" applyProtection="1">
      <alignment horizontal="center" vertical="center"/>
      <protection hidden="1"/>
    </xf>
    <xf numFmtId="0" fontId="28" fillId="0" borderId="0" xfId="49" applyFont="1" applyFill="1" applyBorder="1" applyProtection="1">
      <alignment vertical="center"/>
    </xf>
    <xf numFmtId="0" fontId="33" fillId="0" borderId="0" xfId="49" applyFont="1" applyProtection="1">
      <alignment vertical="center"/>
    </xf>
    <xf numFmtId="0" fontId="28" fillId="29" borderId="0" xfId="0" applyFont="1" applyFill="1" applyBorder="1" applyAlignment="1" applyProtection="1">
      <alignment horizontal="right"/>
      <protection hidden="1"/>
    </xf>
    <xf numFmtId="0" fontId="26" fillId="29" borderId="0" xfId="0" applyFont="1" applyFill="1" applyBorder="1" applyAlignment="1" applyProtection="1">
      <alignment horizontal="left" vertical="center"/>
      <protection hidden="1"/>
    </xf>
    <xf numFmtId="0" fontId="126" fillId="29" borderId="0" xfId="49" applyFont="1" applyFill="1" applyAlignment="1" applyProtection="1">
      <alignment horizontal="right" vertical="center"/>
      <protection hidden="1"/>
    </xf>
    <xf numFmtId="0" fontId="28" fillId="29" borderId="0" xfId="0" applyFont="1" applyFill="1" applyBorder="1" applyAlignment="1" applyProtection="1">
      <alignment horizontal="right" vertical="center"/>
      <protection hidden="1"/>
    </xf>
    <xf numFmtId="0" fontId="63" fillId="30" borderId="59" xfId="0" applyFont="1" applyFill="1" applyBorder="1" applyAlignment="1" applyProtection="1">
      <alignment horizontal="left" vertical="center"/>
      <protection hidden="1"/>
    </xf>
    <xf numFmtId="0" fontId="63" fillId="30" borderId="60" xfId="0" applyFont="1" applyFill="1" applyBorder="1" applyAlignment="1" applyProtection="1">
      <alignment horizontal="left" vertical="center"/>
      <protection hidden="1"/>
    </xf>
    <xf numFmtId="0" fontId="63" fillId="30" borderId="144" xfId="0" applyFont="1" applyFill="1" applyBorder="1" applyAlignment="1" applyProtection="1">
      <alignment horizontal="left" vertical="center"/>
      <protection hidden="1"/>
    </xf>
    <xf numFmtId="0" fontId="63" fillId="30" borderId="61" xfId="0" applyFont="1" applyFill="1" applyBorder="1" applyAlignment="1" applyProtection="1">
      <alignment horizontal="left" vertical="center"/>
      <protection hidden="1"/>
    </xf>
    <xf numFmtId="0" fontId="33" fillId="0" borderId="63" xfId="49" applyFont="1" applyBorder="1" applyProtection="1">
      <alignment vertical="center"/>
      <protection hidden="1"/>
    </xf>
    <xf numFmtId="0" fontId="33" fillId="0" borderId="89" xfId="49" applyFont="1" applyBorder="1" applyProtection="1">
      <alignment vertical="center"/>
      <protection hidden="1"/>
    </xf>
    <xf numFmtId="0" fontId="33" fillId="0" borderId="53" xfId="49" applyFont="1" applyBorder="1" applyProtection="1">
      <alignment vertical="center"/>
      <protection hidden="1"/>
    </xf>
    <xf numFmtId="0" fontId="33" fillId="0" borderId="62" xfId="49" applyFont="1" applyBorder="1" applyProtection="1">
      <alignment vertical="center"/>
      <protection hidden="1"/>
    </xf>
    <xf numFmtId="0" fontId="33" fillId="0" borderId="0" xfId="49" applyFont="1" applyBorder="1" applyProtection="1">
      <alignment vertical="center"/>
      <protection hidden="1"/>
    </xf>
    <xf numFmtId="0" fontId="23" fillId="0" borderId="0" xfId="49" applyFont="1" applyFill="1" applyBorder="1" applyAlignment="1" applyProtection="1">
      <alignment vertical="center"/>
      <protection hidden="1"/>
    </xf>
    <xf numFmtId="0" fontId="33" fillId="0" borderId="0" xfId="49" applyFont="1" applyFill="1" applyBorder="1" applyProtection="1">
      <alignment vertical="center"/>
    </xf>
    <xf numFmtId="0" fontId="28" fillId="0" borderId="0" xfId="49" applyFont="1" applyFill="1" applyBorder="1" applyAlignment="1" applyProtection="1">
      <alignment horizontal="left" vertical="center" indent="2"/>
      <protection hidden="1"/>
    </xf>
    <xf numFmtId="0" fontId="33" fillId="0" borderId="65" xfId="49" applyFont="1" applyBorder="1" applyProtection="1">
      <alignment vertical="center"/>
      <protection hidden="1"/>
    </xf>
    <xf numFmtId="0" fontId="28" fillId="0" borderId="66" xfId="0" applyFont="1" applyFill="1" applyBorder="1" applyAlignment="1" applyProtection="1">
      <alignment horizontal="left" vertical="center"/>
      <protection hidden="1"/>
    </xf>
    <xf numFmtId="0" fontId="28" fillId="0" borderId="66" xfId="0" applyFont="1" applyFill="1" applyBorder="1" applyAlignment="1" applyProtection="1">
      <alignment horizontal="left" vertical="center" indent="2"/>
      <protection hidden="1"/>
    </xf>
    <xf numFmtId="0" fontId="173" fillId="0" borderId="66" xfId="0" applyFont="1" applyBorder="1" applyProtection="1">
      <alignment vertical="center"/>
      <protection hidden="1"/>
    </xf>
    <xf numFmtId="0" fontId="63" fillId="30" borderId="68" xfId="0" applyFont="1" applyFill="1" applyBorder="1" applyAlignment="1" applyProtection="1">
      <alignment vertical="center"/>
      <protection hidden="1"/>
    </xf>
    <xf numFmtId="0" fontId="63" fillId="30" borderId="69" xfId="0" applyFont="1" applyFill="1" applyBorder="1" applyAlignment="1" applyProtection="1">
      <alignment vertical="center"/>
      <protection hidden="1"/>
    </xf>
    <xf numFmtId="0" fontId="178" fillId="30" borderId="69" xfId="0" applyFont="1" applyFill="1" applyBorder="1" applyAlignment="1" applyProtection="1">
      <alignment horizontal="right" vertical="center"/>
      <protection hidden="1"/>
    </xf>
    <xf numFmtId="0" fontId="178" fillId="30" borderId="69" xfId="0" applyFont="1" applyFill="1" applyBorder="1" applyAlignment="1" applyProtection="1">
      <alignment vertical="center"/>
      <protection hidden="1"/>
    </xf>
    <xf numFmtId="0" fontId="179" fillId="30" borderId="69" xfId="0" applyFont="1" applyFill="1" applyBorder="1" applyAlignment="1" applyProtection="1">
      <alignment vertical="center"/>
      <protection hidden="1"/>
    </xf>
    <xf numFmtId="0" fontId="2" fillId="30" borderId="69" xfId="0" applyFont="1" applyFill="1" applyBorder="1" applyAlignment="1" applyProtection="1">
      <alignment horizontal="right" vertical="center"/>
      <protection hidden="1"/>
    </xf>
    <xf numFmtId="0" fontId="2" fillId="30" borderId="71" xfId="0" applyFont="1" applyFill="1" applyBorder="1" applyAlignment="1" applyProtection="1">
      <alignment horizontal="right" vertical="center"/>
      <protection hidden="1"/>
    </xf>
    <xf numFmtId="0" fontId="4" fillId="35" borderId="77" xfId="0" applyFont="1" applyFill="1" applyBorder="1" applyAlignment="1" applyProtection="1">
      <alignment horizontal="left" vertical="center"/>
      <protection hidden="1"/>
    </xf>
    <xf numFmtId="0" fontId="4" fillId="35" borderId="57" xfId="0" applyFont="1" applyFill="1" applyBorder="1" applyAlignment="1" applyProtection="1">
      <alignment horizontal="left" vertical="center"/>
      <protection hidden="1"/>
    </xf>
    <xf numFmtId="0" fontId="32" fillId="35" borderId="57" xfId="0" applyFont="1" applyFill="1" applyBorder="1" applyAlignment="1" applyProtection="1">
      <alignment horizontal="left" vertical="center"/>
      <protection hidden="1"/>
    </xf>
    <xf numFmtId="0" fontId="4" fillId="35" borderId="56" xfId="0" applyFont="1" applyFill="1" applyBorder="1" applyAlignment="1" applyProtection="1">
      <alignment horizontal="left" vertical="center"/>
      <protection hidden="1"/>
    </xf>
    <xf numFmtId="0" fontId="4" fillId="35" borderId="79" xfId="0" applyFont="1" applyFill="1" applyBorder="1" applyAlignment="1" applyProtection="1">
      <alignment horizontal="left" vertical="center"/>
      <protection hidden="1"/>
    </xf>
    <xf numFmtId="0" fontId="148" fillId="56" borderId="89" xfId="49" applyFont="1" applyFill="1" applyBorder="1" applyProtection="1">
      <alignment vertical="center"/>
      <protection hidden="1"/>
    </xf>
    <xf numFmtId="0" fontId="33" fillId="56" borderId="54" xfId="49" applyFont="1" applyFill="1" applyBorder="1" applyAlignment="1" applyProtection="1">
      <alignment horizontal="right" vertical="center"/>
      <protection hidden="1"/>
    </xf>
    <xf numFmtId="0" fontId="33" fillId="29" borderId="53" xfId="49" applyFont="1" applyFill="1" applyBorder="1" applyProtection="1">
      <alignment vertical="center"/>
      <protection hidden="1"/>
    </xf>
    <xf numFmtId="0" fontId="33" fillId="29" borderId="53" xfId="49" applyFont="1" applyFill="1" applyBorder="1" applyAlignment="1" applyProtection="1">
      <alignment horizontal="center" vertical="center"/>
      <protection hidden="1"/>
    </xf>
    <xf numFmtId="0" fontId="33" fillId="29" borderId="90" xfId="49" applyFont="1" applyFill="1" applyBorder="1" applyAlignment="1" applyProtection="1">
      <alignment horizontal="center" vertical="center"/>
      <protection hidden="1"/>
    </xf>
    <xf numFmtId="0" fontId="126" fillId="0" borderId="0" xfId="49" applyFont="1" applyFill="1" applyBorder="1" applyAlignment="1" applyProtection="1">
      <alignment horizontal="right" vertical="center"/>
      <protection hidden="1"/>
    </xf>
    <xf numFmtId="192" fontId="28" fillId="56" borderId="144" xfId="49" applyNumberFormat="1" applyFont="1" applyFill="1" applyBorder="1" applyAlignment="1" applyProtection="1">
      <alignment horizontal="center" vertical="center"/>
    </xf>
    <xf numFmtId="0" fontId="150" fillId="56" borderId="62" xfId="49" applyFont="1" applyFill="1" applyBorder="1" applyProtection="1">
      <alignment vertical="center"/>
      <protection hidden="1"/>
    </xf>
    <xf numFmtId="0" fontId="33" fillId="56" borderId="17" xfId="49" applyFont="1" applyFill="1" applyBorder="1" applyAlignment="1" applyProtection="1">
      <alignment horizontal="right" vertical="center"/>
      <protection hidden="1"/>
    </xf>
    <xf numFmtId="0" fontId="33" fillId="29" borderId="0" xfId="49" applyFont="1" applyFill="1" applyBorder="1" applyProtection="1">
      <alignment vertical="center"/>
      <protection hidden="1"/>
    </xf>
    <xf numFmtId="0" fontId="33" fillId="29" borderId="0" xfId="49" applyFont="1" applyFill="1" applyBorder="1" applyAlignment="1" applyProtection="1">
      <alignment horizontal="center" vertical="center"/>
      <protection hidden="1"/>
    </xf>
    <xf numFmtId="0" fontId="33" fillId="29" borderId="63" xfId="49" applyFont="1" applyFill="1" applyBorder="1" applyAlignment="1" applyProtection="1">
      <alignment horizontal="center" vertical="center"/>
      <protection hidden="1"/>
    </xf>
    <xf numFmtId="0" fontId="33" fillId="0" borderId="0" xfId="49" applyFont="1" applyFill="1" applyBorder="1" applyAlignment="1" applyProtection="1">
      <alignment vertical="center"/>
      <protection hidden="1"/>
    </xf>
    <xf numFmtId="0" fontId="26" fillId="56" borderId="144" xfId="0" applyFont="1" applyFill="1" applyBorder="1" applyAlignment="1" applyProtection="1">
      <alignment horizontal="center" vertical="center"/>
    </xf>
    <xf numFmtId="0" fontId="150" fillId="56" borderId="77" xfId="49" applyFont="1" applyFill="1" applyBorder="1" applyProtection="1">
      <alignment vertical="center"/>
      <protection hidden="1"/>
    </xf>
    <xf numFmtId="0" fontId="33" fillId="56" borderId="58" xfId="49" applyFont="1" applyFill="1" applyBorder="1" applyAlignment="1" applyProtection="1">
      <alignment horizontal="right" vertical="center"/>
      <protection hidden="1"/>
    </xf>
    <xf numFmtId="0" fontId="33" fillId="29" borderId="57" xfId="49" applyFont="1" applyFill="1" applyBorder="1" applyProtection="1">
      <alignment vertical="center"/>
      <protection hidden="1"/>
    </xf>
    <xf numFmtId="0" fontId="33" fillId="29" borderId="57" xfId="49" applyFont="1" applyFill="1" applyBorder="1" applyAlignment="1" applyProtection="1">
      <alignment horizontal="center" vertical="center"/>
      <protection hidden="1"/>
    </xf>
    <xf numFmtId="0" fontId="33" fillId="29" borderId="79" xfId="49" applyFont="1" applyFill="1" applyBorder="1" applyAlignment="1" applyProtection="1">
      <alignment horizontal="center" vertical="center"/>
      <protection hidden="1"/>
    </xf>
    <xf numFmtId="0" fontId="28" fillId="0" borderId="0" xfId="0" applyFont="1" applyBorder="1" applyProtection="1">
      <alignment vertical="center"/>
    </xf>
    <xf numFmtId="0" fontId="148" fillId="32" borderId="89" xfId="49" applyFont="1" applyFill="1" applyBorder="1" applyProtection="1">
      <alignment vertical="center"/>
      <protection hidden="1"/>
    </xf>
    <xf numFmtId="0" fontId="33" fillId="32" borderId="54" xfId="49" applyFont="1" applyFill="1" applyBorder="1" applyAlignment="1" applyProtection="1">
      <alignment horizontal="right" vertical="center"/>
      <protection hidden="1"/>
    </xf>
    <xf numFmtId="192" fontId="28" fillId="32" borderId="144" xfId="49" applyNumberFormat="1" applyFont="1" applyFill="1" applyBorder="1" applyAlignment="1" applyProtection="1">
      <alignment horizontal="center" vertical="center"/>
    </xf>
    <xf numFmtId="0" fontId="150" fillId="32" borderId="62" xfId="49" applyFont="1" applyFill="1" applyBorder="1" applyProtection="1">
      <alignment vertical="center"/>
      <protection hidden="1"/>
    </xf>
    <xf numFmtId="0" fontId="33" fillId="32" borderId="17" xfId="49" applyFont="1" applyFill="1" applyBorder="1" applyAlignment="1" applyProtection="1">
      <alignment horizontal="right" vertical="center"/>
      <protection hidden="1"/>
    </xf>
    <xf numFmtId="0" fontId="26" fillId="32" borderId="144" xfId="0" applyFont="1" applyFill="1" applyBorder="1" applyAlignment="1" applyProtection="1">
      <alignment horizontal="center" vertical="center"/>
    </xf>
    <xf numFmtId="0" fontId="150" fillId="32" borderId="77" xfId="49" applyFont="1" applyFill="1" applyBorder="1" applyProtection="1">
      <alignment vertical="center"/>
      <protection hidden="1"/>
    </xf>
    <xf numFmtId="0" fontId="33" fillId="32" borderId="58" xfId="49" applyFont="1" applyFill="1" applyBorder="1" applyAlignment="1" applyProtection="1">
      <alignment horizontal="right" vertical="center"/>
      <protection hidden="1"/>
    </xf>
    <xf numFmtId="0" fontId="148" fillId="43" borderId="62" xfId="49" applyFont="1" applyFill="1" applyBorder="1" applyProtection="1">
      <alignment vertical="center"/>
      <protection hidden="1"/>
    </xf>
    <xf numFmtId="0" fontId="33" fillId="43" borderId="17" xfId="49" applyFont="1" applyFill="1" applyBorder="1" applyAlignment="1" applyProtection="1">
      <alignment horizontal="right" vertical="center"/>
      <protection hidden="1"/>
    </xf>
    <xf numFmtId="192" fontId="28" fillId="43" borderId="144" xfId="49" applyNumberFormat="1" applyFont="1" applyFill="1" applyBorder="1" applyAlignment="1" applyProtection="1">
      <alignment horizontal="center" vertical="center"/>
    </xf>
    <xf numFmtId="0" fontId="150" fillId="43" borderId="62" xfId="49" applyFont="1" applyFill="1" applyBorder="1" applyProtection="1">
      <alignment vertical="center"/>
      <protection hidden="1"/>
    </xf>
    <xf numFmtId="0" fontId="26" fillId="43" borderId="144" xfId="0" applyFont="1" applyFill="1" applyBorder="1" applyAlignment="1" applyProtection="1">
      <alignment horizontal="center" vertical="center"/>
    </xf>
    <xf numFmtId="0" fontId="150" fillId="43" borderId="65" xfId="49" applyFont="1" applyFill="1" applyBorder="1" applyProtection="1">
      <alignment vertical="center"/>
      <protection hidden="1"/>
    </xf>
    <xf numFmtId="0" fontId="33" fillId="43" borderId="84" xfId="49" applyFont="1" applyFill="1" applyBorder="1" applyAlignment="1" applyProtection="1">
      <alignment horizontal="right" vertical="center"/>
      <protection hidden="1"/>
    </xf>
    <xf numFmtId="0" fontId="33" fillId="29" borderId="66" xfId="49" applyFont="1" applyFill="1" applyBorder="1" applyProtection="1">
      <alignment vertical="center"/>
      <protection hidden="1"/>
    </xf>
    <xf numFmtId="0" fontId="33" fillId="29" borderId="66" xfId="49" applyFont="1" applyFill="1" applyBorder="1" applyAlignment="1" applyProtection="1">
      <alignment horizontal="center" vertical="center"/>
      <protection hidden="1"/>
    </xf>
    <xf numFmtId="0" fontId="33" fillId="29" borderId="67" xfId="49" applyFont="1" applyFill="1" applyBorder="1" applyAlignment="1" applyProtection="1">
      <alignment horizontal="center" vertical="center"/>
      <protection hidden="1"/>
    </xf>
    <xf numFmtId="0" fontId="28" fillId="0" borderId="0" xfId="49" applyFont="1" applyFill="1" applyBorder="1" applyAlignment="1" applyProtection="1">
      <alignment vertical="center"/>
    </xf>
    <xf numFmtId="0" fontId="33" fillId="29" borderId="0" xfId="49" applyFont="1" applyFill="1" applyBorder="1" applyAlignment="1" applyProtection="1">
      <alignment vertical="center"/>
      <protection hidden="1"/>
    </xf>
    <xf numFmtId="0" fontId="63" fillId="30" borderId="72" xfId="0" applyFont="1" applyFill="1" applyBorder="1" applyAlignment="1" applyProtection="1">
      <alignment vertical="center"/>
      <protection hidden="1"/>
    </xf>
    <xf numFmtId="0" fontId="63" fillId="30" borderId="73" xfId="0" applyFont="1" applyFill="1" applyBorder="1" applyAlignment="1" applyProtection="1">
      <alignment vertical="center"/>
      <protection hidden="1"/>
    </xf>
    <xf numFmtId="0" fontId="32" fillId="30" borderId="73" xfId="0" applyFont="1" applyFill="1" applyBorder="1" applyAlignment="1" applyProtection="1">
      <alignment vertical="center"/>
      <protection hidden="1"/>
    </xf>
    <xf numFmtId="0" fontId="32" fillId="30" borderId="73" xfId="0" applyFont="1" applyFill="1" applyBorder="1" applyAlignment="1" applyProtection="1">
      <alignment horizontal="right" vertical="center"/>
      <protection hidden="1"/>
    </xf>
    <xf numFmtId="0" fontId="87" fillId="30" borderId="73" xfId="0" applyFont="1" applyFill="1" applyBorder="1" applyAlignment="1" applyProtection="1">
      <alignment horizontal="right" vertical="top"/>
      <protection hidden="1"/>
    </xf>
    <xf numFmtId="0" fontId="119" fillId="30" borderId="73" xfId="0" applyFont="1" applyFill="1" applyBorder="1" applyAlignment="1" applyProtection="1">
      <alignment horizontal="center" vertical="center"/>
      <protection hidden="1"/>
    </xf>
    <xf numFmtId="0" fontId="32" fillId="30" borderId="75" xfId="0" applyFont="1" applyFill="1" applyBorder="1" applyAlignment="1" applyProtection="1">
      <alignment vertical="center"/>
      <protection hidden="1"/>
    </xf>
    <xf numFmtId="0" fontId="45" fillId="56" borderId="62" xfId="0" applyFont="1" applyFill="1" applyBorder="1" applyAlignment="1" applyProtection="1">
      <alignment vertical="center"/>
      <protection hidden="1"/>
    </xf>
    <xf numFmtId="0" fontId="45" fillId="56" borderId="57" xfId="0" applyFont="1" applyFill="1" applyBorder="1" applyAlignment="1" applyProtection="1">
      <alignment vertical="center"/>
      <protection hidden="1"/>
    </xf>
    <xf numFmtId="0" fontId="23" fillId="56" borderId="57" xfId="0" applyFont="1" applyFill="1" applyBorder="1" applyAlignment="1" applyProtection="1">
      <alignment horizontal="center" vertical="center"/>
      <protection hidden="1"/>
    </xf>
    <xf numFmtId="0" fontId="45" fillId="56" borderId="57" xfId="0" applyFont="1" applyFill="1" applyBorder="1" applyAlignment="1" applyProtection="1">
      <alignment horizontal="right" vertical="center"/>
      <protection hidden="1"/>
    </xf>
    <xf numFmtId="38" fontId="45" fillId="56" borderId="50" xfId="35" applyNumberFormat="1" applyFont="1" applyFill="1" applyBorder="1" applyAlignment="1" applyProtection="1">
      <alignment horizontal="center" vertical="center"/>
      <protection hidden="1"/>
    </xf>
    <xf numFmtId="0" fontId="23" fillId="56" borderId="118" xfId="0" applyFont="1" applyFill="1" applyBorder="1" applyAlignment="1" applyProtection="1">
      <alignment vertical="center"/>
      <protection hidden="1"/>
    </xf>
    <xf numFmtId="0" fontId="23" fillId="61" borderId="26" xfId="0" applyFont="1" applyFill="1" applyBorder="1" applyAlignment="1" applyProtection="1">
      <alignment vertical="center"/>
      <protection hidden="1"/>
    </xf>
    <xf numFmtId="0" fontId="23" fillId="61" borderId="50" xfId="0" applyFont="1" applyFill="1" applyBorder="1" applyAlignment="1" applyProtection="1">
      <alignment vertical="center"/>
      <protection hidden="1"/>
    </xf>
    <xf numFmtId="0" fontId="23" fillId="61" borderId="50" xfId="0" applyFont="1" applyFill="1" applyBorder="1" applyAlignment="1" applyProtection="1">
      <alignment horizontal="center" vertical="center"/>
      <protection hidden="1"/>
    </xf>
    <xf numFmtId="0" fontId="126" fillId="61" borderId="50" xfId="0" applyFont="1" applyFill="1" applyBorder="1" applyAlignment="1" applyProtection="1">
      <alignment horizontal="right" vertical="center"/>
      <protection hidden="1"/>
    </xf>
    <xf numFmtId="38" fontId="126" fillId="61" borderId="50" xfId="35" applyNumberFormat="1" applyFont="1" applyFill="1" applyBorder="1" applyAlignment="1" applyProtection="1">
      <alignment horizontal="center" vertical="center"/>
      <protection hidden="1"/>
    </xf>
    <xf numFmtId="0" fontId="28" fillId="56" borderId="118" xfId="0" applyFont="1" applyFill="1" applyBorder="1" applyAlignment="1" applyProtection="1">
      <alignment vertical="top"/>
      <protection hidden="1"/>
    </xf>
    <xf numFmtId="0" fontId="26" fillId="0" borderId="0" xfId="0" applyFont="1" applyFill="1" applyBorder="1" applyAlignment="1" applyProtection="1">
      <alignment vertical="top"/>
      <protection hidden="1"/>
    </xf>
    <xf numFmtId="0" fontId="28" fillId="0" borderId="0" xfId="0" applyFont="1" applyFill="1" applyBorder="1" applyAlignment="1" applyProtection="1">
      <alignment vertical="top"/>
      <protection hidden="1"/>
    </xf>
    <xf numFmtId="0" fontId="28" fillId="0" borderId="17" xfId="0" applyFont="1" applyFill="1" applyBorder="1" applyAlignment="1" applyProtection="1">
      <alignment vertical="top"/>
      <protection hidden="1"/>
    </xf>
    <xf numFmtId="0" fontId="26" fillId="0" borderId="64" xfId="0" applyFont="1" applyFill="1" applyBorder="1" applyAlignment="1" applyProtection="1">
      <alignment vertical="top"/>
      <protection hidden="1"/>
    </xf>
    <xf numFmtId="0" fontId="28" fillId="0" borderId="63" xfId="0" applyFont="1" applyFill="1" applyBorder="1" applyAlignment="1" applyProtection="1">
      <alignment vertical="top"/>
      <protection hidden="1"/>
    </xf>
    <xf numFmtId="0" fontId="28" fillId="0" borderId="0" xfId="49" applyFont="1" applyFill="1" applyAlignment="1" applyProtection="1">
      <alignment horizontal="left" vertical="center"/>
    </xf>
    <xf numFmtId="0" fontId="28" fillId="0" borderId="0" xfId="49" applyFont="1" applyFill="1" applyBorder="1" applyAlignment="1" applyProtection="1">
      <alignment vertical="center"/>
      <protection hidden="1"/>
    </xf>
    <xf numFmtId="0" fontId="33" fillId="0" borderId="0" xfId="49" applyFont="1" applyFill="1" applyBorder="1" applyProtection="1">
      <alignment vertical="center"/>
      <protection hidden="1"/>
    </xf>
    <xf numFmtId="0" fontId="28" fillId="0" borderId="144" xfId="49" applyFont="1" applyFill="1" applyBorder="1" applyAlignment="1" applyProtection="1">
      <alignment horizontal="center" vertical="center"/>
    </xf>
    <xf numFmtId="0" fontId="0" fillId="0" borderId="63" xfId="0" applyFont="1" applyFill="1" applyBorder="1" applyProtection="1">
      <alignment vertical="center"/>
      <protection hidden="1"/>
    </xf>
    <xf numFmtId="0" fontId="28" fillId="0" borderId="64" xfId="0" applyFont="1" applyFill="1" applyBorder="1" applyAlignment="1" applyProtection="1">
      <alignment vertical="top"/>
      <protection hidden="1"/>
    </xf>
    <xf numFmtId="0" fontId="126" fillId="0" borderId="17" xfId="0" applyFont="1" applyFill="1" applyBorder="1" applyAlignment="1" applyProtection="1">
      <alignment horizontal="center" vertical="top"/>
      <protection hidden="1"/>
    </xf>
    <xf numFmtId="0" fontId="33" fillId="56" borderId="62" xfId="0" applyFont="1" applyFill="1" applyBorder="1" applyAlignment="1" applyProtection="1">
      <alignment vertical="top" wrapText="1"/>
      <protection hidden="1"/>
    </xf>
    <xf numFmtId="0" fontId="23" fillId="61" borderId="56" xfId="0" applyFont="1" applyFill="1" applyBorder="1" applyAlignment="1" applyProtection="1">
      <alignment vertical="center"/>
      <protection hidden="1"/>
    </xf>
    <xf numFmtId="0" fontId="23" fillId="61" borderId="57" xfId="0" applyFont="1" applyFill="1" applyBorder="1" applyAlignment="1" applyProtection="1">
      <alignment vertical="center"/>
      <protection hidden="1"/>
    </xf>
    <xf numFmtId="0" fontId="23" fillId="61" borderId="57" xfId="0" applyFont="1" applyFill="1" applyBorder="1" applyAlignment="1" applyProtection="1">
      <alignment horizontal="center" vertical="center"/>
      <protection hidden="1"/>
    </xf>
    <xf numFmtId="0" fontId="126" fillId="61" borderId="57" xfId="0" applyFont="1" applyFill="1" applyBorder="1" applyAlignment="1" applyProtection="1">
      <alignment horizontal="right" vertical="center"/>
      <protection hidden="1"/>
    </xf>
    <xf numFmtId="38" fontId="126" fillId="61" borderId="57" xfId="35" applyNumberFormat="1" applyFont="1" applyFill="1" applyBorder="1" applyAlignment="1" applyProtection="1">
      <alignment horizontal="center" vertical="center"/>
      <protection hidden="1"/>
    </xf>
    <xf numFmtId="0" fontId="28" fillId="0" borderId="0" xfId="49" applyFont="1" applyFill="1" applyBorder="1" applyAlignment="1" applyProtection="1">
      <alignment horizontal="right" vertical="center"/>
      <protection hidden="1"/>
    </xf>
    <xf numFmtId="0" fontId="173" fillId="0" borderId="0" xfId="0" applyFont="1" applyFill="1" applyProtection="1">
      <alignment vertical="center"/>
    </xf>
    <xf numFmtId="0" fontId="173" fillId="0" borderId="0" xfId="0" applyFont="1" applyBorder="1" applyProtection="1">
      <alignment vertical="center"/>
      <protection hidden="1"/>
    </xf>
    <xf numFmtId="0" fontId="28" fillId="0" borderId="0" xfId="0" applyFont="1" applyAlignment="1" applyProtection="1">
      <alignment horizontal="right" vertical="center"/>
      <protection hidden="1"/>
    </xf>
    <xf numFmtId="0" fontId="33" fillId="56" borderId="118" xfId="0" applyFont="1" applyFill="1" applyBorder="1" applyAlignment="1" applyProtection="1">
      <alignment vertical="top" wrapText="1"/>
      <protection hidden="1"/>
    </xf>
    <xf numFmtId="0" fontId="23" fillId="61" borderId="57" xfId="0" applyFont="1" applyFill="1" applyBorder="1" applyAlignment="1" applyProtection="1">
      <alignment horizontal="left" vertical="top" wrapText="1"/>
      <protection hidden="1"/>
    </xf>
    <xf numFmtId="0" fontId="28" fillId="61" borderId="57" xfId="0" applyFont="1" applyFill="1" applyBorder="1" applyAlignment="1" applyProtection="1">
      <alignment horizontal="left" vertical="top" wrapText="1"/>
      <protection hidden="1"/>
    </xf>
    <xf numFmtId="0" fontId="126" fillId="61" borderId="57" xfId="0" applyFont="1" applyFill="1" applyBorder="1" applyAlignment="1" applyProtection="1">
      <alignment horizontal="center" vertical="top" wrapText="1"/>
      <protection hidden="1"/>
    </xf>
    <xf numFmtId="0" fontId="33" fillId="0" borderId="62" xfId="49" applyFont="1" applyFill="1" applyBorder="1" applyAlignment="1" applyProtection="1">
      <alignment horizontal="center" vertical="center"/>
      <protection hidden="1"/>
    </xf>
    <xf numFmtId="0" fontId="28" fillId="0" borderId="0" xfId="49" applyFont="1" applyFill="1" applyBorder="1" applyAlignment="1" applyProtection="1">
      <alignment horizontal="center" vertical="center"/>
    </xf>
    <xf numFmtId="0" fontId="33" fillId="56" borderId="120" xfId="0" applyFont="1" applyFill="1" applyBorder="1" applyAlignment="1" applyProtection="1">
      <alignment vertical="top" wrapText="1"/>
      <protection hidden="1"/>
    </xf>
    <xf numFmtId="0" fontId="28" fillId="0" borderId="0" xfId="0" applyFont="1" applyFill="1" applyBorder="1" applyAlignment="1" applyProtection="1">
      <alignment vertical="top" shrinkToFit="1"/>
      <protection hidden="1"/>
    </xf>
    <xf numFmtId="0" fontId="0" fillId="0" borderId="79" xfId="0" applyFont="1" applyBorder="1" applyProtection="1">
      <alignment vertical="center"/>
      <protection hidden="1"/>
    </xf>
    <xf numFmtId="0" fontId="45" fillId="32" borderId="62" xfId="0" applyFont="1" applyFill="1" applyBorder="1" applyAlignment="1" applyProtection="1">
      <alignment vertical="center"/>
      <protection hidden="1"/>
    </xf>
    <xf numFmtId="0" fontId="45" fillId="32" borderId="50" xfId="0" applyFont="1" applyFill="1" applyBorder="1" applyAlignment="1" applyProtection="1">
      <alignment vertical="center"/>
      <protection hidden="1"/>
    </xf>
    <xf numFmtId="0" fontId="23" fillId="32" borderId="50" xfId="0" applyFont="1" applyFill="1" applyBorder="1" applyAlignment="1" applyProtection="1">
      <alignment horizontal="center" vertical="center"/>
      <protection hidden="1"/>
    </xf>
    <xf numFmtId="0" fontId="45" fillId="32" borderId="50" xfId="0" applyFont="1" applyFill="1" applyBorder="1" applyAlignment="1" applyProtection="1">
      <alignment horizontal="right" vertical="center"/>
      <protection hidden="1"/>
    </xf>
    <xf numFmtId="0" fontId="23" fillId="32" borderId="118" xfId="0" applyFont="1" applyFill="1" applyBorder="1" applyAlignment="1" applyProtection="1">
      <alignment vertical="center"/>
      <protection hidden="1"/>
    </xf>
    <xf numFmtId="0" fontId="23" fillId="61" borderId="0" xfId="0" applyFont="1" applyFill="1" applyBorder="1" applyAlignment="1" applyProtection="1">
      <alignment vertical="center"/>
      <protection hidden="1"/>
    </xf>
    <xf numFmtId="0" fontId="23" fillId="61" borderId="0" xfId="0" applyFont="1" applyFill="1" applyBorder="1" applyAlignment="1" applyProtection="1">
      <alignment horizontal="center" vertical="center"/>
      <protection hidden="1"/>
    </xf>
    <xf numFmtId="0" fontId="28" fillId="32" borderId="118" xfId="0" applyFont="1" applyFill="1" applyBorder="1" applyAlignment="1" applyProtection="1">
      <alignment vertical="top"/>
      <protection hidden="1"/>
    </xf>
    <xf numFmtId="0" fontId="26" fillId="0" borderId="53" xfId="0" applyFont="1" applyFill="1" applyBorder="1" applyAlignment="1" applyProtection="1">
      <alignment vertical="top"/>
      <protection hidden="1"/>
    </xf>
    <xf numFmtId="0" fontId="28" fillId="0" borderId="53" xfId="0" applyFont="1" applyFill="1" applyBorder="1" applyAlignment="1" applyProtection="1">
      <alignment vertical="top"/>
      <protection hidden="1"/>
    </xf>
    <xf numFmtId="0" fontId="28" fillId="0" borderId="0" xfId="0" applyFont="1" applyBorder="1" applyAlignment="1" applyProtection="1">
      <alignment horizontal="right" vertical="center"/>
      <protection hidden="1"/>
    </xf>
    <xf numFmtId="0" fontId="33" fillId="32" borderId="62" xfId="0" applyFont="1" applyFill="1" applyBorder="1" applyAlignment="1" applyProtection="1">
      <alignment vertical="top" wrapText="1"/>
      <protection hidden="1"/>
    </xf>
    <xf numFmtId="0" fontId="33" fillId="32" borderId="118" xfId="0" applyFont="1" applyFill="1" applyBorder="1" applyAlignment="1" applyProtection="1">
      <alignment vertical="top" wrapText="1"/>
      <protection hidden="1"/>
    </xf>
    <xf numFmtId="0" fontId="33" fillId="32" borderId="120" xfId="0" applyFont="1" applyFill="1" applyBorder="1" applyAlignment="1" applyProtection="1">
      <alignment vertical="top" wrapText="1"/>
      <protection hidden="1"/>
    </xf>
    <xf numFmtId="0" fontId="45" fillId="62" borderId="62" xfId="0" applyFont="1" applyFill="1" applyBorder="1" applyAlignment="1" applyProtection="1">
      <alignment vertical="center"/>
      <protection hidden="1"/>
    </xf>
    <xf numFmtId="0" fontId="45" fillId="62" borderId="57" xfId="0" applyFont="1" applyFill="1" applyBorder="1" applyAlignment="1" applyProtection="1">
      <alignment vertical="center"/>
      <protection hidden="1"/>
    </xf>
    <xf numFmtId="0" fontId="23" fillId="62" borderId="57" xfId="0" applyFont="1" applyFill="1" applyBorder="1" applyAlignment="1" applyProtection="1">
      <alignment horizontal="center" vertical="center"/>
      <protection hidden="1"/>
    </xf>
    <xf numFmtId="0" fontId="45" fillId="62" borderId="57" xfId="0" applyFont="1" applyFill="1" applyBorder="1" applyAlignment="1" applyProtection="1">
      <alignment horizontal="right" vertical="center"/>
      <protection hidden="1"/>
    </xf>
    <xf numFmtId="0" fontId="45" fillId="43" borderId="118" xfId="0" applyFont="1" applyFill="1" applyBorder="1" applyAlignment="1" applyProtection="1">
      <alignment vertical="center"/>
      <protection hidden="1"/>
    </xf>
    <xf numFmtId="0" fontId="23" fillId="0" borderId="53" xfId="0" applyFont="1" applyFill="1" applyBorder="1" applyAlignment="1" applyProtection="1">
      <alignment horizontal="center" vertical="center"/>
      <protection hidden="1"/>
    </xf>
    <xf numFmtId="0" fontId="23" fillId="0" borderId="0" xfId="0" applyFont="1" applyFill="1" applyBorder="1" applyAlignment="1" applyProtection="1">
      <alignment horizontal="center" vertical="center"/>
      <protection hidden="1"/>
    </xf>
    <xf numFmtId="0" fontId="33" fillId="0" borderId="275" xfId="49" applyFont="1" applyFill="1" applyBorder="1" applyAlignment="1" applyProtection="1">
      <alignment horizontal="center" vertical="center"/>
      <protection hidden="1"/>
    </xf>
    <xf numFmtId="0" fontId="23" fillId="43" borderId="118" xfId="0" applyFont="1" applyFill="1" applyBorder="1" applyAlignment="1" applyProtection="1">
      <alignment vertical="center"/>
      <protection hidden="1"/>
    </xf>
    <xf numFmtId="0" fontId="23" fillId="61" borderId="56" xfId="0" applyFont="1" applyFill="1" applyBorder="1" applyAlignment="1" applyProtection="1">
      <alignment horizontal="left" vertical="center"/>
      <protection hidden="1"/>
    </xf>
    <xf numFmtId="0" fontId="23" fillId="61" borderId="57" xfId="0" applyFont="1" applyFill="1" applyBorder="1" applyAlignment="1" applyProtection="1">
      <alignment horizontal="left" vertical="center"/>
      <protection hidden="1"/>
    </xf>
    <xf numFmtId="0" fontId="126" fillId="61" borderId="0" xfId="0" applyFont="1" applyFill="1" applyBorder="1" applyAlignment="1" applyProtection="1">
      <alignment horizontal="right" vertical="center"/>
      <protection hidden="1"/>
    </xf>
    <xf numFmtId="0" fontId="33" fillId="0" borderId="0" xfId="49" applyFont="1" applyFill="1" applyBorder="1" applyAlignment="1" applyProtection="1">
      <alignment horizontal="center" vertical="center"/>
      <protection hidden="1"/>
    </xf>
    <xf numFmtId="0" fontId="28" fillId="43" borderId="118" xfId="0" applyFont="1" applyFill="1" applyBorder="1" applyAlignment="1" applyProtection="1">
      <alignment vertical="top"/>
      <protection hidden="1"/>
    </xf>
    <xf numFmtId="0" fontId="28" fillId="0" borderId="0" xfId="0" applyFont="1" applyProtection="1">
      <alignment vertical="center"/>
      <protection locked="0"/>
    </xf>
    <xf numFmtId="0" fontId="173" fillId="0" borderId="0" xfId="0" applyFont="1" applyProtection="1">
      <alignment vertical="center"/>
      <protection locked="0"/>
    </xf>
    <xf numFmtId="0" fontId="33" fillId="0" borderId="0" xfId="49" applyFont="1" applyFill="1" applyProtection="1">
      <alignment vertical="center"/>
      <protection hidden="1"/>
    </xf>
    <xf numFmtId="0" fontId="28" fillId="0" borderId="0" xfId="0" applyFont="1" applyFill="1" applyProtection="1">
      <alignment vertical="center"/>
      <protection locked="0"/>
    </xf>
    <xf numFmtId="0" fontId="173" fillId="0" borderId="0" xfId="0" applyFont="1" applyFill="1" applyProtection="1">
      <alignment vertical="center"/>
      <protection locked="0"/>
    </xf>
    <xf numFmtId="0" fontId="33" fillId="0" borderId="63" xfId="49" applyFont="1" applyFill="1" applyBorder="1" applyProtection="1">
      <alignment vertical="center"/>
      <protection hidden="1"/>
    </xf>
    <xf numFmtId="0" fontId="28" fillId="43" borderId="62" xfId="0" applyFont="1" applyFill="1" applyBorder="1" applyAlignment="1" applyProtection="1">
      <alignment vertical="top"/>
      <protection hidden="1"/>
    </xf>
    <xf numFmtId="0" fontId="33" fillId="43" borderId="62" xfId="0" applyFont="1" applyFill="1" applyBorder="1" applyAlignment="1" applyProtection="1">
      <alignment vertical="top" wrapText="1"/>
      <protection hidden="1"/>
    </xf>
    <xf numFmtId="0" fontId="33" fillId="43" borderId="118" xfId="0" applyFont="1" applyFill="1" applyBorder="1" applyAlignment="1" applyProtection="1">
      <alignment vertical="top" wrapText="1"/>
      <protection hidden="1"/>
    </xf>
    <xf numFmtId="0" fontId="23" fillId="61" borderId="56" xfId="0" applyFont="1" applyFill="1" applyBorder="1" applyAlignment="1" applyProtection="1">
      <alignment horizontal="left" vertical="top" wrapText="1"/>
      <protection hidden="1"/>
    </xf>
    <xf numFmtId="0" fontId="126" fillId="61" borderId="57" xfId="0" applyFont="1" applyFill="1" applyBorder="1" applyAlignment="1" applyProtection="1">
      <alignment horizontal="right" vertical="top" wrapText="1"/>
      <protection hidden="1"/>
    </xf>
    <xf numFmtId="0" fontId="33" fillId="43" borderId="116" xfId="0" applyFont="1" applyFill="1" applyBorder="1" applyAlignment="1" applyProtection="1">
      <alignment vertical="top" wrapText="1"/>
      <protection hidden="1"/>
    </xf>
    <xf numFmtId="0" fontId="33" fillId="0" borderId="0" xfId="0" applyFont="1" applyFill="1" applyBorder="1" applyAlignment="1" applyProtection="1">
      <alignment vertical="top" wrapText="1"/>
      <protection hidden="1"/>
    </xf>
    <xf numFmtId="0" fontId="28" fillId="0" borderId="0" xfId="0" applyFont="1" applyFill="1" applyBorder="1" applyAlignment="1" applyProtection="1">
      <alignment horizontal="center" vertical="top" wrapText="1"/>
      <protection hidden="1"/>
    </xf>
    <xf numFmtId="0" fontId="32" fillId="30" borderId="69" xfId="0" applyFont="1" applyFill="1" applyBorder="1" applyAlignment="1" applyProtection="1">
      <alignment vertical="center"/>
      <protection hidden="1"/>
    </xf>
    <xf numFmtId="0" fontId="32" fillId="30" borderId="69" xfId="0" applyFont="1" applyFill="1" applyBorder="1" applyAlignment="1" applyProtection="1">
      <alignment horizontal="right" vertical="center"/>
      <protection hidden="1"/>
    </xf>
    <xf numFmtId="0" fontId="119" fillId="30" borderId="69" xfId="0" applyFont="1" applyFill="1" applyBorder="1" applyAlignment="1" applyProtection="1">
      <alignment horizontal="center" vertical="center"/>
      <protection hidden="1"/>
    </xf>
    <xf numFmtId="0" fontId="32" fillId="30" borderId="60" xfId="0" applyFont="1" applyFill="1" applyBorder="1" applyAlignment="1" applyProtection="1">
      <alignment vertical="center"/>
      <protection hidden="1"/>
    </xf>
    <xf numFmtId="0" fontId="32" fillId="30" borderId="71" xfId="0" applyFont="1" applyFill="1" applyBorder="1" applyAlignment="1" applyProtection="1">
      <alignment vertical="center"/>
      <protection hidden="1"/>
    </xf>
    <xf numFmtId="0" fontId="173" fillId="0" borderId="0" xfId="0" applyFont="1">
      <alignment vertical="center"/>
    </xf>
    <xf numFmtId="0" fontId="37" fillId="25" borderId="15" xfId="0" applyFont="1" applyFill="1" applyBorder="1" applyAlignment="1" applyProtection="1">
      <alignment horizontal="center" vertical="center" wrapText="1"/>
      <protection hidden="1"/>
    </xf>
    <xf numFmtId="225" fontId="150" fillId="0" borderId="69" xfId="35" applyNumberFormat="1" applyFont="1" applyFill="1" applyBorder="1" applyAlignment="1" applyProtection="1">
      <alignment horizontal="center" vertical="center" wrapText="1"/>
      <protection hidden="1"/>
    </xf>
    <xf numFmtId="225" fontId="150" fillId="0" borderId="71" xfId="35" applyNumberFormat="1" applyFont="1" applyFill="1" applyBorder="1" applyAlignment="1" applyProtection="1">
      <alignment horizontal="center" vertical="center" wrapText="1"/>
      <protection hidden="1"/>
    </xf>
    <xf numFmtId="0" fontId="33" fillId="0" borderId="62" xfId="0" applyFont="1" applyFill="1" applyBorder="1" applyAlignment="1" applyProtection="1">
      <alignment vertical="top" wrapText="1"/>
      <protection hidden="1"/>
    </xf>
    <xf numFmtId="0" fontId="28" fillId="0" borderId="0" xfId="0" applyFont="1" applyFill="1" applyBorder="1" applyAlignment="1" applyProtection="1">
      <alignment vertical="top" wrapText="1"/>
      <protection hidden="1"/>
    </xf>
    <xf numFmtId="0" fontId="33" fillId="0" borderId="65" xfId="0" applyFont="1" applyFill="1" applyBorder="1" applyAlignment="1" applyProtection="1">
      <alignment vertical="top" wrapText="1"/>
      <protection hidden="1"/>
    </xf>
    <xf numFmtId="0" fontId="28" fillId="0" borderId="66" xfId="0" applyFont="1" applyFill="1" applyBorder="1" applyAlignment="1" applyProtection="1">
      <alignment horizontal="left" vertical="top"/>
      <protection hidden="1"/>
    </xf>
    <xf numFmtId="0" fontId="28" fillId="0" borderId="66" xfId="0" applyFont="1" applyFill="1" applyBorder="1" applyAlignment="1" applyProtection="1">
      <alignment vertical="center"/>
      <protection hidden="1"/>
    </xf>
    <xf numFmtId="0" fontId="28" fillId="0" borderId="66" xfId="0" applyFont="1" applyFill="1" applyBorder="1" applyAlignment="1" applyProtection="1">
      <alignment vertical="top" wrapText="1"/>
      <protection hidden="1"/>
    </xf>
    <xf numFmtId="0" fontId="32" fillId="30" borderId="61" xfId="0" applyFont="1" applyFill="1" applyBorder="1" applyAlignment="1" applyProtection="1">
      <alignment vertical="center"/>
      <protection hidden="1"/>
    </xf>
    <xf numFmtId="0" fontId="126" fillId="41" borderId="279" xfId="0" applyFont="1" applyFill="1" applyBorder="1" applyAlignment="1" applyProtection="1">
      <alignment horizontal="center" vertical="center"/>
      <protection locked="0" hidden="1"/>
    </xf>
    <xf numFmtId="0" fontId="28" fillId="0" borderId="280" xfId="0" applyFont="1" applyFill="1" applyBorder="1" applyAlignment="1" applyProtection="1">
      <alignment vertical="top" wrapText="1"/>
      <protection hidden="1"/>
    </xf>
    <xf numFmtId="0" fontId="37" fillId="47" borderId="151" xfId="0" applyFont="1" applyFill="1" applyBorder="1" applyAlignment="1" applyProtection="1">
      <alignment horizontal="center" vertical="center" wrapText="1"/>
      <protection hidden="1"/>
    </xf>
    <xf numFmtId="0" fontId="28" fillId="0" borderId="144" xfId="0" applyFont="1" applyBorder="1" applyAlignment="1" applyProtection="1">
      <alignment horizontal="center" vertical="center"/>
    </xf>
    <xf numFmtId="0" fontId="126" fillId="41" borderId="281" xfId="0" applyFont="1" applyFill="1" applyBorder="1" applyAlignment="1" applyProtection="1">
      <alignment horizontal="center" vertical="center"/>
      <protection locked="0" hidden="1"/>
    </xf>
    <xf numFmtId="0" fontId="28" fillId="0" borderId="282" xfId="0" applyFont="1" applyFill="1" applyBorder="1" applyAlignment="1" applyProtection="1">
      <alignment vertical="top" wrapText="1"/>
      <protection hidden="1"/>
    </xf>
    <xf numFmtId="0" fontId="23" fillId="47" borderId="149" xfId="0" applyFont="1" applyFill="1" applyBorder="1" applyAlignment="1" applyProtection="1">
      <alignment horizontal="center" vertical="center" wrapText="1"/>
      <protection hidden="1"/>
    </xf>
    <xf numFmtId="0" fontId="28" fillId="0" borderId="60" xfId="49" applyFont="1" applyFill="1" applyBorder="1" applyAlignment="1" applyProtection="1">
      <alignment horizontal="center" vertical="center"/>
    </xf>
    <xf numFmtId="0" fontId="126" fillId="0" borderId="0" xfId="0" applyFont="1" applyFill="1" applyBorder="1" applyAlignment="1" applyProtection="1">
      <alignment horizontal="center" vertical="center"/>
      <protection hidden="1"/>
    </xf>
    <xf numFmtId="0" fontId="28" fillId="0" borderId="283" xfId="0" applyFont="1" applyFill="1" applyBorder="1" applyAlignment="1" applyProtection="1">
      <alignment vertical="top" wrapText="1"/>
      <protection hidden="1"/>
    </xf>
    <xf numFmtId="0" fontId="23" fillId="0" borderId="0" xfId="0" applyFont="1" applyFill="1" applyBorder="1" applyAlignment="1" applyProtection="1">
      <alignment vertical="center" wrapText="1"/>
      <protection hidden="1"/>
    </xf>
    <xf numFmtId="0" fontId="26" fillId="0" borderId="0" xfId="0" applyFont="1" applyFill="1" applyBorder="1" applyAlignment="1" applyProtection="1">
      <alignment horizontal="left" vertical="center" wrapText="1"/>
      <protection hidden="1"/>
    </xf>
    <xf numFmtId="0" fontId="33" fillId="0" borderId="0" xfId="0" applyFont="1" applyAlignment="1" applyProtection="1">
      <alignment horizontal="right" vertical="center"/>
      <protection hidden="1"/>
    </xf>
    <xf numFmtId="0" fontId="28" fillId="0" borderId="60" xfId="0" applyFont="1" applyFill="1" applyBorder="1" applyAlignment="1" applyProtection="1">
      <alignment vertical="top" wrapText="1"/>
      <protection hidden="1"/>
    </xf>
    <xf numFmtId="0" fontId="37" fillId="0" borderId="60" xfId="0" applyFont="1" applyFill="1" applyBorder="1" applyAlignment="1" applyProtection="1">
      <alignment horizontal="center" vertical="center" wrapText="1"/>
      <protection hidden="1"/>
    </xf>
    <xf numFmtId="0" fontId="28" fillId="0" borderId="0" xfId="0" applyFont="1" applyBorder="1" applyAlignment="1" applyProtection="1">
      <alignment horizontal="center" vertical="center"/>
    </xf>
    <xf numFmtId="0" fontId="37" fillId="0" borderId="0" xfId="0" applyFont="1" applyFill="1" applyBorder="1" applyAlignment="1" applyProtection="1">
      <alignment horizontal="center" vertical="center" wrapText="1"/>
      <protection hidden="1"/>
    </xf>
    <xf numFmtId="0" fontId="33" fillId="0" borderId="66" xfId="0" applyFont="1" applyBorder="1" applyAlignment="1" applyProtection="1">
      <alignment horizontal="right" vertical="center"/>
      <protection hidden="1"/>
    </xf>
    <xf numFmtId="0" fontId="28" fillId="0" borderId="66" xfId="0" applyFont="1" applyBorder="1" applyProtection="1">
      <alignment vertical="center"/>
      <protection hidden="1"/>
    </xf>
    <xf numFmtId="0" fontId="126" fillId="0" borderId="66" xfId="0" applyFont="1" applyFill="1" applyBorder="1" applyAlignment="1" applyProtection="1">
      <alignment horizontal="center" vertical="center"/>
      <protection hidden="1"/>
    </xf>
    <xf numFmtId="0" fontId="23" fillId="0" borderId="66" xfId="0" applyFont="1" applyFill="1" applyBorder="1" applyAlignment="1" applyProtection="1">
      <alignment horizontal="center" vertical="center" wrapText="1"/>
      <protection hidden="1"/>
    </xf>
    <xf numFmtId="0" fontId="23" fillId="0" borderId="0" xfId="0" applyFont="1" applyFill="1" applyBorder="1" applyAlignment="1" applyProtection="1">
      <alignment horizontal="center" vertical="center" wrapText="1"/>
      <protection hidden="1"/>
    </xf>
    <xf numFmtId="177" fontId="150" fillId="0" borderId="0" xfId="0" applyNumberFormat="1" applyFont="1" applyFill="1" applyBorder="1" applyAlignment="1" applyProtection="1">
      <alignment horizontal="center" vertical="center" wrapText="1"/>
      <protection hidden="1"/>
    </xf>
    <xf numFmtId="0" fontId="33" fillId="0" borderId="0" xfId="49" applyFont="1" applyAlignment="1" applyProtection="1">
      <alignment horizontal="right" vertical="center"/>
      <protection hidden="1"/>
    </xf>
    <xf numFmtId="0" fontId="28" fillId="0" borderId="0" xfId="49" applyFont="1" applyAlignment="1" applyProtection="1">
      <alignment horizontal="left" vertical="center" indent="1"/>
      <protection hidden="1"/>
    </xf>
    <xf numFmtId="0" fontId="33" fillId="0" borderId="0" xfId="49" applyFont="1" applyAlignment="1" applyProtection="1">
      <alignment horizontal="left" vertical="center"/>
      <protection hidden="1"/>
    </xf>
    <xf numFmtId="227" fontId="28" fillId="0" borderId="0" xfId="49" applyNumberFormat="1" applyFont="1" applyAlignment="1" applyProtection="1">
      <alignment horizontal="center" vertical="center"/>
    </xf>
    <xf numFmtId="0" fontId="28" fillId="0" borderId="0" xfId="0" applyFont="1" applyAlignment="1" applyProtection="1">
      <alignment horizontal="left" vertical="center" indent="3"/>
      <protection hidden="1"/>
    </xf>
    <xf numFmtId="0" fontId="28" fillId="0" borderId="0" xfId="49" applyFont="1" applyProtection="1">
      <alignment vertical="center"/>
      <protection hidden="1"/>
    </xf>
    <xf numFmtId="0" fontId="26" fillId="0" borderId="0" xfId="0" applyFont="1" applyFill="1" applyBorder="1" applyAlignment="1" applyProtection="1">
      <alignment horizontal="left" vertical="center" wrapText="1"/>
      <protection locked="0"/>
    </xf>
    <xf numFmtId="0" fontId="33" fillId="0" borderId="0" xfId="49" applyFont="1" applyFill="1" applyAlignment="1" applyProtection="1">
      <alignment horizontal="center" vertical="center"/>
    </xf>
    <xf numFmtId="0" fontId="23" fillId="0" borderId="0" xfId="0" applyFont="1" applyFill="1" applyBorder="1" applyAlignment="1" applyProtection="1">
      <alignment horizontal="center" vertical="center" wrapText="1"/>
      <protection locked="0"/>
    </xf>
    <xf numFmtId="0" fontId="33" fillId="0" borderId="0" xfId="49" applyFont="1" applyAlignment="1" applyProtection="1">
      <alignment vertical="center"/>
    </xf>
    <xf numFmtId="0" fontId="33" fillId="0" borderId="0" xfId="49" applyFont="1" applyAlignment="1" applyProtection="1">
      <alignment horizontal="center" vertical="center"/>
    </xf>
    <xf numFmtId="0" fontId="33" fillId="0" borderId="0" xfId="49" applyFont="1" applyAlignment="1" applyProtection="1">
      <alignment horizontal="right" vertical="center"/>
    </xf>
    <xf numFmtId="0" fontId="28" fillId="0" borderId="0" xfId="0" applyFont="1" applyProtection="1">
      <alignment vertical="center"/>
      <protection hidden="1"/>
    </xf>
    <xf numFmtId="0" fontId="0" fillId="0" borderId="0" xfId="0">
      <alignment vertical="center"/>
    </xf>
    <xf numFmtId="0" fontId="28" fillId="0" borderId="0" xfId="0" applyFont="1" applyProtection="1">
      <alignment vertical="center"/>
      <protection hidden="1"/>
    </xf>
    <xf numFmtId="0" fontId="0" fillId="55" borderId="10" xfId="0" applyFill="1" applyBorder="1">
      <alignment vertical="center"/>
    </xf>
    <xf numFmtId="0" fontId="28" fillId="35" borderId="52" xfId="0" applyNumberFormat="1" applyFont="1" applyFill="1" applyBorder="1" applyAlignment="1" applyProtection="1">
      <alignment horizontal="centerContinuous" vertical="center"/>
      <protection hidden="1"/>
    </xf>
    <xf numFmtId="0" fontId="28" fillId="35" borderId="50" xfId="0" applyNumberFormat="1" applyFont="1" applyFill="1" applyBorder="1" applyAlignment="1" applyProtection="1">
      <alignment horizontal="centerContinuous" vertical="center"/>
      <protection hidden="1"/>
    </xf>
    <xf numFmtId="0" fontId="28" fillId="35" borderId="27" xfId="0" applyNumberFormat="1" applyFont="1" applyFill="1" applyBorder="1" applyAlignment="1" applyProtection="1">
      <alignment horizontal="centerContinuous" vertical="center"/>
      <protection hidden="1"/>
    </xf>
    <xf numFmtId="0" fontId="28" fillId="27" borderId="10" xfId="0" applyNumberFormat="1" applyFont="1" applyFill="1" applyBorder="1" applyAlignment="1" applyProtection="1">
      <alignment horizontal="center" vertical="center"/>
      <protection hidden="1"/>
    </xf>
    <xf numFmtId="0" fontId="28" fillId="27" borderId="51" xfId="0" applyNumberFormat="1" applyFont="1" applyFill="1" applyBorder="1" applyAlignment="1" applyProtection="1">
      <alignment horizontal="center" vertical="center"/>
      <protection hidden="1"/>
    </xf>
    <xf numFmtId="0" fontId="28" fillId="27" borderId="26" xfId="0" applyNumberFormat="1" applyFont="1" applyFill="1" applyBorder="1" applyAlignment="1" applyProtection="1">
      <alignment horizontal="centerContinuous" vertical="center"/>
      <protection hidden="1"/>
    </xf>
    <xf numFmtId="0" fontId="28" fillId="27" borderId="50" xfId="0" applyNumberFormat="1" applyFont="1" applyFill="1" applyBorder="1" applyAlignment="1" applyProtection="1">
      <alignment horizontal="centerContinuous" vertical="center"/>
      <protection hidden="1"/>
    </xf>
    <xf numFmtId="0" fontId="28" fillId="27" borderId="27" xfId="0" applyNumberFormat="1" applyFont="1" applyFill="1" applyBorder="1" applyAlignment="1" applyProtection="1">
      <alignment horizontal="centerContinuous" vertical="center"/>
      <protection hidden="1"/>
    </xf>
    <xf numFmtId="0" fontId="28" fillId="27" borderId="16" xfId="0" applyNumberFormat="1" applyFont="1" applyFill="1" applyBorder="1" applyAlignment="1" applyProtection="1">
      <alignment horizontal="center" vertical="center"/>
      <protection hidden="1"/>
    </xf>
    <xf numFmtId="0" fontId="28" fillId="31" borderId="172" xfId="0" applyNumberFormat="1" applyFont="1" applyFill="1" applyBorder="1" applyAlignment="1" applyProtection="1">
      <alignment horizontal="center" vertical="center"/>
      <protection locked="0"/>
    </xf>
    <xf numFmtId="0" fontId="28" fillId="27" borderId="164" xfId="0" applyNumberFormat="1" applyFont="1" applyFill="1" applyBorder="1" applyAlignment="1" applyProtection="1">
      <alignment vertical="center"/>
      <protection hidden="1"/>
    </xf>
    <xf numFmtId="0" fontId="28" fillId="27" borderId="165" xfId="0" applyNumberFormat="1" applyFont="1" applyFill="1" applyBorder="1" applyAlignment="1" applyProtection="1">
      <alignment vertical="center"/>
      <protection hidden="1"/>
    </xf>
    <xf numFmtId="0" fontId="28" fillId="27" borderId="166" xfId="0" applyNumberFormat="1" applyFont="1" applyFill="1" applyBorder="1" applyAlignment="1" applyProtection="1">
      <alignment vertical="center"/>
      <protection hidden="1"/>
    </xf>
    <xf numFmtId="0" fontId="28" fillId="31" borderId="173" xfId="0" applyNumberFormat="1" applyFont="1" applyFill="1" applyBorder="1" applyAlignment="1" applyProtection="1">
      <alignment horizontal="center" vertical="center"/>
      <protection locked="0"/>
    </xf>
    <xf numFmtId="0" fontId="28" fillId="27" borderId="55" xfId="0" applyNumberFormat="1" applyFont="1" applyFill="1" applyBorder="1" applyAlignment="1" applyProtection="1">
      <alignment horizontal="center" vertical="center"/>
      <protection hidden="1"/>
    </xf>
    <xf numFmtId="0" fontId="28" fillId="31" borderId="174" xfId="0" applyNumberFormat="1" applyFont="1" applyFill="1" applyBorder="1" applyAlignment="1" applyProtection="1">
      <alignment horizontal="center" vertical="center"/>
      <protection locked="0"/>
    </xf>
    <xf numFmtId="0" fontId="28" fillId="27" borderId="56" xfId="0" applyNumberFormat="1" applyFont="1" applyFill="1" applyBorder="1" applyAlignment="1" applyProtection="1">
      <alignment vertical="center"/>
      <protection hidden="1"/>
    </xf>
    <xf numFmtId="0" fontId="28" fillId="27" borderId="57" xfId="0" applyNumberFormat="1" applyFont="1" applyFill="1" applyBorder="1" applyAlignment="1" applyProtection="1">
      <alignment vertical="center"/>
      <protection hidden="1"/>
    </xf>
    <xf numFmtId="0" fontId="28" fillId="27" borderId="58" xfId="0" applyNumberFormat="1" applyFont="1" applyFill="1" applyBorder="1" applyAlignment="1" applyProtection="1">
      <alignment vertical="center"/>
      <protection hidden="1"/>
    </xf>
    <xf numFmtId="0" fontId="28" fillId="0" borderId="0" xfId="0" applyFont="1" applyProtection="1">
      <alignment vertical="center"/>
      <protection hidden="1"/>
    </xf>
    <xf numFmtId="0" fontId="28" fillId="0" borderId="0" xfId="49" applyFont="1" applyFill="1" applyAlignment="1" applyProtection="1">
      <alignment horizontal="center" vertical="center"/>
      <protection hidden="1"/>
    </xf>
    <xf numFmtId="228" fontId="0" fillId="56" borderId="79" xfId="35" applyNumberFormat="1" applyFont="1" applyFill="1" applyBorder="1" applyAlignment="1" applyProtection="1">
      <alignment horizontal="left" vertical="center"/>
      <protection hidden="1"/>
    </xf>
    <xf numFmtId="228" fontId="33" fillId="61" borderId="82" xfId="35" applyNumberFormat="1" applyFont="1" applyFill="1" applyBorder="1" applyAlignment="1" applyProtection="1">
      <alignment horizontal="left" vertical="center"/>
      <protection hidden="1"/>
    </xf>
    <xf numFmtId="228" fontId="33" fillId="61" borderId="63" xfId="0" applyNumberFormat="1" applyFont="1" applyFill="1" applyBorder="1" applyAlignment="1" applyProtection="1">
      <alignment horizontal="left" vertical="center"/>
      <protection hidden="1"/>
    </xf>
    <xf numFmtId="228" fontId="0" fillId="61" borderId="63" xfId="0" applyNumberFormat="1" applyFont="1" applyFill="1" applyBorder="1" applyAlignment="1" applyProtection="1">
      <alignment horizontal="left" vertical="center"/>
      <protection hidden="1"/>
    </xf>
    <xf numFmtId="228" fontId="0" fillId="32" borderId="82" xfId="0" applyNumberFormat="1" applyFont="1" applyFill="1" applyBorder="1" applyAlignment="1" applyProtection="1">
      <alignment horizontal="left" vertical="center"/>
      <protection hidden="1"/>
    </xf>
    <xf numFmtId="228" fontId="33" fillId="61" borderId="82" xfId="0" applyNumberFormat="1" applyFont="1" applyFill="1" applyBorder="1" applyAlignment="1" applyProtection="1">
      <alignment horizontal="left" vertical="center"/>
      <protection hidden="1"/>
    </xf>
    <xf numFmtId="228" fontId="33" fillId="61" borderId="27" xfId="0" applyNumberFormat="1" applyFont="1" applyFill="1" applyBorder="1" applyAlignment="1" applyProtection="1">
      <alignment horizontal="left" vertical="center"/>
      <protection hidden="1"/>
    </xf>
    <xf numFmtId="228" fontId="33" fillId="61" borderId="79" xfId="0" applyNumberFormat="1" applyFont="1" applyFill="1" applyBorder="1" applyAlignment="1" applyProtection="1">
      <alignment horizontal="left" vertical="center"/>
      <protection hidden="1"/>
    </xf>
    <xf numFmtId="228" fontId="0" fillId="43" borderId="79" xfId="0" applyNumberFormat="1" applyFont="1" applyFill="1" applyBorder="1" applyAlignment="1" applyProtection="1">
      <alignment horizontal="left" vertical="center"/>
      <protection hidden="1"/>
    </xf>
    <xf numFmtId="0" fontId="28" fillId="0" borderId="0" xfId="49" applyFont="1" applyFill="1" applyBorder="1" applyAlignment="1" applyProtection="1">
      <alignment horizontal="center" vertical="center"/>
      <protection hidden="1"/>
    </xf>
    <xf numFmtId="228" fontId="33" fillId="61" borderId="17" xfId="0" applyNumberFormat="1" applyFont="1" applyFill="1" applyBorder="1" applyAlignment="1" applyProtection="1">
      <alignment horizontal="left" vertical="center"/>
      <protection hidden="1"/>
    </xf>
    <xf numFmtId="178" fontId="126" fillId="63" borderId="278" xfId="0" applyNumberFormat="1" applyFont="1" applyFill="1" applyBorder="1" applyAlignment="1" applyProtection="1">
      <alignment horizontal="center" vertical="center"/>
      <protection hidden="1"/>
    </xf>
    <xf numFmtId="0" fontId="28" fillId="54" borderId="144" xfId="0" applyNumberFormat="1" applyFont="1" applyFill="1" applyBorder="1" applyAlignment="1" applyProtection="1">
      <alignment horizontal="center" vertical="center"/>
      <protection locked="0"/>
    </xf>
    <xf numFmtId="0" fontId="26" fillId="54" borderId="144" xfId="0" applyNumberFormat="1" applyFont="1" applyFill="1" applyBorder="1" applyAlignment="1" applyProtection="1">
      <alignment horizontal="center" vertical="center"/>
      <protection locked="0"/>
    </xf>
    <xf numFmtId="185" fontId="29" fillId="0" borderId="96" xfId="0" applyNumberFormat="1" applyFont="1" applyFill="1" applyBorder="1" applyAlignment="1" applyProtection="1">
      <alignment horizontal="center" vertical="center"/>
      <protection hidden="1"/>
    </xf>
    <xf numFmtId="182" fontId="28" fillId="0" borderId="62" xfId="0" applyNumberFormat="1" applyFont="1" applyFill="1" applyBorder="1" applyAlignment="1" applyProtection="1">
      <alignment horizontal="left" vertical="top" shrinkToFit="1"/>
      <protection locked="0"/>
    </xf>
    <xf numFmtId="0" fontId="0" fillId="0" borderId="0" xfId="0" applyBorder="1" applyAlignment="1" applyProtection="1">
      <alignment horizontal="left" vertical="top" shrinkToFit="1"/>
      <protection locked="0"/>
    </xf>
    <xf numFmtId="0" fontId="28" fillId="0" borderId="0" xfId="0" applyFont="1" applyProtection="1">
      <alignment vertical="center"/>
      <protection hidden="1"/>
    </xf>
    <xf numFmtId="0" fontId="28" fillId="0" borderId="0" xfId="0" applyFont="1" applyFill="1" applyBorder="1" applyAlignment="1" applyProtection="1">
      <alignment horizontal="left" vertical="top" wrapText="1"/>
      <protection hidden="1"/>
    </xf>
    <xf numFmtId="0" fontId="0" fillId="0" borderId="0" xfId="0" applyFont="1" applyProtection="1">
      <alignment vertical="center"/>
      <protection hidden="1"/>
    </xf>
    <xf numFmtId="0" fontId="28" fillId="0" borderId="0" xfId="0" applyFont="1" applyFill="1" applyBorder="1" applyAlignment="1" applyProtection="1">
      <alignment horizontal="left" vertical="top"/>
      <protection hidden="1"/>
    </xf>
    <xf numFmtId="0" fontId="28" fillId="0" borderId="0" xfId="0" applyFont="1" applyAlignment="1" applyProtection="1">
      <alignment vertical="center"/>
      <protection hidden="1"/>
    </xf>
    <xf numFmtId="0" fontId="28" fillId="0" borderId="0" xfId="0" applyFont="1" applyBorder="1" applyAlignment="1" applyProtection="1">
      <alignment vertical="center"/>
      <protection hidden="1"/>
    </xf>
    <xf numFmtId="0" fontId="28" fillId="0" borderId="66" xfId="0" applyFont="1" applyFill="1" applyBorder="1" applyAlignment="1" applyProtection="1">
      <alignment horizontal="left" vertical="top" wrapText="1"/>
      <protection hidden="1"/>
    </xf>
    <xf numFmtId="182" fontId="37" fillId="31" borderId="128" xfId="0" applyNumberFormat="1" applyFont="1" applyFill="1" applyBorder="1" applyAlignment="1" applyProtection="1">
      <alignment horizontal="left" vertical="center" shrinkToFit="1"/>
      <protection locked="0" hidden="1"/>
    </xf>
    <xf numFmtId="182" fontId="37" fillId="31" borderId="129" xfId="0" applyNumberFormat="1" applyFont="1" applyFill="1" applyBorder="1" applyAlignment="1" applyProtection="1">
      <alignment horizontal="left" vertical="center" shrinkToFit="1"/>
      <protection locked="0" hidden="1"/>
    </xf>
    <xf numFmtId="182" fontId="37" fillId="31" borderId="129" xfId="0" applyNumberFormat="1" applyFont="1" applyFill="1" applyBorder="1" applyAlignment="1" applyProtection="1">
      <alignment horizontal="left" shrinkToFit="1"/>
      <protection locked="0" hidden="1"/>
    </xf>
    <xf numFmtId="182" fontId="37" fillId="0" borderId="62" xfId="0" applyNumberFormat="1" applyFont="1" applyFill="1" applyBorder="1" applyAlignment="1" applyProtection="1">
      <alignment horizontal="left" vertical="center" shrinkToFit="1"/>
      <protection locked="0" hidden="1"/>
    </xf>
    <xf numFmtId="182" fontId="37" fillId="0" borderId="0" xfId="0" applyNumberFormat="1" applyFont="1" applyFill="1" applyBorder="1" applyAlignment="1" applyProtection="1">
      <alignment horizontal="left" vertical="center" shrinkToFit="1"/>
      <protection locked="0" hidden="1"/>
    </xf>
    <xf numFmtId="182" fontId="37" fillId="0" borderId="0" xfId="0" applyNumberFormat="1" applyFont="1" applyFill="1" applyBorder="1" applyAlignment="1" applyProtection="1">
      <alignment horizontal="left" shrinkToFit="1"/>
      <protection locked="0" hidden="1"/>
    </xf>
    <xf numFmtId="182" fontId="37" fillId="33" borderId="59" xfId="0" applyNumberFormat="1" applyFont="1" applyFill="1" applyBorder="1" applyAlignment="1" applyProtection="1">
      <alignment horizontal="left" vertical="center" shrinkToFit="1"/>
      <protection locked="0" hidden="1"/>
    </xf>
    <xf numFmtId="182" fontId="37" fillId="33" borderId="60" xfId="0" applyNumberFormat="1" applyFont="1" applyFill="1" applyBorder="1" applyAlignment="1" applyProtection="1">
      <alignment horizontal="left" vertical="center" shrinkToFit="1"/>
      <protection locked="0" hidden="1"/>
    </xf>
    <xf numFmtId="182" fontId="37" fillId="33" borderId="60" xfId="0" applyNumberFormat="1" applyFont="1" applyFill="1" applyBorder="1" applyAlignment="1" applyProtection="1">
      <alignment horizontal="left" shrinkToFit="1"/>
      <protection locked="0" hidden="1"/>
    </xf>
    <xf numFmtId="182" fontId="37" fillId="31" borderId="104" xfId="0" applyNumberFormat="1" applyFont="1" applyFill="1" applyBorder="1" applyAlignment="1" applyProtection="1">
      <alignment horizontal="left" vertical="center" shrinkToFit="1"/>
      <protection locked="0" hidden="1"/>
    </xf>
    <xf numFmtId="182" fontId="37" fillId="31" borderId="102" xfId="0" applyNumberFormat="1" applyFont="1" applyFill="1" applyBorder="1" applyAlignment="1" applyProtection="1">
      <alignment horizontal="left" vertical="center" shrinkToFit="1"/>
      <protection locked="0" hidden="1"/>
    </xf>
    <xf numFmtId="182" fontId="37" fillId="31" borderId="102" xfId="0" applyNumberFormat="1" applyFont="1" applyFill="1" applyBorder="1" applyAlignment="1" applyProtection="1">
      <alignment horizontal="left" shrinkToFit="1"/>
      <protection locked="0" hidden="1"/>
    </xf>
    <xf numFmtId="182" fontId="28" fillId="0" borderId="146" xfId="0" applyNumberFormat="1" applyFont="1" applyFill="1" applyBorder="1" applyAlignment="1" applyProtection="1">
      <alignment horizontal="left" vertical="center" wrapText="1"/>
      <protection hidden="1"/>
    </xf>
    <xf numFmtId="182" fontId="28" fillId="0" borderId="229" xfId="0" applyNumberFormat="1" applyFont="1" applyFill="1" applyBorder="1" applyAlignment="1" applyProtection="1">
      <alignment horizontal="left" vertical="center" wrapText="1"/>
      <protection hidden="1"/>
    </xf>
    <xf numFmtId="0" fontId="0" fillId="0" borderId="60" xfId="0" applyBorder="1" applyProtection="1">
      <alignment vertical="center"/>
    </xf>
    <xf numFmtId="3" fontId="23" fillId="0" borderId="0" xfId="49" applyNumberFormat="1" applyFont="1" applyFill="1" applyBorder="1" applyAlignment="1" applyProtection="1">
      <alignment vertical="center" shrinkToFit="1"/>
      <protection hidden="1"/>
    </xf>
    <xf numFmtId="0" fontId="126" fillId="0" borderId="272" xfId="0" applyFont="1" applyFill="1" applyBorder="1" applyAlignment="1" applyProtection="1">
      <alignment horizontal="center" vertical="center"/>
      <protection hidden="1"/>
    </xf>
    <xf numFmtId="0" fontId="126" fillId="0" borderId="270" xfId="0" applyFont="1" applyFill="1" applyBorder="1" applyAlignment="1" applyProtection="1">
      <alignment horizontal="center" vertical="center"/>
      <protection hidden="1"/>
    </xf>
    <xf numFmtId="0" fontId="126" fillId="0" borderId="273" xfId="0" applyFont="1" applyFill="1" applyBorder="1" applyAlignment="1" applyProtection="1">
      <alignment horizontal="center" vertical="center"/>
      <protection hidden="1"/>
    </xf>
    <xf numFmtId="0" fontId="126" fillId="0" borderId="284" xfId="0" applyFont="1" applyFill="1" applyBorder="1" applyAlignment="1" applyProtection="1">
      <alignment horizontal="center" vertical="center"/>
    </xf>
    <xf numFmtId="0" fontId="126" fillId="0" borderId="286" xfId="0" applyFont="1" applyFill="1" applyBorder="1" applyAlignment="1" applyProtection="1">
      <alignment horizontal="center" vertical="center"/>
    </xf>
    <xf numFmtId="0" fontId="126" fillId="0" borderId="285" xfId="0" applyFont="1" applyFill="1" applyBorder="1" applyAlignment="1" applyProtection="1">
      <alignment horizontal="center" vertical="center"/>
      <protection hidden="1"/>
    </xf>
    <xf numFmtId="0" fontId="126" fillId="0" borderId="276" xfId="0" applyFont="1" applyFill="1" applyBorder="1" applyAlignment="1" applyProtection="1">
      <alignment horizontal="center" vertical="center"/>
      <protection hidden="1"/>
    </xf>
    <xf numFmtId="0" fontId="126" fillId="0" borderId="289" xfId="0" applyFont="1" applyFill="1" applyBorder="1" applyAlignment="1" applyProtection="1">
      <alignment horizontal="center" vertical="center"/>
    </xf>
    <xf numFmtId="178" fontId="126" fillId="0" borderId="277" xfId="0" applyNumberFormat="1" applyFont="1" applyFill="1" applyBorder="1" applyAlignment="1" applyProtection="1">
      <alignment horizontal="center" vertical="center"/>
      <protection hidden="1"/>
    </xf>
    <xf numFmtId="0" fontId="171" fillId="64" borderId="136" xfId="48" applyFill="1" applyBorder="1" applyProtection="1">
      <alignment vertical="center"/>
      <protection locked="0"/>
    </xf>
    <xf numFmtId="0" fontId="171" fillId="64" borderId="157" xfId="48" applyFill="1" applyBorder="1" applyProtection="1">
      <alignment vertical="center"/>
      <protection locked="0"/>
    </xf>
    <xf numFmtId="0" fontId="171" fillId="64" borderId="10" xfId="48" applyFill="1" applyBorder="1" applyProtection="1">
      <alignment vertical="center"/>
      <protection locked="0"/>
    </xf>
    <xf numFmtId="0" fontId="171" fillId="64" borderId="152" xfId="48" applyFill="1" applyBorder="1" applyProtection="1">
      <alignment vertical="center"/>
      <protection locked="0"/>
    </xf>
    <xf numFmtId="0" fontId="171" fillId="0" borderId="0" xfId="48" applyProtection="1">
      <alignment vertical="center"/>
    </xf>
    <xf numFmtId="0" fontId="171" fillId="61" borderId="290" xfId="48" applyFill="1" applyBorder="1" applyAlignment="1" applyProtection="1">
      <alignment horizontal="center" vertical="center"/>
    </xf>
    <xf numFmtId="0" fontId="172" fillId="61" borderId="291" xfId="48" applyFont="1" applyFill="1" applyBorder="1" applyAlignment="1" applyProtection="1">
      <alignment horizontal="center" vertical="center"/>
    </xf>
    <xf numFmtId="0" fontId="171" fillId="61" borderId="291" xfId="48" applyFill="1" applyBorder="1" applyAlignment="1" applyProtection="1">
      <alignment horizontal="center" vertical="center" shrinkToFit="1"/>
    </xf>
    <xf numFmtId="0" fontId="171" fillId="61" borderId="291" xfId="48" applyFill="1" applyBorder="1" applyAlignment="1" applyProtection="1">
      <alignment horizontal="center" vertical="center"/>
    </xf>
    <xf numFmtId="0" fontId="171" fillId="61" borderId="292" xfId="48" applyFill="1" applyBorder="1" applyAlignment="1" applyProtection="1">
      <alignment horizontal="center" vertical="center"/>
    </xf>
    <xf numFmtId="0" fontId="171" fillId="0" borderId="249" xfId="48" applyBorder="1" applyProtection="1">
      <alignment vertical="center"/>
    </xf>
    <xf numFmtId="0" fontId="171" fillId="0" borderId="178" xfId="48" applyBorder="1" applyProtection="1">
      <alignment vertical="center"/>
    </xf>
    <xf numFmtId="0" fontId="171" fillId="0" borderId="178" xfId="48" applyBorder="1" applyAlignment="1" applyProtection="1">
      <alignment horizontal="center" vertical="center" shrinkToFit="1"/>
    </xf>
    <xf numFmtId="0" fontId="171" fillId="64" borderId="178" xfId="48" applyFill="1" applyBorder="1" applyProtection="1">
      <alignment vertical="center"/>
    </xf>
    <xf numFmtId="0" fontId="171" fillId="64" borderId="250" xfId="48" applyFill="1" applyBorder="1" applyProtection="1">
      <alignment vertical="center"/>
    </xf>
    <xf numFmtId="0" fontId="171" fillId="0" borderId="247" xfId="48" applyBorder="1" applyProtection="1">
      <alignment vertical="center"/>
    </xf>
    <xf numFmtId="0" fontId="171" fillId="0" borderId="136" xfId="48" applyBorder="1" applyProtection="1">
      <alignment vertical="center"/>
    </xf>
    <xf numFmtId="0" fontId="171" fillId="0" borderId="136" xfId="48" applyBorder="1" applyAlignment="1" applyProtection="1">
      <alignment horizontal="center" vertical="center" shrinkToFit="1"/>
    </xf>
    <xf numFmtId="0" fontId="171" fillId="64" borderId="136" xfId="48" applyFill="1" applyBorder="1" applyProtection="1">
      <alignment vertical="center"/>
    </xf>
    <xf numFmtId="0" fontId="171" fillId="64" borderId="157" xfId="48" applyFill="1" applyBorder="1" applyProtection="1">
      <alignment vertical="center"/>
    </xf>
    <xf numFmtId="0" fontId="171" fillId="0" borderId="69" xfId="48" applyBorder="1" applyProtection="1">
      <alignment vertical="center"/>
    </xf>
    <xf numFmtId="0" fontId="171" fillId="0" borderId="69" xfId="48" applyBorder="1" applyAlignment="1" applyProtection="1">
      <alignment horizontal="center" vertical="center" shrinkToFit="1"/>
    </xf>
    <xf numFmtId="0" fontId="171" fillId="0" borderId="69" xfId="48" applyFill="1" applyBorder="1" applyProtection="1">
      <alignment vertical="center"/>
    </xf>
    <xf numFmtId="0" fontId="171" fillId="0" borderId="161" xfId="48" applyBorder="1" applyProtection="1">
      <alignment vertical="center"/>
    </xf>
    <xf numFmtId="0" fontId="171" fillId="0" borderId="10" xfId="48" applyBorder="1" applyProtection="1">
      <alignment vertical="center"/>
    </xf>
    <xf numFmtId="0" fontId="33" fillId="0" borderId="26" xfId="0" applyFont="1" applyFill="1" applyBorder="1" applyAlignment="1" applyProtection="1">
      <alignment horizontal="left" vertical="center" shrinkToFit="1"/>
      <protection locked="0"/>
    </xf>
    <xf numFmtId="0" fontId="33" fillId="0" borderId="50" xfId="0" applyFont="1" applyFill="1" applyBorder="1" applyAlignment="1" applyProtection="1">
      <alignment horizontal="left" vertical="center" shrinkToFit="1"/>
      <protection locked="0"/>
    </xf>
    <xf numFmtId="0" fontId="33" fillId="29" borderId="27" xfId="0" applyFont="1" applyFill="1" applyBorder="1" applyAlignment="1" applyProtection="1">
      <alignment horizontal="left" vertical="center" shrinkToFit="1"/>
      <protection locked="0"/>
    </xf>
    <xf numFmtId="0" fontId="33" fillId="27" borderId="26" xfId="0" applyFont="1" applyFill="1" applyBorder="1" applyAlignment="1" applyProtection="1">
      <alignment horizontal="left" vertical="center" shrinkToFit="1"/>
    </xf>
    <xf numFmtId="0" fontId="33" fillId="27" borderId="50" xfId="0" applyFont="1" applyFill="1" applyBorder="1" applyAlignment="1" applyProtection="1">
      <alignment horizontal="left" vertical="center" shrinkToFit="1"/>
    </xf>
    <xf numFmtId="0" fontId="33" fillId="27" borderId="27" xfId="0" applyFont="1" applyFill="1" applyBorder="1" applyAlignment="1" applyProtection="1">
      <alignment horizontal="left" vertical="center" shrinkToFit="1"/>
    </xf>
    <xf numFmtId="0" fontId="33" fillId="0" borderId="27" xfId="0" applyFont="1" applyFill="1" applyBorder="1" applyAlignment="1" applyProtection="1">
      <alignment horizontal="left" vertical="center" shrinkToFit="1"/>
      <protection locked="0"/>
    </xf>
    <xf numFmtId="0" fontId="45" fillId="0" borderId="215" xfId="29" applyNumberFormat="1" applyFont="1" applyFill="1" applyBorder="1" applyAlignment="1" applyProtection="1">
      <alignment horizontal="center" vertical="center"/>
      <protection hidden="1"/>
    </xf>
    <xf numFmtId="0" fontId="45" fillId="0" borderId="216" xfId="29" applyNumberFormat="1" applyFont="1" applyFill="1" applyBorder="1" applyAlignment="1" applyProtection="1">
      <alignment horizontal="center" vertical="center"/>
      <protection hidden="1"/>
    </xf>
    <xf numFmtId="0" fontId="45" fillId="0" borderId="217" xfId="29" applyNumberFormat="1" applyFont="1" applyFill="1" applyBorder="1" applyAlignment="1" applyProtection="1">
      <alignment horizontal="center" vertical="center"/>
      <protection hidden="1"/>
    </xf>
    <xf numFmtId="0" fontId="36"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29" fillId="0" borderId="65" xfId="0" applyFont="1" applyFill="1" applyBorder="1" applyAlignment="1" applyProtection="1">
      <alignment horizontal="left" vertical="top" wrapText="1"/>
      <protection hidden="1"/>
    </xf>
    <xf numFmtId="0" fontId="29" fillId="29" borderId="66" xfId="0" applyFont="1" applyFill="1" applyBorder="1" applyAlignment="1" applyProtection="1">
      <alignment horizontal="left" vertical="top" wrapText="1"/>
      <protection hidden="1"/>
    </xf>
    <xf numFmtId="0" fontId="29" fillId="29" borderId="84" xfId="0" applyFont="1" applyFill="1" applyBorder="1" applyAlignment="1" applyProtection="1">
      <alignment horizontal="left" vertical="top" wrapText="1"/>
      <protection hidden="1"/>
    </xf>
    <xf numFmtId="0" fontId="29" fillId="0" borderId="83" xfId="0" applyFont="1" applyFill="1" applyBorder="1" applyAlignment="1" applyProtection="1">
      <alignment horizontal="left" vertical="top" wrapText="1"/>
      <protection hidden="1"/>
    </xf>
    <xf numFmtId="0" fontId="29" fillId="29" borderId="67" xfId="0" applyFont="1" applyFill="1" applyBorder="1" applyAlignment="1" applyProtection="1">
      <alignment horizontal="left" vertical="top" wrapText="1"/>
      <protection hidden="1"/>
    </xf>
    <xf numFmtId="55" fontId="33" fillId="0" borderId="81" xfId="0" applyNumberFormat="1" applyFont="1" applyFill="1" applyBorder="1" applyAlignment="1" applyProtection="1">
      <alignment horizontal="left" vertical="center"/>
      <protection hidden="1"/>
    </xf>
    <xf numFmtId="0" fontId="0" fillId="0" borderId="50" xfId="0" applyBorder="1">
      <alignment vertical="center"/>
    </xf>
    <xf numFmtId="0" fontId="29" fillId="0" borderId="7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58" xfId="0" applyFont="1" applyFill="1" applyBorder="1" applyAlignment="1">
      <alignment horizontal="left" vertical="top" wrapText="1"/>
    </xf>
    <xf numFmtId="0" fontId="29" fillId="0" borderId="57" xfId="0" applyFont="1" applyFill="1" applyBorder="1" applyAlignment="1" applyProtection="1">
      <alignment horizontal="left" vertical="top" wrapText="1"/>
      <protection hidden="1"/>
    </xf>
    <xf numFmtId="0" fontId="29" fillId="29" borderId="57" xfId="0" applyFont="1" applyFill="1" applyBorder="1" applyAlignment="1" applyProtection="1">
      <alignment horizontal="left" vertical="top" wrapText="1"/>
      <protection hidden="1"/>
    </xf>
    <xf numFmtId="0" fontId="29" fillId="29" borderId="79" xfId="0" applyFont="1" applyFill="1" applyBorder="1" applyAlignment="1" applyProtection="1">
      <alignment horizontal="left" vertical="top" wrapText="1"/>
      <protection hidden="1"/>
    </xf>
    <xf numFmtId="0" fontId="29" fillId="0" borderId="77" xfId="0" applyFont="1" applyFill="1" applyBorder="1" applyAlignment="1" applyProtection="1">
      <alignment horizontal="left" vertical="top" wrapText="1"/>
      <protection hidden="1"/>
    </xf>
    <xf numFmtId="0" fontId="29" fillId="29" borderId="58" xfId="0" applyFont="1" applyFill="1" applyBorder="1" applyAlignment="1" applyProtection="1">
      <alignment horizontal="left" vertical="top" wrapText="1"/>
      <protection hidden="1"/>
    </xf>
    <xf numFmtId="0" fontId="67" fillId="0" borderId="62" xfId="0" applyFont="1" applyFill="1" applyBorder="1" applyAlignment="1" applyProtection="1">
      <alignment horizontal="left" vertical="center" wrapText="1"/>
      <protection hidden="1"/>
    </xf>
    <xf numFmtId="0" fontId="67" fillId="0" borderId="0" xfId="0" applyFont="1" applyFill="1" applyBorder="1" applyAlignment="1" applyProtection="1">
      <alignment horizontal="left" vertical="center" wrapText="1"/>
      <protection hidden="1"/>
    </xf>
    <xf numFmtId="0" fontId="67" fillId="0" borderId="63" xfId="0" applyFont="1" applyFill="1" applyBorder="1" applyAlignment="1" applyProtection="1">
      <alignment horizontal="left" vertical="center" wrapText="1"/>
      <protection hidden="1"/>
    </xf>
    <xf numFmtId="0" fontId="67" fillId="0" borderId="65" xfId="0" applyFont="1" applyFill="1" applyBorder="1" applyAlignment="1" applyProtection="1">
      <alignment horizontal="left" vertical="center" wrapText="1"/>
      <protection hidden="1"/>
    </xf>
    <xf numFmtId="0" fontId="67" fillId="0" borderId="66" xfId="0" applyFont="1" applyFill="1" applyBorder="1" applyAlignment="1" applyProtection="1">
      <alignment horizontal="left" vertical="center" wrapText="1"/>
      <protection hidden="1"/>
    </xf>
    <xf numFmtId="0" fontId="67" fillId="0" borderId="67" xfId="0" applyFont="1" applyFill="1" applyBorder="1" applyAlignment="1" applyProtection="1">
      <alignment horizontal="left" vertical="center" wrapText="1"/>
      <protection hidden="1"/>
    </xf>
    <xf numFmtId="0" fontId="29" fillId="0" borderId="56" xfId="0" applyFont="1" applyFill="1" applyBorder="1" applyAlignment="1" applyProtection="1">
      <alignment horizontal="left" vertical="top" wrapText="1"/>
      <protection hidden="1"/>
    </xf>
    <xf numFmtId="3" fontId="33" fillId="0" borderId="81" xfId="0" applyNumberFormat="1" applyFont="1" applyFill="1" applyBorder="1" applyAlignment="1" applyProtection="1">
      <alignment vertical="center" shrinkToFit="1"/>
      <protection hidden="1"/>
    </xf>
    <xf numFmtId="3" fontId="33" fillId="0" borderId="50" xfId="0" applyNumberFormat="1" applyFont="1" applyFill="1" applyBorder="1" applyAlignment="1" applyProtection="1">
      <alignment vertical="center" shrinkToFit="1"/>
      <protection hidden="1"/>
    </xf>
    <xf numFmtId="3" fontId="33" fillId="0" borderId="82" xfId="0" applyNumberFormat="1" applyFont="1" applyFill="1" applyBorder="1" applyAlignment="1" applyProtection="1">
      <alignment vertical="center" shrinkToFit="1"/>
      <protection hidden="1"/>
    </xf>
    <xf numFmtId="0" fontId="33" fillId="0" borderId="78" xfId="0" applyNumberFormat="1" applyFont="1" applyFill="1" applyBorder="1" applyAlignment="1" applyProtection="1">
      <alignment vertical="center" shrinkToFit="1"/>
      <protection hidden="1"/>
    </xf>
    <xf numFmtId="0" fontId="33" fillId="0" borderId="57" xfId="0" applyNumberFormat="1" applyFont="1" applyFill="1" applyBorder="1" applyAlignment="1" applyProtection="1">
      <alignment vertical="center" shrinkToFit="1"/>
      <protection hidden="1"/>
    </xf>
    <xf numFmtId="0" fontId="33" fillId="0" borderId="79" xfId="0" applyNumberFormat="1" applyFont="1" applyFill="1" applyBorder="1" applyAlignment="1" applyProtection="1">
      <alignment vertical="center" shrinkToFit="1"/>
      <protection hidden="1"/>
    </xf>
    <xf numFmtId="3" fontId="33" fillId="0" borderId="76" xfId="0" applyNumberFormat="1" applyFont="1" applyFill="1" applyBorder="1" applyAlignment="1" applyProtection="1">
      <alignment vertical="center" shrinkToFit="1"/>
      <protection hidden="1"/>
    </xf>
    <xf numFmtId="3" fontId="33" fillId="0" borderId="0" xfId="0" applyNumberFormat="1" applyFont="1" applyFill="1" applyBorder="1" applyAlignment="1" applyProtection="1">
      <alignment vertical="center" shrinkToFit="1"/>
      <protection hidden="1"/>
    </xf>
    <xf numFmtId="3" fontId="33" fillId="0" borderId="63" xfId="0" applyNumberFormat="1" applyFont="1" applyFill="1" applyBorder="1" applyAlignment="1" applyProtection="1">
      <alignment vertical="center" shrinkToFit="1"/>
      <protection hidden="1"/>
    </xf>
    <xf numFmtId="3" fontId="33" fillId="0" borderId="269" xfId="0" applyNumberFormat="1" applyFont="1" applyFill="1" applyBorder="1" applyAlignment="1" applyProtection="1">
      <alignment vertical="center" shrinkToFit="1"/>
      <protection hidden="1"/>
    </xf>
    <xf numFmtId="3" fontId="33" fillId="0" borderId="53" xfId="0" applyNumberFormat="1" applyFont="1" applyFill="1" applyBorder="1" applyAlignment="1" applyProtection="1">
      <alignment vertical="center" shrinkToFit="1"/>
      <protection hidden="1"/>
    </xf>
    <xf numFmtId="3" fontId="33" fillId="0" borderId="90" xfId="0" applyNumberFormat="1" applyFont="1" applyFill="1" applyBorder="1" applyAlignment="1" applyProtection="1">
      <alignment vertical="center" shrinkToFit="1"/>
      <protection hidden="1"/>
    </xf>
    <xf numFmtId="3" fontId="33" fillId="0" borderId="74" xfId="0" applyNumberFormat="1" applyFont="1" applyFill="1" applyBorder="1" applyAlignment="1" applyProtection="1">
      <alignment vertical="center" shrinkToFit="1"/>
      <protection hidden="1"/>
    </xf>
    <xf numFmtId="3" fontId="33" fillId="0" borderId="73" xfId="0" applyNumberFormat="1" applyFont="1" applyFill="1" applyBorder="1" applyAlignment="1" applyProtection="1">
      <alignment vertical="center" shrinkToFit="1"/>
      <protection hidden="1"/>
    </xf>
    <xf numFmtId="3" fontId="33" fillId="0" borderId="75" xfId="0" applyNumberFormat="1" applyFont="1" applyFill="1" applyBorder="1" applyAlignment="1" applyProtection="1">
      <alignment vertical="center" shrinkToFit="1"/>
      <protection hidden="1"/>
    </xf>
    <xf numFmtId="37" fontId="33" fillId="0" borderId="76" xfId="0" applyNumberFormat="1" applyFont="1" applyFill="1" applyBorder="1" applyAlignment="1" applyProtection="1">
      <alignment vertical="center" shrinkToFit="1"/>
      <protection hidden="1"/>
    </xf>
    <xf numFmtId="37" fontId="33" fillId="0" borderId="0" xfId="0" applyNumberFormat="1" applyFont="1" applyFill="1" applyBorder="1" applyAlignment="1" applyProtection="1">
      <alignment vertical="center" shrinkToFit="1"/>
      <protection hidden="1"/>
    </xf>
    <xf numFmtId="0" fontId="33" fillId="0" borderId="78" xfId="0" applyFont="1" applyFill="1" applyBorder="1" applyAlignment="1" applyProtection="1">
      <alignment vertical="center" shrinkToFit="1"/>
      <protection hidden="1"/>
    </xf>
    <xf numFmtId="0" fontId="33" fillId="0" borderId="79" xfId="0" applyFont="1" applyFill="1" applyBorder="1" applyAlignment="1" applyProtection="1">
      <alignment vertical="center" shrinkToFit="1"/>
      <protection hidden="1"/>
    </xf>
    <xf numFmtId="0" fontId="33" fillId="0" borderId="76" xfId="0" quotePrefix="1" applyFont="1" applyFill="1" applyBorder="1" applyAlignment="1" applyProtection="1">
      <alignment vertical="center" shrinkToFit="1"/>
      <protection hidden="1"/>
    </xf>
    <xf numFmtId="0" fontId="33" fillId="0" borderId="63" xfId="0" quotePrefix="1" applyFont="1" applyFill="1" applyBorder="1" applyAlignment="1" applyProtection="1">
      <alignment vertical="center" shrinkToFit="1"/>
      <protection hidden="1"/>
    </xf>
    <xf numFmtId="14" fontId="33" fillId="0" borderId="76" xfId="0" applyNumberFormat="1" applyFont="1" applyFill="1" applyBorder="1" applyAlignment="1" applyProtection="1">
      <alignment vertical="center" shrinkToFit="1"/>
      <protection hidden="1"/>
    </xf>
    <xf numFmtId="14" fontId="33" fillId="0" borderId="63" xfId="0" applyNumberFormat="1" applyFont="1" applyFill="1" applyBorder="1" applyAlignment="1" applyProtection="1">
      <alignment vertical="center" shrinkToFit="1"/>
      <protection hidden="1"/>
    </xf>
    <xf numFmtId="31" fontId="33" fillId="0" borderId="76" xfId="0" applyNumberFormat="1" applyFont="1" applyFill="1" applyBorder="1" applyAlignment="1" applyProtection="1">
      <alignment vertical="center" shrinkToFit="1"/>
      <protection hidden="1"/>
    </xf>
    <xf numFmtId="31" fontId="33" fillId="0" borderId="63" xfId="0" applyNumberFormat="1" applyFont="1" applyFill="1" applyBorder="1" applyAlignment="1" applyProtection="1">
      <alignment vertical="center" shrinkToFit="1"/>
      <protection hidden="1"/>
    </xf>
    <xf numFmtId="31" fontId="33" fillId="0" borderId="269" xfId="0" applyNumberFormat="1" applyFont="1" applyFill="1" applyBorder="1" applyAlignment="1" applyProtection="1">
      <alignment vertical="center" shrinkToFit="1"/>
      <protection hidden="1"/>
    </xf>
    <xf numFmtId="31" fontId="33" fillId="0" borderId="90" xfId="0" applyNumberFormat="1" applyFont="1" applyFill="1" applyBorder="1" applyAlignment="1" applyProtection="1">
      <alignment vertical="center" shrinkToFit="1"/>
      <protection hidden="1"/>
    </xf>
    <xf numFmtId="0" fontId="33" fillId="0" borderId="81" xfId="0" applyFont="1" applyFill="1" applyBorder="1" applyAlignment="1" applyProtection="1">
      <alignment vertical="center" shrinkToFit="1"/>
      <protection hidden="1"/>
    </xf>
    <xf numFmtId="0" fontId="33" fillId="0" borderId="82" xfId="0" applyFont="1" applyFill="1" applyBorder="1" applyAlignment="1" applyProtection="1">
      <alignment vertical="center" shrinkToFit="1"/>
      <protection hidden="1"/>
    </xf>
    <xf numFmtId="182" fontId="28" fillId="0" borderId="62" xfId="0" applyNumberFormat="1" applyFont="1" applyFill="1" applyBorder="1" applyAlignment="1" applyProtection="1">
      <alignment horizontal="left" vertical="top" shrinkToFit="1"/>
      <protection locked="0"/>
    </xf>
    <xf numFmtId="0" fontId="0" fillId="0" borderId="0" xfId="0" applyAlignment="1" applyProtection="1">
      <alignment horizontal="left" vertical="top" shrinkToFit="1"/>
      <protection locked="0"/>
    </xf>
    <xf numFmtId="0" fontId="0" fillId="0" borderId="0" xfId="0" applyBorder="1" applyAlignment="1" applyProtection="1">
      <alignment horizontal="left" vertical="top" shrinkToFit="1"/>
      <protection locked="0"/>
    </xf>
    <xf numFmtId="0" fontId="0" fillId="0" borderId="63" xfId="0" applyBorder="1" applyAlignment="1" applyProtection="1">
      <alignment horizontal="left" vertical="top" shrinkToFit="1"/>
      <protection locked="0"/>
    </xf>
    <xf numFmtId="0" fontId="33" fillId="27" borderId="26" xfId="0" applyFont="1" applyFill="1" applyBorder="1" applyAlignment="1" applyProtection="1">
      <alignment vertical="center" shrinkToFit="1"/>
      <protection hidden="1"/>
    </xf>
    <xf numFmtId="0" fontId="0" fillId="0" borderId="82" xfId="0" applyBorder="1" applyAlignment="1" applyProtection="1">
      <alignment vertical="center" shrinkToFit="1"/>
    </xf>
    <xf numFmtId="0" fontId="33" fillId="27" borderId="50" xfId="0" applyFont="1" applyFill="1" applyBorder="1" applyAlignment="1" applyProtection="1">
      <alignment vertical="center" shrinkToFit="1"/>
      <protection hidden="1"/>
    </xf>
    <xf numFmtId="0" fontId="0" fillId="0" borderId="50" xfId="0" applyBorder="1" applyAlignment="1" applyProtection="1">
      <alignment vertical="center" shrinkToFit="1"/>
    </xf>
    <xf numFmtId="182" fontId="28" fillId="0" borderId="0" xfId="0" applyNumberFormat="1" applyFont="1" applyFill="1" applyBorder="1" applyAlignment="1" applyProtection="1">
      <alignment horizontal="left" vertical="top" shrinkToFit="1"/>
      <protection locked="0"/>
    </xf>
    <xf numFmtId="182" fontId="28" fillId="0" borderId="63" xfId="0" applyNumberFormat="1" applyFont="1" applyFill="1" applyBorder="1" applyAlignment="1" applyProtection="1">
      <alignment horizontal="left" vertical="top" shrinkToFit="1"/>
      <protection locked="0"/>
    </xf>
    <xf numFmtId="0" fontId="33" fillId="27" borderId="52" xfId="0" applyNumberFormat="1" applyFont="1" applyFill="1" applyBorder="1" applyAlignment="1" applyProtection="1">
      <alignment horizontal="left" vertical="center" shrinkToFit="1"/>
      <protection hidden="1"/>
    </xf>
    <xf numFmtId="0" fontId="0" fillId="0" borderId="90" xfId="0" applyBorder="1" applyAlignment="1" applyProtection="1">
      <alignment vertical="center" shrinkToFit="1"/>
    </xf>
    <xf numFmtId="0" fontId="33" fillId="27" borderId="26" xfId="0" applyNumberFormat="1" applyFont="1" applyFill="1" applyBorder="1" applyAlignment="1" applyProtection="1">
      <alignment horizontal="left" vertical="center" shrinkToFit="1"/>
      <protection hidden="1"/>
    </xf>
    <xf numFmtId="182" fontId="28" fillId="0" borderId="146" xfId="0" applyNumberFormat="1" applyFont="1" applyFill="1" applyBorder="1" applyAlignment="1" applyProtection="1">
      <alignment horizontal="left" vertical="top" shrinkToFit="1"/>
      <protection locked="0"/>
    </xf>
    <xf numFmtId="0" fontId="0" fillId="0" borderId="109" xfId="0" applyBorder="1" applyAlignment="1" applyProtection="1">
      <alignment horizontal="left" vertical="top" shrinkToFit="1"/>
      <protection locked="0"/>
    </xf>
    <xf numFmtId="0" fontId="0" fillId="0" borderId="214" xfId="0" applyBorder="1" applyAlignment="1" applyProtection="1">
      <alignment horizontal="left" vertical="top" shrinkToFit="1"/>
      <protection locked="0"/>
    </xf>
    <xf numFmtId="182" fontId="28" fillId="0" borderId="77" xfId="0" applyNumberFormat="1" applyFont="1" applyFill="1" applyBorder="1" applyAlignment="1" applyProtection="1">
      <alignment horizontal="left" vertical="top" shrinkToFit="1"/>
      <protection locked="0"/>
    </xf>
    <xf numFmtId="0" fontId="0" fillId="0" borderId="57" xfId="0" applyBorder="1" applyAlignment="1" applyProtection="1">
      <alignment horizontal="left" vertical="top" shrinkToFit="1"/>
      <protection locked="0"/>
    </xf>
    <xf numFmtId="0" fontId="0" fillId="0" borderId="79" xfId="0" applyBorder="1" applyAlignment="1" applyProtection="1">
      <alignment horizontal="left" vertical="top" shrinkToFit="1"/>
      <protection locked="0"/>
    </xf>
    <xf numFmtId="0" fontId="33" fillId="42" borderId="26" xfId="0" applyFont="1" applyFill="1" applyBorder="1" applyAlignment="1" applyProtection="1">
      <alignment vertical="center" shrinkToFit="1"/>
      <protection hidden="1"/>
    </xf>
    <xf numFmtId="0" fontId="0" fillId="48" borderId="82" xfId="0" applyFill="1" applyBorder="1" applyAlignment="1" applyProtection="1">
      <alignment vertical="center" shrinkToFit="1"/>
    </xf>
    <xf numFmtId="0" fontId="28" fillId="0" borderId="0" xfId="0" applyFont="1" applyFill="1" applyBorder="1" applyAlignment="1" applyProtection="1">
      <alignment horizontal="left" vertical="center"/>
      <protection hidden="1"/>
    </xf>
    <xf numFmtId="0" fontId="0" fillId="0" borderId="0" xfId="0" applyProtection="1">
      <alignment vertical="center"/>
    </xf>
    <xf numFmtId="0" fontId="23" fillId="27" borderId="61" xfId="0" applyFont="1" applyFill="1" applyBorder="1" applyAlignment="1" applyProtection="1">
      <alignment horizontal="center" vertical="center" wrapText="1"/>
      <protection hidden="1"/>
    </xf>
    <xf numFmtId="0" fontId="6" fillId="0" borderId="79" xfId="0" applyFont="1" applyBorder="1" applyAlignment="1" applyProtection="1">
      <alignment horizontal="center" vertical="center"/>
      <protection hidden="1"/>
    </xf>
    <xf numFmtId="0" fontId="26" fillId="27" borderId="92" xfId="0" applyFont="1" applyFill="1" applyBorder="1" applyAlignment="1" applyProtection="1">
      <alignment horizontal="center" vertical="center" wrapText="1"/>
      <protection hidden="1"/>
    </xf>
    <xf numFmtId="0" fontId="26" fillId="0" borderId="96" xfId="0" applyFont="1" applyBorder="1" applyAlignment="1" applyProtection="1">
      <alignment horizontal="center" vertical="center" wrapText="1"/>
      <protection hidden="1"/>
    </xf>
    <xf numFmtId="0" fontId="96" fillId="0" borderId="65" xfId="0" applyNumberFormat="1" applyFont="1" applyFill="1" applyBorder="1" applyAlignment="1" applyProtection="1">
      <alignment horizontal="left" vertical="center" shrinkToFit="1"/>
      <protection hidden="1"/>
    </xf>
    <xf numFmtId="0" fontId="96" fillId="0" borderId="66" xfId="0" applyNumberFormat="1" applyFont="1" applyFill="1" applyBorder="1" applyAlignment="1" applyProtection="1">
      <alignment horizontal="left" vertical="center" shrinkToFit="1"/>
      <protection hidden="1"/>
    </xf>
    <xf numFmtId="0" fontId="96" fillId="0" borderId="67" xfId="0" applyNumberFormat="1" applyFont="1" applyFill="1" applyBorder="1" applyAlignment="1" applyProtection="1">
      <alignment horizontal="left" vertical="center" shrinkToFit="1"/>
      <protection hidden="1"/>
    </xf>
    <xf numFmtId="0" fontId="63" fillId="37" borderId="69" xfId="0" applyFont="1" applyFill="1" applyBorder="1" applyAlignment="1" applyProtection="1">
      <alignment horizontal="center" vertical="center"/>
      <protection hidden="1"/>
    </xf>
    <xf numFmtId="0" fontId="63" fillId="37" borderId="71" xfId="0" applyFont="1" applyFill="1" applyBorder="1" applyAlignment="1" applyProtection="1">
      <alignment horizontal="center" vertical="center"/>
      <protection hidden="1"/>
    </xf>
    <xf numFmtId="0" fontId="28" fillId="27" borderId="52" xfId="0" applyFont="1" applyFill="1" applyBorder="1" applyAlignment="1" applyProtection="1">
      <alignment horizontal="center" vertical="center" wrapText="1"/>
      <protection hidden="1"/>
    </xf>
    <xf numFmtId="0" fontId="0" fillId="27" borderId="54" xfId="0" applyFill="1" applyBorder="1" applyAlignment="1">
      <alignment vertical="center" wrapText="1"/>
    </xf>
    <xf numFmtId="0" fontId="0" fillId="27" borderId="56" xfId="0" applyFill="1" applyBorder="1" applyAlignment="1">
      <alignment vertical="center" wrapText="1"/>
    </xf>
    <xf numFmtId="0" fontId="0" fillId="27" borderId="58" xfId="0" applyFill="1" applyBorder="1" applyAlignment="1">
      <alignment vertical="center" wrapText="1"/>
    </xf>
    <xf numFmtId="0" fontId="0" fillId="41" borderId="212" xfId="0" applyFill="1" applyBorder="1" applyAlignment="1" applyProtection="1">
      <alignment horizontal="left" vertical="top" wrapText="1"/>
      <protection locked="0"/>
    </xf>
    <xf numFmtId="0" fontId="0" fillId="41" borderId="213" xfId="0" applyFill="1" applyBorder="1" applyAlignment="1" applyProtection="1">
      <alignment horizontal="left" vertical="top" wrapText="1"/>
      <protection locked="0"/>
    </xf>
    <xf numFmtId="0" fontId="0" fillId="41" borderId="211" xfId="0" applyFill="1" applyBorder="1" applyAlignment="1" applyProtection="1">
      <alignment horizontal="left" vertical="top" wrapText="1"/>
      <protection locked="0"/>
    </xf>
    <xf numFmtId="0" fontId="0" fillId="41" borderId="26" xfId="0"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41" borderId="208" xfId="0" applyFill="1" applyBorder="1" applyAlignment="1" applyProtection="1">
      <alignment horizontal="left" vertical="top" wrapText="1"/>
      <protection locked="0"/>
    </xf>
    <xf numFmtId="0" fontId="0" fillId="0" borderId="209" xfId="0" applyBorder="1" applyAlignment="1" applyProtection="1">
      <alignment horizontal="left" vertical="top" wrapText="1"/>
      <protection locked="0"/>
    </xf>
    <xf numFmtId="0" fontId="0" fillId="0" borderId="210" xfId="0" applyBorder="1" applyAlignment="1" applyProtection="1">
      <alignment horizontal="left" vertical="top" wrapText="1"/>
      <protection locked="0"/>
    </xf>
    <xf numFmtId="0" fontId="0" fillId="41" borderId="190" xfId="0" applyFill="1" applyBorder="1" applyAlignment="1" applyProtection="1">
      <alignment horizontal="left" vertical="top" wrapText="1"/>
      <protection locked="0"/>
    </xf>
    <xf numFmtId="0" fontId="0" fillId="41" borderId="191" xfId="0" applyFill="1" applyBorder="1" applyAlignment="1" applyProtection="1">
      <alignment horizontal="left" vertical="top" wrapText="1"/>
      <protection locked="0"/>
    </xf>
    <xf numFmtId="0" fontId="0" fillId="41" borderId="207" xfId="0" applyFill="1" applyBorder="1" applyAlignment="1" applyProtection="1">
      <alignment horizontal="left" vertical="top" wrapText="1"/>
      <protection locked="0"/>
    </xf>
    <xf numFmtId="0" fontId="6" fillId="27" borderId="0" xfId="0" applyFont="1" applyFill="1" applyBorder="1" applyAlignment="1">
      <alignment horizontal="left" vertical="top" wrapText="1"/>
    </xf>
    <xf numFmtId="181" fontId="28" fillId="27" borderId="169" xfId="0" applyNumberFormat="1" applyFont="1" applyFill="1" applyBorder="1" applyAlignment="1" applyProtection="1">
      <alignment horizontal="left" vertical="center" wrapText="1"/>
      <protection hidden="1"/>
    </xf>
    <xf numFmtId="0" fontId="0" fillId="0" borderId="171" xfId="0" applyBorder="1" applyAlignment="1">
      <alignment horizontal="left" vertical="center" wrapText="1"/>
    </xf>
    <xf numFmtId="0" fontId="0" fillId="0" borderId="170" xfId="0" applyBorder="1" applyAlignment="1">
      <alignment horizontal="left" vertical="center" wrapText="1"/>
    </xf>
    <xf numFmtId="181" fontId="28" fillId="27" borderId="12"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8" fillId="27" borderId="14" xfId="0" applyNumberFormat="1" applyFont="1" applyFill="1" applyBorder="1" applyAlignment="1" applyProtection="1">
      <alignment horizontal="left" vertical="center" wrapText="1"/>
      <protection hidden="1"/>
    </xf>
    <xf numFmtId="181" fontId="28" fillId="27" borderId="170" xfId="0" applyNumberFormat="1" applyFont="1" applyFill="1" applyBorder="1" applyAlignment="1" applyProtection="1">
      <alignment horizontal="left" vertical="center" wrapText="1"/>
      <protection hidden="1"/>
    </xf>
    <xf numFmtId="181" fontId="28" fillId="27" borderId="164" xfId="0" applyNumberFormat="1" applyFont="1" applyFill="1" applyBorder="1" applyAlignment="1" applyProtection="1">
      <alignment horizontal="left" vertical="center" wrapText="1"/>
      <protection hidden="1"/>
    </xf>
    <xf numFmtId="181" fontId="28" fillId="27" borderId="166" xfId="0" applyNumberFormat="1" applyFont="1" applyFill="1" applyBorder="1" applyAlignment="1" applyProtection="1">
      <alignment horizontal="left" vertical="center" wrapText="1"/>
      <protection hidden="1"/>
    </xf>
    <xf numFmtId="0" fontId="6" fillId="38" borderId="166" xfId="0" applyFont="1" applyFill="1" applyBorder="1" applyAlignment="1">
      <alignment horizontal="left" vertical="center" wrapText="1"/>
    </xf>
    <xf numFmtId="0" fontId="6" fillId="38" borderId="14" xfId="0" applyFont="1" applyFill="1" applyBorder="1" applyAlignment="1">
      <alignment horizontal="left" vertical="center" wrapText="1"/>
    </xf>
    <xf numFmtId="181" fontId="28" fillId="42" borderId="12" xfId="0" applyNumberFormat="1" applyFont="1" applyFill="1" applyBorder="1" applyAlignment="1" applyProtection="1">
      <alignment horizontal="left" vertical="center" wrapText="1"/>
      <protection hidden="1"/>
    </xf>
    <xf numFmtId="181" fontId="28" fillId="42" borderId="14" xfId="0" applyNumberFormat="1" applyFont="1" applyFill="1" applyBorder="1" applyAlignment="1" applyProtection="1">
      <alignment horizontal="left" vertical="center" wrapText="1"/>
      <protection hidden="1"/>
    </xf>
    <xf numFmtId="0" fontId="6" fillId="48" borderId="14" xfId="0" applyFont="1" applyFill="1" applyBorder="1" applyAlignment="1">
      <alignment horizontal="left" vertical="center" wrapText="1"/>
    </xf>
    <xf numFmtId="181" fontId="28" fillId="42" borderId="164" xfId="0" applyNumberFormat="1" applyFont="1" applyFill="1" applyBorder="1" applyAlignment="1" applyProtection="1">
      <alignment horizontal="left" vertical="center" wrapText="1"/>
      <protection hidden="1"/>
    </xf>
    <xf numFmtId="181" fontId="28" fillId="42" borderId="166" xfId="0" applyNumberFormat="1" applyFont="1" applyFill="1" applyBorder="1" applyAlignment="1" applyProtection="1">
      <alignment horizontal="left" vertical="center" wrapText="1"/>
      <protection hidden="1"/>
    </xf>
    <xf numFmtId="0" fontId="6" fillId="48" borderId="166" xfId="0" applyFont="1" applyFill="1" applyBorder="1" applyAlignment="1">
      <alignment horizontal="left" vertical="center" wrapText="1"/>
    </xf>
    <xf numFmtId="181" fontId="28" fillId="42" borderId="12" xfId="0" applyNumberFormat="1" applyFont="1" applyFill="1" applyBorder="1" applyAlignment="1" applyProtection="1">
      <alignment vertical="center" wrapText="1"/>
      <protection hidden="1"/>
    </xf>
    <xf numFmtId="0" fontId="6" fillId="48" borderId="14" xfId="0" applyFont="1" applyFill="1" applyBorder="1" applyAlignment="1">
      <alignment vertical="center" wrapText="1"/>
    </xf>
    <xf numFmtId="0" fontId="6" fillId="38" borderId="170" xfId="0" applyFont="1" applyFill="1"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65" xfId="0" applyBorder="1" applyAlignment="1">
      <alignment horizontal="left" vertical="center" wrapText="1"/>
    </xf>
    <xf numFmtId="0" fontId="0" fillId="0" borderId="166" xfId="0" applyBorder="1" applyAlignment="1">
      <alignment horizontal="left" vertical="center" wrapText="1"/>
    </xf>
    <xf numFmtId="0" fontId="28" fillId="27" borderId="164" xfId="0" applyFont="1" applyFill="1" applyBorder="1" applyAlignment="1">
      <alignment horizontal="left" vertical="center" wrapText="1"/>
    </xf>
    <xf numFmtId="0" fontId="28" fillId="27" borderId="166" xfId="0" applyFont="1" applyFill="1" applyBorder="1" applyAlignment="1">
      <alignment horizontal="left" vertical="center" wrapText="1"/>
    </xf>
    <xf numFmtId="0" fontId="28" fillId="27" borderId="12" xfId="0" applyFont="1" applyFill="1" applyBorder="1" applyAlignment="1">
      <alignment horizontal="left" vertical="center" wrapText="1"/>
    </xf>
    <xf numFmtId="0" fontId="0" fillId="38" borderId="14" xfId="0" applyFill="1" applyBorder="1" applyAlignment="1">
      <alignment horizontal="left" vertical="center" wrapText="1"/>
    </xf>
    <xf numFmtId="0" fontId="6" fillId="38" borderId="13" xfId="0" applyFont="1" applyFill="1" applyBorder="1" applyAlignment="1">
      <alignment horizontal="left" vertical="center" wrapText="1"/>
    </xf>
    <xf numFmtId="0" fontId="6" fillId="38" borderId="171" xfId="0" applyFont="1" applyFill="1" applyBorder="1" applyAlignment="1">
      <alignment horizontal="left" vertical="center" wrapText="1"/>
    </xf>
    <xf numFmtId="181" fontId="28" fillId="27" borderId="169" xfId="0" applyNumberFormat="1" applyFont="1" applyFill="1" applyBorder="1" applyAlignment="1" applyProtection="1">
      <alignment vertical="center" wrapText="1"/>
      <protection hidden="1"/>
    </xf>
    <xf numFmtId="0" fontId="6" fillId="38" borderId="171" xfId="0" applyFont="1" applyFill="1" applyBorder="1" applyAlignment="1">
      <alignment vertical="center" wrapText="1"/>
    </xf>
    <xf numFmtId="0" fontId="6" fillId="38" borderId="170" xfId="0" applyFont="1" applyFill="1" applyBorder="1" applyAlignment="1">
      <alignment vertical="center" wrapText="1"/>
    </xf>
    <xf numFmtId="181" fontId="28" fillId="27" borderId="165"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0" fontId="6" fillId="38" borderId="13" xfId="0" applyFont="1" applyFill="1" applyBorder="1" applyAlignment="1">
      <alignment vertical="center" wrapText="1"/>
    </xf>
    <xf numFmtId="0" fontId="6" fillId="38" borderId="14" xfId="0" applyFont="1" applyFill="1" applyBorder="1" applyAlignment="1">
      <alignment vertical="center" wrapText="1"/>
    </xf>
    <xf numFmtId="181" fontId="28" fillId="27" borderId="56" xfId="0" applyNumberFormat="1" applyFont="1" applyFill="1" applyBorder="1" applyAlignment="1" applyProtection="1">
      <alignment horizontal="left" vertical="center" wrapText="1"/>
      <protection hidden="1"/>
    </xf>
    <xf numFmtId="181" fontId="28" fillId="27" borderId="58" xfId="0" applyNumberFormat="1" applyFont="1" applyFill="1" applyBorder="1" applyAlignment="1" applyProtection="1">
      <alignment horizontal="left" vertical="center" wrapText="1"/>
      <protection hidden="1"/>
    </xf>
    <xf numFmtId="0" fontId="0" fillId="38" borderId="13" xfId="0" applyFill="1" applyBorder="1">
      <alignment vertical="center"/>
    </xf>
    <xf numFmtId="0" fontId="0" fillId="38" borderId="14" xfId="0" applyFill="1" applyBorder="1">
      <alignment vertical="center"/>
    </xf>
    <xf numFmtId="181" fontId="28" fillId="42" borderId="169" xfId="0" applyNumberFormat="1" applyFont="1" applyFill="1" applyBorder="1" applyAlignment="1" applyProtection="1">
      <alignment horizontal="left" vertical="center" wrapText="1"/>
      <protection hidden="1"/>
    </xf>
    <xf numFmtId="0" fontId="6" fillId="48" borderId="170" xfId="0" applyFont="1" applyFill="1" applyBorder="1" applyAlignment="1">
      <alignment horizontal="left" vertical="center" wrapText="1"/>
    </xf>
    <xf numFmtId="0" fontId="6" fillId="48" borderId="14" xfId="0" applyFont="1" applyFill="1" applyBorder="1">
      <alignment vertical="center"/>
    </xf>
    <xf numFmtId="181" fontId="28" fillId="42" borderId="13" xfId="0" applyNumberFormat="1" applyFont="1" applyFill="1" applyBorder="1" applyAlignment="1" applyProtection="1">
      <alignment horizontal="left" vertical="center" wrapText="1"/>
      <protection hidden="1"/>
    </xf>
    <xf numFmtId="181" fontId="28" fillId="27" borderId="52" xfId="0" applyNumberFormat="1" applyFont="1" applyFill="1" applyBorder="1" applyAlignment="1" applyProtection="1">
      <alignment horizontal="left" vertical="center" wrapText="1"/>
      <protection hidden="1"/>
    </xf>
    <xf numFmtId="181" fontId="28" fillId="27" borderId="54" xfId="0" applyNumberFormat="1" applyFont="1" applyFill="1" applyBorder="1" applyAlignment="1" applyProtection="1">
      <alignment horizontal="left" vertical="center" wrapText="1"/>
      <protection hidden="1"/>
    </xf>
    <xf numFmtId="0" fontId="20" fillId="38" borderId="14" xfId="0" applyFont="1" applyFill="1" applyBorder="1">
      <alignment vertical="center"/>
    </xf>
    <xf numFmtId="0" fontId="20" fillId="38" borderId="170" xfId="0" applyFont="1" applyFill="1" applyBorder="1" applyAlignment="1">
      <alignment horizontal="left" vertical="center" wrapText="1"/>
    </xf>
    <xf numFmtId="0" fontId="20" fillId="38" borderId="171" xfId="0" applyFont="1" applyFill="1" applyBorder="1" applyAlignment="1">
      <alignment vertical="center" wrapText="1"/>
    </xf>
    <xf numFmtId="0" fontId="20" fillId="38" borderId="170" xfId="0" applyFont="1" applyFill="1" applyBorder="1" applyAlignment="1">
      <alignment vertical="center" wrapText="1"/>
    </xf>
    <xf numFmtId="0" fontId="20" fillId="38" borderId="13" xfId="0" applyFont="1" applyFill="1" applyBorder="1" applyAlignment="1">
      <alignment vertical="center" wrapText="1"/>
    </xf>
    <xf numFmtId="0" fontId="20" fillId="38" borderId="14" xfId="0" applyFont="1" applyFill="1" applyBorder="1" applyAlignment="1">
      <alignment vertical="center" wrapText="1"/>
    </xf>
    <xf numFmtId="181" fontId="118" fillId="27" borderId="165" xfId="0" applyNumberFormat="1" applyFont="1" applyFill="1" applyBorder="1" applyAlignment="1" applyProtection="1">
      <alignment horizontal="left" vertical="center" wrapText="1"/>
      <protection hidden="1"/>
    </xf>
    <xf numFmtId="181" fontId="118" fillId="27" borderId="166" xfId="0" applyNumberFormat="1" applyFont="1" applyFill="1" applyBorder="1" applyAlignment="1" applyProtection="1">
      <alignment horizontal="left" vertical="center" wrapText="1"/>
      <protection hidden="1"/>
    </xf>
    <xf numFmtId="181" fontId="28" fillId="27" borderId="171" xfId="0" applyNumberFormat="1" applyFont="1" applyFill="1" applyBorder="1" applyAlignment="1" applyProtection="1">
      <alignment horizontal="left" vertical="center" wrapText="1"/>
      <protection hidden="1"/>
    </xf>
    <xf numFmtId="203" fontId="26" fillId="31" borderId="92" xfId="0" applyNumberFormat="1" applyFont="1" applyFill="1" applyBorder="1" applyAlignment="1" applyProtection="1">
      <alignment horizontal="center" vertical="center"/>
      <protection locked="0" hidden="1"/>
    </xf>
    <xf numFmtId="203" fontId="26" fillId="31" borderId="115" xfId="0" applyNumberFormat="1" applyFont="1" applyFill="1" applyBorder="1" applyAlignment="1" applyProtection="1">
      <alignment horizontal="center" vertical="center"/>
      <protection locked="0" hidden="1"/>
    </xf>
    <xf numFmtId="181" fontId="28" fillId="27" borderId="12" xfId="0" applyNumberFormat="1" applyFont="1" applyFill="1" applyBorder="1" applyAlignment="1" applyProtection="1">
      <alignment vertical="center" shrinkToFit="1"/>
      <protection hidden="1"/>
    </xf>
    <xf numFmtId="0" fontId="6" fillId="38" borderId="13" xfId="0" applyFont="1" applyFill="1" applyBorder="1" applyAlignment="1">
      <alignment vertical="center" shrinkToFit="1"/>
    </xf>
    <xf numFmtId="0" fontId="6" fillId="38" borderId="14" xfId="0" applyFont="1" applyFill="1" applyBorder="1" applyAlignment="1">
      <alignment vertical="center" shrinkToFit="1"/>
    </xf>
    <xf numFmtId="0" fontId="28" fillId="27" borderId="80" xfId="0" applyNumberFormat="1" applyFont="1" applyFill="1" applyBorder="1" applyAlignment="1" applyProtection="1">
      <alignment vertical="center" wrapText="1"/>
      <protection hidden="1"/>
    </xf>
    <xf numFmtId="0" fontId="28" fillId="27" borderId="50" xfId="0" applyNumberFormat="1" applyFont="1" applyFill="1" applyBorder="1" applyAlignment="1" applyProtection="1">
      <alignment vertical="center" wrapText="1"/>
      <protection hidden="1"/>
    </xf>
    <xf numFmtId="0" fontId="28" fillId="27" borderId="82" xfId="0" applyNumberFormat="1" applyFont="1" applyFill="1" applyBorder="1" applyAlignment="1" applyProtection="1">
      <alignment vertical="center" wrapText="1"/>
      <protection hidden="1"/>
    </xf>
    <xf numFmtId="0" fontId="28" fillId="27" borderId="80" xfId="0" applyNumberFormat="1" applyFont="1" applyFill="1" applyBorder="1" applyAlignment="1" applyProtection="1">
      <alignment vertical="center"/>
      <protection hidden="1"/>
    </xf>
    <xf numFmtId="0" fontId="28" fillId="27" borderId="50" xfId="0" applyNumberFormat="1" applyFont="1" applyFill="1" applyBorder="1" applyAlignment="1" applyProtection="1">
      <alignment vertical="center"/>
      <protection hidden="1"/>
    </xf>
    <xf numFmtId="0" fontId="28" fillId="27" borderId="27" xfId="0" applyNumberFormat="1" applyFont="1" applyFill="1" applyBorder="1" applyAlignment="1" applyProtection="1">
      <alignment vertical="center"/>
      <protection hidden="1"/>
    </xf>
    <xf numFmtId="181" fontId="28" fillId="42" borderId="170" xfId="0" applyNumberFormat="1" applyFont="1" applyFill="1" applyBorder="1" applyAlignment="1" applyProtection="1">
      <alignment horizontal="left" vertical="center" wrapText="1"/>
      <protection hidden="1"/>
    </xf>
    <xf numFmtId="0" fontId="6" fillId="38" borderId="165" xfId="0" applyFont="1" applyFill="1" applyBorder="1" applyAlignment="1">
      <alignment horizontal="left" vertical="center" wrapText="1"/>
    </xf>
    <xf numFmtId="181" fontId="28" fillId="31" borderId="27" xfId="0" applyNumberFormat="1" applyFont="1" applyFill="1" applyBorder="1" applyAlignment="1" applyProtection="1">
      <alignment horizontal="center" vertical="center" wrapText="1"/>
      <protection hidden="1"/>
    </xf>
    <xf numFmtId="181" fontId="28" fillId="31" borderId="10" xfId="0" applyNumberFormat="1" applyFont="1" applyFill="1" applyBorder="1" applyAlignment="1" applyProtection="1">
      <alignment horizontal="center" vertical="center" wrapText="1"/>
      <protection hidden="1"/>
    </xf>
    <xf numFmtId="181" fontId="28" fillId="27" borderId="169" xfId="0" applyNumberFormat="1" applyFont="1" applyFill="1" applyBorder="1" applyAlignment="1" applyProtection="1">
      <alignment horizontal="left" vertical="center" shrinkToFit="1"/>
      <protection hidden="1"/>
    </xf>
    <xf numFmtId="0" fontId="6" fillId="38" borderId="171" xfId="0" applyFont="1" applyFill="1" applyBorder="1" applyAlignment="1">
      <alignment horizontal="left" vertical="center" shrinkToFit="1"/>
    </xf>
    <xf numFmtId="0" fontId="6" fillId="38" borderId="170" xfId="0" applyFont="1" applyFill="1" applyBorder="1" applyAlignment="1">
      <alignment horizontal="left" vertical="center" shrinkToFit="1"/>
    </xf>
    <xf numFmtId="0" fontId="37" fillId="27" borderId="183" xfId="0" applyFont="1" applyFill="1" applyBorder="1" applyAlignment="1" applyProtection="1">
      <alignment horizontal="left" vertical="center" wrapText="1"/>
      <protection hidden="1"/>
    </xf>
    <xf numFmtId="0" fontId="37" fillId="38" borderId="14" xfId="0" applyFont="1" applyFill="1" applyBorder="1" applyAlignment="1">
      <alignment horizontal="left" vertical="center" wrapText="1"/>
    </xf>
    <xf numFmtId="0" fontId="37" fillId="27" borderId="218" xfId="0" applyFont="1" applyFill="1" applyBorder="1" applyAlignment="1" applyProtection="1">
      <alignment horizontal="left" vertical="center" wrapText="1"/>
      <protection hidden="1"/>
    </xf>
    <xf numFmtId="0" fontId="37" fillId="38" borderId="170" xfId="0" applyFont="1" applyFill="1" applyBorder="1" applyAlignment="1">
      <alignment horizontal="left" vertical="center" wrapText="1"/>
    </xf>
    <xf numFmtId="0" fontId="37" fillId="27" borderId="219" xfId="0" applyFont="1" applyFill="1" applyBorder="1" applyAlignment="1" applyProtection="1">
      <alignment horizontal="left" vertical="center" wrapText="1"/>
      <protection hidden="1"/>
    </xf>
    <xf numFmtId="0" fontId="37" fillId="38" borderId="166" xfId="0" applyFont="1" applyFill="1" applyBorder="1" applyAlignment="1">
      <alignment horizontal="left" vertical="center" wrapText="1"/>
    </xf>
    <xf numFmtId="0" fontId="6" fillId="0" borderId="171" xfId="0" applyFont="1" applyBorder="1" applyAlignment="1">
      <alignment horizontal="left" vertical="center" wrapText="1"/>
    </xf>
    <xf numFmtId="0" fontId="6" fillId="0" borderId="170"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71" xfId="0" applyFont="1" applyBorder="1" applyAlignment="1">
      <alignment vertical="center" wrapText="1"/>
    </xf>
    <xf numFmtId="0" fontId="6" fillId="0" borderId="170" xfId="0" applyFont="1" applyBorder="1" applyAlignment="1">
      <alignment vertical="center" wrapText="1"/>
    </xf>
    <xf numFmtId="0" fontId="37" fillId="27" borderId="26" xfId="0" applyFont="1" applyFill="1" applyBorder="1" applyAlignment="1" applyProtection="1">
      <alignment horizontal="left" vertical="center" wrapText="1"/>
      <protection hidden="1"/>
    </xf>
    <xf numFmtId="0" fontId="6" fillId="38" borderId="27" xfId="0" applyFont="1" applyFill="1" applyBorder="1" applyAlignment="1">
      <alignment horizontal="left" vertical="center" wrapText="1"/>
    </xf>
    <xf numFmtId="201" fontId="26" fillId="31" borderId="15" xfId="0" applyNumberFormat="1" applyFont="1" applyFill="1" applyBorder="1" applyAlignment="1" applyProtection="1">
      <alignment horizontal="center" vertical="center"/>
      <protection hidden="1"/>
    </xf>
    <xf numFmtId="0" fontId="37" fillId="27" borderId="80" xfId="0" applyFont="1" applyFill="1" applyBorder="1" applyAlignment="1" applyProtection="1">
      <alignment horizontal="left" vertical="center" wrapText="1"/>
      <protection hidden="1"/>
    </xf>
    <xf numFmtId="0" fontId="37" fillId="27" borderId="27" xfId="0" applyFont="1" applyFill="1" applyBorder="1" applyAlignment="1" applyProtection="1">
      <alignment horizontal="left" vertical="center" wrapText="1"/>
      <protection hidden="1"/>
    </xf>
    <xf numFmtId="0" fontId="37" fillId="27" borderId="50" xfId="0" applyFont="1" applyFill="1" applyBorder="1" applyAlignment="1" applyProtection="1">
      <alignment horizontal="left" vertical="center" wrapText="1"/>
      <protection hidden="1"/>
    </xf>
    <xf numFmtId="0" fontId="6" fillId="27" borderId="27" xfId="0" applyFont="1" applyFill="1" applyBorder="1" applyAlignment="1">
      <alignment horizontal="left" vertical="center" wrapText="1"/>
    </xf>
    <xf numFmtId="0" fontId="33" fillId="0" borderId="57" xfId="0" applyFont="1" applyFill="1" applyBorder="1" applyAlignment="1" applyProtection="1">
      <alignment vertical="center" shrinkToFit="1"/>
    </xf>
    <xf numFmtId="0" fontId="28" fillId="27" borderId="51" xfId="0" applyFont="1" applyFill="1" applyBorder="1" applyAlignment="1" applyProtection="1">
      <alignment horizontal="left" vertical="top" wrapText="1"/>
    </xf>
    <xf numFmtId="0" fontId="28" fillId="27" borderId="55" xfId="0" applyFont="1" applyFill="1" applyBorder="1" applyAlignment="1" applyProtection="1">
      <alignment horizontal="left" vertical="top" wrapText="1"/>
    </xf>
    <xf numFmtId="0" fontId="28" fillId="27" borderId="15" xfId="0" applyFont="1" applyFill="1" applyBorder="1" applyAlignment="1" applyProtection="1">
      <alignment horizontal="left" vertical="center"/>
    </xf>
    <xf numFmtId="0" fontId="28" fillId="27" borderId="55" xfId="0" applyFont="1" applyFill="1" applyBorder="1" applyAlignment="1" applyProtection="1">
      <alignment horizontal="left" vertical="center"/>
    </xf>
    <xf numFmtId="181" fontId="28" fillId="31" borderId="26" xfId="0" applyNumberFormat="1" applyFont="1" applyFill="1" applyBorder="1" applyAlignment="1" applyProtection="1">
      <alignment horizontal="center" vertical="center"/>
      <protection hidden="1"/>
    </xf>
    <xf numFmtId="181" fontId="28" fillId="31" borderId="27"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horizontal="center" vertical="center" shrinkToFit="1"/>
      <protection hidden="1"/>
    </xf>
    <xf numFmtId="0" fontId="6" fillId="0" borderId="82" xfId="0" applyFont="1" applyBorder="1" applyAlignment="1">
      <alignment horizontal="center" vertical="center" shrinkToFit="1"/>
    </xf>
    <xf numFmtId="0" fontId="28" fillId="27" borderId="26"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left" vertical="center" wrapText="1"/>
      <protection hidden="1"/>
    </xf>
    <xf numFmtId="0" fontId="28" fillId="27" borderId="27" xfId="0" applyFont="1" applyFill="1" applyBorder="1" applyAlignment="1" applyProtection="1">
      <alignment horizontal="left" vertical="center" wrapText="1"/>
      <protection hidden="1"/>
    </xf>
    <xf numFmtId="0" fontId="28" fillId="27" borderId="52" xfId="0" applyFont="1" applyFill="1" applyBorder="1" applyAlignment="1" applyProtection="1">
      <alignment horizontal="left" vertical="center"/>
      <protection hidden="1"/>
    </xf>
    <xf numFmtId="0" fontId="28" fillId="27" borderId="54" xfId="0" applyFont="1" applyFill="1" applyBorder="1" applyAlignment="1" applyProtection="1">
      <alignment horizontal="left" vertical="center"/>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6" fillId="38" borderId="165" xfId="0" applyFont="1" applyFill="1" applyBorder="1" applyAlignment="1">
      <alignment vertical="center" wrapText="1"/>
    </xf>
    <xf numFmtId="0" fontId="6" fillId="38" borderId="166" xfId="0" applyFont="1" applyFill="1" applyBorder="1" applyAlignment="1">
      <alignment vertical="center" wrapText="1"/>
    </xf>
    <xf numFmtId="181" fontId="28" fillId="27" borderId="169" xfId="0" applyNumberFormat="1" applyFont="1" applyFill="1" applyBorder="1" applyAlignment="1" applyProtection="1">
      <alignment horizontal="left" vertical="center"/>
      <protection hidden="1"/>
    </xf>
    <xf numFmtId="0" fontId="6" fillId="38" borderId="171" xfId="0" applyFont="1" applyFill="1" applyBorder="1" applyAlignment="1">
      <alignment horizontal="left" vertical="center"/>
    </xf>
    <xf numFmtId="181" fontId="28" fillId="27" borderId="171" xfId="0" applyNumberFormat="1" applyFont="1" applyFill="1" applyBorder="1" applyAlignment="1" applyProtection="1">
      <alignment horizontal="left" vertical="center"/>
      <protection hidden="1"/>
    </xf>
    <xf numFmtId="0" fontId="6" fillId="38" borderId="170" xfId="0" applyFont="1" applyFill="1" applyBorder="1" applyAlignment="1">
      <alignment horizontal="left" vertical="center"/>
    </xf>
    <xf numFmtId="0" fontId="28" fillId="27" borderId="185" xfId="0" applyFont="1" applyFill="1" applyBorder="1" applyAlignment="1" applyProtection="1">
      <alignment horizontal="left" vertical="center" wrapText="1"/>
      <protection hidden="1"/>
    </xf>
    <xf numFmtId="0" fontId="6" fillId="38" borderId="13" xfId="0" applyFont="1" applyFill="1" applyBorder="1" applyAlignment="1">
      <alignment vertical="center"/>
    </xf>
    <xf numFmtId="0" fontId="6" fillId="38" borderId="14" xfId="0" applyFont="1" applyFill="1" applyBorder="1" applyAlignment="1">
      <alignment vertical="center"/>
    </xf>
    <xf numFmtId="181" fontId="28" fillId="27" borderId="165" xfId="0" applyNumberFormat="1" applyFont="1" applyFill="1" applyBorder="1" applyAlignment="1" applyProtection="1">
      <alignment horizontal="left" vertical="center"/>
      <protection hidden="1"/>
    </xf>
    <xf numFmtId="0" fontId="6" fillId="38" borderId="166" xfId="0" applyFont="1" applyFill="1" applyBorder="1" applyAlignment="1">
      <alignment horizontal="left" vertical="center"/>
    </xf>
    <xf numFmtId="0" fontId="6" fillId="0" borderId="27" xfId="0" applyFont="1" applyBorder="1" applyAlignment="1">
      <alignment horizontal="center" vertical="center" shrinkToFit="1"/>
    </xf>
    <xf numFmtId="181" fontId="28" fillId="27" borderId="26" xfId="0" applyNumberFormat="1" applyFont="1" applyFill="1" applyBorder="1" applyAlignment="1" applyProtection="1">
      <alignment horizontal="center" vertical="top" shrinkToFit="1"/>
      <protection hidden="1"/>
    </xf>
    <xf numFmtId="0" fontId="37"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195" fontId="45" fillId="27" borderId="50" xfId="0" applyNumberFormat="1" applyFont="1" applyFill="1" applyBorder="1" applyAlignment="1" applyProtection="1">
      <alignment horizontal="center" vertical="center" wrapText="1"/>
      <protection hidden="1"/>
    </xf>
    <xf numFmtId="0" fontId="28" fillId="27" borderId="186" xfId="0" applyFont="1" applyFill="1" applyBorder="1" applyAlignment="1" applyProtection="1">
      <alignment horizontal="left" vertical="center" wrapText="1"/>
      <protection hidden="1"/>
    </xf>
    <xf numFmtId="0" fontId="6" fillId="38" borderId="171" xfId="0" applyFont="1" applyFill="1" applyBorder="1" applyAlignment="1">
      <alignment vertical="center"/>
    </xf>
    <xf numFmtId="0" fontId="6" fillId="38" borderId="170" xfId="0" applyFont="1" applyFill="1" applyBorder="1" applyAlignment="1">
      <alignment vertical="center"/>
    </xf>
    <xf numFmtId="0" fontId="28" fillId="27" borderId="77" xfId="0" applyFont="1" applyFill="1" applyBorder="1" applyAlignment="1" applyProtection="1">
      <alignment horizontal="left" vertical="center" wrapText="1"/>
      <protection hidden="1"/>
    </xf>
    <xf numFmtId="0" fontId="6" fillId="38" borderId="57" xfId="0" applyFont="1" applyFill="1" applyBorder="1" applyAlignment="1">
      <alignment vertical="center"/>
    </xf>
    <xf numFmtId="0" fontId="6" fillId="38" borderId="58" xfId="0" applyFont="1" applyFill="1" applyBorder="1" applyAlignment="1">
      <alignment vertical="center"/>
    </xf>
    <xf numFmtId="206" fontId="23" fillId="27" borderId="188" xfId="0" applyNumberFormat="1" applyFont="1" applyFill="1" applyBorder="1" applyAlignment="1" applyProtection="1">
      <alignment horizontal="center" vertical="center"/>
      <protection locked="0" hidden="1"/>
    </xf>
    <xf numFmtId="0" fontId="0" fillId="38" borderId="115" xfId="0" applyFill="1" applyBorder="1" applyAlignment="1">
      <alignment horizontal="center" vertical="center"/>
    </xf>
    <xf numFmtId="0" fontId="28" fillId="27" borderId="12" xfId="0" applyFont="1" applyFill="1" applyBorder="1" applyAlignment="1" applyProtection="1">
      <alignment horizontal="left" vertical="center" wrapText="1"/>
      <protection hidden="1"/>
    </xf>
    <xf numFmtId="0" fontId="0" fillId="38" borderId="13" xfId="0" applyFill="1" applyBorder="1" applyAlignment="1">
      <alignment horizontal="left" vertical="center" wrapText="1"/>
    </xf>
    <xf numFmtId="0" fontId="28" fillId="27" borderId="169" xfId="0" applyFont="1" applyFill="1" applyBorder="1" applyAlignment="1" applyProtection="1">
      <alignment horizontal="left" vertical="center" wrapText="1"/>
      <protection hidden="1"/>
    </xf>
    <xf numFmtId="0" fontId="0" fillId="38" borderId="171" xfId="0" applyFill="1" applyBorder="1" applyAlignment="1">
      <alignment horizontal="left" vertical="center" wrapText="1"/>
    </xf>
    <xf numFmtId="0" fontId="0" fillId="38" borderId="170" xfId="0" applyFill="1" applyBorder="1" applyAlignment="1">
      <alignment horizontal="left" vertical="center" wrapText="1"/>
    </xf>
    <xf numFmtId="0" fontId="28"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17" xfId="0" applyFill="1" applyBorder="1" applyAlignment="1">
      <alignment horizontal="left" vertical="center" wrapText="1"/>
    </xf>
    <xf numFmtId="0" fontId="0" fillId="38" borderId="77" xfId="0" applyFill="1" applyBorder="1" applyAlignment="1">
      <alignment horizontal="left" vertical="center" wrapText="1"/>
    </xf>
    <xf numFmtId="0" fontId="0" fillId="38" borderId="58" xfId="0" applyFill="1" applyBorder="1" applyAlignment="1">
      <alignment horizontal="left" vertical="center" wrapText="1"/>
    </xf>
    <xf numFmtId="0" fontId="28" fillId="27" borderId="164" xfId="0" applyFont="1" applyFill="1" applyBorder="1" applyAlignment="1" applyProtection="1">
      <alignment horizontal="left" vertical="center" wrapText="1"/>
      <protection hidden="1"/>
    </xf>
    <xf numFmtId="0" fontId="0" fillId="38" borderId="165" xfId="0" applyFill="1" applyBorder="1" applyAlignment="1">
      <alignment horizontal="left" vertical="center" wrapText="1"/>
    </xf>
    <xf numFmtId="0" fontId="0" fillId="38" borderId="166" xfId="0" applyFill="1" applyBorder="1" applyAlignment="1">
      <alignment horizontal="left" vertical="center" wrapText="1"/>
    </xf>
    <xf numFmtId="206" fontId="23" fillId="27" borderId="220" xfId="0" applyNumberFormat="1" applyFont="1" applyFill="1" applyBorder="1" applyAlignment="1" applyProtection="1">
      <alignment horizontal="center" vertical="center"/>
      <protection locked="0" hidden="1"/>
    </xf>
    <xf numFmtId="0" fontId="28"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0" fillId="38" borderId="14" xfId="0" applyFont="1" applyFill="1" applyBorder="1" applyAlignment="1">
      <alignment horizontal="left" vertical="center" wrapText="1"/>
    </xf>
    <xf numFmtId="0" fontId="28" fillId="27" borderId="185" xfId="0" applyFont="1" applyFill="1" applyBorder="1" applyAlignment="1" applyProtection="1">
      <alignment vertical="center" wrapText="1"/>
      <protection hidden="1"/>
    </xf>
    <xf numFmtId="0" fontId="28" fillId="27" borderId="10" xfId="0" applyFont="1" applyFill="1" applyBorder="1" applyAlignment="1" applyProtection="1">
      <alignment horizontal="left" vertical="center" wrapText="1"/>
      <protection hidden="1"/>
    </xf>
    <xf numFmtId="0" fontId="28" fillId="27" borderId="169" xfId="0" applyFont="1" applyFill="1" applyBorder="1" applyAlignment="1">
      <alignment horizontal="left" vertical="center" wrapText="1"/>
    </xf>
    <xf numFmtId="181" fontId="28" fillId="27" borderId="64" xfId="0" applyNumberFormat="1" applyFont="1" applyFill="1" applyBorder="1" applyAlignment="1" applyProtection="1">
      <alignment horizontal="left" vertical="center" wrapText="1"/>
      <protection hidden="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0" borderId="165" xfId="0" applyFont="1" applyBorder="1" applyAlignment="1">
      <alignment horizontal="left" vertical="center" wrapText="1"/>
    </xf>
    <xf numFmtId="0" fontId="0" fillId="0" borderId="166" xfId="0" applyFont="1" applyBorder="1" applyAlignment="1">
      <alignment horizontal="left" vertical="center" wrapText="1"/>
    </xf>
    <xf numFmtId="0" fontId="0" fillId="38" borderId="13" xfId="0" applyFont="1" applyFill="1" applyBorder="1" applyAlignment="1">
      <alignment vertical="center" wrapText="1"/>
    </xf>
    <xf numFmtId="0" fontId="0" fillId="0" borderId="13" xfId="0" applyFont="1" applyBorder="1" applyAlignment="1">
      <alignment vertical="center" wrapText="1"/>
    </xf>
    <xf numFmtId="0" fontId="0" fillId="0" borderId="14" xfId="0" applyFont="1" applyBorder="1" applyAlignment="1">
      <alignment vertical="center" wrapText="1"/>
    </xf>
    <xf numFmtId="0" fontId="0" fillId="38" borderId="171" xfId="0" applyFont="1" applyFill="1" applyBorder="1" applyAlignment="1">
      <alignment vertical="center" wrapText="1"/>
    </xf>
    <xf numFmtId="0" fontId="0" fillId="0" borderId="171" xfId="0" applyFont="1" applyBorder="1" applyAlignment="1">
      <alignment vertical="center" wrapText="1"/>
    </xf>
    <xf numFmtId="0" fontId="0" fillId="0" borderId="170" xfId="0" applyFont="1" applyBorder="1" applyAlignment="1">
      <alignment vertical="center" wrapText="1"/>
    </xf>
    <xf numFmtId="0" fontId="0" fillId="38" borderId="170" xfId="0" applyFont="1" applyFill="1" applyBorder="1" applyAlignment="1">
      <alignment horizontal="left" vertical="center" wrapText="1"/>
    </xf>
    <xf numFmtId="0" fontId="28" fillId="27" borderId="164" xfId="0" applyNumberFormat="1" applyFont="1" applyFill="1" applyBorder="1" applyAlignment="1" applyProtection="1">
      <alignment vertical="center" wrapText="1"/>
      <protection hidden="1"/>
    </xf>
    <xf numFmtId="0" fontId="28" fillId="27" borderId="165" xfId="0" applyNumberFormat="1" applyFont="1" applyFill="1" applyBorder="1" applyAlignment="1" applyProtection="1">
      <alignment vertical="center" wrapText="1"/>
      <protection hidden="1"/>
    </xf>
    <xf numFmtId="0" fontId="28" fillId="27" borderId="264" xfId="0" applyNumberFormat="1" applyFont="1" applyFill="1" applyBorder="1" applyAlignment="1" applyProtection="1">
      <alignment vertical="center" wrapText="1"/>
      <protection hidden="1"/>
    </xf>
    <xf numFmtId="0" fontId="28" fillId="27" borderId="169" xfId="0" applyNumberFormat="1" applyFont="1" applyFill="1" applyBorder="1" applyAlignment="1" applyProtection="1">
      <alignment vertical="center" wrapText="1"/>
      <protection hidden="1"/>
    </xf>
    <xf numFmtId="0" fontId="28" fillId="27" borderId="171" xfId="0" applyNumberFormat="1" applyFont="1" applyFill="1" applyBorder="1" applyAlignment="1" applyProtection="1">
      <alignment vertical="center" wrapText="1"/>
      <protection hidden="1"/>
    </xf>
    <xf numFmtId="0" fontId="28" fillId="27" borderId="266" xfId="0" applyNumberFormat="1" applyFont="1" applyFill="1" applyBorder="1" applyAlignment="1" applyProtection="1">
      <alignment vertical="center" wrapText="1"/>
      <protection hidden="1"/>
    </xf>
    <xf numFmtId="0" fontId="0" fillId="0" borderId="50" xfId="0" applyFont="1" applyBorder="1" applyAlignment="1">
      <alignment vertical="center"/>
    </xf>
    <xf numFmtId="0" fontId="0" fillId="0" borderId="82" xfId="0" applyFont="1" applyBorder="1" applyAlignment="1">
      <alignment vertical="center"/>
    </xf>
    <xf numFmtId="0" fontId="0" fillId="38" borderId="166" xfId="0" applyFont="1" applyFill="1" applyBorder="1" applyAlignment="1">
      <alignment horizontal="left" vertical="center" wrapText="1"/>
    </xf>
    <xf numFmtId="181" fontId="28" fillId="27" borderId="12" xfId="0" applyNumberFormat="1" applyFont="1" applyFill="1" applyBorder="1" applyAlignment="1" applyProtection="1">
      <alignment horizontal="left" vertical="center"/>
      <protection hidden="1"/>
    </xf>
    <xf numFmtId="0" fontId="6" fillId="38" borderId="13" xfId="0" applyFont="1" applyFill="1" applyBorder="1" applyAlignment="1">
      <alignment horizontal="left" vertical="center"/>
    </xf>
    <xf numFmtId="181" fontId="28" fillId="27" borderId="164"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0" fontId="6" fillId="38" borderId="14" xfId="0" applyFont="1" applyFill="1" applyBorder="1" applyAlignment="1">
      <alignment horizontal="left" vertical="center"/>
    </xf>
    <xf numFmtId="0" fontId="28" fillId="27" borderId="184" xfId="0" applyFont="1" applyFill="1" applyBorder="1" applyAlignment="1" applyProtection="1">
      <alignment horizontal="left" vertical="center"/>
      <protection hidden="1"/>
    </xf>
    <xf numFmtId="0" fontId="6" fillId="38" borderId="165" xfId="0" applyFont="1" applyFill="1" applyBorder="1" applyAlignment="1">
      <alignment vertical="center"/>
    </xf>
    <xf numFmtId="0" fontId="6" fillId="38" borderId="166" xfId="0" applyFont="1" applyFill="1" applyBorder="1" applyAlignment="1">
      <alignment vertical="center"/>
    </xf>
    <xf numFmtId="0" fontId="28" fillId="27" borderId="185" xfId="0" applyFont="1" applyFill="1" applyBorder="1" applyAlignment="1" applyProtection="1">
      <alignment horizontal="left" vertical="center"/>
      <protection hidden="1"/>
    </xf>
    <xf numFmtId="0" fontId="28" fillId="38" borderId="171" xfId="0" applyFont="1" applyFill="1" applyBorder="1" applyAlignment="1">
      <alignment vertical="center" wrapText="1"/>
    </xf>
    <xf numFmtId="0" fontId="28" fillId="38" borderId="170" xfId="0" applyFont="1" applyFill="1" applyBorder="1" applyAlignment="1">
      <alignment vertical="center" wrapText="1"/>
    </xf>
    <xf numFmtId="0" fontId="28" fillId="27" borderId="80" xfId="0" applyFont="1" applyFill="1" applyBorder="1" applyAlignment="1">
      <alignment horizontal="left" vertical="center" wrapText="1"/>
    </xf>
    <xf numFmtId="0" fontId="28" fillId="27" borderId="50" xfId="0" applyFont="1" applyFill="1" applyBorder="1" applyAlignment="1">
      <alignment horizontal="left" vertical="center" wrapText="1"/>
    </xf>
    <xf numFmtId="0" fontId="28" fillId="27" borderId="27" xfId="0" applyFont="1" applyFill="1" applyBorder="1" applyAlignment="1">
      <alignment horizontal="left" vertical="center" wrapText="1"/>
    </xf>
    <xf numFmtId="0" fontId="6" fillId="38" borderId="50" xfId="0" applyFont="1" applyFill="1" applyBorder="1" applyAlignment="1">
      <alignment horizontal="left" vertical="center" wrapText="1"/>
    </xf>
    <xf numFmtId="0" fontId="28" fillId="27" borderId="175" xfId="0" applyFont="1" applyFill="1" applyBorder="1" applyAlignment="1" applyProtection="1">
      <alignment horizontal="left" vertical="center" wrapText="1"/>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84" xfId="0" applyFont="1" applyFill="1" applyBorder="1" applyAlignment="1" applyProtection="1">
      <alignment horizontal="left" vertical="center" wrapText="1"/>
      <protection hidden="1"/>
    </xf>
    <xf numFmtId="0" fontId="28" fillId="27" borderId="165"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0" fontId="28" fillId="27" borderId="26"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89" xfId="0" applyFont="1" applyFill="1" applyBorder="1" applyAlignment="1" applyProtection="1">
      <alignment horizontal="center" vertical="center" wrapText="1"/>
      <protection hidden="1"/>
    </xf>
    <xf numFmtId="0" fontId="6" fillId="0" borderId="54" xfId="0" applyFont="1" applyBorder="1">
      <alignment vertical="center"/>
    </xf>
    <xf numFmtId="0" fontId="6" fillId="0" borderId="86" xfId="0" applyFont="1" applyBorder="1">
      <alignment vertical="center"/>
    </xf>
    <xf numFmtId="0" fontId="6" fillId="0" borderId="196" xfId="0" applyFont="1" applyBorder="1">
      <alignment vertical="center"/>
    </xf>
    <xf numFmtId="0" fontId="28" fillId="27" borderId="1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center" wrapText="1"/>
      <protection hidden="1"/>
    </xf>
    <xf numFmtId="0" fontId="28" fillId="27" borderId="182" xfId="0" applyFont="1" applyFill="1" applyBorder="1" applyAlignment="1" applyProtection="1">
      <alignment horizontal="left" vertical="center" wrapText="1"/>
      <protection hidden="1"/>
    </xf>
    <xf numFmtId="0" fontId="28" fillId="27" borderId="26" xfId="0" applyNumberFormat="1" applyFont="1" applyFill="1" applyBorder="1" applyAlignment="1" applyProtection="1">
      <alignment horizontal="center" vertical="center" wrapText="1"/>
      <protection hidden="1"/>
    </xf>
    <xf numFmtId="0" fontId="28" fillId="27" borderId="27" xfId="0" applyNumberFormat="1" applyFont="1" applyFill="1" applyBorder="1" applyAlignment="1" applyProtection="1">
      <alignment horizontal="center" vertical="center" wrapText="1"/>
      <protection hidden="1"/>
    </xf>
    <xf numFmtId="0" fontId="28" fillId="27" borderId="164" xfId="0" applyNumberFormat="1" applyFont="1" applyFill="1" applyBorder="1" applyAlignment="1" applyProtection="1">
      <alignment horizontal="left" vertical="center" wrapText="1"/>
      <protection hidden="1"/>
    </xf>
    <xf numFmtId="0" fontId="28" fillId="27" borderId="166" xfId="0" applyNumberFormat="1" applyFont="1" applyFill="1" applyBorder="1" applyAlignment="1" applyProtection="1">
      <alignment horizontal="left" vertical="center" wrapText="1"/>
      <protection hidden="1"/>
    </xf>
    <xf numFmtId="0" fontId="28" fillId="27" borderId="12" xfId="0" applyNumberFormat="1" applyFont="1" applyFill="1" applyBorder="1" applyAlignment="1" applyProtection="1">
      <alignment horizontal="left" vertical="center" wrapText="1"/>
      <protection hidden="1"/>
    </xf>
    <xf numFmtId="0" fontId="28" fillId="27" borderId="14" xfId="0" applyNumberFormat="1" applyFont="1" applyFill="1" applyBorder="1" applyAlignment="1" applyProtection="1">
      <alignment horizontal="left" vertical="center" wrapText="1"/>
      <protection hidden="1"/>
    </xf>
    <xf numFmtId="0" fontId="28" fillId="27" borderId="176" xfId="0" applyNumberFormat="1" applyFont="1" applyFill="1" applyBorder="1" applyAlignment="1" applyProtection="1">
      <alignment horizontal="left" vertical="center" wrapText="1"/>
      <protection hidden="1"/>
    </xf>
    <xf numFmtId="0" fontId="28" fillId="27" borderId="182" xfId="0" applyNumberFormat="1" applyFont="1" applyFill="1" applyBorder="1" applyAlignment="1" applyProtection="1">
      <alignment horizontal="left" vertical="center" wrapText="1"/>
      <protection hidden="1"/>
    </xf>
    <xf numFmtId="0" fontId="6" fillId="27" borderId="11" xfId="0" applyFont="1" applyFill="1" applyBorder="1" applyAlignment="1">
      <alignment horizontal="center" vertical="center" wrapText="1"/>
    </xf>
    <xf numFmtId="207" fontId="23" fillId="31" borderId="188" xfId="0" applyNumberFormat="1" applyFont="1" applyFill="1" applyBorder="1" applyAlignment="1" applyProtection="1">
      <alignment horizontal="center" vertical="center"/>
      <protection locked="0" hidden="1"/>
    </xf>
    <xf numFmtId="207" fontId="23" fillId="31" borderId="220" xfId="0" applyNumberFormat="1" applyFont="1" applyFill="1" applyBorder="1" applyAlignment="1" applyProtection="1">
      <alignment horizontal="center" vertical="center"/>
      <protection locked="0" hidden="1"/>
    </xf>
    <xf numFmtId="0" fontId="28" fillId="27" borderId="87" xfId="0" applyFont="1" applyFill="1" applyBorder="1" applyAlignment="1" applyProtection="1">
      <alignment horizontal="left" vertical="center" wrapText="1"/>
      <protection hidden="1"/>
    </xf>
    <xf numFmtId="0" fontId="28" fillId="27" borderId="196" xfId="0" applyFont="1" applyFill="1" applyBorder="1" applyAlignment="1" applyProtection="1">
      <alignment horizontal="left" vertical="center" wrapText="1"/>
      <protection hidden="1"/>
    </xf>
    <xf numFmtId="0" fontId="28" fillId="27" borderId="202" xfId="0" applyFont="1" applyFill="1" applyBorder="1" applyAlignment="1" applyProtection="1">
      <alignment horizontal="center" vertical="center" wrapText="1"/>
      <protection hidden="1"/>
    </xf>
    <xf numFmtId="0" fontId="28" fillId="27" borderId="181" xfId="0" applyFont="1" applyFill="1" applyBorder="1" applyAlignment="1" applyProtection="1">
      <alignment horizontal="center" vertical="center" wrapText="1"/>
      <protection hidden="1"/>
    </xf>
    <xf numFmtId="0" fontId="28" fillId="27" borderId="62" xfId="0" applyFont="1" applyFill="1" applyBorder="1" applyAlignment="1" applyProtection="1">
      <alignment horizontal="center" vertical="center" wrapText="1"/>
      <protection hidden="1"/>
    </xf>
    <xf numFmtId="0" fontId="28" fillId="27" borderId="0" xfId="0" applyFont="1" applyFill="1" applyBorder="1" applyAlignment="1" applyProtection="1">
      <alignment horizontal="center" vertical="center" wrapText="1"/>
      <protection hidden="1"/>
    </xf>
    <xf numFmtId="0" fontId="28" fillId="27" borderId="86" xfId="0" applyFont="1" applyFill="1" applyBorder="1" applyAlignment="1" applyProtection="1">
      <alignment horizontal="center" vertical="center" wrapText="1"/>
      <protection hidden="1"/>
    </xf>
    <xf numFmtId="0" fontId="28" fillId="27" borderId="87" xfId="0" applyFont="1" applyFill="1" applyBorder="1" applyAlignment="1" applyProtection="1">
      <alignment horizontal="center" vertical="center" wrapText="1"/>
      <protection hidden="1"/>
    </xf>
    <xf numFmtId="0" fontId="6" fillId="27" borderId="177" xfId="0" applyFont="1" applyFill="1" applyBorder="1" applyAlignment="1" applyProtection="1">
      <alignment horizontal="center" vertical="center" wrapText="1"/>
      <protection hidden="1"/>
    </xf>
    <xf numFmtId="0" fontId="6" fillId="27" borderId="15" xfId="0"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28" fillId="27" borderId="185" xfId="0" applyFont="1" applyFill="1" applyBorder="1" applyAlignment="1" applyProtection="1">
      <alignment horizontal="center" vertical="center" wrapText="1"/>
      <protection hidden="1"/>
    </xf>
    <xf numFmtId="0" fontId="28" fillId="27" borderId="13" xfId="0" applyFont="1" applyFill="1" applyBorder="1" applyAlignment="1" applyProtection="1">
      <alignment horizontal="center" vertical="center" wrapText="1"/>
      <protection hidden="1"/>
    </xf>
    <xf numFmtId="0" fontId="28" fillId="0" borderId="13" xfId="0" applyNumberFormat="1" applyFont="1" applyBorder="1" applyAlignment="1" applyProtection="1">
      <alignment horizontal="left" vertical="center" wrapText="1"/>
      <protection hidden="1"/>
    </xf>
    <xf numFmtId="0" fontId="28" fillId="0" borderId="14" xfId="0" applyNumberFormat="1" applyFont="1" applyBorder="1" applyAlignment="1" applyProtection="1">
      <alignment horizontal="left" vertical="center" wrapText="1"/>
      <protection hidden="1"/>
    </xf>
    <xf numFmtId="0" fontId="28" fillId="27" borderId="182" xfId="0" applyFont="1" applyFill="1" applyBorder="1" applyAlignment="1" applyProtection="1">
      <alignment horizontal="center" vertical="center" wrapText="1"/>
      <protection hidden="1"/>
    </xf>
    <xf numFmtId="0" fontId="28" fillId="27" borderId="17" xfId="0" applyFont="1" applyFill="1" applyBorder="1" applyAlignment="1" applyProtection="1">
      <alignment horizontal="center" vertical="center" wrapText="1"/>
      <protection hidden="1"/>
    </xf>
    <xf numFmtId="0" fontId="28" fillId="27" borderId="196" xfId="0" applyFont="1" applyFill="1" applyBorder="1" applyAlignment="1" applyProtection="1">
      <alignment horizontal="center" vertical="center" wrapText="1"/>
      <protection hidden="1"/>
    </xf>
    <xf numFmtId="0" fontId="28" fillId="31" borderId="50" xfId="0"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left" vertical="center"/>
      <protection hidden="1"/>
    </xf>
    <xf numFmtId="181" fontId="28" fillId="31" borderId="50" xfId="0" applyNumberFormat="1" applyFont="1" applyFill="1" applyBorder="1" applyAlignment="1" applyProtection="1">
      <alignment horizontal="left" vertical="center"/>
      <protection hidden="1"/>
    </xf>
    <xf numFmtId="181" fontId="28" fillId="31" borderId="27" xfId="0" applyNumberFormat="1" applyFont="1" applyFill="1" applyBorder="1" applyAlignment="1" applyProtection="1">
      <alignment horizontal="left" vertical="center"/>
      <protection hidden="1"/>
    </xf>
    <xf numFmtId="0" fontId="0" fillId="0" borderId="14" xfId="0" applyBorder="1">
      <alignment vertical="center"/>
    </xf>
    <xf numFmtId="0" fontId="28" fillId="27" borderId="80" xfId="0" applyNumberFormat="1" applyFont="1" applyFill="1" applyBorder="1" applyAlignment="1" applyProtection="1">
      <alignment horizontal="center" vertical="center" wrapText="1"/>
      <protection hidden="1"/>
    </xf>
    <xf numFmtId="0" fontId="28" fillId="27" borderId="202" xfId="0" applyFont="1" applyFill="1" applyBorder="1" applyAlignment="1" applyProtection="1">
      <alignment horizontal="left" vertical="center" wrapText="1"/>
      <protection hidden="1"/>
    </xf>
    <xf numFmtId="0" fontId="0" fillId="0" borderId="182" xfId="0" applyBorder="1" applyAlignment="1">
      <alignment vertical="center"/>
    </xf>
    <xf numFmtId="0" fontId="28" fillId="27" borderId="62" xfId="0" applyFont="1" applyFill="1" applyBorder="1" applyAlignment="1" applyProtection="1">
      <alignment horizontal="left" vertical="center" wrapText="1"/>
      <protection hidden="1"/>
    </xf>
    <xf numFmtId="0" fontId="0" fillId="0" borderId="17" xfId="0" applyBorder="1" applyAlignment="1">
      <alignment vertical="center"/>
    </xf>
    <xf numFmtId="0" fontId="0" fillId="0" borderId="86" xfId="0" applyBorder="1" applyAlignment="1">
      <alignment vertical="center"/>
    </xf>
    <xf numFmtId="0" fontId="0" fillId="0" borderId="196" xfId="0" applyBorder="1" applyAlignment="1">
      <alignment vertical="center"/>
    </xf>
    <xf numFmtId="0" fontId="26" fillId="27" borderId="57" xfId="0" applyNumberFormat="1" applyFont="1" applyFill="1" applyBorder="1" applyAlignment="1" applyProtection="1">
      <alignment horizontal="center" vertical="center" wrapText="1"/>
      <protection hidden="1"/>
    </xf>
    <xf numFmtId="0" fontId="28" fillId="27" borderId="165" xfId="0" applyNumberFormat="1" applyFont="1" applyFill="1" applyBorder="1" applyAlignment="1" applyProtection="1">
      <alignment horizontal="left" vertical="center" wrapText="1"/>
      <protection hidden="1"/>
    </xf>
    <xf numFmtId="0" fontId="28" fillId="27" borderId="13" xfId="0" applyNumberFormat="1" applyFont="1" applyFill="1" applyBorder="1" applyAlignment="1" applyProtection="1">
      <alignment horizontal="left" vertical="center" wrapText="1"/>
      <protection hidden="1"/>
    </xf>
    <xf numFmtId="0" fontId="28" fillId="27" borderId="169" xfId="0" applyNumberFormat="1" applyFont="1" applyFill="1" applyBorder="1" applyAlignment="1" applyProtection="1">
      <alignment horizontal="left" vertical="center" wrapText="1"/>
      <protection hidden="1"/>
    </xf>
    <xf numFmtId="0" fontId="28" fillId="27" borderId="171" xfId="0" applyNumberFormat="1" applyFont="1" applyFill="1" applyBorder="1" applyAlignment="1" applyProtection="1">
      <alignment horizontal="left" vertical="center" wrapText="1"/>
      <protection hidden="1"/>
    </xf>
    <xf numFmtId="0" fontId="28" fillId="27" borderId="170" xfId="0" applyNumberFormat="1" applyFont="1" applyFill="1" applyBorder="1" applyAlignment="1" applyProtection="1">
      <alignment horizontal="left" vertical="center" wrapText="1"/>
      <protection hidden="1"/>
    </xf>
    <xf numFmtId="0" fontId="28" fillId="27" borderId="166" xfId="0" applyNumberFormat="1" applyFont="1" applyFill="1" applyBorder="1" applyAlignment="1" applyProtection="1">
      <alignment vertical="center" wrapText="1"/>
      <protection hidden="1"/>
    </xf>
    <xf numFmtId="0" fontId="28" fillId="27" borderId="12" xfId="0" applyNumberFormat="1" applyFont="1" applyFill="1" applyBorder="1" applyAlignment="1" applyProtection="1">
      <alignment vertical="center" wrapText="1"/>
      <protection hidden="1"/>
    </xf>
    <xf numFmtId="0" fontId="28" fillId="27" borderId="13" xfId="0" applyNumberFormat="1" applyFont="1" applyFill="1" applyBorder="1" applyAlignment="1" applyProtection="1">
      <alignment vertical="center" wrapText="1"/>
      <protection hidden="1"/>
    </xf>
    <xf numFmtId="0" fontId="28" fillId="27" borderId="14" xfId="0" applyNumberFormat="1" applyFont="1" applyFill="1" applyBorder="1" applyAlignment="1" applyProtection="1">
      <alignment vertical="center" wrapText="1"/>
      <protection hidden="1"/>
    </xf>
    <xf numFmtId="0" fontId="28" fillId="27" borderId="185" xfId="0" applyNumberFormat="1" applyFont="1" applyFill="1" applyBorder="1" applyAlignment="1" applyProtection="1">
      <alignment horizontal="center" vertical="center" wrapText="1"/>
      <protection hidden="1"/>
    </xf>
    <xf numFmtId="0" fontId="28" fillId="0" borderId="14" xfId="0" applyNumberFormat="1" applyFont="1" applyBorder="1" applyAlignment="1" applyProtection="1">
      <alignment horizontal="center" vertical="center" wrapText="1"/>
      <protection hidden="1"/>
    </xf>
    <xf numFmtId="181" fontId="28" fillId="31" borderId="58" xfId="0" applyNumberFormat="1" applyFont="1" applyFill="1" applyBorder="1" applyAlignment="1" applyProtection="1">
      <alignment horizontal="center" vertical="center"/>
      <protection hidden="1"/>
    </xf>
    <xf numFmtId="181" fontId="28" fillId="31" borderId="55" xfId="0" applyNumberFormat="1" applyFont="1" applyFill="1" applyBorder="1" applyAlignment="1" applyProtection="1">
      <alignment horizontal="center" vertical="center"/>
      <protection hidden="1"/>
    </xf>
    <xf numFmtId="0" fontId="28" fillId="27" borderId="202" xfId="0" applyFont="1" applyFill="1" applyBorder="1" applyAlignment="1">
      <alignment vertical="center"/>
    </xf>
    <xf numFmtId="0" fontId="28" fillId="27" borderId="182" xfId="0" applyFont="1" applyFill="1" applyBorder="1" applyAlignment="1">
      <alignment vertical="center"/>
    </xf>
    <xf numFmtId="0" fontId="28" fillId="27" borderId="62" xfId="0" applyFont="1" applyFill="1" applyBorder="1" applyAlignment="1">
      <alignment vertical="center"/>
    </xf>
    <xf numFmtId="0" fontId="28" fillId="27" borderId="17" xfId="0" applyFont="1" applyFill="1" applyBorder="1" applyAlignment="1">
      <alignment vertical="center"/>
    </xf>
    <xf numFmtId="0" fontId="28" fillId="27" borderId="86" xfId="0" applyFont="1" applyFill="1" applyBorder="1" applyAlignment="1">
      <alignment vertical="center"/>
    </xf>
    <xf numFmtId="0" fontId="28" fillId="27" borderId="196" xfId="0" applyFont="1" applyFill="1" applyBorder="1" applyAlignment="1">
      <alignment vertical="center"/>
    </xf>
    <xf numFmtId="0" fontId="6" fillId="27" borderId="177" xfId="0" quotePrefix="1" applyFont="1" applyFill="1" applyBorder="1" applyAlignment="1" applyProtection="1">
      <alignment horizontal="center" vertical="center" wrapText="1"/>
      <protection hidden="1"/>
    </xf>
    <xf numFmtId="0" fontId="6" fillId="27" borderId="15" xfId="0" quotePrefix="1" applyFont="1" applyFill="1" applyBorder="1" applyAlignment="1" applyProtection="1">
      <alignment horizontal="center" vertical="center" wrapText="1"/>
      <protection hidden="1"/>
    </xf>
    <xf numFmtId="0" fontId="6" fillId="27" borderId="167" xfId="0" quotePrefix="1" applyFont="1" applyFill="1" applyBorder="1" applyAlignment="1" applyProtection="1">
      <alignment horizontal="center" vertical="center" wrapText="1"/>
      <protection hidden="1"/>
    </xf>
    <xf numFmtId="0" fontId="0" fillId="0" borderId="62" xfId="0" applyBorder="1" applyAlignment="1">
      <alignment vertical="center"/>
    </xf>
    <xf numFmtId="206" fontId="23" fillId="31" borderId="188" xfId="0" applyNumberFormat="1" applyFont="1" applyFill="1" applyBorder="1" applyAlignment="1" applyProtection="1">
      <alignment horizontal="center" vertical="center"/>
      <protection locked="0" hidden="1"/>
    </xf>
    <xf numFmtId="0" fontId="0" fillId="0" borderId="100" xfId="0" applyBorder="1" applyAlignment="1">
      <alignment vertical="center"/>
    </xf>
    <xf numFmtId="0" fontId="0" fillId="0" borderId="220" xfId="0" applyBorder="1" applyAlignment="1">
      <alignment vertical="center"/>
    </xf>
    <xf numFmtId="0" fontId="28" fillId="27" borderId="171" xfId="0" applyFont="1" applyFill="1" applyBorder="1" applyAlignment="1" applyProtection="1">
      <alignment horizontal="left" vertical="center" wrapText="1"/>
      <protection hidden="1"/>
    </xf>
    <xf numFmtId="0" fontId="28" fillId="27" borderId="170" xfId="0" applyFont="1" applyFill="1" applyBorder="1" applyAlignment="1" applyProtection="1">
      <alignment horizontal="left" vertical="center" wrapText="1"/>
      <protection hidden="1"/>
    </xf>
    <xf numFmtId="207" fontId="23" fillId="31" borderId="115" xfId="0" applyNumberFormat="1" applyFont="1" applyFill="1" applyBorder="1" applyAlignment="1" applyProtection="1">
      <alignment horizontal="center" vertical="center"/>
      <protection locked="0" hidden="1"/>
    </xf>
    <xf numFmtId="0" fontId="28" fillId="27" borderId="77" xfId="0" applyFont="1" applyFill="1" applyBorder="1" applyAlignment="1" applyProtection="1">
      <alignment horizontal="center" vertical="center" wrapText="1"/>
      <protection hidden="1"/>
    </xf>
    <xf numFmtId="0" fontId="28" fillId="27" borderId="57" xfId="0" applyFont="1" applyFill="1" applyBorder="1" applyAlignment="1" applyProtection="1">
      <alignment horizontal="center" vertical="center" wrapText="1"/>
      <protection hidden="1"/>
    </xf>
    <xf numFmtId="0" fontId="6" fillId="27" borderId="177" xfId="0" applyFont="1" applyFill="1" applyBorder="1" applyAlignment="1" applyProtection="1">
      <alignment horizontal="center" vertical="center"/>
      <protection hidden="1"/>
    </xf>
    <xf numFmtId="0" fontId="6" fillId="27" borderId="55" xfId="0" applyFont="1" applyFill="1" applyBorder="1" applyAlignment="1" applyProtection="1">
      <alignment horizontal="center" vertical="center"/>
      <protection hidden="1"/>
    </xf>
    <xf numFmtId="0" fontId="28" fillId="27" borderId="56" xfId="0" applyFont="1" applyFill="1" applyBorder="1" applyAlignment="1" applyProtection="1">
      <alignment horizontal="left" vertical="center" wrapText="1"/>
      <protection locked="0"/>
    </xf>
    <xf numFmtId="0" fontId="28" fillId="27" borderId="57" xfId="0" applyFont="1" applyFill="1" applyBorder="1" applyAlignment="1" applyProtection="1">
      <alignment horizontal="left" vertical="center" wrapText="1"/>
      <protection locked="0"/>
    </xf>
    <xf numFmtId="0" fontId="28" fillId="27" borderId="58" xfId="0" applyFont="1" applyFill="1" applyBorder="1" applyAlignment="1" applyProtection="1">
      <alignment horizontal="left" vertical="center" wrapText="1"/>
      <protection locked="0"/>
    </xf>
    <xf numFmtId="207" fontId="23" fillId="31" borderId="100" xfId="0" applyNumberFormat="1" applyFont="1" applyFill="1" applyBorder="1" applyAlignment="1" applyProtection="1">
      <alignment horizontal="center" vertical="center"/>
      <protection locked="0" hidden="1"/>
    </xf>
    <xf numFmtId="176" fontId="6" fillId="27" borderId="177" xfId="0" applyNumberFormat="1"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176" fontId="6" fillId="27" borderId="167" xfId="0" applyNumberFormat="1" applyFont="1" applyFill="1" applyBorder="1" applyAlignment="1" applyProtection="1">
      <alignment horizontal="center" vertical="center" wrapText="1"/>
      <protection hidden="1"/>
    </xf>
    <xf numFmtId="0" fontId="28" fillId="0" borderId="13" xfId="0" applyNumberFormat="1" applyFont="1" applyBorder="1" applyAlignment="1" applyProtection="1">
      <alignment vertical="center" wrapText="1"/>
      <protection hidden="1"/>
    </xf>
    <xf numFmtId="0" fontId="28" fillId="0" borderId="14" xfId="0" applyNumberFormat="1" applyFont="1" applyBorder="1" applyAlignment="1" applyProtection="1">
      <alignment vertical="center" wrapText="1"/>
      <protection hidden="1"/>
    </xf>
    <xf numFmtId="0" fontId="166" fillId="0" borderId="171" xfId="0" applyFont="1" applyBorder="1" applyAlignment="1">
      <alignment horizontal="left" vertical="center" wrapText="1"/>
    </xf>
    <xf numFmtId="0" fontId="166" fillId="0" borderId="170" xfId="0" applyFont="1" applyBorder="1" applyAlignment="1">
      <alignment horizontal="left" vertical="center" wrapText="1"/>
    </xf>
    <xf numFmtId="0" fontId="166" fillId="0" borderId="54" xfId="0" applyFont="1" applyBorder="1" applyAlignment="1">
      <alignment horizontal="left" vertical="center" wrapText="1"/>
    </xf>
    <xf numFmtId="0" fontId="166" fillId="0" borderId="64" xfId="0" applyFont="1" applyBorder="1" applyAlignment="1">
      <alignment horizontal="left" vertical="center" wrapText="1"/>
    </xf>
    <xf numFmtId="0" fontId="166" fillId="0" borderId="17" xfId="0" applyFont="1" applyBorder="1" applyAlignment="1">
      <alignment horizontal="left" vertical="center" wrapText="1"/>
    </xf>
    <xf numFmtId="0" fontId="166" fillId="0" borderId="56" xfId="0" applyFont="1" applyBorder="1" applyAlignment="1">
      <alignment horizontal="left" vertical="center" wrapText="1"/>
    </xf>
    <xf numFmtId="0" fontId="166" fillId="0" borderId="58" xfId="0" applyFont="1" applyBorder="1" applyAlignment="1">
      <alignment horizontal="left" vertical="center" wrapText="1"/>
    </xf>
    <xf numFmtId="0" fontId="28" fillId="27" borderId="26" xfId="0" applyFont="1" applyFill="1" applyBorder="1" applyAlignment="1">
      <alignment horizontal="center" vertical="center" wrapText="1"/>
    </xf>
    <xf numFmtId="0" fontId="28" fillId="27" borderId="27" xfId="0" applyFont="1" applyFill="1" applyBorder="1" applyAlignment="1">
      <alignment horizontal="center" vertical="center" wrapText="1"/>
    </xf>
    <xf numFmtId="0" fontId="28" fillId="27" borderId="10" xfId="0" applyFont="1" applyFill="1" applyBorder="1" applyAlignment="1">
      <alignment horizontal="center" vertical="center" wrapText="1"/>
    </xf>
    <xf numFmtId="0" fontId="28" fillId="27" borderId="5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166" fillId="0" borderId="55" xfId="0" applyFont="1" applyBorder="1" applyAlignment="1">
      <alignment horizontal="center" vertical="center" wrapText="1"/>
    </xf>
    <xf numFmtId="0" fontId="166" fillId="0" borderId="10" xfId="0" applyFont="1" applyBorder="1" applyAlignment="1">
      <alignment horizontal="center" vertical="center" wrapText="1"/>
    </xf>
    <xf numFmtId="0" fontId="166" fillId="0" borderId="13" xfId="0" applyFont="1" applyBorder="1" applyAlignment="1">
      <alignment vertical="center" wrapText="1"/>
    </xf>
    <xf numFmtId="0" fontId="166" fillId="0" borderId="14" xfId="0" applyFont="1" applyBorder="1" applyAlignment="1">
      <alignment vertical="center" wrapText="1"/>
    </xf>
    <xf numFmtId="0" fontId="166" fillId="0" borderId="171" xfId="0" applyFont="1" applyBorder="1" applyAlignment="1">
      <alignment vertical="center" wrapText="1"/>
    </xf>
    <xf numFmtId="0" fontId="166" fillId="0" borderId="170" xfId="0" applyFont="1" applyBorder="1" applyAlignment="1">
      <alignment vertical="center" wrapText="1"/>
    </xf>
    <xf numFmtId="199" fontId="26" fillId="31" borderId="51" xfId="0" applyNumberFormat="1" applyFont="1" applyFill="1" applyBorder="1" applyAlignment="1" applyProtection="1">
      <alignment horizontal="center" vertical="center"/>
      <protection hidden="1"/>
    </xf>
    <xf numFmtId="199" fontId="26" fillId="31" borderId="55" xfId="0" applyNumberFormat="1" applyFont="1" applyFill="1" applyBorder="1" applyAlignment="1" applyProtection="1">
      <alignment horizontal="center" vertical="center"/>
      <protection hidden="1"/>
    </xf>
    <xf numFmtId="201" fontId="26" fillId="31" borderId="51" xfId="0" applyNumberFormat="1" applyFont="1" applyFill="1" applyBorder="1" applyAlignment="1" applyProtection="1">
      <alignment horizontal="center" vertical="center"/>
      <protection hidden="1"/>
    </xf>
    <xf numFmtId="201" fontId="26" fillId="31" borderId="55" xfId="0" applyNumberFormat="1" applyFont="1" applyFill="1" applyBorder="1" applyAlignment="1" applyProtection="1">
      <alignment horizontal="center" vertical="center"/>
      <protection hidden="1"/>
    </xf>
    <xf numFmtId="181" fontId="28" fillId="27" borderId="12" xfId="0" applyNumberFormat="1" applyFont="1" applyFill="1" applyBorder="1" applyAlignment="1" applyProtection="1">
      <alignment horizontal="left" vertical="top" wrapText="1"/>
      <protection hidden="1"/>
    </xf>
    <xf numFmtId="181" fontId="28" fillId="27" borderId="13" xfId="0" applyNumberFormat="1" applyFont="1" applyFill="1" applyBorder="1" applyAlignment="1" applyProtection="1">
      <alignment horizontal="left" vertical="top" wrapText="1"/>
      <protection hidden="1"/>
    </xf>
    <xf numFmtId="181" fontId="28" fillId="27" borderId="14" xfId="0" applyNumberFormat="1" applyFont="1" applyFill="1" applyBorder="1" applyAlignment="1" applyProtection="1">
      <alignment horizontal="left" vertical="top" wrapText="1"/>
      <protection hidden="1"/>
    </xf>
    <xf numFmtId="0" fontId="28" fillId="0" borderId="0" xfId="0" applyNumberFormat="1" applyFont="1" applyFill="1" applyAlignment="1" applyProtection="1">
      <alignment horizontal="center" vertical="center" shrinkToFit="1"/>
      <protection hidden="1"/>
    </xf>
    <xf numFmtId="0" fontId="28" fillId="0" borderId="63" xfId="0" applyNumberFormat="1" applyFont="1" applyFill="1" applyBorder="1" applyAlignment="1" applyProtection="1">
      <alignment horizontal="center" vertical="center" shrinkToFit="1"/>
      <protection hidden="1"/>
    </xf>
    <xf numFmtId="0" fontId="28" fillId="0" borderId="13" xfId="0" applyNumberFormat="1" applyFont="1" applyBorder="1" applyAlignment="1" applyProtection="1">
      <alignment vertical="center"/>
      <protection hidden="1"/>
    </xf>
    <xf numFmtId="0" fontId="28" fillId="0" borderId="14" xfId="0" applyNumberFormat="1" applyFont="1" applyBorder="1" applyAlignment="1" applyProtection="1">
      <alignment vertical="center"/>
      <protection hidden="1"/>
    </xf>
    <xf numFmtId="0" fontId="28" fillId="27" borderId="56" xfId="0" quotePrefix="1" applyNumberFormat="1" applyFont="1" applyFill="1" applyBorder="1" applyAlignment="1" applyProtection="1">
      <alignment horizontal="left" vertical="center" wrapText="1"/>
      <protection hidden="1"/>
    </xf>
    <xf numFmtId="0" fontId="28" fillId="27" borderId="57" xfId="0" quotePrefix="1" applyNumberFormat="1" applyFont="1" applyFill="1" applyBorder="1" applyAlignment="1" applyProtection="1">
      <alignment horizontal="left" vertical="center" wrapText="1"/>
      <protection hidden="1"/>
    </xf>
    <xf numFmtId="0" fontId="28" fillId="27" borderId="221" xfId="0" quotePrefix="1"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3" xfId="0" applyFont="1" applyBorder="1" applyAlignment="1">
      <alignment vertical="center" wrapText="1"/>
    </xf>
    <xf numFmtId="0" fontId="6" fillId="0" borderId="14" xfId="0" applyFont="1" applyBorder="1" applyAlignment="1">
      <alignment vertical="center" wrapText="1"/>
    </xf>
    <xf numFmtId="0" fontId="28" fillId="27" borderId="64" xfId="0" quotePrefix="1" applyNumberFormat="1" applyFont="1" applyFill="1" applyBorder="1" applyAlignment="1" applyProtection="1">
      <alignment horizontal="left" vertical="center" wrapText="1"/>
      <protection hidden="1"/>
    </xf>
    <xf numFmtId="0" fontId="28" fillId="27" borderId="0" xfId="0" quotePrefix="1" applyNumberFormat="1" applyFont="1" applyFill="1" applyBorder="1" applyAlignment="1" applyProtection="1">
      <alignment horizontal="left" vertical="center" wrapText="1"/>
      <protection hidden="1"/>
    </xf>
    <xf numFmtId="0" fontId="28" fillId="27" borderId="224" xfId="0" quotePrefix="1" applyNumberFormat="1" applyFont="1" applyFill="1" applyBorder="1" applyAlignment="1" applyProtection="1">
      <alignment horizontal="left" vertical="center" wrapText="1"/>
      <protection hidden="1"/>
    </xf>
    <xf numFmtId="181" fontId="28" fillId="31" borderId="26" xfId="0" applyNumberFormat="1" applyFont="1" applyFill="1" applyBorder="1" applyAlignment="1" applyProtection="1">
      <alignment horizontal="left" vertical="center" wrapText="1"/>
      <protection hidden="1"/>
    </xf>
    <xf numFmtId="0" fontId="166" fillId="0" borderId="27" xfId="0" applyFont="1" applyBorder="1" applyAlignment="1">
      <alignment horizontal="left" vertical="center" wrapText="1"/>
    </xf>
    <xf numFmtId="0" fontId="166" fillId="0" borderId="165" xfId="0" applyFont="1" applyBorder="1" applyAlignment="1">
      <alignment horizontal="left" vertical="center" wrapText="1"/>
    </xf>
    <xf numFmtId="0" fontId="166" fillId="0" borderId="166" xfId="0" applyFont="1" applyBorder="1" applyAlignment="1">
      <alignment horizontal="left" vertical="center" wrapText="1"/>
    </xf>
    <xf numFmtId="0" fontId="166" fillId="0" borderId="13" xfId="0" applyFont="1" applyBorder="1" applyAlignment="1">
      <alignment horizontal="left" vertical="center" wrapText="1"/>
    </xf>
    <xf numFmtId="0" fontId="166" fillId="0" borderId="14" xfId="0" applyFont="1" applyBorder="1" applyAlignment="1">
      <alignment horizontal="left" vertical="center" wrapText="1"/>
    </xf>
    <xf numFmtId="0" fontId="6" fillId="0" borderId="54" xfId="0" applyFont="1" applyBorder="1" applyAlignment="1">
      <alignment horizontal="left" vertical="center" wrapText="1"/>
    </xf>
    <xf numFmtId="0" fontId="6" fillId="0" borderId="64" xfId="0" applyFont="1" applyBorder="1" applyAlignment="1">
      <alignment horizontal="left" vertical="center" wrapText="1"/>
    </xf>
    <xf numFmtId="0" fontId="6" fillId="0" borderId="17" xfId="0" applyFont="1" applyBorder="1" applyAlignment="1">
      <alignment horizontal="left" vertical="center" wrapText="1"/>
    </xf>
    <xf numFmtId="0" fontId="6" fillId="0" borderId="56" xfId="0" applyFont="1" applyBorder="1" applyAlignment="1">
      <alignment horizontal="left" vertical="center" wrapText="1"/>
    </xf>
    <xf numFmtId="0" fontId="6" fillId="0" borderId="58" xfId="0" applyFont="1" applyBorder="1" applyAlignment="1">
      <alignment horizontal="left" vertical="center" wrapText="1"/>
    </xf>
    <xf numFmtId="0" fontId="166" fillId="0" borderId="196" xfId="0" applyFont="1" applyBorder="1" applyAlignment="1">
      <alignment vertical="center" wrapText="1"/>
    </xf>
    <xf numFmtId="199" fontId="26" fillId="31" borderId="15" xfId="0" applyNumberFormat="1" applyFont="1" applyFill="1" applyBorder="1" applyAlignment="1" applyProtection="1">
      <alignment horizontal="center" vertical="center"/>
      <protection hidden="1"/>
    </xf>
    <xf numFmtId="0" fontId="166" fillId="38" borderId="14" xfId="0" applyFont="1" applyFill="1" applyBorder="1" applyAlignment="1">
      <alignment horizontal="left" vertical="center" wrapText="1"/>
    </xf>
    <xf numFmtId="0" fontId="33" fillId="39" borderId="68" xfId="0" applyFont="1" applyFill="1" applyBorder="1" applyAlignment="1" applyProtection="1">
      <alignment horizontal="left" vertical="center"/>
      <protection locked="0"/>
    </xf>
    <xf numFmtId="0" fontId="33" fillId="39" borderId="69" xfId="0" applyFont="1" applyFill="1" applyBorder="1" applyAlignment="1" applyProtection="1">
      <alignment horizontal="left" vertical="center"/>
      <protection locked="0"/>
    </xf>
    <xf numFmtId="0" fontId="33" fillId="39" borderId="71" xfId="0" applyFont="1" applyFill="1" applyBorder="1" applyAlignment="1" applyProtection="1">
      <alignment horizontal="left" vertical="center"/>
      <protection locked="0"/>
    </xf>
    <xf numFmtId="0" fontId="28" fillId="27" borderId="0" xfId="0" applyFont="1" applyFill="1" applyBorder="1" applyAlignment="1" applyProtection="1">
      <alignment horizontal="left" vertical="top" wrapText="1"/>
    </xf>
    <xf numFmtId="203" fontId="126" fillId="39" borderId="68" xfId="0" applyNumberFormat="1" applyFont="1" applyFill="1" applyBorder="1" applyAlignment="1" applyProtection="1">
      <alignment horizontal="center" vertical="center"/>
      <protection locked="0" hidden="1"/>
    </xf>
    <xf numFmtId="203" fontId="126" fillId="39" borderId="69" xfId="0" applyNumberFormat="1" applyFont="1" applyFill="1" applyBorder="1" applyAlignment="1" applyProtection="1">
      <alignment horizontal="center" vertical="center"/>
      <protection locked="0" hidden="1"/>
    </xf>
    <xf numFmtId="203" fontId="126" fillId="39" borderId="71" xfId="0" applyNumberFormat="1" applyFont="1" applyFill="1" applyBorder="1" applyAlignment="1" applyProtection="1">
      <alignment horizontal="center" vertical="center"/>
      <protection locked="0" hidden="1"/>
    </xf>
    <xf numFmtId="0" fontId="6" fillId="27" borderId="73" xfId="0" applyFont="1" applyFill="1" applyBorder="1" applyAlignment="1" applyProtection="1">
      <alignment shrinkToFit="1"/>
    </xf>
    <xf numFmtId="0" fontId="33" fillId="0" borderId="57" xfId="0" applyFont="1" applyBorder="1" applyAlignment="1" applyProtection="1">
      <alignment vertical="center" shrinkToFit="1"/>
    </xf>
    <xf numFmtId="0" fontId="0" fillId="0" borderId="13" xfId="0" applyFont="1" applyBorder="1" applyAlignment="1">
      <alignment horizontal="left" vertical="center" wrapText="1"/>
    </xf>
    <xf numFmtId="0" fontId="166" fillId="48" borderId="14" xfId="0" applyFont="1" applyFill="1" applyBorder="1" applyAlignment="1">
      <alignment horizontal="left" vertical="center" wrapText="1"/>
    </xf>
    <xf numFmtId="0" fontId="166" fillId="48" borderId="170" xfId="0" applyFont="1" applyFill="1" applyBorder="1" applyAlignment="1">
      <alignment horizontal="left" vertical="center" wrapText="1"/>
    </xf>
    <xf numFmtId="0" fontId="28" fillId="27" borderId="26" xfId="0" applyNumberFormat="1" applyFont="1" applyFill="1" applyBorder="1" applyAlignment="1" applyProtection="1">
      <alignment horizontal="left" vertical="center"/>
      <protection locked="0" hidden="1"/>
    </xf>
    <xf numFmtId="0" fontId="28" fillId="27" borderId="50" xfId="0" applyNumberFormat="1" applyFont="1" applyFill="1" applyBorder="1" applyAlignment="1" applyProtection="1">
      <alignment horizontal="left" vertical="center"/>
      <protection locked="0" hidden="1"/>
    </xf>
    <xf numFmtId="0" fontId="28" fillId="27" borderId="27" xfId="0" applyNumberFormat="1" applyFont="1" applyFill="1" applyBorder="1" applyAlignment="1" applyProtection="1">
      <alignment horizontal="left" vertical="center"/>
      <protection locked="0" hidden="1"/>
    </xf>
    <xf numFmtId="181" fontId="28" fillId="27" borderId="51" xfId="0" applyNumberFormat="1" applyFont="1" applyFill="1" applyBorder="1" applyAlignment="1" applyProtection="1">
      <alignment horizontal="left" vertical="center" wrapText="1"/>
      <protection hidden="1"/>
    </xf>
    <xf numFmtId="0" fontId="6" fillId="0" borderId="15" xfId="0" applyFont="1" applyBorder="1" applyAlignment="1">
      <alignment horizontal="left" vertical="center" wrapText="1"/>
    </xf>
    <xf numFmtId="0" fontId="6" fillId="0" borderId="55" xfId="0" applyFont="1" applyBorder="1" applyAlignment="1">
      <alignment horizontal="left" vertical="center" wrapText="1"/>
    </xf>
    <xf numFmtId="0" fontId="166" fillId="38" borderId="165" xfId="0" applyFont="1" applyFill="1" applyBorder="1" applyAlignment="1">
      <alignment horizontal="left" vertical="center" wrapText="1"/>
    </xf>
    <xf numFmtId="0" fontId="166" fillId="38" borderId="166" xfId="0" applyFont="1" applyFill="1" applyBorder="1" applyAlignment="1">
      <alignment horizontal="left" vertical="center" wrapText="1"/>
    </xf>
    <xf numFmtId="0" fontId="166" fillId="38" borderId="13" xfId="0" applyFont="1" applyFill="1" applyBorder="1" applyAlignment="1">
      <alignment horizontal="left" vertical="center" wrapText="1"/>
    </xf>
    <xf numFmtId="0" fontId="28" fillId="27" borderId="53" xfId="0" applyFont="1" applyFill="1" applyBorder="1" applyAlignment="1" applyProtection="1">
      <alignment horizontal="left" vertical="center" wrapText="1"/>
      <protection hidden="1"/>
    </xf>
    <xf numFmtId="0" fontId="28" fillId="27" borderId="54" xfId="0" applyFont="1" applyFill="1" applyBorder="1" applyAlignment="1" applyProtection="1">
      <alignment horizontal="left" vertical="center" wrapText="1"/>
      <protection hidden="1"/>
    </xf>
    <xf numFmtId="0" fontId="28" fillId="27" borderId="86" xfId="0" applyFont="1" applyFill="1" applyBorder="1" applyAlignment="1" applyProtection="1">
      <alignment horizontal="left" vertical="center" wrapText="1"/>
      <protection hidden="1"/>
    </xf>
    <xf numFmtId="207" fontId="23" fillId="54" borderId="188" xfId="0" applyNumberFormat="1" applyFont="1" applyFill="1" applyBorder="1" applyAlignment="1" applyProtection="1">
      <alignment horizontal="center" vertical="center"/>
      <protection locked="0" hidden="1"/>
    </xf>
    <xf numFmtId="207" fontId="23" fillId="54" borderId="100" xfId="0" applyNumberFormat="1" applyFont="1" applyFill="1" applyBorder="1" applyAlignment="1" applyProtection="1">
      <alignment horizontal="center" vertical="center"/>
      <protection locked="0" hidden="1"/>
    </xf>
    <xf numFmtId="207" fontId="23" fillId="54" borderId="220" xfId="0" applyNumberFormat="1" applyFont="1" applyFill="1" applyBorder="1" applyAlignment="1" applyProtection="1">
      <alignment horizontal="center" vertical="center"/>
      <protection locked="0" hidden="1"/>
    </xf>
    <xf numFmtId="207" fontId="23" fillId="54" borderId="188" xfId="0" applyNumberFormat="1" applyFont="1" applyFill="1" applyBorder="1" applyAlignment="1" applyProtection="1">
      <alignment horizontal="center" vertical="center"/>
      <protection locked="0"/>
    </xf>
    <xf numFmtId="0" fontId="166" fillId="54" borderId="115" xfId="0" applyFont="1" applyFill="1" applyBorder="1" applyAlignment="1" applyProtection="1">
      <alignment horizontal="center" vertical="center"/>
      <protection locked="0"/>
    </xf>
    <xf numFmtId="0" fontId="28" fillId="27" borderId="57" xfId="0" applyFont="1" applyFill="1" applyBorder="1" applyAlignment="1" applyProtection="1">
      <alignment horizontal="left" vertical="center" wrapText="1"/>
      <protection hidden="1"/>
    </xf>
    <xf numFmtId="0" fontId="28" fillId="27" borderId="58" xfId="0" applyFont="1" applyFill="1" applyBorder="1" applyAlignment="1" applyProtection="1">
      <alignment horizontal="left" vertical="center" wrapText="1"/>
      <protection hidden="1"/>
    </xf>
    <xf numFmtId="0" fontId="6" fillId="0" borderId="165" xfId="0" applyFont="1" applyBorder="1" applyAlignment="1">
      <alignment horizontal="left" vertical="center" wrapText="1"/>
    </xf>
    <xf numFmtId="0" fontId="6" fillId="0" borderId="166" xfId="0" applyFont="1" applyBorder="1" applyAlignment="1">
      <alignment horizontal="left" vertical="center" wrapText="1"/>
    </xf>
    <xf numFmtId="0" fontId="28" fillId="27" borderId="51" xfId="0" applyFont="1" applyFill="1" applyBorder="1" applyAlignment="1" applyProtection="1">
      <alignment horizontal="center" vertical="center" wrapText="1"/>
      <protection hidden="1"/>
    </xf>
    <xf numFmtId="0" fontId="28" fillId="27" borderId="55" xfId="0" applyFont="1" applyFill="1" applyBorder="1" applyAlignment="1" applyProtection="1">
      <alignment horizontal="center" vertical="center" wrapText="1"/>
      <protection hidden="1"/>
    </xf>
    <xf numFmtId="207" fontId="23" fillId="54" borderId="92" xfId="0" applyNumberFormat="1" applyFont="1" applyFill="1" applyBorder="1" applyAlignment="1" applyProtection="1">
      <alignment horizontal="center" vertical="center"/>
      <protection locked="0"/>
    </xf>
    <xf numFmtId="0" fontId="166" fillId="54" borderId="100" xfId="0" applyFont="1" applyFill="1" applyBorder="1" applyAlignment="1" applyProtection="1">
      <alignment horizontal="center" vertical="center"/>
      <protection locked="0"/>
    </xf>
    <xf numFmtId="0" fontId="166" fillId="54" borderId="220" xfId="0" applyFont="1" applyFill="1" applyBorder="1" applyAlignment="1" applyProtection="1">
      <alignment horizontal="center" vertical="center"/>
      <protection locked="0"/>
    </xf>
    <xf numFmtId="0" fontId="0" fillId="0" borderId="171" xfId="0" applyFont="1" applyBorder="1" applyAlignment="1">
      <alignment horizontal="left" vertical="center" wrapText="1"/>
    </xf>
    <xf numFmtId="0" fontId="0" fillId="0" borderId="170" xfId="0" applyFont="1" applyBorder="1" applyAlignment="1">
      <alignment horizontal="left" vertical="center" wrapText="1"/>
    </xf>
    <xf numFmtId="0" fontId="166" fillId="38" borderId="171" xfId="0" applyFont="1" applyFill="1" applyBorder="1" applyAlignment="1">
      <alignment horizontal="left" vertical="center" wrapText="1"/>
    </xf>
    <xf numFmtId="0" fontId="166" fillId="38" borderId="170" xfId="0" applyFont="1" applyFill="1" applyBorder="1" applyAlignment="1">
      <alignment horizontal="left" vertical="center" wrapText="1"/>
    </xf>
    <xf numFmtId="0" fontId="28" fillId="27" borderId="176" xfId="0" applyFont="1" applyFill="1" applyBorder="1" applyAlignment="1">
      <alignment vertical="center" wrapText="1"/>
    </xf>
    <xf numFmtId="0" fontId="166" fillId="0" borderId="181" xfId="0" applyFont="1" applyBorder="1" applyAlignment="1">
      <alignment vertical="center" wrapText="1"/>
    </xf>
    <xf numFmtId="0" fontId="166" fillId="0" borderId="182" xfId="0" applyFont="1" applyBorder="1" applyAlignment="1">
      <alignment vertical="center" wrapText="1"/>
    </xf>
    <xf numFmtId="0" fontId="28" fillId="27" borderId="12" xfId="0" applyFont="1" applyFill="1" applyBorder="1" applyAlignment="1">
      <alignment vertical="center" wrapText="1"/>
    </xf>
    <xf numFmtId="0" fontId="28" fillId="27" borderId="177" xfId="0" applyFont="1" applyFill="1" applyBorder="1" applyAlignment="1">
      <alignment horizontal="center" vertical="center" wrapText="1"/>
    </xf>
    <xf numFmtId="0" fontId="28" fillId="0" borderId="167" xfId="0" applyFont="1" applyBorder="1" applyAlignment="1">
      <alignment horizontal="center" vertical="center" wrapText="1"/>
    </xf>
    <xf numFmtId="0" fontId="28" fillId="27" borderId="175" xfId="0" applyFont="1" applyFill="1" applyBorder="1" applyAlignment="1">
      <alignment vertical="center" wrapText="1"/>
    </xf>
    <xf numFmtId="0" fontId="166" fillId="0" borderId="87" xfId="0" applyFont="1" applyBorder="1" applyAlignment="1">
      <alignment vertical="center" wrapText="1"/>
    </xf>
    <xf numFmtId="0" fontId="166" fillId="0" borderId="100" xfId="0" applyFont="1" applyBorder="1" applyAlignment="1" applyProtection="1">
      <alignment horizontal="center" vertical="center"/>
      <protection locked="0"/>
    </xf>
    <xf numFmtId="0" fontId="28" fillId="27" borderId="222" xfId="0" applyFont="1" applyFill="1" applyBorder="1" applyAlignment="1">
      <alignment vertical="center" wrapText="1"/>
    </xf>
    <xf numFmtId="0" fontId="166" fillId="0" borderId="118" xfId="0" applyFont="1" applyBorder="1" applyAlignment="1">
      <alignment vertical="center" wrapText="1"/>
    </xf>
    <xf numFmtId="0" fontId="166" fillId="0" borderId="223" xfId="0" applyFont="1" applyBorder="1" applyAlignment="1">
      <alignment vertical="center" wrapText="1"/>
    </xf>
    <xf numFmtId="0" fontId="28" fillId="27" borderId="167" xfId="0" applyFont="1" applyFill="1" applyBorder="1" applyAlignment="1">
      <alignment horizontal="center" vertical="center" wrapText="1"/>
    </xf>
    <xf numFmtId="176" fontId="28" fillId="27" borderId="12" xfId="0" applyNumberFormat="1" applyFont="1" applyFill="1" applyBorder="1" applyAlignment="1" applyProtection="1">
      <alignment horizontal="left" vertical="center" wrapText="1"/>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164" xfId="0" applyFont="1" applyFill="1" applyBorder="1" applyAlignment="1">
      <alignment vertical="center" wrapText="1"/>
    </xf>
    <xf numFmtId="0" fontId="0" fillId="0" borderId="165" xfId="0" applyBorder="1" applyAlignment="1">
      <alignment vertical="center" wrapText="1"/>
    </xf>
    <xf numFmtId="0" fontId="0" fillId="0" borderId="166" xfId="0" applyBorder="1" applyAlignment="1">
      <alignment vertical="center" wrapText="1"/>
    </xf>
    <xf numFmtId="0" fontId="28" fillId="27" borderId="52" xfId="0" applyFont="1" applyFill="1" applyBorder="1" applyAlignment="1">
      <alignment vertical="center" wrapText="1"/>
    </xf>
    <xf numFmtId="0" fontId="0" fillId="0" borderId="54" xfId="0" applyBorder="1" applyAlignment="1">
      <alignment vertical="center" wrapText="1"/>
    </xf>
    <xf numFmtId="0" fontId="0" fillId="0" borderId="175" xfId="0" applyBorder="1" applyAlignment="1">
      <alignment vertical="center" wrapText="1"/>
    </xf>
    <xf numFmtId="0" fontId="0" fillId="0" borderId="196" xfId="0" applyBorder="1" applyAlignment="1">
      <alignment vertical="center" wrapText="1"/>
    </xf>
    <xf numFmtId="0" fontId="166" fillId="0" borderId="64" xfId="0" applyFont="1" applyBorder="1" applyAlignment="1">
      <alignment vertical="center" wrapText="1"/>
    </xf>
    <xf numFmtId="0" fontId="166" fillId="0" borderId="17" xfId="0" applyFont="1" applyBorder="1" applyAlignment="1">
      <alignment vertical="center" wrapText="1"/>
    </xf>
    <xf numFmtId="0" fontId="166" fillId="0" borderId="175" xfId="0" applyFont="1" applyBorder="1" applyAlignment="1">
      <alignment vertical="center" wrapText="1"/>
    </xf>
    <xf numFmtId="207" fontId="23" fillId="31" borderId="92" xfId="0" applyNumberFormat="1" applyFont="1" applyFill="1" applyBorder="1" applyAlignment="1" applyProtection="1">
      <alignment horizontal="center" vertical="center"/>
      <protection locked="0" hidden="1"/>
    </xf>
    <xf numFmtId="0" fontId="28" fillId="27" borderId="187" xfId="0" applyFont="1" applyFill="1" applyBorder="1" applyAlignment="1">
      <alignment vertical="center" wrapText="1"/>
    </xf>
    <xf numFmtId="208" fontId="45" fillId="27" borderId="50" xfId="0" applyNumberFormat="1" applyFont="1" applyFill="1" applyBorder="1" applyAlignment="1" applyProtection="1">
      <alignment horizontal="center" vertical="center" wrapText="1"/>
      <protection hidden="1"/>
    </xf>
    <xf numFmtId="181" fontId="28" fillId="31" borderId="26" xfId="0" applyNumberFormat="1" applyFont="1" applyFill="1" applyBorder="1" applyAlignment="1" applyProtection="1">
      <alignment horizontal="center" vertical="center" wrapText="1"/>
      <protection hidden="1"/>
    </xf>
    <xf numFmtId="0" fontId="28" fillId="27" borderId="181" xfId="0" applyFont="1" applyFill="1" applyBorder="1" applyAlignment="1">
      <alignment horizontal="left" vertical="center" wrapText="1"/>
    </xf>
    <xf numFmtId="0" fontId="28" fillId="27" borderId="182" xfId="0" applyFont="1" applyFill="1" applyBorder="1" applyAlignment="1">
      <alignment horizontal="left" vertical="center" wrapText="1"/>
    </xf>
    <xf numFmtId="0" fontId="28" fillId="27" borderId="0" xfId="0" applyFont="1" applyFill="1" applyBorder="1" applyAlignment="1">
      <alignment horizontal="left" vertical="center" wrapText="1"/>
    </xf>
    <xf numFmtId="0" fontId="28" fillId="27" borderId="17" xfId="0" applyFont="1" applyFill="1" applyBorder="1" applyAlignment="1">
      <alignment horizontal="left" vertical="center" wrapText="1"/>
    </xf>
    <xf numFmtId="0" fontId="28" fillId="27" borderId="57" xfId="0" applyFont="1" applyFill="1" applyBorder="1" applyAlignment="1">
      <alignment horizontal="left" vertical="center" wrapText="1"/>
    </xf>
    <xf numFmtId="0" fontId="28" fillId="27" borderId="58" xfId="0" applyFont="1" applyFill="1" applyBorder="1" applyAlignment="1">
      <alignment horizontal="left" vertical="center" wrapText="1"/>
    </xf>
    <xf numFmtId="0" fontId="28" fillId="27" borderId="64" xfId="0" applyFont="1" applyFill="1" applyBorder="1" applyAlignment="1">
      <alignment horizontal="left" vertical="center" wrapText="1"/>
    </xf>
    <xf numFmtId="0" fontId="28" fillId="27" borderId="13" xfId="0" applyFont="1" applyFill="1" applyBorder="1" applyAlignment="1">
      <alignment horizontal="left" vertical="center" wrapText="1"/>
    </xf>
    <xf numFmtId="0" fontId="166" fillId="0" borderId="120" xfId="0" applyFont="1" applyBorder="1" applyAlignment="1">
      <alignment vertical="center" wrapText="1"/>
    </xf>
    <xf numFmtId="0" fontId="166" fillId="0" borderId="56" xfId="0" applyFont="1" applyBorder="1" applyAlignment="1">
      <alignment vertical="center" wrapText="1"/>
    </xf>
    <xf numFmtId="0" fontId="166" fillId="0" borderId="58" xfId="0" applyFont="1" applyBorder="1" applyAlignment="1">
      <alignment vertical="center" wrapText="1"/>
    </xf>
    <xf numFmtId="0" fontId="28" fillId="27" borderId="52" xfId="0" applyFont="1" applyFill="1" applyBorder="1" applyAlignment="1">
      <alignment horizontal="center" vertical="center"/>
    </xf>
    <xf numFmtId="0" fontId="28" fillId="27" borderId="54" xfId="0" applyFont="1" applyFill="1" applyBorder="1" applyAlignment="1">
      <alignment horizontal="center" vertical="center"/>
    </xf>
    <xf numFmtId="0" fontId="28" fillId="27" borderId="64" xfId="0" applyFont="1" applyFill="1" applyBorder="1" applyAlignment="1">
      <alignment horizontal="center" vertical="center"/>
    </xf>
    <xf numFmtId="0" fontId="28" fillId="27" borderId="17" xfId="0" applyFont="1" applyFill="1" applyBorder="1" applyAlignment="1">
      <alignment horizontal="center" vertical="center"/>
    </xf>
    <xf numFmtId="0" fontId="28" fillId="27" borderId="56" xfId="0" applyFont="1" applyFill="1" applyBorder="1" applyAlignment="1">
      <alignment horizontal="center" vertical="center"/>
    </xf>
    <xf numFmtId="0" fontId="28" fillId="27" borderId="58" xfId="0" applyFont="1" applyFill="1" applyBorder="1" applyAlignment="1">
      <alignment horizontal="center" vertical="center"/>
    </xf>
    <xf numFmtId="0" fontId="28" fillId="27" borderId="165" xfId="0" applyFont="1" applyFill="1" applyBorder="1" applyAlignment="1">
      <alignment horizontal="left" vertical="center" wrapText="1"/>
    </xf>
    <xf numFmtId="0" fontId="166" fillId="27" borderId="11" xfId="0" applyFont="1" applyFill="1" applyBorder="1" applyAlignment="1">
      <alignment horizontal="center" vertical="center" wrapText="1"/>
    </xf>
    <xf numFmtId="0" fontId="166" fillId="27" borderId="168" xfId="0" applyFont="1" applyFill="1" applyBorder="1" applyAlignment="1">
      <alignment horizontal="center" vertical="center" wrapText="1"/>
    </xf>
    <xf numFmtId="0" fontId="28" fillId="27" borderId="175" xfId="0" applyFont="1" applyFill="1" applyBorder="1" applyAlignment="1" applyProtection="1">
      <alignment horizontal="left" vertical="center" wrapText="1"/>
      <protection locked="0"/>
    </xf>
    <xf numFmtId="0" fontId="28" fillId="27" borderId="87" xfId="0" applyFont="1" applyFill="1" applyBorder="1" applyAlignment="1" applyProtection="1">
      <alignment horizontal="left" vertical="center" wrapText="1"/>
      <protection locked="0"/>
    </xf>
    <xf numFmtId="0" fontId="28" fillId="27" borderId="55" xfId="0" applyFont="1" applyFill="1" applyBorder="1" applyAlignment="1">
      <alignment horizontal="center" vertical="center" wrapText="1"/>
    </xf>
    <xf numFmtId="0" fontId="28" fillId="27" borderId="202" xfId="0" applyFont="1" applyFill="1" applyBorder="1" applyAlignment="1" applyProtection="1">
      <alignment horizontal="left" vertical="center" wrapText="1"/>
    </xf>
    <xf numFmtId="0" fontId="166" fillId="0" borderId="181" xfId="0" applyFont="1" applyBorder="1" applyAlignment="1">
      <alignment horizontal="left" vertical="center" wrapText="1"/>
    </xf>
    <xf numFmtId="0" fontId="28" fillId="27" borderId="62" xfId="0" applyFont="1" applyFill="1" applyBorder="1" applyAlignment="1" applyProtection="1">
      <alignment horizontal="left" vertical="center" wrapText="1"/>
    </xf>
    <xf numFmtId="0" fontId="166" fillId="0" borderId="0" xfId="0" applyFont="1" applyAlignment="1">
      <alignment horizontal="left" vertical="center" wrapText="1"/>
    </xf>
    <xf numFmtId="0" fontId="28" fillId="27" borderId="86" xfId="0" applyFont="1" applyFill="1" applyBorder="1" applyAlignment="1" applyProtection="1">
      <alignment horizontal="left" vertical="center" wrapText="1"/>
    </xf>
    <xf numFmtId="0" fontId="166" fillId="0" borderId="87" xfId="0" applyFont="1" applyBorder="1" applyAlignment="1">
      <alignment horizontal="left" vertical="center" wrapText="1"/>
    </xf>
    <xf numFmtId="0" fontId="28" fillId="27" borderId="164" xfId="0" applyFont="1" applyFill="1" applyBorder="1" applyAlignment="1" applyProtection="1">
      <alignment horizontal="center" vertical="center" shrinkToFit="1"/>
      <protection hidden="1"/>
    </xf>
    <xf numFmtId="0" fontId="28" fillId="27" borderId="165" xfId="0" applyFont="1" applyFill="1" applyBorder="1" applyAlignment="1" applyProtection="1">
      <alignment horizontal="center" vertical="center" shrinkToFit="1"/>
      <protection hidden="1"/>
    </xf>
    <xf numFmtId="0" fontId="28" fillId="27" borderId="166" xfId="0" applyFont="1" applyFill="1" applyBorder="1" applyAlignment="1" applyProtection="1">
      <alignment horizontal="center" vertical="center" shrinkToFit="1"/>
      <protection hidden="1"/>
    </xf>
    <xf numFmtId="0" fontId="28" fillId="27" borderId="54"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center" vertical="center" wrapText="1"/>
      <protection hidden="1"/>
    </xf>
    <xf numFmtId="0" fontId="28" fillId="27" borderId="58" xfId="0" applyFont="1" applyFill="1" applyBorder="1" applyAlignment="1" applyProtection="1">
      <alignment horizontal="center" vertical="center" wrapText="1"/>
      <protection hidden="1"/>
    </xf>
    <xf numFmtId="0" fontId="28" fillId="27" borderId="53" xfId="0" applyFont="1" applyFill="1" applyBorder="1" applyAlignment="1">
      <alignment horizontal="left" vertical="center" wrapText="1"/>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166" fillId="0" borderId="87" xfId="0" applyFont="1" applyBorder="1" applyAlignment="1">
      <alignment vertical="center"/>
    </xf>
    <xf numFmtId="0" fontId="166" fillId="0" borderId="196" xfId="0" applyFont="1" applyBorder="1" applyAlignment="1">
      <alignment vertical="center"/>
    </xf>
    <xf numFmtId="0" fontId="28" fillId="0" borderId="53" xfId="0" applyFont="1" applyBorder="1" applyAlignment="1">
      <alignment horizontal="left" vertical="top" wrapText="1"/>
    </xf>
    <xf numFmtId="0" fontId="28" fillId="27" borderId="10" xfId="0" applyFont="1" applyFill="1" applyBorder="1" applyAlignment="1" applyProtection="1">
      <alignment horizontal="center" vertical="center" wrapText="1"/>
      <protection hidden="1"/>
    </xf>
    <xf numFmtId="0" fontId="28" fillId="27" borderId="89" xfId="0" applyFont="1" applyFill="1" applyBorder="1" applyAlignment="1" applyProtection="1">
      <alignment horizontal="left" vertical="center" wrapText="1"/>
    </xf>
    <xf numFmtId="0" fontId="28" fillId="27" borderId="53" xfId="0" applyFont="1" applyFill="1" applyBorder="1" applyAlignment="1" applyProtection="1">
      <alignment horizontal="left" vertical="center" wrapText="1"/>
    </xf>
    <xf numFmtId="0" fontId="166" fillId="27" borderId="16" xfId="0" applyFont="1" applyFill="1" applyBorder="1" applyAlignment="1">
      <alignment horizontal="center" vertical="center" wrapText="1"/>
    </xf>
    <xf numFmtId="0" fontId="67" fillId="0" borderId="53" xfId="0" applyFont="1" applyBorder="1" applyAlignment="1" applyProtection="1">
      <alignment horizontal="left" vertical="top" wrapText="1"/>
    </xf>
    <xf numFmtId="0" fontId="37" fillId="0" borderId="53" xfId="0" applyFont="1" applyBorder="1" applyAlignment="1" applyProtection="1">
      <alignment horizontal="left" vertical="top" wrapText="1"/>
    </xf>
    <xf numFmtId="0" fontId="28" fillId="27" borderId="52"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center"/>
      <protection hidden="1"/>
    </xf>
    <xf numFmtId="0" fontId="28" fillId="27" borderId="64" xfId="0" applyFont="1" applyFill="1" applyBorder="1" applyAlignment="1" applyProtection="1">
      <alignment horizontal="center" vertical="center"/>
      <protection hidden="1"/>
    </xf>
    <xf numFmtId="0" fontId="28" fillId="27" borderId="17"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center"/>
      <protection hidden="1"/>
    </xf>
    <xf numFmtId="0" fontId="28" fillId="27" borderId="14" xfId="0" applyFont="1" applyFill="1" applyBorder="1" applyAlignment="1">
      <alignment horizontal="left" vertical="center" wrapText="1"/>
    </xf>
    <xf numFmtId="0" fontId="28" fillId="27" borderId="202" xfId="0" applyFont="1" applyFill="1" applyBorder="1" applyAlignment="1">
      <alignment horizontal="left" vertical="center" wrapText="1"/>
    </xf>
    <xf numFmtId="0" fontId="28" fillId="27" borderId="77" xfId="0" applyFont="1" applyFill="1" applyBorder="1" applyAlignment="1">
      <alignment horizontal="left" vertical="center" wrapText="1"/>
    </xf>
    <xf numFmtId="0" fontId="28" fillId="27" borderId="54"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28" fillId="27" borderId="196" xfId="0" applyFont="1" applyFill="1" applyBorder="1" applyAlignment="1">
      <alignment horizontal="left" vertical="center" wrapText="1"/>
    </xf>
    <xf numFmtId="0" fontId="28" fillId="27" borderId="184" xfId="0" applyFont="1" applyFill="1" applyBorder="1" applyAlignment="1">
      <alignment horizontal="left" vertical="center" wrapText="1"/>
    </xf>
    <xf numFmtId="0" fontId="28" fillId="27" borderId="62" xfId="0" applyFont="1" applyFill="1" applyBorder="1" applyAlignment="1">
      <alignment horizontal="left" vertical="center" wrapText="1"/>
    </xf>
    <xf numFmtId="0" fontId="28" fillId="0" borderId="15" xfId="0" applyFont="1" applyBorder="1" applyAlignment="1">
      <alignment horizontal="center" vertical="center" wrapText="1"/>
    </xf>
    <xf numFmtId="0" fontId="28" fillId="27" borderId="52" xfId="0" applyFont="1" applyFill="1" applyBorder="1" applyAlignment="1" applyProtection="1">
      <alignment horizontal="left" vertical="center" wrapText="1"/>
      <protection hidden="1"/>
    </xf>
    <xf numFmtId="0" fontId="28" fillId="27" borderId="56" xfId="0" applyFont="1" applyFill="1" applyBorder="1" applyAlignment="1" applyProtection="1">
      <alignment horizontal="left" vertical="center" wrapText="1"/>
      <protection hidden="1"/>
    </xf>
    <xf numFmtId="0" fontId="166" fillId="0" borderId="220" xfId="0" applyFont="1" applyBorder="1" applyAlignment="1" applyProtection="1">
      <alignment vertical="center"/>
      <protection locked="0"/>
    </xf>
    <xf numFmtId="0" fontId="166" fillId="0" borderId="100" xfId="0" applyFont="1" applyBorder="1" applyAlignment="1" applyProtection="1">
      <alignment vertical="center"/>
      <protection locked="0"/>
    </xf>
    <xf numFmtId="0" fontId="166" fillId="0" borderId="115" xfId="0" applyFont="1" applyBorder="1" applyAlignment="1" applyProtection="1">
      <alignment vertical="center"/>
      <protection locked="0"/>
    </xf>
    <xf numFmtId="0" fontId="166" fillId="0" borderId="181" xfId="0" applyFont="1" applyBorder="1" applyAlignment="1">
      <alignment vertical="center"/>
    </xf>
    <xf numFmtId="0" fontId="166" fillId="0" borderId="182" xfId="0" applyFont="1" applyBorder="1" applyAlignment="1">
      <alignment vertical="center"/>
    </xf>
    <xf numFmtId="0" fontId="166" fillId="0" borderId="62" xfId="0" applyFont="1" applyBorder="1" applyAlignment="1">
      <alignment vertical="center"/>
    </xf>
    <xf numFmtId="0" fontId="166" fillId="0" borderId="0" xfId="0" applyFont="1" applyAlignment="1">
      <alignment vertical="center"/>
    </xf>
    <xf numFmtId="0" fontId="166" fillId="0" borderId="17" xfId="0" applyFont="1" applyBorder="1" applyAlignment="1">
      <alignment vertical="center"/>
    </xf>
    <xf numFmtId="0" fontId="166" fillId="0" borderId="77" xfId="0" applyFont="1" applyBorder="1" applyAlignment="1">
      <alignment vertical="center"/>
    </xf>
    <xf numFmtId="0" fontId="166" fillId="0" borderId="57" xfId="0" applyFont="1" applyBorder="1" applyAlignment="1">
      <alignment vertical="center"/>
    </xf>
    <xf numFmtId="0" fontId="166" fillId="0" borderId="58" xfId="0" applyFont="1" applyBorder="1" applyAlignment="1">
      <alignment vertical="center"/>
    </xf>
    <xf numFmtId="0" fontId="28" fillId="27" borderId="171" xfId="0" applyFont="1" applyFill="1" applyBorder="1" applyAlignment="1">
      <alignment horizontal="left" vertical="center" wrapText="1"/>
    </xf>
    <xf numFmtId="0" fontId="28" fillId="27" borderId="170" xfId="0" applyFont="1" applyFill="1" applyBorder="1" applyAlignment="1">
      <alignment horizontal="left" vertical="center" wrapText="1"/>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vertical="center" shrinkToFit="1"/>
    </xf>
    <xf numFmtId="0" fontId="0" fillId="0" borderId="0" xfId="0" applyAlignment="1" applyProtection="1">
      <alignment vertical="center" shrinkToFit="1"/>
    </xf>
    <xf numFmtId="0" fontId="28" fillId="29" borderId="0" xfId="0" applyFont="1" applyFill="1" applyBorder="1" applyAlignment="1" applyProtection="1">
      <alignment horizontal="left" vertical="center"/>
    </xf>
    <xf numFmtId="0" fontId="96" fillId="0" borderId="65" xfId="0" applyNumberFormat="1" applyFont="1" applyFill="1" applyBorder="1" applyAlignment="1" applyProtection="1">
      <alignment vertical="center" shrinkToFit="1"/>
    </xf>
    <xf numFmtId="0" fontId="96" fillId="0" borderId="66" xfId="0" applyNumberFormat="1" applyFont="1" applyFill="1" applyBorder="1" applyAlignment="1" applyProtection="1">
      <alignment vertical="center" shrinkToFit="1"/>
    </xf>
    <xf numFmtId="0" fontId="96" fillId="0" borderId="67" xfId="0" applyNumberFormat="1" applyFont="1" applyFill="1" applyBorder="1" applyAlignment="1" applyProtection="1">
      <alignment vertical="center" shrinkToFit="1"/>
    </xf>
    <xf numFmtId="0" fontId="28" fillId="0" borderId="0" xfId="0" applyFont="1" applyFill="1" applyBorder="1" applyAlignment="1" applyProtection="1">
      <alignment horizontal="left" vertical="top" wrapText="1"/>
      <protection hidden="1"/>
    </xf>
    <xf numFmtId="0" fontId="28" fillId="0" borderId="63" xfId="0" applyFont="1" applyFill="1" applyBorder="1" applyAlignment="1" applyProtection="1">
      <alignment horizontal="left" vertical="top" wrapText="1"/>
      <protection hidden="1"/>
    </xf>
    <xf numFmtId="0" fontId="28" fillId="0" borderId="66" xfId="0" applyFont="1" applyFill="1" applyBorder="1" applyAlignment="1" applyProtection="1">
      <alignment horizontal="left" vertical="top" wrapText="1"/>
      <protection hidden="1"/>
    </xf>
    <xf numFmtId="0" fontId="28" fillId="0" borderId="67" xfId="0" applyFont="1" applyFill="1" applyBorder="1" applyAlignment="1" applyProtection="1">
      <alignment horizontal="left" vertical="top" wrapText="1"/>
      <protection hidden="1"/>
    </xf>
    <xf numFmtId="0" fontId="28" fillId="0" borderId="0" xfId="0" applyFont="1" applyProtection="1">
      <alignment vertical="center"/>
      <protection hidden="1"/>
    </xf>
    <xf numFmtId="0" fontId="28" fillId="0" borderId="0" xfId="0" applyFont="1" applyAlignment="1" applyProtection="1">
      <alignment vertical="center"/>
      <protection hidden="1"/>
    </xf>
    <xf numFmtId="0" fontId="0" fillId="0" borderId="0" xfId="0" applyFont="1" applyAlignment="1" applyProtection="1">
      <alignment vertical="center"/>
      <protection hidden="1"/>
    </xf>
    <xf numFmtId="0" fontId="0" fillId="0" borderId="276" xfId="0" applyFont="1" applyBorder="1" applyAlignment="1" applyProtection="1">
      <alignment vertical="center"/>
      <protection hidden="1"/>
    </xf>
    <xf numFmtId="0" fontId="28" fillId="0" borderId="64" xfId="0" applyFont="1" applyFill="1" applyBorder="1" applyAlignment="1" applyProtection="1">
      <alignment horizontal="left" vertical="top" shrinkToFit="1"/>
      <protection hidden="1"/>
    </xf>
    <xf numFmtId="0" fontId="28" fillId="0" borderId="0" xfId="0" applyFont="1" applyBorder="1" applyProtection="1">
      <alignment vertical="center"/>
      <protection hidden="1"/>
    </xf>
    <xf numFmtId="0" fontId="28" fillId="0" borderId="0" xfId="0" applyFont="1" applyBorder="1" applyAlignment="1" applyProtection="1">
      <alignment vertical="center"/>
      <protection hidden="1"/>
    </xf>
    <xf numFmtId="0" fontId="0" fillId="0" borderId="0" xfId="0" applyFont="1" applyBorder="1" applyAlignment="1" applyProtection="1">
      <alignment vertical="center"/>
      <protection hidden="1"/>
    </xf>
    <xf numFmtId="0" fontId="33" fillId="0" borderId="0" xfId="0" applyFont="1" applyFill="1" applyBorder="1" applyAlignment="1" applyProtection="1">
      <alignment horizontal="left" vertical="top" wrapText="1"/>
      <protection hidden="1"/>
    </xf>
    <xf numFmtId="0" fontId="0" fillId="0" borderId="0" xfId="0" applyFont="1" applyAlignment="1" applyProtection="1">
      <alignment vertical="center" wrapText="1"/>
      <protection hidden="1"/>
    </xf>
    <xf numFmtId="0" fontId="0" fillId="0" borderId="17" xfId="0" applyFont="1" applyBorder="1" applyAlignment="1" applyProtection="1">
      <alignment vertical="center" wrapText="1"/>
      <protection hidden="1"/>
    </xf>
    <xf numFmtId="0" fontId="0" fillId="0" borderId="66" xfId="0" applyFont="1" applyBorder="1" applyAlignment="1" applyProtection="1">
      <alignment vertical="center" wrapText="1"/>
      <protection hidden="1"/>
    </xf>
    <xf numFmtId="0" fontId="0" fillId="0" borderId="84" xfId="0" applyFont="1" applyBorder="1" applyAlignment="1" applyProtection="1">
      <alignment vertical="center" wrapText="1"/>
      <protection hidden="1"/>
    </xf>
    <xf numFmtId="225" fontId="150" fillId="25" borderId="91" xfId="35" applyNumberFormat="1" applyFont="1" applyFill="1" applyBorder="1" applyAlignment="1" applyProtection="1">
      <alignment horizontal="center" vertical="center" wrapText="1"/>
      <protection hidden="1"/>
    </xf>
    <xf numFmtId="0" fontId="0" fillId="0" borderId="61" xfId="0" applyBorder="1" applyAlignment="1" applyProtection="1">
      <alignment horizontal="center" vertical="center" wrapText="1"/>
      <protection hidden="1"/>
    </xf>
    <xf numFmtId="0" fontId="0" fillId="0" borderId="64" xfId="0" applyBorder="1" applyAlignment="1" applyProtection="1">
      <alignment horizontal="center" vertical="center" wrapText="1"/>
      <protection hidden="1"/>
    </xf>
    <xf numFmtId="0" fontId="0" fillId="0" borderId="63" xfId="0" applyBorder="1" applyAlignment="1" applyProtection="1">
      <alignment horizontal="center" vertical="center" wrapText="1"/>
      <protection hidden="1"/>
    </xf>
    <xf numFmtId="0" fontId="23" fillId="25" borderId="15" xfId="0" applyFont="1" applyFill="1" applyBorder="1" applyAlignment="1" applyProtection="1">
      <alignment horizontal="center" vertical="center" wrapText="1"/>
      <protection hidden="1"/>
    </xf>
    <xf numFmtId="0" fontId="23" fillId="25" borderId="149" xfId="0" applyFont="1" applyFill="1" applyBorder="1" applyAlignment="1" applyProtection="1">
      <alignment horizontal="center" vertical="center" wrapText="1"/>
      <protection hidden="1"/>
    </xf>
    <xf numFmtId="226" fontId="150" fillId="25" borderId="91" xfId="35" applyNumberFormat="1" applyFont="1" applyFill="1" applyBorder="1" applyAlignment="1" applyProtection="1">
      <alignment horizontal="center" vertical="center" wrapText="1"/>
      <protection hidden="1"/>
    </xf>
    <xf numFmtId="226" fontId="150" fillId="25" borderId="61" xfId="35" applyNumberFormat="1" applyFont="1" applyFill="1" applyBorder="1" applyAlignment="1" applyProtection="1">
      <alignment horizontal="center" vertical="center" wrapText="1"/>
      <protection hidden="1"/>
    </xf>
    <xf numFmtId="226" fontId="150" fillId="25" borderId="64" xfId="35" applyNumberFormat="1" applyFont="1" applyFill="1" applyBorder="1" applyAlignment="1" applyProtection="1">
      <alignment horizontal="center" vertical="center" wrapText="1"/>
      <protection hidden="1"/>
    </xf>
    <xf numFmtId="226" fontId="150" fillId="25" borderId="63" xfId="35" applyNumberFormat="1" applyFont="1" applyFill="1" applyBorder="1" applyAlignment="1" applyProtection="1">
      <alignment horizontal="center" vertical="center" wrapText="1"/>
      <protection hidden="1"/>
    </xf>
    <xf numFmtId="226" fontId="150" fillId="25" borderId="83" xfId="35" applyNumberFormat="1" applyFont="1" applyFill="1" applyBorder="1" applyAlignment="1" applyProtection="1">
      <alignment horizontal="center" vertical="center" wrapText="1"/>
      <protection hidden="1"/>
    </xf>
    <xf numFmtId="226" fontId="150" fillId="25" borderId="67" xfId="35" applyNumberFormat="1" applyFont="1" applyFill="1" applyBorder="1" applyAlignment="1" applyProtection="1">
      <alignment horizontal="center" vertical="center" wrapText="1"/>
      <protection hidden="1"/>
    </xf>
    <xf numFmtId="177" fontId="150" fillId="47" borderId="91" xfId="0" applyNumberFormat="1" applyFont="1" applyFill="1" applyBorder="1" applyAlignment="1" applyProtection="1">
      <alignment horizontal="center" vertical="center" wrapText="1"/>
      <protection hidden="1"/>
    </xf>
    <xf numFmtId="177" fontId="150" fillId="47" borderId="61" xfId="0" applyNumberFormat="1" applyFont="1" applyFill="1" applyBorder="1" applyAlignment="1" applyProtection="1">
      <alignment horizontal="center" vertical="center" wrapText="1"/>
      <protection hidden="1"/>
    </xf>
    <xf numFmtId="177" fontId="150" fillId="47" borderId="83" xfId="0" applyNumberFormat="1" applyFont="1" applyFill="1" applyBorder="1" applyAlignment="1" applyProtection="1">
      <alignment horizontal="center" vertical="center" wrapText="1"/>
      <protection hidden="1"/>
    </xf>
    <xf numFmtId="177" fontId="150" fillId="47" borderId="67" xfId="0" applyNumberFormat="1" applyFont="1" applyFill="1" applyBorder="1" applyAlignment="1" applyProtection="1">
      <alignment horizontal="center" vertical="center" wrapText="1"/>
      <protection hidden="1"/>
    </xf>
    <xf numFmtId="0" fontId="28" fillId="0" borderId="60" xfId="0" applyFont="1" applyFill="1" applyBorder="1" applyAlignment="1" applyProtection="1">
      <alignment horizontal="left" vertical="top" wrapText="1"/>
      <protection hidden="1"/>
    </xf>
    <xf numFmtId="0" fontId="28" fillId="0" borderId="61" xfId="0" applyFont="1" applyFill="1" applyBorder="1" applyAlignment="1" applyProtection="1">
      <alignment horizontal="left" vertical="top" wrapText="1"/>
      <protection hidden="1"/>
    </xf>
    <xf numFmtId="0" fontId="28" fillId="0" borderId="64" xfId="0" applyFont="1" applyFill="1" applyBorder="1" applyAlignment="1" applyProtection="1">
      <alignment vertical="center" shrinkToFit="1"/>
      <protection hidden="1"/>
    </xf>
    <xf numFmtId="0" fontId="28" fillId="0" borderId="0" xfId="0" applyFont="1" applyFill="1" applyBorder="1" applyAlignment="1" applyProtection="1">
      <alignment vertical="center" shrinkToFit="1"/>
      <protection hidden="1"/>
    </xf>
    <xf numFmtId="0" fontId="28" fillId="0" borderId="83" xfId="0" applyFont="1" applyFill="1" applyBorder="1" applyAlignment="1" applyProtection="1">
      <alignment vertical="center" shrinkToFit="1"/>
      <protection hidden="1"/>
    </xf>
    <xf numFmtId="0" fontId="28" fillId="0" borderId="66" xfId="0" applyFont="1" applyFill="1" applyBorder="1" applyAlignment="1" applyProtection="1">
      <alignment vertical="center" shrinkToFit="1"/>
      <protection hidden="1"/>
    </xf>
    <xf numFmtId="0" fontId="0" fillId="0" borderId="287" xfId="0" applyFont="1" applyBorder="1" applyAlignment="1" applyProtection="1">
      <alignment vertical="center"/>
      <protection hidden="1"/>
    </xf>
    <xf numFmtId="0" fontId="28" fillId="0" borderId="57" xfId="0" applyFont="1" applyBorder="1" applyAlignment="1" applyProtection="1">
      <alignment vertical="center" wrapText="1"/>
      <protection hidden="1"/>
    </xf>
    <xf numFmtId="0" fontId="28" fillId="41" borderId="59" xfId="0" applyFont="1" applyFill="1" applyBorder="1" applyAlignment="1" applyProtection="1">
      <alignment horizontal="left" vertical="top" wrapText="1"/>
      <protection locked="0" hidden="1"/>
    </xf>
    <xf numFmtId="0" fontId="28" fillId="41" borderId="60" xfId="0" applyFont="1" applyFill="1" applyBorder="1" applyAlignment="1" applyProtection="1">
      <alignment horizontal="left" vertical="top" wrapText="1"/>
      <protection locked="0" hidden="1"/>
    </xf>
    <xf numFmtId="0" fontId="28" fillId="41" borderId="61" xfId="0" applyFont="1" applyFill="1" applyBorder="1" applyAlignment="1" applyProtection="1">
      <alignment horizontal="left" vertical="top" wrapText="1"/>
      <protection locked="0" hidden="1"/>
    </xf>
    <xf numFmtId="0" fontId="28" fillId="41" borderId="65" xfId="0" applyFont="1" applyFill="1" applyBorder="1" applyAlignment="1" applyProtection="1">
      <alignment horizontal="left" vertical="top" wrapText="1"/>
      <protection locked="0" hidden="1"/>
    </xf>
    <xf numFmtId="0" fontId="28" fillId="41" borderId="66" xfId="0" applyFont="1" applyFill="1" applyBorder="1" applyAlignment="1" applyProtection="1">
      <alignment horizontal="left" vertical="top" wrapText="1"/>
      <protection locked="0" hidden="1"/>
    </xf>
    <xf numFmtId="0" fontId="28" fillId="41" borderId="67" xfId="0" applyFont="1" applyFill="1" applyBorder="1" applyAlignment="1" applyProtection="1">
      <alignment horizontal="left" vertical="top" wrapText="1"/>
      <protection locked="0" hidden="1"/>
    </xf>
    <xf numFmtId="0" fontId="28" fillId="0" borderId="52" xfId="0" applyFont="1" applyBorder="1" applyAlignment="1" applyProtection="1">
      <alignment vertical="center"/>
      <protection hidden="1"/>
    </xf>
    <xf numFmtId="0" fontId="28" fillId="0" borderId="53" xfId="0" applyFont="1" applyBorder="1" applyAlignment="1" applyProtection="1">
      <alignment vertical="center"/>
      <protection hidden="1"/>
    </xf>
    <xf numFmtId="0" fontId="0" fillId="0" borderId="53" xfId="0" applyFont="1" applyBorder="1" applyAlignment="1" applyProtection="1">
      <alignment vertical="center"/>
      <protection hidden="1"/>
    </xf>
    <xf numFmtId="0" fontId="0" fillId="0" borderId="274" xfId="0" applyFont="1" applyBorder="1" applyAlignment="1" applyProtection="1">
      <alignment vertical="center"/>
      <protection hidden="1"/>
    </xf>
    <xf numFmtId="0" fontId="28" fillId="0" borderId="66" xfId="0" applyFont="1" applyBorder="1" applyAlignment="1" applyProtection="1">
      <alignment vertical="center"/>
      <protection hidden="1"/>
    </xf>
    <xf numFmtId="0" fontId="0" fillId="0" borderId="66" xfId="0" applyFont="1" applyBorder="1" applyAlignment="1" applyProtection="1">
      <alignment vertical="center"/>
      <protection hidden="1"/>
    </xf>
    <xf numFmtId="0" fontId="0" fillId="0" borderId="288" xfId="0" applyFont="1" applyBorder="1" applyAlignment="1" applyProtection="1">
      <alignment vertical="center"/>
      <protection hidden="1"/>
    </xf>
    <xf numFmtId="0" fontId="28" fillId="0" borderId="52" xfId="0" applyFont="1" applyFill="1" applyBorder="1" applyAlignment="1" applyProtection="1">
      <alignment horizontal="left" vertical="top" shrinkToFit="1"/>
      <protection hidden="1"/>
    </xf>
    <xf numFmtId="0" fontId="28" fillId="0" borderId="53" xfId="0" applyFont="1" applyFill="1" applyBorder="1" applyAlignment="1" applyProtection="1">
      <alignment horizontal="left" vertical="top" shrinkToFit="1"/>
      <protection hidden="1"/>
    </xf>
    <xf numFmtId="0" fontId="28" fillId="0" borderId="53" xfId="0" applyFont="1" applyBorder="1" applyAlignment="1" applyProtection="1">
      <alignment vertical="center" wrapText="1"/>
      <protection hidden="1"/>
    </xf>
    <xf numFmtId="0" fontId="28" fillId="0" borderId="274" xfId="0" applyFont="1" applyBorder="1" applyAlignment="1" applyProtection="1">
      <alignment vertical="center" wrapText="1"/>
      <protection hidden="1"/>
    </xf>
    <xf numFmtId="0" fontId="28" fillId="0" borderId="53" xfId="0" applyFont="1" applyFill="1" applyBorder="1" applyAlignment="1" applyProtection="1">
      <alignment vertical="top" shrinkToFit="1"/>
      <protection hidden="1"/>
    </xf>
    <xf numFmtId="0" fontId="0" fillId="0" borderId="53" xfId="0" applyFont="1" applyBorder="1" applyAlignment="1" applyProtection="1">
      <alignment vertical="center" shrinkToFit="1"/>
      <protection hidden="1"/>
    </xf>
    <xf numFmtId="0" fontId="0" fillId="0" borderId="274" xfId="0" applyFont="1" applyBorder="1" applyAlignment="1" applyProtection="1">
      <alignment vertical="center" shrinkToFit="1"/>
      <protection hidden="1"/>
    </xf>
    <xf numFmtId="0" fontId="0" fillId="0" borderId="0" xfId="0" applyFont="1" applyProtection="1">
      <alignment vertical="center"/>
      <protection hidden="1"/>
    </xf>
    <xf numFmtId="0" fontId="28" fillId="0" borderId="0" xfId="0" applyFont="1" applyFill="1" applyBorder="1" applyAlignment="1" applyProtection="1">
      <alignment horizontal="left" vertical="top"/>
      <protection hidden="1"/>
    </xf>
    <xf numFmtId="0" fontId="28" fillId="41" borderId="92" xfId="0" applyFont="1" applyFill="1" applyBorder="1" applyAlignment="1" applyProtection="1">
      <alignment horizontal="left" vertical="top" wrapText="1"/>
      <protection locked="0" hidden="1"/>
    </xf>
    <xf numFmtId="0" fontId="28" fillId="41" borderId="115" xfId="0" applyFont="1" applyFill="1" applyBorder="1" applyAlignment="1" applyProtection="1">
      <alignment horizontal="left" vertical="top" wrapText="1"/>
      <protection locked="0" hidden="1"/>
    </xf>
    <xf numFmtId="0" fontId="28" fillId="0" borderId="57" xfId="0" applyFont="1" applyFill="1" applyBorder="1" applyAlignment="1" applyProtection="1">
      <alignment horizontal="left" vertical="top" shrinkToFit="1"/>
      <protection hidden="1"/>
    </xf>
    <xf numFmtId="0" fontId="176" fillId="43" borderId="0" xfId="49" applyFont="1" applyFill="1" applyBorder="1" applyAlignment="1" applyProtection="1">
      <alignment horizontal="left" vertical="center" wrapText="1"/>
      <protection hidden="1"/>
    </xf>
    <xf numFmtId="0" fontId="23" fillId="43" borderId="66" xfId="49" applyFont="1" applyFill="1" applyBorder="1" applyAlignment="1" applyProtection="1">
      <alignment horizontal="left" vertical="center" wrapText="1"/>
      <protection hidden="1"/>
    </xf>
    <xf numFmtId="177" fontId="0" fillId="43" borderId="66" xfId="49" applyNumberFormat="1" applyFont="1" applyFill="1" applyBorder="1" applyAlignment="1" applyProtection="1">
      <alignment horizontal="center" vertical="center"/>
      <protection hidden="1"/>
    </xf>
    <xf numFmtId="0" fontId="176" fillId="32" borderId="0" xfId="49" applyFont="1" applyFill="1" applyBorder="1" applyAlignment="1" applyProtection="1">
      <alignment horizontal="left" vertical="center" wrapText="1"/>
      <protection hidden="1"/>
    </xf>
    <xf numFmtId="177" fontId="0" fillId="32" borderId="0" xfId="49" applyNumberFormat="1" applyFont="1" applyFill="1" applyBorder="1" applyAlignment="1" applyProtection="1">
      <alignment horizontal="center" vertical="center"/>
      <protection hidden="1"/>
    </xf>
    <xf numFmtId="0" fontId="23" fillId="32" borderId="57" xfId="49" applyFont="1" applyFill="1" applyBorder="1" applyAlignment="1" applyProtection="1">
      <alignment horizontal="left" vertical="center" wrapText="1"/>
      <protection hidden="1"/>
    </xf>
    <xf numFmtId="177" fontId="0" fillId="32" borderId="57" xfId="49" applyNumberFormat="1" applyFont="1" applyFill="1" applyBorder="1" applyAlignment="1" applyProtection="1">
      <alignment horizontal="center" vertical="center"/>
      <protection hidden="1"/>
    </xf>
    <xf numFmtId="0" fontId="148" fillId="43" borderId="0" xfId="49" applyFont="1" applyFill="1" applyBorder="1" applyAlignment="1" applyProtection="1">
      <alignment horizontal="left" vertical="center" wrapText="1"/>
      <protection hidden="1"/>
    </xf>
    <xf numFmtId="177" fontId="150" fillId="43" borderId="0" xfId="49" applyNumberFormat="1" applyFont="1" applyFill="1" applyBorder="1" applyAlignment="1" applyProtection="1">
      <alignment horizontal="center" vertical="center"/>
      <protection hidden="1"/>
    </xf>
    <xf numFmtId="0" fontId="176" fillId="56" borderId="0" xfId="49" applyFont="1" applyFill="1" applyBorder="1" applyAlignment="1" applyProtection="1">
      <alignment horizontal="left" vertical="center" wrapText="1"/>
      <protection hidden="1"/>
    </xf>
    <xf numFmtId="177" fontId="0" fillId="56" borderId="0" xfId="49" applyNumberFormat="1" applyFont="1" applyFill="1" applyBorder="1" applyAlignment="1" applyProtection="1">
      <alignment horizontal="center" vertical="center"/>
      <protection hidden="1"/>
    </xf>
    <xf numFmtId="0" fontId="23" fillId="56" borderId="57" xfId="49" applyFont="1" applyFill="1" applyBorder="1" applyAlignment="1" applyProtection="1">
      <alignment horizontal="left" vertical="center" wrapText="1"/>
      <protection hidden="1"/>
    </xf>
    <xf numFmtId="177" fontId="0" fillId="56" borderId="57" xfId="49" applyNumberFormat="1" applyFont="1" applyFill="1" applyBorder="1" applyAlignment="1" applyProtection="1">
      <alignment horizontal="center" vertical="center"/>
      <protection hidden="1"/>
    </xf>
    <xf numFmtId="0" fontId="148" fillId="32" borderId="53" xfId="49" applyFont="1" applyFill="1" applyBorder="1" applyAlignment="1" applyProtection="1">
      <alignment horizontal="left" vertical="center" wrapText="1"/>
      <protection hidden="1"/>
    </xf>
    <xf numFmtId="177" fontId="150" fillId="32" borderId="53" xfId="49" applyNumberFormat="1" applyFont="1" applyFill="1" applyBorder="1" applyAlignment="1" applyProtection="1">
      <alignment horizontal="center" vertical="center"/>
      <protection hidden="1"/>
    </xf>
    <xf numFmtId="0" fontId="148" fillId="56" borderId="53" xfId="49" applyFont="1" applyFill="1" applyBorder="1" applyAlignment="1" applyProtection="1">
      <alignment horizontal="left" vertical="center" wrapText="1"/>
      <protection hidden="1"/>
    </xf>
    <xf numFmtId="177" fontId="150" fillId="56" borderId="53" xfId="49" applyNumberFormat="1" applyFont="1" applyFill="1" applyBorder="1" applyAlignment="1" applyProtection="1">
      <alignment horizontal="center" vertical="center"/>
      <protection hidden="1"/>
    </xf>
    <xf numFmtId="0" fontId="26" fillId="29" borderId="66" xfId="0" applyFont="1" applyFill="1" applyBorder="1" applyAlignment="1" applyProtection="1">
      <alignment horizontal="left" vertical="center" shrinkToFit="1"/>
      <protection hidden="1"/>
    </xf>
    <xf numFmtId="0" fontId="26" fillId="29" borderId="66" xfId="0" applyFont="1" applyFill="1" applyBorder="1" applyAlignment="1" applyProtection="1">
      <alignment horizontal="left" vertical="top" shrinkToFit="1"/>
      <protection hidden="1"/>
    </xf>
    <xf numFmtId="0" fontId="23" fillId="0" borderId="0" xfId="49" applyFont="1" applyFill="1" applyBorder="1" applyAlignment="1" applyProtection="1">
      <alignment horizontal="left" vertical="center" shrinkToFit="1"/>
      <protection hidden="1"/>
    </xf>
    <xf numFmtId="0" fontId="33" fillId="0" borderId="60" xfId="49" applyFont="1" applyBorder="1" applyAlignment="1" applyProtection="1">
      <alignment horizontal="right" vertical="center"/>
      <protection hidden="1"/>
    </xf>
    <xf numFmtId="0" fontId="33" fillId="0" borderId="0" xfId="49" applyFont="1" applyBorder="1" applyAlignment="1" applyProtection="1">
      <alignment horizontal="right" vertical="center"/>
      <protection hidden="1"/>
    </xf>
    <xf numFmtId="0" fontId="176" fillId="0" borderId="270" xfId="49" applyFont="1" applyFill="1" applyBorder="1" applyAlignment="1" applyProtection="1">
      <alignment horizontal="center" vertical="center"/>
      <protection hidden="1"/>
    </xf>
    <xf numFmtId="0" fontId="176" fillId="0" borderId="271" xfId="49" applyFont="1" applyFill="1" applyBorder="1" applyAlignment="1" applyProtection="1">
      <alignment horizontal="center" vertical="center"/>
      <protection hidden="1"/>
    </xf>
    <xf numFmtId="0" fontId="175" fillId="0" borderId="0" xfId="49" applyFont="1" applyBorder="1" applyAlignment="1" applyProtection="1">
      <alignment horizontal="center" vertical="center"/>
      <protection hidden="1"/>
    </xf>
    <xf numFmtId="0" fontId="175" fillId="0" borderId="63" xfId="49" applyFont="1" applyBorder="1" applyAlignment="1" applyProtection="1">
      <alignment horizontal="center" vertical="center"/>
      <protection hidden="1"/>
    </xf>
    <xf numFmtId="0" fontId="23" fillId="0" borderId="0" xfId="49" applyFont="1" applyFill="1" applyBorder="1" applyAlignment="1" applyProtection="1">
      <alignment horizontal="left" vertical="top" shrinkToFit="1"/>
      <protection hidden="1"/>
    </xf>
    <xf numFmtId="0" fontId="0" fillId="0" borderId="0" xfId="0" applyFont="1" applyBorder="1" applyProtection="1">
      <alignment vertical="center"/>
      <protection hidden="1"/>
    </xf>
    <xf numFmtId="0" fontId="0" fillId="0" borderId="63" xfId="0" applyFont="1" applyBorder="1" applyProtection="1">
      <alignment vertical="center"/>
      <protection hidden="1"/>
    </xf>
    <xf numFmtId="0" fontId="23" fillId="0" borderId="66" xfId="49" applyFont="1" applyFill="1" applyBorder="1" applyAlignment="1" applyProtection="1">
      <alignment horizontal="left" vertical="top" shrinkToFit="1"/>
      <protection hidden="1"/>
    </xf>
    <xf numFmtId="0" fontId="0" fillId="0" borderId="66" xfId="0" applyFont="1" applyBorder="1" applyProtection="1">
      <alignment vertical="center"/>
      <protection hidden="1"/>
    </xf>
    <xf numFmtId="0" fontId="0" fillId="0" borderId="67" xfId="0" applyFont="1" applyBorder="1" applyProtection="1">
      <alignment vertical="center"/>
      <protection hidden="1"/>
    </xf>
    <xf numFmtId="0" fontId="32" fillId="35" borderId="57" xfId="0" applyFont="1" applyFill="1" applyBorder="1" applyAlignment="1" applyProtection="1">
      <alignment horizontal="center" vertical="center"/>
      <protection hidden="1"/>
    </xf>
    <xf numFmtId="0" fontId="32" fillId="35" borderId="58" xfId="0" applyFont="1" applyFill="1" applyBorder="1" applyAlignment="1" applyProtection="1">
      <alignment horizontal="center" vertical="center"/>
      <protection hidden="1"/>
    </xf>
    <xf numFmtId="0" fontId="171" fillId="64" borderId="68" xfId="48" applyFill="1" applyBorder="1" applyAlignment="1" applyProtection="1">
      <alignment horizontal="center" vertical="center"/>
    </xf>
    <xf numFmtId="0" fontId="171" fillId="64" borderId="69" xfId="48" applyFill="1" applyBorder="1" applyAlignment="1" applyProtection="1">
      <alignment horizontal="center" vertical="center"/>
    </xf>
    <xf numFmtId="0" fontId="171" fillId="64" borderId="71" xfId="48" applyFill="1" applyBorder="1" applyAlignment="1" applyProtection="1">
      <alignment horizontal="center" vertical="center"/>
    </xf>
    <xf numFmtId="2" fontId="33" fillId="35" borderId="10" xfId="0" applyNumberFormat="1" applyFont="1" applyFill="1" applyBorder="1" applyAlignment="1" applyProtection="1">
      <alignment horizontal="center"/>
      <protection hidden="1"/>
    </xf>
    <xf numFmtId="2" fontId="33" fillId="35" borderId="51" xfId="0" applyNumberFormat="1" applyFont="1" applyFill="1" applyBorder="1" applyAlignment="1" applyProtection="1">
      <alignment horizontal="center"/>
      <protection hidden="1"/>
    </xf>
    <xf numFmtId="0" fontId="33" fillId="27" borderId="26"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15" xfId="0" applyFont="1" applyFill="1" applyBorder="1" applyAlignment="1">
      <alignment horizontal="center" vertical="center" wrapText="1"/>
    </xf>
    <xf numFmtId="0" fontId="33" fillId="27" borderId="64" xfId="0" applyFont="1" applyFill="1" applyBorder="1" applyAlignment="1">
      <alignment horizontal="center" vertical="center" wrapText="1"/>
    </xf>
    <xf numFmtId="0" fontId="33" fillId="41" borderId="51" xfId="0" applyFont="1" applyFill="1" applyBorder="1" applyAlignment="1" applyProtection="1">
      <alignment horizontal="center" vertical="center"/>
      <protection locked="0"/>
    </xf>
    <xf numFmtId="0" fontId="33" fillId="41" borderId="15" xfId="0" applyFont="1" applyFill="1" applyBorder="1" applyAlignment="1" applyProtection="1">
      <alignment horizontal="center" vertical="center"/>
      <protection locked="0"/>
    </xf>
    <xf numFmtId="0" fontId="33" fillId="41" borderId="55" xfId="0" applyFont="1" applyFill="1" applyBorder="1" applyAlignment="1" applyProtection="1">
      <alignment horizontal="center" vertical="center"/>
      <protection locked="0"/>
    </xf>
    <xf numFmtId="0" fontId="33" fillId="27" borderId="10" xfId="0" applyFont="1" applyFill="1" applyBorder="1" applyAlignment="1">
      <alignment horizontal="center" vertical="center"/>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Book1" xfId="49"/>
    <cellStyle name="標準_選定シートV1.0" xfId="46"/>
    <cellStyle name="良い" xfId="47" builtinId="26" customBuiltin="1"/>
  </cellStyles>
  <dxfs count="170">
    <dxf>
      <fill>
        <patternFill>
          <bgColor indexed="41"/>
        </patternFill>
      </fill>
    </dxf>
    <dxf>
      <fill>
        <patternFill>
          <bgColor indexed="51"/>
        </patternFill>
      </fill>
    </dxf>
    <dxf>
      <fill>
        <patternFill>
          <bgColor indexed="10"/>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1"/>
        </patternFill>
      </fill>
    </dxf>
    <dxf>
      <fill>
        <patternFill>
          <bgColor indexed="51"/>
        </patternFill>
      </fill>
    </dxf>
    <dxf>
      <fill>
        <patternFill>
          <bgColor indexed="10"/>
        </patternFill>
      </fill>
    </dxf>
    <dxf>
      <fill>
        <patternFill>
          <bgColor indexed="27"/>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41"/>
        </patternFill>
      </fill>
    </dxf>
    <dxf>
      <fill>
        <patternFill>
          <bgColor indexed="22"/>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rgb="FFFFFF00"/>
        </patternFill>
      </fill>
    </dxf>
    <dxf>
      <fill>
        <patternFill>
          <bgColor indexed="10"/>
        </patternFill>
      </fill>
    </dxf>
    <dxf>
      <fill>
        <patternFill>
          <bgColor indexed="10"/>
        </patternFill>
      </fill>
    </dxf>
    <dxf>
      <fill>
        <patternFill>
          <bgColor theme="0" tint="-0.34998626667073579"/>
        </patternFill>
      </fill>
    </dxf>
    <dxf>
      <fill>
        <patternFill>
          <bgColor theme="0" tint="-0.34998626667073579"/>
        </patternFill>
      </fill>
    </dxf>
    <dxf>
      <fill>
        <patternFill>
          <bgColor indexed="22"/>
        </patternFill>
      </fill>
    </dxf>
    <dxf>
      <fill>
        <patternFill>
          <bgColor theme="0" tint="-0.34998626667073579"/>
        </patternFill>
      </fill>
    </dxf>
    <dxf>
      <fill>
        <patternFill>
          <bgColor indexed="27"/>
        </patternFill>
      </fill>
    </dxf>
    <dxf>
      <font>
        <condense val="0"/>
        <extend val="0"/>
        <color auto="1"/>
      </font>
      <fill>
        <patternFill>
          <bgColor indexed="27"/>
        </patternFill>
      </fill>
    </dxf>
    <dxf>
      <fill>
        <patternFill>
          <bgColor indexed="27"/>
        </patternFill>
      </fill>
    </dxf>
    <dxf>
      <fill>
        <patternFill>
          <bgColor indexed="27"/>
        </patternFill>
      </fill>
    </dxf>
    <dxf>
      <fill>
        <patternFill>
          <bgColor indexed="14"/>
        </patternFill>
      </fill>
    </dxf>
    <dxf>
      <fill>
        <patternFill>
          <bgColor indexed="41"/>
        </patternFill>
      </fill>
    </dxf>
    <dxf>
      <font>
        <b/>
        <i val="0"/>
        <condense val="0"/>
        <extend val="0"/>
        <color indexed="10"/>
      </font>
    </dxf>
    <dxf>
      <font>
        <b/>
        <i val="0"/>
        <condense val="0"/>
        <extend val="0"/>
        <color indexed="10"/>
      </font>
    </dxf>
    <dxf>
      <font>
        <b/>
        <i val="0"/>
        <condense val="0"/>
        <extend val="0"/>
        <color indexed="10"/>
      </font>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6"/>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ont>
        <condense val="0"/>
        <extend val="0"/>
        <u val="none"/>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26"/>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ont>
        <condense val="0"/>
        <extend val="0"/>
        <color auto="1"/>
      </font>
      <fill>
        <patternFill patternType="solid">
          <bgColor indexed="26"/>
        </patternFill>
      </fill>
    </dxf>
    <dxf>
      <fill>
        <patternFill>
          <bgColor indexed="41"/>
        </patternFill>
      </fill>
    </dxf>
    <dxf>
      <fill>
        <patternFill>
          <bgColor indexed="41"/>
        </patternFill>
      </fill>
    </dxf>
    <dxf>
      <font>
        <condense val="0"/>
        <extend val="0"/>
        <color auto="1"/>
      </font>
      <fill>
        <patternFill>
          <bgColor indexed="26"/>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bgColor indexed="27"/>
        </patternFill>
      </fill>
    </dxf>
    <dxf>
      <fill>
        <patternFill>
          <bgColor indexed="27"/>
        </patternFill>
      </fill>
    </dxf>
    <dxf>
      <fill>
        <patternFill>
          <bgColor rgb="FFCCFFFF"/>
        </patternFill>
      </fill>
    </dxf>
    <dxf>
      <fill>
        <patternFill>
          <bgColor indexed="27"/>
        </patternFill>
      </fill>
    </dxf>
    <dxf>
      <fill>
        <patternFill>
          <bgColor indexed="27"/>
        </patternFill>
      </fill>
    </dxf>
    <dxf>
      <fill>
        <patternFill>
          <bgColor indexed="27"/>
        </patternFill>
      </fill>
    </dxf>
    <dxf>
      <font>
        <condense val="0"/>
        <extend val="0"/>
        <color auto="1"/>
      </font>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CC"/>
      <color rgb="FFFFFF99"/>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image" Target="../media/image21.jpeg"/></Relationships>
</file>

<file path=xl/charts/_rels/chart13.xml.rels><?xml version="1.0" encoding="UTF-8" standalone="yes"?>
<Relationships xmlns="http://schemas.openxmlformats.org/package/2006/relationships"><Relationship Id="rId1" Type="http://schemas.openxmlformats.org/officeDocument/2006/relationships/image" Target="../media/image21.jpeg"/></Relationships>
</file>

<file path=xl/charts/_rels/chart14.xml.rels><?xml version="1.0" encoding="UTF-8" standalone="yes"?>
<Relationships xmlns="http://schemas.openxmlformats.org/package/2006/relationships"><Relationship Id="rId1" Type="http://schemas.openxmlformats.org/officeDocument/2006/relationships/image" Target="../media/image21.jpeg"/></Relationships>
</file>

<file path=xl/charts/_rels/chart15.xml.rels><?xml version="1.0" encoding="UTF-8" standalone="yes"?>
<Relationships xmlns="http://schemas.openxmlformats.org/package/2006/relationships"><Relationship Id="rId1" Type="http://schemas.openxmlformats.org/officeDocument/2006/relationships/image" Target="../media/image21.jpeg"/></Relationships>
</file>

<file path=xl/charts/_rels/chart16.xml.rels><?xml version="1.0" encoding="UTF-8" standalone="yes"?>
<Relationships xmlns="http://schemas.openxmlformats.org/package/2006/relationships"><Relationship Id="rId1" Type="http://schemas.openxmlformats.org/officeDocument/2006/relationships/image" Target="../media/image21.jpeg"/></Relationships>
</file>

<file path=xl/charts/_rels/chart17.xml.rels><?xml version="1.0" encoding="UTF-8" standalone="yes"?>
<Relationships xmlns="http://schemas.openxmlformats.org/package/2006/relationships"><Relationship Id="rId1" Type="http://schemas.openxmlformats.org/officeDocument/2006/relationships/image" Target="../media/image21.jpeg"/></Relationships>
</file>

<file path=xl/charts/_rels/chart18.xml.rels><?xml version="1.0" encoding="UTF-8" standalone="yes"?>
<Relationships xmlns="http://schemas.openxmlformats.org/package/2006/relationships"><Relationship Id="rId1" Type="http://schemas.openxmlformats.org/officeDocument/2006/relationships/image" Target="../media/image21.jpeg"/></Relationships>
</file>

<file path=xl/charts/_rels/chart19.xml.rels><?xml version="1.0" encoding="UTF-8" standalone="yes"?>
<Relationships xmlns="http://schemas.openxmlformats.org/package/2006/relationships"><Relationship Id="rId1" Type="http://schemas.openxmlformats.org/officeDocument/2006/relationships/image" Target="../media/image21.jpeg"/></Relationships>
</file>

<file path=xl/charts/_rels/chart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jpeg"/></Relationships>
</file>

<file path=xl/charts/_rels/chart20.xml.rels><?xml version="1.0" encoding="UTF-8" standalone="yes"?>
<Relationships xmlns="http://schemas.openxmlformats.org/package/2006/relationships"><Relationship Id="rId1" Type="http://schemas.openxmlformats.org/officeDocument/2006/relationships/image" Target="../media/image21.jpeg"/></Relationships>
</file>

<file path=xl/charts/_rels/chart21.xml.rels><?xml version="1.0" encoding="UTF-8" standalone="yes"?>
<Relationships xmlns="http://schemas.openxmlformats.org/package/2006/relationships"><Relationship Id="rId1" Type="http://schemas.openxmlformats.org/officeDocument/2006/relationships/image" Target="../media/image21.jpeg"/></Relationships>
</file>

<file path=xl/charts/_rels/chart22.xml.rels><?xml version="1.0" encoding="UTF-8" standalone="yes"?>
<Relationships xmlns="http://schemas.openxmlformats.org/package/2006/relationships"><Relationship Id="rId1" Type="http://schemas.openxmlformats.org/officeDocument/2006/relationships/image" Target="../media/image21.jpeg"/></Relationships>
</file>

<file path=xl/charts/_rels/chart23.xml.rels><?xml version="1.0" encoding="UTF-8" standalone="yes"?>
<Relationships xmlns="http://schemas.openxmlformats.org/package/2006/relationships"><Relationship Id="rId1" Type="http://schemas.openxmlformats.org/officeDocument/2006/relationships/image" Target="../media/image21.jpeg"/></Relationships>
</file>

<file path=xl/charts/_rels/chart24.xml.rels><?xml version="1.0" encoding="UTF-8" standalone="yes"?>
<Relationships xmlns="http://schemas.openxmlformats.org/package/2006/relationships"><Relationship Id="rId1" Type="http://schemas.openxmlformats.org/officeDocument/2006/relationships/image" Target="../media/image21.jpeg"/></Relationships>
</file>

<file path=xl/charts/_rels/chart25.xml.rels><?xml version="1.0" encoding="UTF-8" standalone="yes"?>
<Relationships xmlns="http://schemas.openxmlformats.org/package/2006/relationships"><Relationship Id="rId1" Type="http://schemas.openxmlformats.org/officeDocument/2006/relationships/image" Target="../media/image21.jpeg"/></Relationships>
</file>

<file path=xl/charts/_rels/chart26.xml.rels><?xml version="1.0" encoding="UTF-8" standalone="yes"?>
<Relationships xmlns="http://schemas.openxmlformats.org/package/2006/relationships"><Relationship Id="rId1" Type="http://schemas.openxmlformats.org/officeDocument/2006/relationships/image" Target="../media/image21.jpeg"/></Relationships>
</file>

<file path=xl/charts/_rels/chart27.xml.rels><?xml version="1.0" encoding="UTF-8" standalone="yes"?>
<Relationships xmlns="http://schemas.openxmlformats.org/package/2006/relationships"><Relationship Id="rId1" Type="http://schemas.openxmlformats.org/officeDocument/2006/relationships/image" Target="../media/image21.jpeg"/></Relationships>
</file>

<file path=xl/charts/_rels/chart28.xml.rels><?xml version="1.0" encoding="UTF-8" standalone="yes"?>
<Relationships xmlns="http://schemas.openxmlformats.org/package/2006/relationships"><Relationship Id="rId1" Type="http://schemas.openxmlformats.org/officeDocument/2006/relationships/image" Target="../media/image21.jpeg"/></Relationships>
</file>

<file path=xl/charts/_rels/chart29.xml.rels><?xml version="1.0" encoding="UTF-8" standalone="yes"?>
<Relationships xmlns="http://schemas.openxmlformats.org/package/2006/relationships"><Relationship Id="rId1" Type="http://schemas.openxmlformats.org/officeDocument/2006/relationships/image" Target="../media/image21.jpeg"/></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1" Type="http://schemas.openxmlformats.org/officeDocument/2006/relationships/image" Target="../media/image21.jpeg"/></Relationships>
</file>

<file path=xl/charts/_rels/chart31.xml.rels><?xml version="1.0" encoding="UTF-8" standalone="yes"?>
<Relationships xmlns="http://schemas.openxmlformats.org/package/2006/relationships"><Relationship Id="rId1" Type="http://schemas.openxmlformats.org/officeDocument/2006/relationships/image" Target="../media/image21.jpeg"/></Relationships>
</file>

<file path=xl/charts/_rels/chart32.xml.rels><?xml version="1.0" encoding="UTF-8" standalone="yes"?>
<Relationships xmlns="http://schemas.openxmlformats.org/package/2006/relationships"><Relationship Id="rId1" Type="http://schemas.openxmlformats.org/officeDocument/2006/relationships/image" Target="../media/image21.jpeg"/></Relationships>
</file>

<file path=xl/charts/_rels/chart33.xml.rels><?xml version="1.0" encoding="UTF-8" standalone="yes"?>
<Relationships xmlns="http://schemas.openxmlformats.org/package/2006/relationships"><Relationship Id="rId1" Type="http://schemas.openxmlformats.org/officeDocument/2006/relationships/image" Target="../media/image21.jpeg"/></Relationships>
</file>

<file path=xl/charts/_rels/chart34.xml.rels><?xml version="1.0" encoding="UTF-8" standalone="yes"?>
<Relationships xmlns="http://schemas.openxmlformats.org/package/2006/relationships"><Relationship Id="rId1" Type="http://schemas.openxmlformats.org/officeDocument/2006/relationships/image" Target="../media/image21.jpeg"/></Relationships>
</file>

<file path=xl/charts/_rels/chart35.xml.rels><?xml version="1.0" encoding="UTF-8" standalone="yes"?>
<Relationships xmlns="http://schemas.openxmlformats.org/package/2006/relationships"><Relationship Id="rId1" Type="http://schemas.openxmlformats.org/officeDocument/2006/relationships/image" Target="../media/image21.jpeg"/></Relationships>
</file>

<file path=xl/charts/_rels/chart36.xml.rels><?xml version="1.0" encoding="UTF-8" standalone="yes"?>
<Relationships xmlns="http://schemas.openxmlformats.org/package/2006/relationships"><Relationship Id="rId1" Type="http://schemas.openxmlformats.org/officeDocument/2006/relationships/image" Target="../media/image21.jpeg"/></Relationships>
</file>

<file path=xl/charts/_rels/chart37.xml.rels><?xml version="1.0" encoding="UTF-8" standalone="yes"?>
<Relationships xmlns="http://schemas.openxmlformats.org/package/2006/relationships"><Relationship Id="rId1" Type="http://schemas.openxmlformats.org/officeDocument/2006/relationships/image" Target="../media/image21.jpeg"/></Relationships>
</file>

<file path=xl/charts/_rels/chart38.xml.rels><?xml version="1.0" encoding="UTF-8" standalone="yes"?>
<Relationships xmlns="http://schemas.openxmlformats.org/package/2006/relationships"><Relationship Id="rId1" Type="http://schemas.openxmlformats.org/officeDocument/2006/relationships/image" Target="../media/image21.jpeg"/></Relationships>
</file>

<file path=xl/charts/_rels/chart39.xml.rels><?xml version="1.0" encoding="UTF-8" standalone="yes"?>
<Relationships xmlns="http://schemas.openxmlformats.org/package/2006/relationships"><Relationship Id="rId1" Type="http://schemas.openxmlformats.org/officeDocument/2006/relationships/image" Target="../media/image21.jpe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0.xml.rels><?xml version="1.0" encoding="UTF-8" standalone="yes"?>
<Relationships xmlns="http://schemas.openxmlformats.org/package/2006/relationships"><Relationship Id="rId1" Type="http://schemas.openxmlformats.org/officeDocument/2006/relationships/image" Target="../media/image21.jpeg"/></Relationships>
</file>

<file path=xl/charts/_rels/chart41.xml.rels><?xml version="1.0" encoding="UTF-8" standalone="yes"?>
<Relationships xmlns="http://schemas.openxmlformats.org/package/2006/relationships"><Relationship Id="rId1" Type="http://schemas.openxmlformats.org/officeDocument/2006/relationships/image" Target="../media/image21.jpeg"/></Relationships>
</file>

<file path=xl/charts/_rels/chart42.xml.rels><?xml version="1.0" encoding="UTF-8" standalone="yes"?>
<Relationships xmlns="http://schemas.openxmlformats.org/package/2006/relationships"><Relationship Id="rId1" Type="http://schemas.openxmlformats.org/officeDocument/2006/relationships/image" Target="../media/image21.jpeg"/></Relationships>
</file>

<file path=xl/charts/_rels/chart43.xml.rels><?xml version="1.0" encoding="UTF-8" standalone="yes"?>
<Relationships xmlns="http://schemas.openxmlformats.org/package/2006/relationships"><Relationship Id="rId1" Type="http://schemas.openxmlformats.org/officeDocument/2006/relationships/image" Target="../media/image21.jpeg"/></Relationships>
</file>

<file path=xl/charts/_rels/chart44.xml.rels><?xml version="1.0" encoding="UTF-8" standalone="yes"?>
<Relationships xmlns="http://schemas.openxmlformats.org/package/2006/relationships"><Relationship Id="rId1" Type="http://schemas.openxmlformats.org/officeDocument/2006/relationships/image" Target="../media/image21.jpeg"/></Relationships>
</file>

<file path=xl/charts/_rels/chart45.xml.rels><?xml version="1.0" encoding="UTF-8" standalone="yes"?>
<Relationships xmlns="http://schemas.openxmlformats.org/package/2006/relationships"><Relationship Id="rId1" Type="http://schemas.openxmlformats.org/officeDocument/2006/relationships/image" Target="../media/image21.jpeg"/></Relationships>
</file>

<file path=xl/charts/_rels/chart46.xml.rels><?xml version="1.0" encoding="UTF-8" standalone="yes"?>
<Relationships xmlns="http://schemas.openxmlformats.org/package/2006/relationships"><Relationship Id="rId1" Type="http://schemas.openxmlformats.org/officeDocument/2006/relationships/image" Target="../media/image21.jpeg"/></Relationships>
</file>

<file path=xl/charts/_rels/chart47.xml.rels><?xml version="1.0" encoding="UTF-8" standalone="yes"?>
<Relationships xmlns="http://schemas.openxmlformats.org/package/2006/relationships"><Relationship Id="rId1" Type="http://schemas.openxmlformats.org/officeDocument/2006/relationships/image" Target="../media/image21.jpeg"/></Relationships>
</file>

<file path=xl/charts/_rels/chart48.xml.rels><?xml version="1.0" encoding="UTF-8" standalone="yes"?>
<Relationships xmlns="http://schemas.openxmlformats.org/package/2006/relationships"><Relationship Id="rId1" Type="http://schemas.openxmlformats.org/officeDocument/2006/relationships/image" Target="../media/image21.jpeg"/></Relationships>
</file>

<file path=xl/charts/_rels/chart49.xml.rels><?xml version="1.0" encoding="UTF-8" standalone="yes"?>
<Relationships xmlns="http://schemas.openxmlformats.org/package/2006/relationships"><Relationship Id="rId1" Type="http://schemas.openxmlformats.org/officeDocument/2006/relationships/image" Target="../media/image21.jpeg"/></Relationships>
</file>

<file path=xl/charts/_rels/chart5.xml.rels><?xml version="1.0" encoding="UTF-8" standalone="yes"?>
<Relationships xmlns="http://schemas.openxmlformats.org/package/2006/relationships"><Relationship Id="rId1" Type="http://schemas.openxmlformats.org/officeDocument/2006/relationships/image" Target="../media/image6.png"/></Relationships>
</file>

<file path=xl/charts/_rels/chart50.xml.rels><?xml version="1.0" encoding="UTF-8" standalone="yes"?>
<Relationships xmlns="http://schemas.openxmlformats.org/package/2006/relationships"><Relationship Id="rId1" Type="http://schemas.openxmlformats.org/officeDocument/2006/relationships/image" Target="../media/image21.jpeg"/></Relationships>
</file>

<file path=xl/charts/_rels/chart51.xml.rels><?xml version="1.0" encoding="UTF-8" standalone="yes"?>
<Relationships xmlns="http://schemas.openxmlformats.org/package/2006/relationships"><Relationship Id="rId1" Type="http://schemas.openxmlformats.org/officeDocument/2006/relationships/image" Target="../media/image21.jpeg"/></Relationships>
</file>

<file path=xl/charts/_rels/chart52.xml.rels><?xml version="1.0" encoding="UTF-8" standalone="yes"?>
<Relationships xmlns="http://schemas.openxmlformats.org/package/2006/relationships"><Relationship Id="rId1" Type="http://schemas.openxmlformats.org/officeDocument/2006/relationships/image" Target="../media/image21.jpeg"/></Relationships>
</file>

<file path=xl/charts/_rels/chart53.xml.rels><?xml version="1.0" encoding="UTF-8" standalone="yes"?>
<Relationships xmlns="http://schemas.openxmlformats.org/package/2006/relationships"><Relationship Id="rId1" Type="http://schemas.openxmlformats.org/officeDocument/2006/relationships/image" Target="../media/image21.jpeg"/></Relationships>
</file>

<file path=xl/charts/_rels/chart54.xml.rels><?xml version="1.0" encoding="UTF-8" standalone="yes"?>
<Relationships xmlns="http://schemas.openxmlformats.org/package/2006/relationships"><Relationship Id="rId1" Type="http://schemas.openxmlformats.org/officeDocument/2006/relationships/image" Target="../media/image21.jpeg"/></Relationships>
</file>

<file path=xl/charts/_rels/chart55.xml.rels><?xml version="1.0" encoding="UTF-8" standalone="yes"?>
<Relationships xmlns="http://schemas.openxmlformats.org/package/2006/relationships"><Relationship Id="rId1" Type="http://schemas.openxmlformats.org/officeDocument/2006/relationships/image" Target="../media/image21.jpeg"/></Relationships>
</file>

<file path=xl/charts/_rels/chart56.xml.rels><?xml version="1.0" encoding="UTF-8" standalone="yes"?>
<Relationships xmlns="http://schemas.openxmlformats.org/package/2006/relationships"><Relationship Id="rId1" Type="http://schemas.openxmlformats.org/officeDocument/2006/relationships/image" Target="../media/image21.jpeg"/></Relationships>
</file>

<file path=xl/charts/_rels/chart57.xml.rels><?xml version="1.0" encoding="UTF-8" standalone="yes"?>
<Relationships xmlns="http://schemas.openxmlformats.org/package/2006/relationships"><Relationship Id="rId1" Type="http://schemas.openxmlformats.org/officeDocument/2006/relationships/image" Target="../media/image21.jpeg"/></Relationships>
</file>

<file path=xl/charts/_rels/chart58.xml.rels><?xml version="1.0" encoding="UTF-8" standalone="yes"?>
<Relationships xmlns="http://schemas.openxmlformats.org/package/2006/relationships"><Relationship Id="rId1" Type="http://schemas.openxmlformats.org/officeDocument/2006/relationships/image" Target="../media/image21.jpeg"/></Relationships>
</file>

<file path=xl/charts/_rels/chart59.xml.rels><?xml version="1.0" encoding="UTF-8" standalone="yes"?>
<Relationships xmlns="http://schemas.openxmlformats.org/package/2006/relationships"><Relationship Id="rId1" Type="http://schemas.openxmlformats.org/officeDocument/2006/relationships/image" Target="../media/image21.jpe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0.xml.rels><?xml version="1.0" encoding="UTF-8" standalone="yes"?>
<Relationships xmlns="http://schemas.openxmlformats.org/package/2006/relationships"><Relationship Id="rId1" Type="http://schemas.openxmlformats.org/officeDocument/2006/relationships/image" Target="../media/image21.jpeg"/></Relationships>
</file>

<file path=xl/charts/_rels/chart61.xml.rels><?xml version="1.0" encoding="UTF-8" standalone="yes"?>
<Relationships xmlns="http://schemas.openxmlformats.org/package/2006/relationships"><Relationship Id="rId1" Type="http://schemas.openxmlformats.org/officeDocument/2006/relationships/image" Target="../media/image21.jpeg"/></Relationships>
</file>

<file path=xl/charts/_rels/chart62.xml.rels><?xml version="1.0" encoding="UTF-8" standalone="yes"?>
<Relationships xmlns="http://schemas.openxmlformats.org/package/2006/relationships"><Relationship Id="rId1" Type="http://schemas.openxmlformats.org/officeDocument/2006/relationships/image" Target="../media/image22.jpeg"/></Relationships>
</file>

<file path=xl/charts/_rels/chart63.xml.rels><?xml version="1.0" encoding="UTF-8" standalone="yes"?>
<Relationships xmlns="http://schemas.openxmlformats.org/package/2006/relationships"><Relationship Id="rId1" Type="http://schemas.openxmlformats.org/officeDocument/2006/relationships/image" Target="../media/image22.jpeg"/></Relationships>
</file>

<file path=xl/charts/_rels/chart64.xml.rels><?xml version="1.0" encoding="UTF-8" standalone="yes"?>
<Relationships xmlns="http://schemas.openxmlformats.org/package/2006/relationships"><Relationship Id="rId1" Type="http://schemas.openxmlformats.org/officeDocument/2006/relationships/image" Target="../media/image22.jpeg"/></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6891891891891893E-2"/>
          <c:y val="5.6818497084167974E-2"/>
          <c:w val="0.96283783783783783"/>
          <c:h val="0.8409137568456857"/>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結果!$R$15</c:f>
              <c:strCache>
                <c:ptCount val="1"/>
                <c:pt idx="0">
                  <c:v>Rank(red star)</c:v>
                </c:pt>
              </c:strCache>
            </c:strRef>
          </c:cat>
          <c:val>
            <c:numRef>
              <c:f>結果!$S$15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結果!$R$15</c:f>
              <c:strCache>
                <c:ptCount val="1"/>
                <c:pt idx="0">
                  <c:v>Rank(red star)</c:v>
                </c:pt>
              </c:strCache>
            </c:strRef>
          </c:cat>
          <c:val>
            <c:numRef>
              <c:f>結果!$S$16</c:f>
              <c:numCache>
                <c:formatCode>#,##0.0;[Red]\-#,##0.0</c:formatCode>
                <c:ptCount val="1"/>
                <c:pt idx="0">
                  <c:v>0</c:v>
                </c:pt>
              </c:numCache>
            </c:numRef>
          </c:val>
        </c:ser>
        <c:gapWidth val="50"/>
        <c:overlap val="100"/>
        <c:axId val="85480576"/>
        <c:axId val="85482112"/>
      </c:barChart>
      <c:catAx>
        <c:axId val="85480576"/>
        <c:scaling>
          <c:orientation val="minMax"/>
        </c:scaling>
        <c:delete val="1"/>
        <c:axPos val="l"/>
        <c:numFmt formatCode="General" sourceLinked="1"/>
        <c:tickLblPos val="none"/>
        <c:crossAx val="85482112"/>
        <c:crosses val="autoZero"/>
        <c:auto val="1"/>
        <c:lblAlgn val="ctr"/>
        <c:lblOffset val="100"/>
      </c:catAx>
      <c:valAx>
        <c:axId val="85482112"/>
        <c:scaling>
          <c:orientation val="minMax"/>
        </c:scaling>
        <c:delete val="1"/>
        <c:axPos val="b"/>
        <c:numFmt formatCode="0%" sourceLinked="1"/>
        <c:tickLblPos val="none"/>
        <c:crossAx val="85480576"/>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4337597472695897E-2"/>
          <c:w val="0.91639871382636651"/>
          <c:h val="0.72891780672830064"/>
        </c:manualLayout>
      </c:layout>
      <c:barChart>
        <c:barDir val="col"/>
        <c:grouping val="clustered"/>
        <c:ser>
          <c:idx val="0"/>
          <c:order val="0"/>
          <c:spPr>
            <a:solidFill>
              <a:srgbClr val="99CC00"/>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結果!$U$59:$U$61</c:f>
              <c:strCache>
                <c:ptCount val="3"/>
                <c:pt idx="0">
                  <c:v>水資源</c:v>
                </c:pt>
                <c:pt idx="1">
                  <c:v>非再生性材料の削減</c:v>
                </c:pt>
                <c:pt idx="2">
                  <c:v>汚染物質回避</c:v>
                </c:pt>
              </c:strCache>
            </c:strRef>
          </c:cat>
          <c:val>
            <c:numRef>
              <c:f>結果!$V$59:$V$61</c:f>
              <c:numCache>
                <c:formatCode>0.0_ </c:formatCode>
                <c:ptCount val="3"/>
                <c:pt idx="0">
                  <c:v>0</c:v>
                </c:pt>
                <c:pt idx="1">
                  <c:v>0</c:v>
                </c:pt>
                <c:pt idx="2">
                  <c:v>0</c:v>
                </c:pt>
              </c:numCache>
            </c:numRef>
          </c:val>
        </c:ser>
        <c:dLbls>
          <c:showVal val="1"/>
        </c:dLbls>
        <c:gapWidth val="70"/>
        <c:axId val="97960320"/>
        <c:axId val="97961856"/>
      </c:barChart>
      <c:catAx>
        <c:axId val="97960320"/>
        <c:scaling>
          <c:orientation val="minMax"/>
        </c:scaling>
        <c:axPos val="b"/>
        <c:numFmt formatCode="General" sourceLinked="1"/>
        <c:majorTickMark val="none"/>
        <c:tickLblPos val="none"/>
        <c:spPr>
          <a:ln w="3175">
            <a:solidFill>
              <a:srgbClr val="000000"/>
            </a:solidFill>
            <a:prstDash val="solid"/>
          </a:ln>
        </c:spPr>
        <c:crossAx val="97961856"/>
        <c:crossesAt val="0"/>
        <c:auto val="1"/>
        <c:lblAlgn val="ctr"/>
        <c:lblOffset val="100"/>
        <c:tickMarkSkip val="1"/>
      </c:catAx>
      <c:valAx>
        <c:axId val="97961856"/>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960320"/>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3236870310825311E-2"/>
          <c:y val="4.4176706827309314E-2"/>
          <c:w val="0.91639871382636651"/>
          <c:h val="0.72891780672830064"/>
        </c:manualLayout>
      </c:layout>
      <c:barChart>
        <c:barDir val="col"/>
        <c:grouping val="clustered"/>
        <c:ser>
          <c:idx val="0"/>
          <c:order val="0"/>
          <c:spPr>
            <a:solidFill>
              <a:srgbClr val="99CC00"/>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結果!$X$59:$X$61</c:f>
              <c:strCache>
                <c:ptCount val="3"/>
                <c:pt idx="0">
                  <c:v>地球温暖化への配慮</c:v>
                </c:pt>
                <c:pt idx="1">
                  <c:v>地域環境への配慮</c:v>
                </c:pt>
                <c:pt idx="2">
                  <c:v>周辺環境への配慮</c:v>
                </c:pt>
              </c:strCache>
            </c:strRef>
          </c:cat>
          <c:val>
            <c:numRef>
              <c:f>結果!$Y$59:$Y$61</c:f>
              <c:numCache>
                <c:formatCode>0.0_ </c:formatCode>
                <c:ptCount val="3"/>
                <c:pt idx="0">
                  <c:v>0</c:v>
                </c:pt>
                <c:pt idx="1">
                  <c:v>0</c:v>
                </c:pt>
                <c:pt idx="2">
                  <c:v>0</c:v>
                </c:pt>
              </c:numCache>
            </c:numRef>
          </c:val>
        </c:ser>
        <c:dLbls>
          <c:showVal val="1"/>
        </c:dLbls>
        <c:gapWidth val="70"/>
        <c:axId val="98007296"/>
        <c:axId val="96808960"/>
      </c:barChart>
      <c:catAx>
        <c:axId val="98007296"/>
        <c:scaling>
          <c:orientation val="minMax"/>
        </c:scaling>
        <c:axPos val="b"/>
        <c:numFmt formatCode="General" sourceLinked="1"/>
        <c:majorTickMark val="none"/>
        <c:tickLblPos val="none"/>
        <c:spPr>
          <a:ln w="3175">
            <a:solidFill>
              <a:srgbClr val="000000"/>
            </a:solidFill>
            <a:prstDash val="solid"/>
          </a:ln>
        </c:spPr>
        <c:crossAx val="96808960"/>
        <c:crossesAt val="0"/>
        <c:auto val="1"/>
        <c:lblAlgn val="ctr"/>
        <c:lblOffset val="100"/>
        <c:tickMarkSkip val="1"/>
      </c:catAx>
      <c:valAx>
        <c:axId val="96808960"/>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007296"/>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3641344"/>
        <c:axId val="113642880"/>
      </c:barChart>
      <c:catAx>
        <c:axId val="113641344"/>
        <c:scaling>
          <c:orientation val="minMax"/>
        </c:scaling>
        <c:delete val="1"/>
        <c:axPos val="l"/>
        <c:tickLblPos val="none"/>
        <c:crossAx val="113642880"/>
        <c:crossesAt val="0"/>
        <c:auto val="1"/>
        <c:lblAlgn val="ctr"/>
        <c:lblOffset val="100"/>
      </c:catAx>
      <c:valAx>
        <c:axId val="11364288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64134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3662208"/>
        <c:axId val="113672192"/>
      </c:barChart>
      <c:catAx>
        <c:axId val="113662208"/>
        <c:scaling>
          <c:orientation val="minMax"/>
        </c:scaling>
        <c:delete val="1"/>
        <c:axPos val="l"/>
        <c:tickLblPos val="none"/>
        <c:crossAx val="113672192"/>
        <c:crossesAt val="0"/>
        <c:auto val="1"/>
        <c:lblAlgn val="ctr"/>
        <c:lblOffset val="100"/>
      </c:catAx>
      <c:valAx>
        <c:axId val="11367219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66220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3678976"/>
        <c:axId val="113688960"/>
      </c:barChart>
      <c:catAx>
        <c:axId val="113678976"/>
        <c:scaling>
          <c:orientation val="minMax"/>
        </c:scaling>
        <c:delete val="1"/>
        <c:axPos val="l"/>
        <c:tickLblPos val="none"/>
        <c:crossAx val="113688960"/>
        <c:crossesAt val="0"/>
        <c:auto val="1"/>
        <c:lblAlgn val="ctr"/>
        <c:lblOffset val="100"/>
      </c:catAx>
      <c:valAx>
        <c:axId val="1136889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6789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3728512"/>
        <c:axId val="113738496"/>
      </c:barChart>
      <c:catAx>
        <c:axId val="113728512"/>
        <c:scaling>
          <c:orientation val="minMax"/>
        </c:scaling>
        <c:delete val="1"/>
        <c:axPos val="l"/>
        <c:tickLblPos val="none"/>
        <c:crossAx val="113738496"/>
        <c:crossesAt val="0"/>
        <c:auto val="1"/>
        <c:lblAlgn val="ctr"/>
        <c:lblOffset val="100"/>
      </c:catAx>
      <c:valAx>
        <c:axId val="11373849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72851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3745280"/>
        <c:axId val="113763456"/>
      </c:barChart>
      <c:catAx>
        <c:axId val="113745280"/>
        <c:scaling>
          <c:orientation val="minMax"/>
        </c:scaling>
        <c:delete val="1"/>
        <c:axPos val="l"/>
        <c:tickLblPos val="none"/>
        <c:crossAx val="113763456"/>
        <c:crossesAt val="0"/>
        <c:auto val="1"/>
        <c:lblAlgn val="ctr"/>
        <c:lblOffset val="100"/>
      </c:catAx>
      <c:valAx>
        <c:axId val="1137634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7452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3860608"/>
        <c:axId val="113862144"/>
      </c:barChart>
      <c:catAx>
        <c:axId val="113860608"/>
        <c:scaling>
          <c:orientation val="minMax"/>
        </c:scaling>
        <c:delete val="1"/>
        <c:axPos val="l"/>
        <c:tickLblPos val="none"/>
        <c:crossAx val="113862144"/>
        <c:crossesAt val="0"/>
        <c:auto val="1"/>
        <c:lblAlgn val="ctr"/>
        <c:lblOffset val="100"/>
      </c:catAx>
      <c:valAx>
        <c:axId val="11386214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86060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3881472"/>
        <c:axId val="113883008"/>
      </c:barChart>
      <c:catAx>
        <c:axId val="113881472"/>
        <c:scaling>
          <c:orientation val="minMax"/>
        </c:scaling>
        <c:delete val="1"/>
        <c:axPos val="l"/>
        <c:tickLblPos val="none"/>
        <c:crossAx val="113883008"/>
        <c:crossesAt val="0"/>
        <c:auto val="1"/>
        <c:lblAlgn val="ctr"/>
        <c:lblOffset val="100"/>
      </c:catAx>
      <c:valAx>
        <c:axId val="11388300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88147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3918720"/>
        <c:axId val="113920256"/>
      </c:barChart>
      <c:catAx>
        <c:axId val="113918720"/>
        <c:scaling>
          <c:orientation val="minMax"/>
        </c:scaling>
        <c:delete val="1"/>
        <c:axPos val="l"/>
        <c:tickLblPos val="none"/>
        <c:crossAx val="113920256"/>
        <c:crossesAt val="0"/>
        <c:auto val="1"/>
        <c:lblAlgn val="ctr"/>
        <c:lblOffset val="100"/>
      </c:catAx>
      <c:valAx>
        <c:axId val="1139202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9187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6891891891891893E-2"/>
          <c:y val="5.6818497084167974E-2"/>
          <c:w val="0.96283783783783783"/>
          <c:h val="0.8409137568456857"/>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結果!$R$35</c:f>
              <c:strCache>
                <c:ptCount val="1"/>
                <c:pt idx="0">
                  <c:v>Rank(green star)</c:v>
                </c:pt>
              </c:strCache>
            </c:strRef>
          </c:cat>
          <c:val>
            <c:numRef>
              <c:f>結果!$S$35</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結果!$R$35</c:f>
              <c:strCache>
                <c:ptCount val="1"/>
                <c:pt idx="0">
                  <c:v>Rank(green star)</c:v>
                </c:pt>
              </c:strCache>
            </c:strRef>
          </c:cat>
          <c:val>
            <c:numRef>
              <c:f>結果!$S$36</c:f>
              <c:numCache>
                <c:formatCode>#,##0.0;[Red]\-#,##0.0</c:formatCode>
                <c:ptCount val="1"/>
                <c:pt idx="0">
                  <c:v>0</c:v>
                </c:pt>
              </c:numCache>
            </c:numRef>
          </c:val>
        </c:ser>
        <c:gapWidth val="50"/>
        <c:overlap val="100"/>
        <c:axId val="94725248"/>
        <c:axId val="94726784"/>
      </c:barChart>
      <c:catAx>
        <c:axId val="94725248"/>
        <c:scaling>
          <c:orientation val="minMax"/>
        </c:scaling>
        <c:delete val="1"/>
        <c:axPos val="l"/>
        <c:numFmt formatCode="General" sourceLinked="1"/>
        <c:tickLblPos val="none"/>
        <c:crossAx val="94726784"/>
        <c:crosses val="autoZero"/>
        <c:auto val="1"/>
        <c:lblAlgn val="ctr"/>
        <c:lblOffset val="100"/>
      </c:catAx>
      <c:valAx>
        <c:axId val="94726784"/>
        <c:scaling>
          <c:orientation val="minMax"/>
        </c:scaling>
        <c:delete val="1"/>
        <c:axPos val="b"/>
        <c:numFmt formatCode="0%" sourceLinked="1"/>
        <c:tickLblPos val="none"/>
        <c:crossAx val="94725248"/>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3947776"/>
        <c:axId val="113949312"/>
      </c:barChart>
      <c:catAx>
        <c:axId val="113947776"/>
        <c:scaling>
          <c:orientation val="minMax"/>
        </c:scaling>
        <c:delete val="1"/>
        <c:axPos val="l"/>
        <c:tickLblPos val="none"/>
        <c:crossAx val="113949312"/>
        <c:crossesAt val="0"/>
        <c:auto val="1"/>
        <c:lblAlgn val="ctr"/>
        <c:lblOffset val="100"/>
      </c:catAx>
      <c:valAx>
        <c:axId val="11394931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9477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3980928"/>
        <c:axId val="113982464"/>
      </c:barChart>
      <c:catAx>
        <c:axId val="113980928"/>
        <c:scaling>
          <c:orientation val="minMax"/>
        </c:scaling>
        <c:delete val="1"/>
        <c:axPos val="l"/>
        <c:tickLblPos val="none"/>
        <c:crossAx val="113982464"/>
        <c:crossesAt val="0"/>
        <c:auto val="1"/>
        <c:lblAlgn val="ctr"/>
        <c:lblOffset val="100"/>
      </c:catAx>
      <c:valAx>
        <c:axId val="11398246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98092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001792"/>
        <c:axId val="114003328"/>
      </c:barChart>
      <c:catAx>
        <c:axId val="114001792"/>
        <c:scaling>
          <c:orientation val="minMax"/>
        </c:scaling>
        <c:delete val="1"/>
        <c:axPos val="l"/>
        <c:tickLblPos val="none"/>
        <c:crossAx val="114003328"/>
        <c:crossesAt val="0"/>
        <c:auto val="1"/>
        <c:lblAlgn val="ctr"/>
        <c:lblOffset val="100"/>
      </c:catAx>
      <c:valAx>
        <c:axId val="11400332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00179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3772800"/>
        <c:axId val="113782784"/>
      </c:barChart>
      <c:catAx>
        <c:axId val="113772800"/>
        <c:scaling>
          <c:orientation val="minMax"/>
        </c:scaling>
        <c:delete val="1"/>
        <c:axPos val="l"/>
        <c:tickLblPos val="none"/>
        <c:crossAx val="113782784"/>
        <c:crossesAt val="0"/>
        <c:auto val="1"/>
        <c:lblAlgn val="ctr"/>
        <c:lblOffset val="100"/>
      </c:catAx>
      <c:valAx>
        <c:axId val="11378278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77280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3789568"/>
        <c:axId val="113811840"/>
      </c:barChart>
      <c:catAx>
        <c:axId val="113789568"/>
        <c:scaling>
          <c:orientation val="minMax"/>
        </c:scaling>
        <c:delete val="1"/>
        <c:axPos val="l"/>
        <c:tickLblPos val="none"/>
        <c:crossAx val="113811840"/>
        <c:crossesAt val="0"/>
        <c:auto val="1"/>
        <c:lblAlgn val="ctr"/>
        <c:lblOffset val="100"/>
      </c:catAx>
      <c:valAx>
        <c:axId val="11381184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78956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3830912"/>
        <c:axId val="114037504"/>
      </c:barChart>
      <c:catAx>
        <c:axId val="113830912"/>
        <c:scaling>
          <c:orientation val="minMax"/>
        </c:scaling>
        <c:delete val="1"/>
        <c:axPos val="l"/>
        <c:tickLblPos val="none"/>
        <c:crossAx val="114037504"/>
        <c:crossesAt val="0"/>
        <c:auto val="1"/>
        <c:lblAlgn val="ctr"/>
        <c:lblOffset val="100"/>
      </c:catAx>
      <c:valAx>
        <c:axId val="11403750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383091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048384"/>
        <c:axId val="114062464"/>
      </c:barChart>
      <c:catAx>
        <c:axId val="114048384"/>
        <c:scaling>
          <c:orientation val="minMax"/>
        </c:scaling>
        <c:delete val="1"/>
        <c:axPos val="l"/>
        <c:tickLblPos val="none"/>
        <c:crossAx val="114062464"/>
        <c:crossesAt val="0"/>
        <c:auto val="1"/>
        <c:lblAlgn val="ctr"/>
        <c:lblOffset val="100"/>
      </c:catAx>
      <c:valAx>
        <c:axId val="11406246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0483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4089984"/>
        <c:axId val="114091520"/>
      </c:barChart>
      <c:catAx>
        <c:axId val="114089984"/>
        <c:scaling>
          <c:orientation val="minMax"/>
        </c:scaling>
        <c:delete val="1"/>
        <c:axPos val="l"/>
        <c:tickLblPos val="none"/>
        <c:crossAx val="114091520"/>
        <c:crossesAt val="0"/>
        <c:auto val="1"/>
        <c:lblAlgn val="ctr"/>
        <c:lblOffset val="100"/>
      </c:catAx>
      <c:valAx>
        <c:axId val="1140915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0899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4139520"/>
        <c:axId val="114141056"/>
      </c:barChart>
      <c:catAx>
        <c:axId val="114139520"/>
        <c:scaling>
          <c:orientation val="minMax"/>
        </c:scaling>
        <c:delete val="1"/>
        <c:axPos val="l"/>
        <c:tickLblPos val="none"/>
        <c:crossAx val="114141056"/>
        <c:crossesAt val="0"/>
        <c:auto val="1"/>
        <c:lblAlgn val="ctr"/>
        <c:lblOffset val="100"/>
      </c:catAx>
      <c:valAx>
        <c:axId val="1141410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1395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4164480"/>
        <c:axId val="114166016"/>
      </c:barChart>
      <c:catAx>
        <c:axId val="114164480"/>
        <c:scaling>
          <c:orientation val="minMax"/>
        </c:scaling>
        <c:delete val="1"/>
        <c:axPos val="l"/>
        <c:tickLblPos val="none"/>
        <c:crossAx val="114166016"/>
        <c:crossesAt val="0"/>
        <c:auto val="1"/>
        <c:lblAlgn val="ctr"/>
        <c:lblOffset val="100"/>
      </c:catAx>
      <c:valAx>
        <c:axId val="1141660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1644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795221843003424"/>
          <c:y val="9.8425196850393748E-2"/>
          <c:w val="0.69965870307167288"/>
          <c:h val="0.70078740157480379"/>
        </c:manualLayout>
      </c:layout>
      <c:areaChart>
        <c:grouping val="standard"/>
        <c:ser>
          <c:idx val="4"/>
          <c:order val="3"/>
          <c:tx>
            <c:strRef>
              <c:f>結果!$S$29</c:f>
              <c:strCache>
                <c:ptCount val="1"/>
                <c:pt idx="0">
                  <c:v>S</c:v>
                </c:pt>
              </c:strCache>
            </c:strRef>
          </c:tx>
          <c:spPr>
            <a:pattFill prst="pct70">
              <a:fgClr>
                <a:srgbClr val="339966"/>
              </a:fgClr>
              <a:bgClr>
                <a:srgbClr val="FFFFFF"/>
              </a:bgClr>
            </a:pattFill>
            <a:ln w="12700">
              <a:solidFill>
                <a:srgbClr val="000000"/>
              </a:solidFill>
              <a:prstDash val="solid"/>
            </a:ln>
          </c:spPr>
          <c:cat>
            <c:numRef>
              <c:f>結果!$T$23:$U$23</c:f>
              <c:numCache>
                <c:formatCode>General</c:formatCode>
                <c:ptCount val="2"/>
                <c:pt idx="0" formatCode="#,##0;[Red]\-#,##0">
                  <c:v>0</c:v>
                </c:pt>
                <c:pt idx="1">
                  <c:v>0</c:v>
                </c:pt>
              </c:numCache>
            </c:numRef>
          </c:cat>
          <c:val>
            <c:numRef>
              <c:f>結果!$T$29:$Z$29</c:f>
              <c:numCache>
                <c:formatCode>General</c:formatCode>
                <c:ptCount val="7"/>
                <c:pt idx="0">
                  <c:v>100</c:v>
                </c:pt>
                <c:pt idx="1">
                  <c:v>100</c:v>
                </c:pt>
                <c:pt idx="2">
                  <c:v>100</c:v>
                </c:pt>
                <c:pt idx="3">
                  <c:v>100</c:v>
                </c:pt>
                <c:pt idx="4">
                  <c:v>100</c:v>
                </c:pt>
                <c:pt idx="5">
                  <c:v>100</c:v>
                </c:pt>
                <c:pt idx="6">
                  <c:v>100</c:v>
                </c:pt>
              </c:numCache>
            </c:numRef>
          </c:val>
        </c:ser>
        <c:ser>
          <c:idx val="3"/>
          <c:order val="4"/>
          <c:tx>
            <c:strRef>
              <c:f>結果!$S$30</c:f>
              <c:strCache>
                <c:ptCount val="1"/>
                <c:pt idx="0">
                  <c:v>A</c:v>
                </c:pt>
              </c:strCache>
            </c:strRef>
          </c:tx>
          <c:spPr>
            <a:pattFill prst="pct90">
              <a:fgClr>
                <a:srgbClr val="CCFFCC"/>
              </a:fgClr>
              <a:bgClr>
                <a:srgbClr val="FFFFFF"/>
              </a:bgClr>
            </a:pattFill>
            <a:ln w="12700">
              <a:solidFill>
                <a:srgbClr val="000000"/>
              </a:solidFill>
              <a:prstDash val="solid"/>
            </a:ln>
          </c:spPr>
          <c:cat>
            <c:numRef>
              <c:f>結果!$T$23:$U$23</c:f>
              <c:numCache>
                <c:formatCode>General</c:formatCode>
                <c:ptCount val="2"/>
                <c:pt idx="0" formatCode="#,##0;[Red]\-#,##0">
                  <c:v>0</c:v>
                </c:pt>
                <c:pt idx="1">
                  <c:v>0</c:v>
                </c:pt>
              </c:numCache>
            </c:numRef>
          </c:cat>
          <c:val>
            <c:numRef>
              <c:f>結果!$T$30:$Z$30</c:f>
              <c:numCache>
                <c:formatCode>General</c:formatCode>
                <c:ptCount val="7"/>
                <c:pt idx="0">
                  <c:v>50</c:v>
                </c:pt>
                <c:pt idx="1">
                  <c:v>50</c:v>
                </c:pt>
                <c:pt idx="2">
                  <c:v>100</c:v>
                </c:pt>
                <c:pt idx="3">
                  <c:v>100</c:v>
                </c:pt>
                <c:pt idx="4">
                  <c:v>100</c:v>
                </c:pt>
                <c:pt idx="5">
                  <c:v>100</c:v>
                </c:pt>
                <c:pt idx="6">
                  <c:v>100</c:v>
                </c:pt>
              </c:numCache>
            </c:numRef>
          </c:val>
        </c:ser>
        <c:ser>
          <c:idx val="2"/>
          <c:order val="5"/>
          <c:tx>
            <c:strRef>
              <c:f>結果!$S$31</c:f>
              <c:strCache>
                <c:ptCount val="1"/>
                <c:pt idx="0">
                  <c:v>B+</c:v>
                </c:pt>
              </c:strCache>
            </c:strRef>
          </c:tx>
          <c:spPr>
            <a:solidFill>
              <a:srgbClr val="FFFFCC"/>
            </a:solidFill>
            <a:ln w="12700">
              <a:solidFill>
                <a:srgbClr val="000000"/>
              </a:solidFill>
              <a:prstDash val="solid"/>
            </a:ln>
          </c:spPr>
          <c:cat>
            <c:numRef>
              <c:f>結果!$T$23:$U$23</c:f>
              <c:numCache>
                <c:formatCode>General</c:formatCode>
                <c:ptCount val="2"/>
                <c:pt idx="0" formatCode="#,##0;[Red]\-#,##0">
                  <c:v>0</c:v>
                </c:pt>
                <c:pt idx="1">
                  <c:v>0</c:v>
                </c:pt>
              </c:numCache>
            </c:numRef>
          </c:cat>
          <c:val>
            <c:numRef>
              <c:f>結果!$T$31:$Z$31</c:f>
              <c:numCache>
                <c:formatCode>General</c:formatCode>
                <c:ptCount val="7"/>
                <c:pt idx="0">
                  <c:v>0</c:v>
                </c:pt>
                <c:pt idx="1">
                  <c:v>25</c:v>
                </c:pt>
                <c:pt idx="2">
                  <c:v>50</c:v>
                </c:pt>
                <c:pt idx="3">
                  <c:v>75</c:v>
                </c:pt>
                <c:pt idx="4">
                  <c:v>100</c:v>
                </c:pt>
                <c:pt idx="5">
                  <c:v>100</c:v>
                </c:pt>
                <c:pt idx="6">
                  <c:v>100</c:v>
                </c:pt>
              </c:numCache>
            </c:numRef>
          </c:val>
        </c:ser>
        <c:ser>
          <c:idx val="1"/>
          <c:order val="6"/>
          <c:tx>
            <c:strRef>
              <c:f>結果!$S$33</c:f>
              <c:strCache>
                <c:ptCount val="1"/>
                <c:pt idx="0">
                  <c:v>B-</c:v>
                </c:pt>
              </c:strCache>
            </c:strRef>
          </c:tx>
          <c:spPr>
            <a:solidFill>
              <a:srgbClr val="FFFFFF"/>
            </a:solidFill>
            <a:ln w="12700">
              <a:solidFill>
                <a:srgbClr val="000000"/>
              </a:solidFill>
              <a:prstDash val="solid"/>
            </a:ln>
          </c:spPr>
          <c:cat>
            <c:numRef>
              <c:f>結果!$T$23:$U$23</c:f>
              <c:numCache>
                <c:formatCode>General</c:formatCode>
                <c:ptCount val="2"/>
                <c:pt idx="0" formatCode="#,##0;[Red]\-#,##0">
                  <c:v>0</c:v>
                </c:pt>
                <c:pt idx="1">
                  <c:v>0</c:v>
                </c:pt>
              </c:numCache>
            </c:numRef>
          </c:cat>
          <c:val>
            <c:numRef>
              <c:f>結果!$T$33:$Z$33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結果!$S$32</c:f>
              <c:strCache>
                <c:ptCount val="1"/>
                <c:pt idx="0">
                  <c:v>B</c:v>
                </c:pt>
              </c:strCache>
            </c:strRef>
          </c:tx>
          <c:spPr>
            <a:noFill/>
            <a:ln w="12700">
              <a:solidFill>
                <a:srgbClr val="000000"/>
              </a:solidFill>
              <a:prstDash val="solid"/>
            </a:ln>
          </c:spPr>
          <c:cat>
            <c:numRef>
              <c:f>結果!$T$23:$U$23</c:f>
              <c:numCache>
                <c:formatCode>General</c:formatCode>
                <c:ptCount val="2"/>
                <c:pt idx="0" formatCode="#,##0;[Red]\-#,##0">
                  <c:v>0</c:v>
                </c:pt>
                <c:pt idx="1">
                  <c:v>0</c:v>
                </c:pt>
              </c:numCache>
            </c:numRef>
          </c:cat>
          <c:val>
            <c:numRef>
              <c:f>結果!$T$32:$Z$32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axId val="96077312"/>
        <c:axId val="96078848"/>
      </c:areaChart>
      <c:scatterChart>
        <c:scatterStyle val="lineMarker"/>
        <c:ser>
          <c:idx val="7"/>
          <c:order val="0"/>
          <c:spPr>
            <a:ln w="25400">
              <a:solidFill>
                <a:srgbClr val="008000"/>
              </a:solidFill>
              <a:prstDash val="sysDash"/>
            </a:ln>
          </c:spPr>
          <c:marker>
            <c:symbol val="none"/>
          </c:marker>
          <c:dPt>
            <c:idx val="1"/>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CatName val="1"/>
              <c:extLst>
                <c:ext xmlns:c15="http://schemas.microsoft.com/office/drawing/2012/chart" uri="{CE6537A1-D6FC-4f65-9D91-7224C49458BB}">
                  <c15:layout/>
                </c:ext>
              </c:extLst>
            </c:dLbl>
            <c:dLbl>
              <c:idx val="3"/>
              <c:layout>
                <c:manualLayout>
                  <c:x val="-5.2504187829763528E-3"/>
                  <c:y val="-3.963254593175855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Val val="1"/>
              <c:extLst>
                <c:ext xmlns:c15="http://schemas.microsoft.com/office/drawing/2012/chart" uri="{CE6537A1-D6FC-4f65-9D91-7224C49458BB}">
                  <c15:layout/>
                </c:ext>
              </c:extLst>
            </c:dLbl>
            <c:delete val="1"/>
            <c:spPr>
              <a:noFill/>
              <a:ln>
                <a:noFill/>
              </a:ln>
              <a:effectLst/>
            </c:spPr>
            <c:extLst>
              <c:ext xmlns:c15="http://schemas.microsoft.com/office/drawing/2012/chart" uri="{CE6537A1-D6FC-4f65-9D91-7224C49458BB}">
                <c15:showLeaderLines val="0"/>
              </c:ext>
            </c:extLst>
          </c:dLbls>
          <c:xVal>
            <c:numRef>
              <c:f>結果!$R$25:$U$25</c:f>
              <c:numCache>
                <c:formatCode>General</c:formatCode>
                <c:ptCount val="4"/>
                <c:pt idx="0">
                  <c:v>0</c:v>
                </c:pt>
                <c:pt idx="1">
                  <c:v>0</c:v>
                </c:pt>
                <c:pt idx="2" formatCode="#,##0;[Red]\-#,##0">
                  <c:v>0</c:v>
                </c:pt>
                <c:pt idx="3">
                  <c:v>0.1</c:v>
                </c:pt>
              </c:numCache>
            </c:numRef>
          </c:xVal>
          <c:yVal>
            <c:numRef>
              <c:f>結果!$R$26:$U$26</c:f>
              <c:numCache>
                <c:formatCode>General</c:formatCode>
                <c:ptCount val="4"/>
                <c:pt idx="0">
                  <c:v>0</c:v>
                </c:pt>
                <c:pt idx="1">
                  <c:v>0</c:v>
                </c:pt>
                <c:pt idx="2">
                  <c:v>0</c:v>
                </c:pt>
                <c:pt idx="3" formatCode="#,##0;[Red]\-#,##0">
                  <c:v>0</c:v>
                </c:pt>
              </c:numCache>
            </c:numRef>
          </c:yVal>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dPt>
          <c:dPt>
            <c:idx val="3"/>
            <c:marker>
              <c:symbol val="circle"/>
              <c:size val="6"/>
              <c:spPr>
                <a:solidFill>
                  <a:srgbClr val="008000"/>
                </a:solidFill>
                <a:ln>
                  <a:solidFill>
                    <a:srgbClr val="000000"/>
                  </a:solidFill>
                  <a:prstDash val="solid"/>
                </a:ln>
              </c:spPr>
            </c:marker>
          </c:dPt>
          <c:xVal>
            <c:numRef>
              <c:f>結果!$R$25:$U$25</c:f>
              <c:numCache>
                <c:formatCode>General</c:formatCode>
                <c:ptCount val="4"/>
                <c:pt idx="0">
                  <c:v>0</c:v>
                </c:pt>
                <c:pt idx="1">
                  <c:v>0</c:v>
                </c:pt>
                <c:pt idx="2" formatCode="#,##0;[Red]\-#,##0">
                  <c:v>0</c:v>
                </c:pt>
                <c:pt idx="3">
                  <c:v>0.1</c:v>
                </c:pt>
              </c:numCache>
            </c:numRef>
          </c:xVal>
          <c:yVal>
            <c:numRef>
              <c:f>結果!$R$26:$U$26</c:f>
              <c:numCache>
                <c:formatCode>General</c:formatCode>
                <c:ptCount val="4"/>
                <c:pt idx="0">
                  <c:v>0</c:v>
                </c:pt>
                <c:pt idx="1">
                  <c:v>0</c:v>
                </c:pt>
                <c:pt idx="2">
                  <c:v>0</c:v>
                </c:pt>
                <c:pt idx="3" formatCode="#,##0;[Red]\-#,##0">
                  <c:v>0</c:v>
                </c:pt>
              </c:numCache>
            </c:numRef>
          </c:yVal>
        </c:ser>
        <c:ser>
          <c:idx val="5"/>
          <c:order val="2"/>
          <c:tx>
            <c:strRef>
              <c:f>結果!$S$13</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dPt>
          <c:dPt>
            <c:idx val="1"/>
            <c:marker>
              <c:symbol val="triangle"/>
              <c:size val="20"/>
              <c:spPr>
                <a:solidFill>
                  <a:srgbClr val="339966"/>
                </a:solidFill>
                <a:ln>
                  <a:solidFill>
                    <a:srgbClr val="000000"/>
                  </a:solidFill>
                  <a:prstDash val="solid"/>
                </a:ln>
              </c:spPr>
            </c:marker>
            <c:spPr>
              <a:ln w="19050">
                <a:noFill/>
              </a:ln>
            </c:spPr>
          </c:dPt>
          <c:dPt>
            <c:idx val="2"/>
            <c:spPr>
              <a:ln w="38100">
                <a:solidFill>
                  <a:srgbClr val="008000"/>
                </a:solidFill>
                <a:prstDash val="solid"/>
              </a:ln>
            </c:spPr>
          </c:dPt>
          <c:dLbls>
            <c:dLbl>
              <c:idx val="1"/>
              <c:layout>
                <c:manualLayout>
                  <c:x val="-1.60375516200407E-2"/>
                  <c:y val="-5.0183727034120822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SerName val="1"/>
              <c:extLst>
                <c:ext xmlns:c15="http://schemas.microsoft.com/office/drawing/2012/chart" uri="{CE6537A1-D6FC-4f65-9D91-7224C49458BB}">
                  <c15:layout/>
                </c:ext>
              </c:extLst>
            </c:dLbl>
            <c:delete val="1"/>
            <c:spPr>
              <a:noFill/>
              <a:ln>
                <a:noFill/>
              </a:ln>
              <a:effectLst/>
            </c:spPr>
            <c:extLst>
              <c:ext xmlns:c15="http://schemas.microsoft.com/office/drawing/2012/chart" uri="{CE6537A1-D6FC-4f65-9D91-7224C49458BB}">
                <c15:showLeaderLines val="0"/>
              </c:ext>
            </c:extLst>
          </c:dLbls>
          <c:xVal>
            <c:numRef>
              <c:f>結果!$S$23:$U$23</c:f>
              <c:numCache>
                <c:formatCode>#,##0;[Red]\-#,##0</c:formatCode>
                <c:ptCount val="3"/>
                <c:pt idx="1">
                  <c:v>0</c:v>
                </c:pt>
                <c:pt idx="2" formatCode="General">
                  <c:v>0</c:v>
                </c:pt>
              </c:numCache>
            </c:numRef>
          </c:xVal>
          <c:yVal>
            <c:numRef>
              <c:f>結果!$S$24:$U$24</c:f>
              <c:numCache>
                <c:formatCode>#,##0;[Red]\-#,##0</c:formatCode>
                <c:ptCount val="3"/>
                <c:pt idx="1">
                  <c:v>0</c:v>
                </c:pt>
                <c:pt idx="2" formatCode="General">
                  <c:v>0</c:v>
                </c:pt>
              </c:numCache>
            </c:numRef>
          </c:yVal>
        </c:ser>
        <c:axId val="96092928"/>
        <c:axId val="96094464"/>
      </c:scatterChart>
      <c:catAx>
        <c:axId val="96077312"/>
        <c:scaling>
          <c:orientation val="minMax"/>
        </c:scaling>
        <c:axPos val="b"/>
        <c:numFmt formatCode="#,##0;[Red]\-#,##0" sourceLinked="1"/>
        <c:majorTickMark val="none"/>
        <c:tickLblPos val="none"/>
        <c:spPr>
          <a:ln w="3175">
            <a:solidFill>
              <a:srgbClr val="000000"/>
            </a:solidFill>
            <a:prstDash val="solid"/>
          </a:ln>
        </c:spPr>
        <c:crossAx val="96078848"/>
        <c:crosses val="autoZero"/>
        <c:lblAlgn val="ctr"/>
        <c:lblOffset val="100"/>
        <c:tickLblSkip val="50"/>
        <c:tickMarkSkip val="50"/>
      </c:catAx>
      <c:valAx>
        <c:axId val="96078848"/>
        <c:scaling>
          <c:orientation val="minMax"/>
          <c:max val="100"/>
          <c:min val="0"/>
        </c:scaling>
        <c:axPos val="l"/>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6077312"/>
        <c:crosses val="autoZero"/>
        <c:crossBetween val="midCat"/>
        <c:majorUnit val="50"/>
      </c:valAx>
      <c:valAx>
        <c:axId val="96092928"/>
        <c:scaling>
          <c:orientation val="minMax"/>
          <c:max val="100"/>
          <c:min val="0"/>
        </c:scaling>
        <c:axPos val="t"/>
        <c:numFmt formatCode="General" sourceLinked="1"/>
        <c:maj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6094464"/>
        <c:crosses val="max"/>
        <c:crossBetween val="midCat"/>
        <c:majorUnit val="50"/>
      </c:valAx>
      <c:valAx>
        <c:axId val="96094464"/>
        <c:scaling>
          <c:orientation val="minMax"/>
          <c:max val="100"/>
        </c:scaling>
        <c:axPos val="r"/>
        <c:numFmt formatCode="General" sourceLinked="1"/>
        <c:majorTickMark val="in"/>
        <c:tickLblPos val="none"/>
        <c:spPr>
          <a:ln w="3175">
            <a:solidFill>
              <a:srgbClr val="000000"/>
            </a:solidFill>
            <a:prstDash val="solid"/>
          </a:ln>
        </c:spPr>
        <c:crossAx val="96092928"/>
        <c:crosses val="max"/>
        <c:crossBetween val="midCat"/>
        <c:majorUnit val="50"/>
      </c:valAx>
      <c:spPr>
        <a:solidFill>
          <a:srgbClr val="C0C0C0"/>
        </a:solidFill>
        <a:ln w="12700">
          <a:solidFill>
            <a:srgbClr val="80808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4197632"/>
        <c:axId val="114199168"/>
      </c:barChart>
      <c:catAx>
        <c:axId val="114197632"/>
        <c:scaling>
          <c:orientation val="minMax"/>
        </c:scaling>
        <c:delete val="1"/>
        <c:axPos val="l"/>
        <c:tickLblPos val="none"/>
        <c:crossAx val="114199168"/>
        <c:crossesAt val="0"/>
        <c:auto val="1"/>
        <c:lblAlgn val="ctr"/>
        <c:lblOffset val="100"/>
      </c:catAx>
      <c:valAx>
        <c:axId val="11419916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19763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4226688"/>
        <c:axId val="114228224"/>
      </c:barChart>
      <c:catAx>
        <c:axId val="114226688"/>
        <c:scaling>
          <c:orientation val="minMax"/>
        </c:scaling>
        <c:delete val="1"/>
        <c:axPos val="l"/>
        <c:tickLblPos val="none"/>
        <c:crossAx val="114228224"/>
        <c:crossesAt val="0"/>
        <c:auto val="1"/>
        <c:lblAlgn val="ctr"/>
        <c:lblOffset val="100"/>
      </c:catAx>
      <c:valAx>
        <c:axId val="1142282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22668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4276224"/>
        <c:axId val="114277760"/>
      </c:barChart>
      <c:catAx>
        <c:axId val="114276224"/>
        <c:scaling>
          <c:orientation val="minMax"/>
        </c:scaling>
        <c:delete val="1"/>
        <c:axPos val="l"/>
        <c:tickLblPos val="none"/>
        <c:crossAx val="114277760"/>
        <c:crossesAt val="0"/>
        <c:auto val="1"/>
        <c:lblAlgn val="ctr"/>
        <c:lblOffset val="100"/>
      </c:catAx>
      <c:valAx>
        <c:axId val="1142777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2762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4292992"/>
        <c:axId val="114311168"/>
      </c:barChart>
      <c:catAx>
        <c:axId val="114292992"/>
        <c:scaling>
          <c:orientation val="minMax"/>
        </c:scaling>
        <c:delete val="1"/>
        <c:axPos val="l"/>
        <c:tickLblPos val="none"/>
        <c:crossAx val="114311168"/>
        <c:crossesAt val="0"/>
        <c:auto val="1"/>
        <c:lblAlgn val="ctr"/>
        <c:lblOffset val="100"/>
      </c:catAx>
      <c:valAx>
        <c:axId val="11431116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29299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4326144"/>
        <c:axId val="114336128"/>
      </c:barChart>
      <c:catAx>
        <c:axId val="114326144"/>
        <c:scaling>
          <c:orientation val="minMax"/>
        </c:scaling>
        <c:delete val="1"/>
        <c:axPos val="l"/>
        <c:tickLblPos val="none"/>
        <c:crossAx val="114336128"/>
        <c:crossesAt val="0"/>
        <c:auto val="1"/>
        <c:lblAlgn val="ctr"/>
        <c:lblOffset val="100"/>
      </c:catAx>
      <c:valAx>
        <c:axId val="11433612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32614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4342912"/>
        <c:axId val="114352896"/>
      </c:barChart>
      <c:catAx>
        <c:axId val="114342912"/>
        <c:scaling>
          <c:orientation val="minMax"/>
        </c:scaling>
        <c:delete val="1"/>
        <c:axPos val="l"/>
        <c:tickLblPos val="none"/>
        <c:crossAx val="114352896"/>
        <c:crossesAt val="0"/>
        <c:auto val="1"/>
        <c:lblAlgn val="ctr"/>
        <c:lblOffset val="100"/>
      </c:catAx>
      <c:valAx>
        <c:axId val="11435289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34291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4380160"/>
        <c:axId val="114386048"/>
      </c:barChart>
      <c:catAx>
        <c:axId val="114380160"/>
        <c:scaling>
          <c:orientation val="minMax"/>
        </c:scaling>
        <c:delete val="1"/>
        <c:axPos val="l"/>
        <c:tickLblPos val="none"/>
        <c:crossAx val="114386048"/>
        <c:crossesAt val="0"/>
        <c:auto val="1"/>
        <c:lblAlgn val="ctr"/>
        <c:lblOffset val="100"/>
      </c:catAx>
      <c:valAx>
        <c:axId val="11438604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38016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4425856"/>
        <c:axId val="114427392"/>
      </c:barChart>
      <c:catAx>
        <c:axId val="114425856"/>
        <c:scaling>
          <c:orientation val="minMax"/>
        </c:scaling>
        <c:delete val="1"/>
        <c:axPos val="l"/>
        <c:tickLblPos val="none"/>
        <c:crossAx val="114427392"/>
        <c:crossesAt val="0"/>
        <c:auto val="1"/>
        <c:lblAlgn val="ctr"/>
        <c:lblOffset val="100"/>
      </c:catAx>
      <c:valAx>
        <c:axId val="11442739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42585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4454912"/>
        <c:axId val="114456448"/>
      </c:barChart>
      <c:catAx>
        <c:axId val="114454912"/>
        <c:scaling>
          <c:orientation val="minMax"/>
        </c:scaling>
        <c:delete val="1"/>
        <c:axPos val="l"/>
        <c:tickLblPos val="none"/>
        <c:crossAx val="114456448"/>
        <c:crossesAt val="0"/>
        <c:auto val="1"/>
        <c:lblAlgn val="ctr"/>
        <c:lblOffset val="100"/>
      </c:catAx>
      <c:valAx>
        <c:axId val="11445644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45491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4488064"/>
        <c:axId val="114489600"/>
      </c:barChart>
      <c:catAx>
        <c:axId val="114488064"/>
        <c:scaling>
          <c:orientation val="minMax"/>
        </c:scaling>
        <c:delete val="1"/>
        <c:axPos val="l"/>
        <c:tickLblPos val="none"/>
        <c:crossAx val="114489600"/>
        <c:crossesAt val="0"/>
        <c:auto val="1"/>
        <c:lblAlgn val="ctr"/>
        <c:lblOffset val="100"/>
      </c:catAx>
      <c:valAx>
        <c:axId val="11448960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48806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5.3030499195442754E-2"/>
          <c:y val="0.12777847102035059"/>
          <c:w val="0.89773059352285123"/>
          <c:h val="0.69444821206712326"/>
        </c:manualLayout>
      </c:layout>
      <c:barChart>
        <c:barDir val="bar"/>
        <c:grouping val="stacked"/>
        <c:ser>
          <c:idx val="0"/>
          <c:order val="0"/>
          <c:tx>
            <c:strRef>
              <c:f>結果!$S$38</c:f>
              <c:strCache>
                <c:ptCount val="1"/>
                <c:pt idx="0">
                  <c:v>建設</c:v>
                </c:pt>
              </c:strCache>
            </c:strRef>
          </c:tx>
          <c:spPr>
            <a:solidFill>
              <a:srgbClr val="9999FF"/>
            </a:solidFill>
            <a:ln w="12700">
              <a:solidFill>
                <a:srgbClr val="000000"/>
              </a:solidFill>
              <a:prstDash val="solid"/>
            </a:ln>
          </c:spPr>
          <c:dPt>
            <c:idx val="0"/>
            <c:spPr>
              <a:solidFill>
                <a:srgbClr val="9999FF"/>
              </a:solidFill>
              <a:ln w="12700">
                <a:solidFill>
                  <a:srgbClr val="000000"/>
                </a:solidFill>
                <a:prstDash val="sysDash"/>
              </a:ln>
            </c:spPr>
          </c:dPt>
          <c:val>
            <c:numRef>
              <c:f>結果!$S$39:$S$42</c:f>
              <c:numCache>
                <c:formatCode>#,##0;[Red]\-#,##0</c:formatCode>
                <c:ptCount val="4"/>
                <c:pt idx="0">
                  <c:v>0</c:v>
                </c:pt>
                <c:pt idx="1">
                  <c:v>0</c:v>
                </c:pt>
              </c:numCache>
            </c:numRef>
          </c:val>
        </c:ser>
        <c:ser>
          <c:idx val="1"/>
          <c:order val="1"/>
          <c:tx>
            <c:strRef>
              <c:f>結果!$T$38</c:f>
              <c:strCache>
                <c:ptCount val="1"/>
                <c:pt idx="0">
                  <c:v>修繕・更新・解体</c:v>
                </c:pt>
              </c:strCache>
            </c:strRef>
          </c:tx>
          <c:spPr>
            <a:solidFill>
              <a:srgbClr val="99CC00"/>
            </a:solidFill>
            <a:ln w="12700">
              <a:solidFill>
                <a:srgbClr val="000000"/>
              </a:solidFill>
              <a:prstDash val="solid"/>
            </a:ln>
          </c:spPr>
          <c:dPt>
            <c:idx val="0"/>
            <c:spPr>
              <a:solidFill>
                <a:srgbClr val="99CC00"/>
              </a:solidFill>
              <a:ln w="12700">
                <a:solidFill>
                  <a:srgbClr val="000000"/>
                </a:solidFill>
                <a:prstDash val="sysDash"/>
              </a:ln>
            </c:spPr>
          </c:dPt>
          <c:val>
            <c:numRef>
              <c:f>結果!$T$39:$T$42</c:f>
              <c:numCache>
                <c:formatCode>#,##0;[Red]\-#,##0</c:formatCode>
                <c:ptCount val="4"/>
                <c:pt idx="0">
                  <c:v>0</c:v>
                </c:pt>
                <c:pt idx="1">
                  <c:v>0</c:v>
                </c:pt>
              </c:numCache>
            </c:numRef>
          </c:val>
        </c:ser>
        <c:ser>
          <c:idx val="2"/>
          <c:order val="2"/>
          <c:tx>
            <c:strRef>
              <c:f>結果!$U$38</c:f>
              <c:strCache>
                <c:ptCount val="1"/>
                <c:pt idx="0">
                  <c:v>運用</c:v>
                </c:pt>
              </c:strCache>
            </c:strRef>
          </c:tx>
          <c:spPr>
            <a:solidFill>
              <a:srgbClr val="FFFFCC"/>
            </a:solidFill>
            <a:ln w="12700">
              <a:solidFill>
                <a:srgbClr val="000000"/>
              </a:solidFill>
              <a:prstDash val="solid"/>
            </a:ln>
          </c:spPr>
          <c:dPt>
            <c:idx val="0"/>
            <c:spPr>
              <a:solidFill>
                <a:srgbClr val="FFFFCC"/>
              </a:solidFill>
              <a:ln w="12700">
                <a:solidFill>
                  <a:srgbClr val="000000"/>
                </a:solidFill>
                <a:prstDash val="sysDash"/>
              </a:ln>
            </c:spPr>
          </c:dPt>
          <c:val>
            <c:numRef>
              <c:f>結果!$U$39:$U$42</c:f>
              <c:numCache>
                <c:formatCode>#,##0;[Red]\-#,##0</c:formatCode>
                <c:ptCount val="4"/>
                <c:pt idx="0">
                  <c:v>0</c:v>
                </c:pt>
                <c:pt idx="1">
                  <c:v>0</c:v>
                </c:pt>
              </c:numCache>
            </c:numRef>
          </c:val>
        </c:ser>
        <c:ser>
          <c:idx val="3"/>
          <c:order val="3"/>
          <c:tx>
            <c:strRef>
              <c:f>結果!$V$38</c:f>
              <c:strCache>
                <c:ptCount val="1"/>
                <c:pt idx="0">
                  <c:v>オンサイト</c:v>
                </c:pt>
              </c:strCache>
            </c:strRef>
          </c:tx>
          <c:spPr>
            <a:solidFill>
              <a:srgbClr val="C0C0C0"/>
            </a:solidFill>
            <a:ln w="12700">
              <a:solidFill>
                <a:srgbClr val="000000"/>
              </a:solidFill>
              <a:prstDash val="solid"/>
            </a:ln>
          </c:spPr>
          <c:val>
            <c:numRef>
              <c:f>結果!$V$39:$V$42</c:f>
              <c:numCache>
                <c:formatCode>General</c:formatCode>
                <c:ptCount val="4"/>
                <c:pt idx="2" formatCode="#,##0;[Red]\-#,##0">
                  <c:v>0</c:v>
                </c:pt>
              </c:numCache>
            </c:numRef>
          </c:val>
        </c:ser>
        <c:ser>
          <c:idx val="4"/>
          <c:order val="4"/>
          <c:tx>
            <c:strRef>
              <c:f>結果!$W$38</c:f>
              <c:strCache>
                <c:ptCount val="1"/>
                <c:pt idx="0">
                  <c:v>オフサイト</c:v>
                </c:pt>
              </c:strCache>
            </c:strRef>
          </c:tx>
          <c:spPr>
            <a:pattFill prst="pct60">
              <a:fgClr>
                <a:srgbClr val="C0C0C0"/>
              </a:fgClr>
              <a:bgClr>
                <a:srgbClr val="FFFFFF"/>
              </a:bgClr>
            </a:pattFill>
            <a:ln w="12700">
              <a:solidFill>
                <a:srgbClr val="000000"/>
              </a:solidFill>
              <a:prstDash val="solid"/>
            </a:ln>
          </c:spPr>
          <c:val>
            <c:numRef>
              <c:f>結果!$W$39:$W$42</c:f>
              <c:numCache>
                <c:formatCode>General</c:formatCode>
                <c:ptCount val="4"/>
                <c:pt idx="3" formatCode="#,##0;[Red]\-#,##0">
                  <c:v>0</c:v>
                </c:pt>
              </c:numCache>
            </c:numRef>
          </c:val>
        </c:ser>
        <c:gapWidth val="50"/>
        <c:overlap val="100"/>
        <c:axId val="96114176"/>
        <c:axId val="96115712"/>
      </c:barChart>
      <c:catAx>
        <c:axId val="96114176"/>
        <c:scaling>
          <c:orientation val="maxMin"/>
        </c:scaling>
        <c:delete val="1"/>
        <c:axPos val="l"/>
        <c:tickLblPos val="none"/>
        <c:crossAx val="96115712"/>
        <c:crosses val="autoZero"/>
        <c:auto val="1"/>
        <c:lblAlgn val="ctr"/>
        <c:lblOffset val="100"/>
      </c:catAx>
      <c:valAx>
        <c:axId val="96115712"/>
        <c:scaling>
          <c:orientation val="minMax"/>
        </c:scaling>
        <c:axPos val="b"/>
        <c:majorGridlines>
          <c:spPr>
            <a:ln w="3175">
              <a:solidFill>
                <a:srgbClr val="000000"/>
              </a:solidFill>
              <a:prstDash val="solid"/>
            </a:ln>
          </c:spPr>
        </c:majorGridlines>
        <c:numFmt formatCode="#,##0" sourceLinked="0"/>
        <c:majorTickMark val="in"/>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6114176"/>
        <c:crosses val="max"/>
        <c:crossBetween val="between"/>
        <c:majorUnit val="46.041617465962091"/>
      </c:valAx>
      <c:spPr>
        <a:noFill/>
        <a:ln w="3175">
          <a:solidFill>
            <a:srgbClr val="000000"/>
          </a:solidFill>
          <a:prstDash val="solid"/>
        </a:ln>
      </c:spPr>
    </c:plotArea>
    <c:legend>
      <c:legendPos val="r"/>
      <c:layout>
        <c:manualLayout>
          <c:xMode val="edge"/>
          <c:yMode val="edge"/>
          <c:x val="3.7878927996744818E-2"/>
          <c:y val="2.7777928482684972E-2"/>
          <c:w val="0.89394270072317683"/>
          <c:h val="7.7778199751517813E-2"/>
        </c:manualLayout>
      </c:layout>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dispBlanksAs val="gap"/>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4517120"/>
        <c:axId val="114518656"/>
      </c:barChart>
      <c:catAx>
        <c:axId val="114517120"/>
        <c:scaling>
          <c:orientation val="minMax"/>
        </c:scaling>
        <c:delete val="1"/>
        <c:axPos val="l"/>
        <c:tickLblPos val="none"/>
        <c:crossAx val="114518656"/>
        <c:crossesAt val="0"/>
        <c:auto val="1"/>
        <c:lblAlgn val="ctr"/>
        <c:lblOffset val="100"/>
      </c:catAx>
      <c:valAx>
        <c:axId val="1145186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5171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4546176"/>
        <c:axId val="114547712"/>
      </c:barChart>
      <c:catAx>
        <c:axId val="114546176"/>
        <c:scaling>
          <c:orientation val="minMax"/>
        </c:scaling>
        <c:delete val="1"/>
        <c:axPos val="l"/>
        <c:tickLblPos val="none"/>
        <c:crossAx val="114547712"/>
        <c:crossesAt val="0"/>
        <c:auto val="1"/>
        <c:lblAlgn val="ctr"/>
        <c:lblOffset val="100"/>
      </c:catAx>
      <c:valAx>
        <c:axId val="11454771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5461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833280"/>
        <c:axId val="114834816"/>
      </c:barChart>
      <c:catAx>
        <c:axId val="114833280"/>
        <c:scaling>
          <c:orientation val="minMax"/>
        </c:scaling>
        <c:delete val="1"/>
        <c:axPos val="l"/>
        <c:tickLblPos val="none"/>
        <c:crossAx val="114834816"/>
        <c:crossesAt val="0"/>
        <c:auto val="1"/>
        <c:lblAlgn val="ctr"/>
        <c:lblOffset val="100"/>
      </c:catAx>
      <c:valAx>
        <c:axId val="1148348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8332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850048"/>
        <c:axId val="114868224"/>
      </c:barChart>
      <c:catAx>
        <c:axId val="114850048"/>
        <c:scaling>
          <c:orientation val="minMax"/>
        </c:scaling>
        <c:delete val="1"/>
        <c:axPos val="l"/>
        <c:tickLblPos val="none"/>
        <c:crossAx val="114868224"/>
        <c:crossesAt val="0"/>
        <c:auto val="1"/>
        <c:lblAlgn val="ctr"/>
        <c:lblOffset val="100"/>
      </c:catAx>
      <c:valAx>
        <c:axId val="1148682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85004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891392"/>
        <c:axId val="114897280"/>
      </c:barChart>
      <c:catAx>
        <c:axId val="114891392"/>
        <c:scaling>
          <c:orientation val="minMax"/>
        </c:scaling>
        <c:delete val="1"/>
        <c:axPos val="l"/>
        <c:tickLblPos val="none"/>
        <c:crossAx val="114897280"/>
        <c:crossesAt val="0"/>
        <c:auto val="1"/>
        <c:lblAlgn val="ctr"/>
        <c:lblOffset val="100"/>
      </c:catAx>
      <c:valAx>
        <c:axId val="11489728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89139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912256"/>
        <c:axId val="114946816"/>
      </c:barChart>
      <c:catAx>
        <c:axId val="114912256"/>
        <c:scaling>
          <c:orientation val="minMax"/>
        </c:scaling>
        <c:delete val="1"/>
        <c:axPos val="l"/>
        <c:tickLblPos val="none"/>
        <c:crossAx val="114946816"/>
        <c:crossesAt val="0"/>
        <c:auto val="1"/>
        <c:lblAlgn val="ctr"/>
        <c:lblOffset val="100"/>
      </c:catAx>
      <c:valAx>
        <c:axId val="1149468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91225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961792"/>
        <c:axId val="114963584"/>
      </c:barChart>
      <c:catAx>
        <c:axId val="114961792"/>
        <c:scaling>
          <c:orientation val="minMax"/>
        </c:scaling>
        <c:delete val="1"/>
        <c:axPos val="l"/>
        <c:tickLblPos val="none"/>
        <c:crossAx val="114963584"/>
        <c:crossesAt val="0"/>
        <c:auto val="1"/>
        <c:lblAlgn val="ctr"/>
        <c:lblOffset val="100"/>
      </c:catAx>
      <c:valAx>
        <c:axId val="11496358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96179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4995200"/>
        <c:axId val="114996736"/>
      </c:barChart>
      <c:catAx>
        <c:axId val="114995200"/>
        <c:scaling>
          <c:orientation val="minMax"/>
        </c:scaling>
        <c:delete val="1"/>
        <c:axPos val="l"/>
        <c:tickLblPos val="none"/>
        <c:crossAx val="114996736"/>
        <c:crossesAt val="0"/>
        <c:auto val="1"/>
        <c:lblAlgn val="ctr"/>
        <c:lblOffset val="100"/>
      </c:catAx>
      <c:valAx>
        <c:axId val="11499673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99520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5020160"/>
        <c:axId val="115021696"/>
      </c:barChart>
      <c:catAx>
        <c:axId val="115020160"/>
        <c:scaling>
          <c:orientation val="minMax"/>
        </c:scaling>
        <c:delete val="1"/>
        <c:axPos val="l"/>
        <c:tickLblPos val="none"/>
        <c:crossAx val="115021696"/>
        <c:crossesAt val="0"/>
        <c:auto val="1"/>
        <c:lblAlgn val="ctr"/>
        <c:lblOffset val="100"/>
      </c:catAx>
      <c:valAx>
        <c:axId val="11502169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02016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5057408"/>
        <c:axId val="115058944"/>
      </c:barChart>
      <c:catAx>
        <c:axId val="115057408"/>
        <c:scaling>
          <c:orientation val="minMax"/>
        </c:scaling>
        <c:delete val="1"/>
        <c:axPos val="l"/>
        <c:tickLblPos val="none"/>
        <c:crossAx val="115058944"/>
        <c:crossesAt val="0"/>
        <c:auto val="1"/>
        <c:lblAlgn val="ctr"/>
        <c:lblOffset val="100"/>
      </c:catAx>
      <c:valAx>
        <c:axId val="11505894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05740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20430161159487251"/>
          <c:y val="0.17088634000188521"/>
          <c:w val="0.58871122288522459"/>
          <c:h val="0.69303904556320084"/>
        </c:manualLayout>
      </c:layout>
      <c:radarChart>
        <c:radarStyle val="filled"/>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結果!$Z$9:$Z$14</c:f>
              <c:numCache>
                <c:formatCode>General</c:formatCode>
                <c:ptCount val="6"/>
                <c:pt idx="0">
                  <c:v>0</c:v>
                </c:pt>
                <c:pt idx="1">
                  <c:v>0</c:v>
                </c:pt>
                <c:pt idx="2">
                  <c:v>0</c:v>
                </c:pt>
                <c:pt idx="3">
                  <c:v>0</c:v>
                </c:pt>
                <c:pt idx="4">
                  <c:v>0</c:v>
                </c:pt>
                <c:pt idx="5">
                  <c:v>0</c:v>
                </c:pt>
              </c:numCache>
            </c:numRef>
          </c:val>
        </c:ser>
        <c:ser>
          <c:idx val="4"/>
          <c:order val="4"/>
          <c:spPr>
            <a:noFill/>
            <a:ln w="12700">
              <a:solidFill>
                <a:srgbClr val="FF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結果!$AA$9:$AA$14</c:f>
              <c:numCache>
                <c:formatCode>General</c:formatCode>
                <c:ptCount val="6"/>
                <c:pt idx="0">
                  <c:v>3</c:v>
                </c:pt>
                <c:pt idx="1">
                  <c:v>3</c:v>
                </c:pt>
                <c:pt idx="2">
                  <c:v>3</c:v>
                </c:pt>
                <c:pt idx="3">
                  <c:v>3</c:v>
                </c:pt>
                <c:pt idx="4">
                  <c:v>3</c:v>
                </c:pt>
                <c:pt idx="5">
                  <c:v>3</c:v>
                </c:pt>
              </c:numCache>
            </c:numRef>
          </c:val>
        </c:ser>
        <c:axId val="96375936"/>
        <c:axId val="96378240"/>
      </c:radarChart>
      <c:catAx>
        <c:axId val="96375936"/>
        <c:scaling>
          <c:orientation val="minMax"/>
        </c:scaling>
        <c:axPos val="b"/>
        <c:majorGridlines>
          <c:spPr>
            <a:ln w="3175">
              <a:solidFill>
                <a:srgbClr val="000000"/>
              </a:solidFill>
              <a:prstDash val="solid"/>
            </a:ln>
          </c:spPr>
        </c:majorGridlines>
        <c:numFmt formatCode="General" sourceLinked="1"/>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96378240"/>
        <c:crosses val="autoZero"/>
        <c:lblAlgn val="ctr"/>
        <c:lblOffset val="100"/>
      </c:catAx>
      <c:valAx>
        <c:axId val="96378240"/>
        <c:scaling>
          <c:orientation val="minMax"/>
          <c:max val="5"/>
          <c:min val="1"/>
        </c:scaling>
        <c:axPos val="l"/>
        <c:majorGridlines>
          <c:spPr>
            <a:ln w="3175">
              <a:solidFill>
                <a:srgbClr val="000000"/>
              </a:solidFill>
              <a:prstDash val="solid"/>
            </a:ln>
          </c:spPr>
        </c:majorGridlines>
        <c:numFmt formatCode="#,##0_);[Red]\(#,##0\)" sourceLinked="0"/>
        <c:majorTickMark val="cross"/>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6375936"/>
        <c:crosses val="autoZero"/>
        <c:crossBetween val="between"/>
        <c:majorUnit val="1"/>
      </c:valAx>
      <c:spPr>
        <a:noFill/>
        <a:ln w="25400">
          <a:noFill/>
        </a:ln>
      </c:spPr>
    </c:plotArea>
    <c:dispBlanksAs val="gap"/>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5074176"/>
        <c:axId val="115075712"/>
      </c:barChart>
      <c:catAx>
        <c:axId val="115074176"/>
        <c:scaling>
          <c:orientation val="minMax"/>
        </c:scaling>
        <c:delete val="1"/>
        <c:axPos val="l"/>
        <c:tickLblPos val="none"/>
        <c:crossAx val="115075712"/>
        <c:crossesAt val="0"/>
        <c:auto val="1"/>
        <c:lblAlgn val="ctr"/>
        <c:lblOffset val="100"/>
      </c:catAx>
      <c:valAx>
        <c:axId val="11507571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0741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08492288"/>
        <c:axId val="108493824"/>
      </c:barChart>
      <c:catAx>
        <c:axId val="108492288"/>
        <c:scaling>
          <c:orientation val="minMax"/>
        </c:scaling>
        <c:delete val="1"/>
        <c:axPos val="l"/>
        <c:tickLblPos val="none"/>
        <c:crossAx val="108493824"/>
        <c:crossesAt val="0"/>
        <c:auto val="1"/>
        <c:lblAlgn val="ctr"/>
        <c:lblOffset val="100"/>
      </c:catAx>
      <c:valAx>
        <c:axId val="1084938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0849228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099520"/>
        <c:axId val="115101056"/>
      </c:barChart>
      <c:catAx>
        <c:axId val="115099520"/>
        <c:scaling>
          <c:orientation val="minMax"/>
        </c:scaling>
        <c:delete val="1"/>
        <c:axPos val="l"/>
        <c:tickLblPos val="none"/>
        <c:crossAx val="115101056"/>
        <c:crossesAt val="0"/>
        <c:auto val="1"/>
        <c:lblAlgn val="ctr"/>
        <c:lblOffset val="100"/>
      </c:catAx>
      <c:valAx>
        <c:axId val="1151010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0995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124480"/>
        <c:axId val="115130368"/>
      </c:barChart>
      <c:catAx>
        <c:axId val="115124480"/>
        <c:scaling>
          <c:orientation val="minMax"/>
        </c:scaling>
        <c:delete val="1"/>
        <c:axPos val="l"/>
        <c:tickLblPos val="none"/>
        <c:crossAx val="115130368"/>
        <c:crossesAt val="0"/>
        <c:auto val="1"/>
        <c:lblAlgn val="ctr"/>
        <c:lblOffset val="100"/>
      </c:catAx>
      <c:valAx>
        <c:axId val="11513036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1244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145344"/>
        <c:axId val="115155328"/>
      </c:barChart>
      <c:catAx>
        <c:axId val="115145344"/>
        <c:scaling>
          <c:orientation val="minMax"/>
        </c:scaling>
        <c:delete val="1"/>
        <c:axPos val="l"/>
        <c:tickLblPos val="none"/>
        <c:crossAx val="115155328"/>
        <c:crossesAt val="0"/>
        <c:auto val="1"/>
        <c:lblAlgn val="ctr"/>
        <c:lblOffset val="100"/>
      </c:catAx>
      <c:valAx>
        <c:axId val="11515532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14534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178496"/>
        <c:axId val="115188480"/>
      </c:barChart>
      <c:catAx>
        <c:axId val="115178496"/>
        <c:scaling>
          <c:orientation val="minMax"/>
        </c:scaling>
        <c:delete val="1"/>
        <c:axPos val="l"/>
        <c:tickLblPos val="none"/>
        <c:crossAx val="115188480"/>
        <c:crossesAt val="0"/>
        <c:auto val="1"/>
        <c:lblAlgn val="ctr"/>
        <c:lblOffset val="100"/>
      </c:catAx>
      <c:valAx>
        <c:axId val="11518848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17849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195264"/>
        <c:axId val="115213440"/>
      </c:barChart>
      <c:catAx>
        <c:axId val="115195264"/>
        <c:scaling>
          <c:orientation val="minMax"/>
        </c:scaling>
        <c:delete val="1"/>
        <c:axPos val="l"/>
        <c:tickLblPos val="none"/>
        <c:crossAx val="115213440"/>
        <c:crossesAt val="0"/>
        <c:auto val="1"/>
        <c:lblAlgn val="ctr"/>
        <c:lblOffset val="100"/>
      </c:catAx>
      <c:valAx>
        <c:axId val="11521344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19526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245056"/>
        <c:axId val="115246592"/>
      </c:barChart>
      <c:catAx>
        <c:axId val="115245056"/>
        <c:scaling>
          <c:orientation val="minMax"/>
        </c:scaling>
        <c:delete val="1"/>
        <c:axPos val="l"/>
        <c:tickLblPos val="none"/>
        <c:crossAx val="115246592"/>
        <c:crossesAt val="0"/>
        <c:auto val="1"/>
        <c:lblAlgn val="ctr"/>
        <c:lblOffset val="100"/>
      </c:catAx>
      <c:valAx>
        <c:axId val="11524659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24505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270016"/>
        <c:axId val="115271552"/>
      </c:barChart>
      <c:catAx>
        <c:axId val="115270016"/>
        <c:scaling>
          <c:orientation val="minMax"/>
        </c:scaling>
        <c:delete val="1"/>
        <c:axPos val="l"/>
        <c:tickLblPos val="none"/>
        <c:crossAx val="115271552"/>
        <c:crossesAt val="0"/>
        <c:auto val="1"/>
        <c:lblAlgn val="ctr"/>
        <c:lblOffset val="100"/>
      </c:catAx>
      <c:valAx>
        <c:axId val="11527155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27001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376896"/>
        <c:axId val="115378432"/>
      </c:barChart>
      <c:catAx>
        <c:axId val="115376896"/>
        <c:scaling>
          <c:orientation val="minMax"/>
        </c:scaling>
        <c:delete val="1"/>
        <c:axPos val="l"/>
        <c:tickLblPos val="none"/>
        <c:crossAx val="115378432"/>
        <c:crossesAt val="0"/>
        <c:auto val="1"/>
        <c:lblAlgn val="ctr"/>
        <c:lblOffset val="100"/>
      </c:catAx>
      <c:valAx>
        <c:axId val="11537843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37689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891E-2"/>
          <c:y val="8.4337597472695897E-2"/>
          <c:w val="0.90462555408004763"/>
          <c:h val="0.72289369262310921"/>
        </c:manualLayout>
      </c:layout>
      <c:barChart>
        <c:barDir val="col"/>
        <c:grouping val="clustered"/>
        <c:ser>
          <c:idx val="0"/>
          <c:order val="0"/>
          <c:spPr>
            <a:solidFill>
              <a:srgbClr val="FFFF99"/>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結果!$R$48:$R$51</c:f>
              <c:strCache>
                <c:ptCount val="4"/>
                <c:pt idx="0">
                  <c:v>音環境</c:v>
                </c:pt>
                <c:pt idx="1">
                  <c:v>温熱環境</c:v>
                </c:pt>
                <c:pt idx="2">
                  <c:v>光・視環境</c:v>
                </c:pt>
                <c:pt idx="3">
                  <c:v>空気質環境</c:v>
                </c:pt>
              </c:strCache>
            </c:strRef>
          </c:cat>
          <c:val>
            <c:numRef>
              <c:f>結果!$S$48:$S$51</c:f>
              <c:numCache>
                <c:formatCode>0.0;_Ā</c:formatCode>
                <c:ptCount val="4"/>
                <c:pt idx="0">
                  <c:v>0</c:v>
                </c:pt>
                <c:pt idx="1">
                  <c:v>0</c:v>
                </c:pt>
                <c:pt idx="2">
                  <c:v>0</c:v>
                </c:pt>
                <c:pt idx="3">
                  <c:v>0</c:v>
                </c:pt>
              </c:numCache>
            </c:numRef>
          </c:val>
        </c:ser>
        <c:dLbls>
          <c:showVal val="1"/>
        </c:dLbls>
        <c:gapWidth val="40"/>
        <c:axId val="96379264"/>
        <c:axId val="96380800"/>
      </c:barChart>
      <c:catAx>
        <c:axId val="96379264"/>
        <c:scaling>
          <c:orientation val="minMax"/>
        </c:scaling>
        <c:axPos val="b"/>
        <c:numFmt formatCode="General" sourceLinked="1"/>
        <c:majorTickMark val="none"/>
        <c:tickLblPos val="none"/>
        <c:spPr>
          <a:ln w="3175">
            <a:solidFill>
              <a:srgbClr val="000000"/>
            </a:solidFill>
            <a:prstDash val="solid"/>
          </a:ln>
        </c:spPr>
        <c:crossAx val="96380800"/>
        <c:crossesAt val="0"/>
        <c:auto val="1"/>
        <c:lblAlgn val="ctr"/>
        <c:lblOffset val="100"/>
        <c:tickMarkSkip val="1"/>
      </c:catAx>
      <c:valAx>
        <c:axId val="96380800"/>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379264"/>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283072"/>
        <c:axId val="115284608"/>
      </c:barChart>
      <c:catAx>
        <c:axId val="115283072"/>
        <c:scaling>
          <c:orientation val="minMax"/>
        </c:scaling>
        <c:delete val="1"/>
        <c:axPos val="l"/>
        <c:tickLblPos val="none"/>
        <c:crossAx val="115284608"/>
        <c:crossesAt val="0"/>
        <c:auto val="1"/>
        <c:lblAlgn val="ctr"/>
        <c:lblOffset val="100"/>
      </c:catAx>
      <c:valAx>
        <c:axId val="11528460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28307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316224"/>
        <c:axId val="115317760"/>
      </c:barChart>
      <c:catAx>
        <c:axId val="115316224"/>
        <c:scaling>
          <c:orientation val="minMax"/>
        </c:scaling>
        <c:delete val="1"/>
        <c:axPos val="l"/>
        <c:tickLblPos val="none"/>
        <c:crossAx val="115317760"/>
        <c:crossesAt val="0"/>
        <c:auto val="1"/>
        <c:lblAlgn val="ctr"/>
        <c:lblOffset val="100"/>
      </c:catAx>
      <c:valAx>
        <c:axId val="1153177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3162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410336667876948E-2"/>
          <c:w val="0.95641265127366559"/>
          <c:h val="0.88462646016701929"/>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独自ｼｽﾃﾑ!$Q$17</c:f>
              <c:numCache>
                <c:formatCode>General</c:formatCode>
                <c:ptCount val="1"/>
                <c:pt idx="0">
                  <c:v>0</c:v>
                </c:pt>
              </c:numCache>
            </c:numRef>
          </c:val>
        </c:ser>
        <c:gapWidth val="0"/>
        <c:axId val="115332992"/>
        <c:axId val="115334528"/>
      </c:barChart>
      <c:catAx>
        <c:axId val="115332992"/>
        <c:scaling>
          <c:orientation val="minMax"/>
        </c:scaling>
        <c:delete val="1"/>
        <c:axPos val="l"/>
        <c:tickLblPos val="none"/>
        <c:crossAx val="115334528"/>
        <c:crossesAt val="0"/>
        <c:auto val="1"/>
        <c:lblAlgn val="ctr"/>
        <c:lblOffset val="100"/>
      </c:catAx>
      <c:valAx>
        <c:axId val="11533452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332992"/>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6667534733525172E-2"/>
          <c:w val="0.95641265127366559"/>
          <c:h val="0.89334496542923736"/>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独自ｼｽﾃﾑ!$Q$20</c:f>
              <c:numCache>
                <c:formatCode>General</c:formatCode>
                <c:ptCount val="1"/>
                <c:pt idx="0">
                  <c:v>0</c:v>
                </c:pt>
              </c:numCache>
            </c:numRef>
          </c:val>
        </c:ser>
        <c:gapWidth val="0"/>
        <c:axId val="115439872"/>
        <c:axId val="115445760"/>
      </c:barChart>
      <c:catAx>
        <c:axId val="115439872"/>
        <c:scaling>
          <c:orientation val="minMax"/>
        </c:scaling>
        <c:delete val="1"/>
        <c:axPos val="l"/>
        <c:tickLblPos val="none"/>
        <c:crossAx val="115445760"/>
        <c:crossesAt val="0"/>
        <c:auto val="1"/>
        <c:lblAlgn val="ctr"/>
        <c:lblOffset val="100"/>
      </c:catAx>
      <c:valAx>
        <c:axId val="1154457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439872"/>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6667534733525172E-2"/>
          <c:w val="0.95641265127366559"/>
          <c:h val="0.89334496542923736"/>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独自ｼｽﾃﾑ!$Q$23</c:f>
              <c:numCache>
                <c:formatCode>General</c:formatCode>
                <c:ptCount val="1"/>
                <c:pt idx="0">
                  <c:v>0</c:v>
                </c:pt>
              </c:numCache>
            </c:numRef>
          </c:val>
        </c:ser>
        <c:gapWidth val="0"/>
        <c:axId val="115452544"/>
        <c:axId val="115466624"/>
      </c:barChart>
      <c:catAx>
        <c:axId val="115452544"/>
        <c:scaling>
          <c:orientation val="minMax"/>
        </c:scaling>
        <c:delete val="1"/>
        <c:axPos val="l"/>
        <c:tickLblPos val="none"/>
        <c:crossAx val="115466624"/>
        <c:crossesAt val="0"/>
        <c:auto val="1"/>
        <c:lblAlgn val="ctr"/>
        <c:lblOffset val="100"/>
      </c:catAx>
      <c:valAx>
        <c:axId val="1154666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452544"/>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4337597472695897E-2"/>
          <c:w val="0.91639871382636651"/>
          <c:h val="0.72891780672830064"/>
        </c:manualLayout>
      </c:layout>
      <c:barChart>
        <c:barDir val="col"/>
        <c:grouping val="clustered"/>
        <c:ser>
          <c:idx val="0"/>
          <c:order val="0"/>
          <c:spPr>
            <a:solidFill>
              <a:srgbClr val="FFFF99"/>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結果!$U$48:$U$50</c:f>
              <c:strCache>
                <c:ptCount val="3"/>
                <c:pt idx="0">
                  <c:v>機能性</c:v>
                </c:pt>
                <c:pt idx="1">
                  <c:v>耐用性・信頼性</c:v>
                </c:pt>
                <c:pt idx="2">
                  <c:v>対応性･更新性</c:v>
                </c:pt>
              </c:strCache>
            </c:strRef>
          </c:cat>
          <c:val>
            <c:numRef>
              <c:f>結果!$V$48:$V$50</c:f>
              <c:numCache>
                <c:formatCode>0.0_ </c:formatCode>
                <c:ptCount val="3"/>
                <c:pt idx="0">
                  <c:v>0</c:v>
                </c:pt>
                <c:pt idx="1">
                  <c:v>0</c:v>
                </c:pt>
                <c:pt idx="2">
                  <c:v>0</c:v>
                </c:pt>
              </c:numCache>
            </c:numRef>
          </c:val>
        </c:ser>
        <c:dLbls>
          <c:showVal val="1"/>
        </c:dLbls>
        <c:gapWidth val="70"/>
        <c:axId val="96499968"/>
        <c:axId val="96636928"/>
      </c:barChart>
      <c:catAx>
        <c:axId val="96499968"/>
        <c:scaling>
          <c:orientation val="minMax"/>
        </c:scaling>
        <c:axPos val="b"/>
        <c:numFmt formatCode="General" sourceLinked="1"/>
        <c:majorTickMark val="none"/>
        <c:tickLblPos val="none"/>
        <c:spPr>
          <a:ln w="3175">
            <a:solidFill>
              <a:srgbClr val="000000"/>
            </a:solidFill>
            <a:prstDash val="solid"/>
          </a:ln>
        </c:spPr>
        <c:crossAx val="96636928"/>
        <c:crossesAt val="0"/>
        <c:auto val="1"/>
        <c:lblAlgn val="ctr"/>
        <c:lblOffset val="100"/>
        <c:tickMarkSkip val="1"/>
      </c:catAx>
      <c:valAx>
        <c:axId val="96636928"/>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499968"/>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4337597472695897E-2"/>
          <c:w val="0.91639871382636651"/>
          <c:h val="0.72891780672830064"/>
        </c:manualLayout>
      </c:layout>
      <c:barChart>
        <c:barDir val="col"/>
        <c:grouping val="clustered"/>
        <c:ser>
          <c:idx val="0"/>
          <c:order val="0"/>
          <c:spPr>
            <a:solidFill>
              <a:srgbClr val="FFFF99"/>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結果!$X$48:$X$50</c:f>
              <c:strCache>
                <c:ptCount val="3"/>
                <c:pt idx="0">
                  <c:v>生物資源</c:v>
                </c:pt>
                <c:pt idx="1">
                  <c:v>まちなみ景観</c:v>
                </c:pt>
                <c:pt idx="2">
                  <c:v>地域性・文化</c:v>
                </c:pt>
              </c:strCache>
            </c:strRef>
          </c:cat>
          <c:val>
            <c:numRef>
              <c:f>結果!$Y$48:$Y$50</c:f>
              <c:numCache>
                <c:formatCode>0.0_ </c:formatCode>
                <c:ptCount val="3"/>
                <c:pt idx="0">
                  <c:v>3</c:v>
                </c:pt>
                <c:pt idx="1">
                  <c:v>3</c:v>
                </c:pt>
                <c:pt idx="2">
                  <c:v>0</c:v>
                </c:pt>
              </c:numCache>
            </c:numRef>
          </c:val>
        </c:ser>
        <c:dLbls>
          <c:showVal val="1"/>
        </c:dLbls>
        <c:gapWidth val="70"/>
        <c:axId val="96641792"/>
        <c:axId val="96654848"/>
      </c:barChart>
      <c:catAx>
        <c:axId val="96641792"/>
        <c:scaling>
          <c:orientation val="minMax"/>
        </c:scaling>
        <c:axPos val="b"/>
        <c:numFmt formatCode="General" sourceLinked="1"/>
        <c:majorTickMark val="none"/>
        <c:tickLblPos val="none"/>
        <c:spPr>
          <a:ln w="3175">
            <a:solidFill>
              <a:srgbClr val="000000"/>
            </a:solidFill>
            <a:prstDash val="solid"/>
          </a:ln>
        </c:spPr>
        <c:crossAx val="96654848"/>
        <c:crossesAt val="0"/>
        <c:auto val="1"/>
        <c:lblAlgn val="ctr"/>
        <c:lblOffset val="100"/>
        <c:tickMarkSkip val="1"/>
      </c:catAx>
      <c:valAx>
        <c:axId val="96654848"/>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641792"/>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891E-2"/>
          <c:y val="8.4337597472695897E-2"/>
          <c:w val="0.90462555408004763"/>
          <c:h val="0.72289369262310921"/>
        </c:manualLayout>
      </c:layout>
      <c:barChart>
        <c:barDir val="col"/>
        <c:grouping val="clustered"/>
        <c:ser>
          <c:idx val="0"/>
          <c:order val="0"/>
          <c:spPr>
            <a:solidFill>
              <a:srgbClr val="99CC00"/>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結果!$R$59:$R$62</c:f>
              <c:strCache>
                <c:ptCount val="4"/>
                <c:pt idx="0">
                  <c:v>熱負荷抑制</c:v>
                </c:pt>
                <c:pt idx="1">
                  <c:v>自然ｴﾈﾙｷﾞｰ</c:v>
                </c:pt>
                <c:pt idx="2">
                  <c:v>設備の効率的利用</c:v>
                </c:pt>
                <c:pt idx="3">
                  <c:v>運用ﾏﾈｼﾞﾒﾝﾄ</c:v>
                </c:pt>
              </c:strCache>
            </c:strRef>
          </c:cat>
          <c:val>
            <c:numRef>
              <c:f>結果!$S$59:$S$62</c:f>
              <c:numCache>
                <c:formatCode>#,##0.0;[Red]\-#,##0.0</c:formatCode>
                <c:ptCount val="4"/>
                <c:pt idx="0">
                  <c:v>0</c:v>
                </c:pt>
                <c:pt idx="1">
                  <c:v>0</c:v>
                </c:pt>
                <c:pt idx="2">
                  <c:v>0</c:v>
                </c:pt>
                <c:pt idx="3">
                  <c:v>0</c:v>
                </c:pt>
              </c:numCache>
            </c:numRef>
          </c:val>
        </c:ser>
        <c:dLbls>
          <c:showVal val="1"/>
        </c:dLbls>
        <c:gapWidth val="40"/>
        <c:axId val="96598656"/>
        <c:axId val="97931264"/>
      </c:barChart>
      <c:catAx>
        <c:axId val="96598656"/>
        <c:scaling>
          <c:orientation val="minMax"/>
        </c:scaling>
        <c:axPos val="b"/>
        <c:numFmt formatCode="General" sourceLinked="1"/>
        <c:majorTickMark val="none"/>
        <c:tickLblPos val="none"/>
        <c:spPr>
          <a:ln w="3175">
            <a:solidFill>
              <a:srgbClr val="000000"/>
            </a:solidFill>
            <a:prstDash val="solid"/>
          </a:ln>
        </c:spPr>
        <c:crossAx val="97931264"/>
        <c:crossesAt val="0"/>
        <c:auto val="1"/>
        <c:lblAlgn val="ctr"/>
        <c:lblOffset val="100"/>
        <c:tickMarkSkip val="1"/>
      </c:catAx>
      <c:valAx>
        <c:axId val="97931264"/>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598656"/>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trlProps/ctrlProp1.xml><?xml version="1.0" encoding="utf-8"?>
<formControlPr xmlns="http://schemas.microsoft.com/office/spreadsheetml/2009/9/main" objectType="Radio" checked="Checked" firstButton="1" fmlaLink="$O$3"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fmlaLink="$Q$88"/>
</file>

<file path=xl/ctrlProps/ctrlProp25.xml><?xml version="1.0" encoding="utf-8"?>
<formControlPr xmlns="http://schemas.microsoft.com/office/spreadsheetml/2009/9/main" objectType="CheckBox" fmlaLink="$Q$89"/>
</file>

<file path=xl/ctrlProps/ctrlProp26.xml><?xml version="1.0" encoding="utf-8"?>
<formControlPr xmlns="http://schemas.microsoft.com/office/spreadsheetml/2009/9/main" objectType="CheckBox" checked="Checked" fmlaLink="$Q$90"/>
</file>

<file path=xl/ctrlProps/ctrlProp27.xml><?xml version="1.0" encoding="utf-8"?>
<formControlPr xmlns="http://schemas.microsoft.com/office/spreadsheetml/2009/9/main" objectType="CheckBox" fmlaLink="$Q$91"/>
</file>

<file path=xl/ctrlProps/ctrlProp28.xml><?xml version="1.0" encoding="utf-8"?>
<formControlPr xmlns="http://schemas.microsoft.com/office/spreadsheetml/2009/9/main" objectType="CheckBox" fmlaLink="$Q$92"/>
</file>

<file path=xl/ctrlProps/ctrlProp29.xml><?xml version="1.0" encoding="utf-8"?>
<formControlPr xmlns="http://schemas.microsoft.com/office/spreadsheetml/2009/9/main" objectType="CheckBox" fmlaLink="$Q$93"/>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3" Type="http://schemas.openxmlformats.org/officeDocument/2006/relationships/image" Target="../media/image20.png"/><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55" Type="http://schemas.openxmlformats.org/officeDocument/2006/relationships/chart" Target="../charts/chart53.xml"/><Relationship Id="rId63" Type="http://schemas.openxmlformats.org/officeDocument/2006/relationships/chart" Target="../charts/chart61.xml"/><Relationship Id="rId7" Type="http://schemas.openxmlformats.org/officeDocument/2006/relationships/image" Target="../media/image14.png"/><Relationship Id="rId2" Type="http://schemas.openxmlformats.org/officeDocument/2006/relationships/image" Target="../media/image9.png"/><Relationship Id="rId16" Type="http://schemas.openxmlformats.org/officeDocument/2006/relationships/chart" Target="../charts/chart14.xml"/><Relationship Id="rId20" Type="http://schemas.openxmlformats.org/officeDocument/2006/relationships/chart" Target="../charts/chart18.xml"/><Relationship Id="rId29" Type="http://schemas.openxmlformats.org/officeDocument/2006/relationships/chart" Target="../charts/chart27.xml"/><Relationship Id="rId41" Type="http://schemas.openxmlformats.org/officeDocument/2006/relationships/chart" Target="../charts/chart39.xml"/><Relationship Id="rId54" Type="http://schemas.openxmlformats.org/officeDocument/2006/relationships/chart" Target="../charts/chart52.xml"/><Relationship Id="rId62" Type="http://schemas.openxmlformats.org/officeDocument/2006/relationships/chart" Target="../charts/chart60.xml"/><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8" Type="http://schemas.openxmlformats.org/officeDocument/2006/relationships/chart" Target="../charts/chart56.xml"/><Relationship Id="rId66" Type="http://schemas.openxmlformats.org/officeDocument/2006/relationships/chart" Target="../charts/chart64.xml"/><Relationship Id="rId5" Type="http://schemas.openxmlformats.org/officeDocument/2006/relationships/image" Target="../media/image12.png"/><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 Id="rId57" Type="http://schemas.openxmlformats.org/officeDocument/2006/relationships/chart" Target="../charts/chart55.xml"/><Relationship Id="rId61" Type="http://schemas.openxmlformats.org/officeDocument/2006/relationships/chart" Target="../charts/chart59.xml"/><Relationship Id="rId10" Type="http://schemas.openxmlformats.org/officeDocument/2006/relationships/image" Target="../media/image17.png"/><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60" Type="http://schemas.openxmlformats.org/officeDocument/2006/relationships/chart" Target="../charts/chart58.xml"/><Relationship Id="rId65" Type="http://schemas.openxmlformats.org/officeDocument/2006/relationships/chart" Target="../charts/chart63.xml"/><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56" Type="http://schemas.openxmlformats.org/officeDocument/2006/relationships/chart" Target="../charts/chart54.xml"/><Relationship Id="rId64" Type="http://schemas.openxmlformats.org/officeDocument/2006/relationships/chart" Target="../charts/chart62.xml"/><Relationship Id="rId8" Type="http://schemas.openxmlformats.org/officeDocument/2006/relationships/image" Target="../media/image15.png"/><Relationship Id="rId51" Type="http://schemas.openxmlformats.org/officeDocument/2006/relationships/chart" Target="../charts/chart49.xml"/><Relationship Id="rId3" Type="http://schemas.openxmlformats.org/officeDocument/2006/relationships/image" Target="../media/image10.png"/><Relationship Id="rId12" Type="http://schemas.openxmlformats.org/officeDocument/2006/relationships/image" Target="../media/image19.png"/><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59"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7.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xdr:col>
      <xdr:colOff>114300</xdr:colOff>
      <xdr:row>0</xdr:row>
      <xdr:rowOff>0</xdr:rowOff>
    </xdr:from>
    <xdr:to>
      <xdr:col>5</xdr:col>
      <xdr:colOff>542926</xdr:colOff>
      <xdr:row>3</xdr:row>
      <xdr:rowOff>19050</xdr:rowOff>
    </xdr:to>
    <xdr:sp macro="" textlink="">
      <xdr:nvSpPr>
        <xdr:cNvPr id="13" name="Text Box 20"/>
        <xdr:cNvSpPr txBox="1">
          <a:spLocks noChangeArrowheads="1"/>
        </xdr:cNvSpPr>
      </xdr:nvSpPr>
      <xdr:spPr bwMode="auto">
        <a:xfrm>
          <a:off x="3048000" y="0"/>
          <a:ext cx="2743201" cy="742950"/>
        </a:xfrm>
        <a:prstGeom prst="rect">
          <a:avLst/>
        </a:prstGeom>
        <a:noFill/>
        <a:ln>
          <a:noFill/>
        </a:ln>
        <a:extLst/>
      </xdr:spPr>
      <xdr:txBody>
        <a:bodyPr vertOverflow="clip" wrap="square" lIns="73152" tIns="45720" rIns="0" bIns="0" anchor="t" upright="1"/>
        <a:lstStyle/>
        <a:p>
          <a:pPr algn="l" rtl="0">
            <a:defRPr sz="1000"/>
          </a:pPr>
          <a:r>
            <a:rPr lang="ja-JP" altLang="en-US" sz="4400" b="0" i="0" u="none" strike="noStrike" baseline="0">
              <a:solidFill>
                <a:srgbClr val="008000"/>
              </a:solidFill>
              <a:latin typeface="HGSｺﾞｼｯｸE" pitchFamily="50" charset="-128"/>
              <a:ea typeface="HGSｺﾞｼｯｸE" pitchFamily="50" charset="-128"/>
            </a:rPr>
            <a:t>京都</a:t>
          </a:r>
          <a:r>
            <a:rPr lang="en-US" altLang="ja-JP" sz="4400" b="0" i="0" u="none" strike="noStrike" baseline="0">
              <a:solidFill>
                <a:srgbClr val="008000"/>
              </a:solidFill>
              <a:latin typeface="HGSｺﾞｼｯｸE" pitchFamily="50" charset="-128"/>
              <a:ea typeface="HGSｺﾞｼｯｸE" pitchFamily="50" charset="-128"/>
            </a:rPr>
            <a:t>-</a:t>
          </a:r>
          <a:r>
            <a:rPr lang="ja-JP" altLang="en-US" sz="4400" b="0" i="0" u="none" strike="noStrike" baseline="0">
              <a:solidFill>
                <a:srgbClr val="008000"/>
              </a:solidFill>
              <a:latin typeface="HGSｺﾞｼｯｸE" pitchFamily="50" charset="-128"/>
              <a:ea typeface="HGSｺﾞｼｯｸE" pitchFamily="50" charset="-128"/>
            </a:rPr>
            <a:t>既存</a:t>
          </a:r>
        </a:p>
      </xdr:txBody>
    </xdr:sp>
    <xdr:clientData/>
  </xdr:twoCellAnchor>
  <xdr:twoCellAnchor editAs="oneCell">
    <xdr:from>
      <xdr:col>1</xdr:col>
      <xdr:colOff>342900</xdr:colOff>
      <xdr:row>1</xdr:row>
      <xdr:rowOff>9525</xdr:rowOff>
    </xdr:from>
    <xdr:to>
      <xdr:col>3</xdr:col>
      <xdr:colOff>133350</xdr:colOff>
      <xdr:row>2</xdr:row>
      <xdr:rowOff>190500</xdr:rowOff>
    </xdr:to>
    <xdr:pic>
      <xdr:nvPicPr>
        <xdr:cNvPr id="14"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0" y="180975"/>
          <a:ext cx="2590800" cy="45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0.12219</cdr:x>
      <cdr:y>0.66265</cdr:y>
    </cdr:from>
    <cdr:to>
      <cdr:x>0.3119</cdr:x>
      <cdr:y>0.80723</cdr:y>
    </cdr:to>
    <cdr:sp macro="" textlink="結果!$Z$59">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1">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11</xdr:col>
      <xdr:colOff>561975</xdr:colOff>
      <xdr:row>102</xdr:row>
      <xdr:rowOff>9525</xdr:rowOff>
    </xdr:from>
    <xdr:to>
      <xdr:col>13</xdr:col>
      <xdr:colOff>561975</xdr:colOff>
      <xdr:row>106</xdr:row>
      <xdr:rowOff>0</xdr:rowOff>
    </xdr:to>
    <xdr:sp macro="" textlink="">
      <xdr:nvSpPr>
        <xdr:cNvPr id="2" name="Rectangle 170"/>
        <xdr:cNvSpPr>
          <a:spLocks noChangeArrowheads="1"/>
        </xdr:cNvSpPr>
      </xdr:nvSpPr>
      <xdr:spPr bwMode="auto">
        <a:xfrm>
          <a:off x="8229600" y="16792575"/>
          <a:ext cx="1343025" cy="600075"/>
        </a:xfrm>
        <a:prstGeom prst="rect">
          <a:avLst/>
        </a:prstGeom>
        <a:solidFill>
          <a:srgbClr val="CCFFFF"/>
        </a:solidFill>
        <a:ln w="9525" algn="ctr">
          <a:solidFill>
            <a:srgbClr val="000000"/>
          </a:solidFill>
          <a:miter lim="800000"/>
          <a:headEnd/>
          <a:tailEnd/>
        </a:ln>
      </xdr:spPr>
    </xdr:sp>
    <xdr:clientData/>
  </xdr:twoCellAnchor>
  <xdr:twoCellAnchor>
    <xdr:from>
      <xdr:col>4</xdr:col>
      <xdr:colOff>590550</xdr:colOff>
      <xdr:row>102</xdr:row>
      <xdr:rowOff>9525</xdr:rowOff>
    </xdr:from>
    <xdr:to>
      <xdr:col>7</xdr:col>
      <xdr:colOff>314325</xdr:colOff>
      <xdr:row>106</xdr:row>
      <xdr:rowOff>142875</xdr:rowOff>
    </xdr:to>
    <xdr:sp macro="" textlink="">
      <xdr:nvSpPr>
        <xdr:cNvPr id="3" name="Rectangle 170"/>
        <xdr:cNvSpPr>
          <a:spLocks noChangeArrowheads="1"/>
        </xdr:cNvSpPr>
      </xdr:nvSpPr>
      <xdr:spPr bwMode="auto">
        <a:xfrm>
          <a:off x="3333750" y="17097375"/>
          <a:ext cx="1343025" cy="742950"/>
        </a:xfrm>
        <a:prstGeom prst="rect">
          <a:avLst/>
        </a:prstGeom>
        <a:solidFill>
          <a:srgbClr val="CCFFFF"/>
        </a:solidFill>
        <a:ln w="9525" algn="ctr">
          <a:solidFill>
            <a:srgbClr val="000000"/>
          </a:solidFill>
          <a:miter lim="800000"/>
          <a:headEnd/>
          <a:tailEnd/>
        </a:ln>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4"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5"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6"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7"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8"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9"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0"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1"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2"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3"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4"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5"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6"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7"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8"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9"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0"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1"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2"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3"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4"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5"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6"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7"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8"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29" name="グラフ 8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30" name="グラフ 106"/>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31" name="グラフ 107"/>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266700</xdr:colOff>
      <xdr:row>0</xdr:row>
      <xdr:rowOff>57150</xdr:rowOff>
    </xdr:from>
    <xdr:to>
      <xdr:col>9</xdr:col>
      <xdr:colOff>523875</xdr:colOff>
      <xdr:row>5</xdr:row>
      <xdr:rowOff>47625</xdr:rowOff>
    </xdr:to>
    <xdr:pic>
      <xdr:nvPicPr>
        <xdr:cNvPr id="32" name="Text Box 20"/>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009900" y="57150"/>
          <a:ext cx="3276600" cy="752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350745</xdr:colOff>
      <xdr:row>108</xdr:row>
      <xdr:rowOff>7844</xdr:rowOff>
    </xdr:from>
    <xdr:to>
      <xdr:col>7</xdr:col>
      <xdr:colOff>549089</xdr:colOff>
      <xdr:row>109</xdr:row>
      <xdr:rowOff>2802</xdr:rowOff>
    </xdr:to>
    <xdr:pic>
      <xdr:nvPicPr>
        <xdr:cNvPr id="34" name="Rectangle 171"/>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328833" y="18284638"/>
          <a:ext cx="590550" cy="14735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935691</xdr:colOff>
      <xdr:row>108</xdr:row>
      <xdr:rowOff>7844</xdr:rowOff>
    </xdr:from>
    <xdr:to>
      <xdr:col>3</xdr:col>
      <xdr:colOff>166968</xdr:colOff>
      <xdr:row>109</xdr:row>
      <xdr:rowOff>7845</xdr:rowOff>
    </xdr:to>
    <xdr:pic>
      <xdr:nvPicPr>
        <xdr:cNvPr id="35" name="Rectangle 170"/>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361515" y="18284638"/>
          <a:ext cx="598394" cy="1568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1</xdr:row>
      <xdr:rowOff>9525</xdr:rowOff>
    </xdr:from>
    <xdr:to>
      <xdr:col>13</xdr:col>
      <xdr:colOff>85725</xdr:colOff>
      <xdr:row>6</xdr:row>
      <xdr:rowOff>123825</xdr:rowOff>
    </xdr:to>
    <xdr:pic>
      <xdr:nvPicPr>
        <xdr:cNvPr id="36" name="テキスト ボックス 112"/>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610350" y="161925"/>
          <a:ext cx="2486025"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37" name="正方形/長方形 113"/>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38" name="正方形/長方形 114"/>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142875</xdr:colOff>
      <xdr:row>1</xdr:row>
      <xdr:rowOff>95250</xdr:rowOff>
    </xdr:from>
    <xdr:to>
      <xdr:col>4</xdr:col>
      <xdr:colOff>571500</xdr:colOff>
      <xdr:row>4</xdr:row>
      <xdr:rowOff>142875</xdr:rowOff>
    </xdr:to>
    <xdr:pic>
      <xdr:nvPicPr>
        <xdr:cNvPr id="39" name="図 97"/>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361950" y="247650"/>
          <a:ext cx="2952750" cy="504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40"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1"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42"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3"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4"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45"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6"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7"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8"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9"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50"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1"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52"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3"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54"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5"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6"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57"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8"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59"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60"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61"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62"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63"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64"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65" name="グラフ 8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66" name="グラフ 106"/>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67" name="グラフ 107"/>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68" name="正方形/長方形 113"/>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69" name="正方形/長方形 114"/>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70"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71"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72"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73"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74"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75"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76"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77"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78"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79"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80"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81"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82"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83"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84"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85"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86"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87"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88"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89"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90"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91"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92"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93"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94"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95" name="グラフ 8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96" name="グラフ 106"/>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97" name="グラフ 107"/>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98" name="正方形/長方形 113"/>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99" name="正方形/長方形 114"/>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100"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01"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02"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03"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04"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05"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06"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07"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08"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09"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10"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11"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12"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13"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14"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15"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16"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17"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18"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19"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20"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21"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22"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23"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24"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125" name="グラフ 8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126" name="グラフ 106"/>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127" name="グラフ 107"/>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128" name="正方形/長方形 113"/>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129" name="正方形/長方形 114"/>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130"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31"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32"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33"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34"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35"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36"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37"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38"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39"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40"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41"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42"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43"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44"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45"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46"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47"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48"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49"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50"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51"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52"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53"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54"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155" name="グラフ 86"/>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156" name="グラフ 106"/>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157" name="グラフ 107"/>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160" name="正方形/長方形 113"/>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161" name="正方形/長方形 114"/>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16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6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64"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65"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6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6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6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69"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70"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71"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7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7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74"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75"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7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7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78"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79"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80"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8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8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83"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184"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85"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18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187" name="グラフ 8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188" name="グラフ 106"/>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189" name="グラフ 107"/>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190" name="正方形/長方形 113"/>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191" name="正方形/長方形 114"/>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19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9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94"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95"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9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9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9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99"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00"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01"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0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0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04"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05"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0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0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08"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09"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10"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1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1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13"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14"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15"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1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217" name="グラフ 8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218" name="グラフ 106"/>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219" name="グラフ 107"/>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220" name="正方形/長方形 113"/>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221" name="正方形/長方形 114"/>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22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2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224"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25"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2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22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2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29"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30"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31"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3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3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34"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35"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3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3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38"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39"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40"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4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4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43"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44"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45"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4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247" name="グラフ 8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248" name="グラフ 106"/>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249" name="グラフ 107"/>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250" name="正方形/長方形 113"/>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251" name="正方形/長方形 114"/>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25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5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254"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55"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5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25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5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59"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60"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61"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6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6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64"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65"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6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6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68"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69"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70"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7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7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73"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74"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75"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7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277" name="グラフ 8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278" name="グラフ 106"/>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279" name="グラフ 107"/>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280" name="正方形/長方形 113"/>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281" name="正方形/長方形 114"/>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28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8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284"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85"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8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28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8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289"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90"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91"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9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9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94"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95"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9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9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98"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99"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00"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0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0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03"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04"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05"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0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307" name="グラフ 86"/>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308" name="グラフ 106"/>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309" name="グラフ 107"/>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310" name="正方形/長方形 113"/>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311" name="正方形/長方形 114"/>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31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1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314"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15"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1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31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1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19"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20"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21"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2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2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24"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25"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2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2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28"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29"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30"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3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3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33"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34"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35"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3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337" name="グラフ 86"/>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338" name="グラフ 106"/>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339" name="グラフ 107"/>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340" name="正方形/長方形 113"/>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341" name="正方形/長方形 114"/>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34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4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344"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45"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4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34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4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49"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50"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51"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5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5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54"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55"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5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5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58"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59"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60"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6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6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63"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64"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65"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6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367" name="グラフ 86"/>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368" name="グラフ 106"/>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369" name="グラフ 107"/>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370" name="正方形/長方形 113"/>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371" name="正方形/長方形 114"/>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37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7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374"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75"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7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37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7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79"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80"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81"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8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8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84"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85"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8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8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88"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89"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90"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9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9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93"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394"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95"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9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397" name="グラフ 86"/>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398" name="グラフ 106"/>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399" name="グラフ 107"/>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400" name="正方形/長方形 113"/>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401" name="正方形/長方形 114"/>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40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0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404"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05"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0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40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0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09"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10"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11"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1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1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14"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15"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1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1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18"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19"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20"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2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2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23"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24"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25"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2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504825</xdr:colOff>
      <xdr:row>14</xdr:row>
      <xdr:rowOff>180975</xdr:rowOff>
    </xdr:from>
    <xdr:to>
      <xdr:col>13</xdr:col>
      <xdr:colOff>133350</xdr:colOff>
      <xdr:row>18</xdr:row>
      <xdr:rowOff>19050</xdr:rowOff>
    </xdr:to>
    <xdr:pic>
      <xdr:nvPicPr>
        <xdr:cNvPr id="427" name="グラフ 86"/>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5429250" y="2562225"/>
          <a:ext cx="3714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17</xdr:row>
      <xdr:rowOff>152400</xdr:rowOff>
    </xdr:from>
    <xdr:to>
      <xdr:col>13</xdr:col>
      <xdr:colOff>133350</xdr:colOff>
      <xdr:row>20</xdr:row>
      <xdr:rowOff>152400</xdr:rowOff>
    </xdr:to>
    <xdr:pic>
      <xdr:nvPicPr>
        <xdr:cNvPr id="428" name="グラフ 106"/>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429250" y="3267075"/>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504825</xdr:colOff>
      <xdr:row>20</xdr:row>
      <xdr:rowOff>152400</xdr:rowOff>
    </xdr:from>
    <xdr:to>
      <xdr:col>13</xdr:col>
      <xdr:colOff>133350</xdr:colOff>
      <xdr:row>23</xdr:row>
      <xdr:rowOff>152400</xdr:rowOff>
    </xdr:to>
    <xdr:pic>
      <xdr:nvPicPr>
        <xdr:cNvPr id="429" name="グラフ 107"/>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5429250" y="3981450"/>
          <a:ext cx="37147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238125</xdr:colOff>
      <xdr:row>1</xdr:row>
      <xdr:rowOff>38100</xdr:rowOff>
    </xdr:from>
    <xdr:to>
      <xdr:col>10</xdr:col>
      <xdr:colOff>314325</xdr:colOff>
      <xdr:row>6</xdr:row>
      <xdr:rowOff>9525</xdr:rowOff>
    </xdr:to>
    <xdr:pic>
      <xdr:nvPicPr>
        <xdr:cNvPr id="430" name="正方形/長方形 113"/>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943725"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133350</xdr:colOff>
      <xdr:row>1</xdr:row>
      <xdr:rowOff>38100</xdr:rowOff>
    </xdr:from>
    <xdr:to>
      <xdr:col>12</xdr:col>
      <xdr:colOff>209550</xdr:colOff>
      <xdr:row>6</xdr:row>
      <xdr:rowOff>9525</xdr:rowOff>
    </xdr:to>
    <xdr:pic>
      <xdr:nvPicPr>
        <xdr:cNvPr id="431" name="正方形/長方形 114"/>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743950" y="190500"/>
          <a:ext cx="762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133350</xdr:colOff>
      <xdr:row>22</xdr:row>
      <xdr:rowOff>0</xdr:rowOff>
    </xdr:from>
    <xdr:to>
      <xdr:col>14</xdr:col>
      <xdr:colOff>133350</xdr:colOff>
      <xdr:row>22</xdr:row>
      <xdr:rowOff>0</xdr:rowOff>
    </xdr:to>
    <xdr:sp macro="" textlink="">
      <xdr:nvSpPr>
        <xdr:cNvPr id="432" name="Rectangle 2"/>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33" name="Rectangle 3"/>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43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435"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436"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37"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438"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133350</xdr:colOff>
      <xdr:row>22</xdr:row>
      <xdr:rowOff>0</xdr:rowOff>
    </xdr:from>
    <xdr:to>
      <xdr:col>14</xdr:col>
      <xdr:colOff>133350</xdr:colOff>
      <xdr:row>22</xdr:row>
      <xdr:rowOff>0</xdr:rowOff>
    </xdr:to>
    <xdr:sp macro="" textlink="">
      <xdr:nvSpPr>
        <xdr:cNvPr id="439" name="Rectangle 9"/>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40" name="Rectangle 10"/>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441"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442"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443"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44"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445"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446" name="Rectangle 16"/>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447" name="Rectangle 17"/>
        <xdr:cNvSpPr>
          <a:spLocks noChangeArrowheads="1"/>
        </xdr:cNvSpPr>
      </xdr:nvSpPr>
      <xdr:spPr bwMode="auto">
        <a:xfrm>
          <a:off x="9715500" y="41719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48" name="Rectangle 18"/>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449"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450"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451"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52"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453"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454" name="Rectangle 24"/>
        <xdr:cNvSpPr>
          <a:spLocks noChangeArrowheads="1"/>
        </xdr:cNvSpPr>
      </xdr:nvSpPr>
      <xdr:spPr bwMode="auto">
        <a:xfrm>
          <a:off x="8610600" y="417195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55" name="Rectangle 25"/>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56" name="Rectangle 26"/>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57"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58"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59"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60"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461"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462" name="Rectangle 3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63" name="Rectangle 3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64"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65"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66"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67"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468"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469" name="Rectangle 40"/>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70" name="Rectangle 4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71" name="グラフ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72"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73"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74"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475" name="グラフ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476" name="Rectangle 47"/>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77" name="Rectangle 48"/>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78"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79" name="グラフ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80" name="グラフ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81" name="グラフ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482" name="グラフ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483" name="Rectangle 54"/>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84" name="Rectangle 56"/>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85" name="Rectangle 57"/>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86" name="グラフ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87" name="グラフ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88" name="グラフ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89"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490"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491" name="Rectangle 64"/>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92" name="Rectangle 65"/>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93" name="グラフ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94"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95" name="グラフ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96" name="グラフ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497" name="グラフ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498" name="Rectangle 7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499" name="Rectangle 72"/>
        <xdr:cNvSpPr>
          <a:spLocks noChangeArrowheads="1"/>
        </xdr:cNvSpPr>
      </xdr:nvSpPr>
      <xdr:spPr bwMode="auto">
        <a:xfrm>
          <a:off x="9715500" y="47148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00" name="Rectangle 73"/>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501" name="グラフ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502" name="グラフ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03" name="グラフ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04"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505"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506" name="Rectangle 81"/>
        <xdr:cNvSpPr>
          <a:spLocks noChangeArrowheads="1"/>
        </xdr:cNvSpPr>
      </xdr:nvSpPr>
      <xdr:spPr bwMode="auto">
        <a:xfrm>
          <a:off x="8610600" y="471487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8</xdr:col>
      <xdr:colOff>504825</xdr:colOff>
      <xdr:row>14</xdr:row>
      <xdr:rowOff>180975</xdr:rowOff>
    </xdr:from>
    <xdr:to>
      <xdr:col>13</xdr:col>
      <xdr:colOff>133350</xdr:colOff>
      <xdr:row>18</xdr:row>
      <xdr:rowOff>19050</xdr:rowOff>
    </xdr:to>
    <xdr:graphicFrame macro="">
      <xdr:nvGraphicFramePr>
        <xdr:cNvPr id="507"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8</xdr:col>
      <xdr:colOff>504825</xdr:colOff>
      <xdr:row>17</xdr:row>
      <xdr:rowOff>152400</xdr:rowOff>
    </xdr:from>
    <xdr:to>
      <xdr:col>13</xdr:col>
      <xdr:colOff>133350</xdr:colOff>
      <xdr:row>20</xdr:row>
      <xdr:rowOff>152400</xdr:rowOff>
    </xdr:to>
    <xdr:graphicFrame macro="">
      <xdr:nvGraphicFramePr>
        <xdr:cNvPr id="508" name="グラフ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8</xdr:col>
      <xdr:colOff>504825</xdr:colOff>
      <xdr:row>20</xdr:row>
      <xdr:rowOff>152400</xdr:rowOff>
    </xdr:from>
    <xdr:to>
      <xdr:col>13</xdr:col>
      <xdr:colOff>133350</xdr:colOff>
      <xdr:row>23</xdr:row>
      <xdr:rowOff>152400</xdr:rowOff>
    </xdr:to>
    <xdr:graphicFrame macro="">
      <xdr:nvGraphicFramePr>
        <xdr:cNvPr id="509" name="グラフ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10</xdr:col>
      <xdr:colOff>237761</xdr:colOff>
      <xdr:row>1</xdr:row>
      <xdr:rowOff>44335</xdr:rowOff>
    </xdr:from>
    <xdr:to>
      <xdr:col>10</xdr:col>
      <xdr:colOff>317176</xdr:colOff>
      <xdr:row>6</xdr:row>
      <xdr:rowOff>9743</xdr:rowOff>
    </xdr:to>
    <xdr:sp macro="" textlink="">
      <xdr:nvSpPr>
        <xdr:cNvPr id="510" name="正方形/長方形 509"/>
        <xdr:cNvSpPr/>
      </xdr:nvSpPr>
      <xdr:spPr>
        <a:xfrm>
          <a:off x="6943361" y="196735"/>
          <a:ext cx="79415" cy="67025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133495</xdr:colOff>
      <xdr:row>1</xdr:row>
      <xdr:rowOff>41899</xdr:rowOff>
    </xdr:from>
    <xdr:to>
      <xdr:col>12</xdr:col>
      <xdr:colOff>212910</xdr:colOff>
      <xdr:row>6</xdr:row>
      <xdr:rowOff>7307</xdr:rowOff>
    </xdr:to>
    <xdr:sp macro="" textlink="">
      <xdr:nvSpPr>
        <xdr:cNvPr id="511" name="正方形/長方形 510"/>
        <xdr:cNvSpPr/>
      </xdr:nvSpPr>
      <xdr:spPr>
        <a:xfrm>
          <a:off x="8744095" y="194299"/>
          <a:ext cx="79415" cy="67025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14653</xdr:colOff>
      <xdr:row>4</xdr:row>
      <xdr:rowOff>234463</xdr:rowOff>
    </xdr:from>
    <xdr:to>
      <xdr:col>5</xdr:col>
      <xdr:colOff>688730</xdr:colOff>
      <xdr:row>7</xdr:row>
      <xdr:rowOff>0</xdr:rowOff>
    </xdr:to>
    <xdr:sp macro="" textlink="">
      <xdr:nvSpPr>
        <xdr:cNvPr id="2" name="テキスト ボックス 1"/>
        <xdr:cNvSpPr txBox="1"/>
      </xdr:nvSpPr>
      <xdr:spPr>
        <a:xfrm>
          <a:off x="700453" y="958363"/>
          <a:ext cx="6760552" cy="508487"/>
        </a:xfrm>
        <a:prstGeom prst="rect">
          <a:avLst/>
        </a:prstGeom>
        <a:solidFill>
          <a:schemeClr val="accent2">
            <a:lumMod val="40000"/>
            <a:lumOff val="60000"/>
            <a:alpha val="30000"/>
          </a:schemeClr>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ctr"/>
        <a:lstStyle/>
        <a:p>
          <a:pPr algn="ctr"/>
          <a:r>
            <a:rPr kumimoji="1" lang="ja-JP" altLang="en-US" sz="1600" u="none">
              <a:solidFill>
                <a:srgbClr val="FF0000"/>
              </a:solidFill>
            </a:rPr>
            <a:t>                                      </a:t>
          </a:r>
          <a:endParaRPr kumimoji="1" lang="ja-JP" altLang="en-US" sz="1600" u="dbl">
            <a:solidFill>
              <a:srgbClr val="FF0000"/>
            </a:solidFill>
          </a:endParaRPr>
        </a:p>
      </xdr:txBody>
    </xdr:sp>
    <xdr:clientData/>
  </xdr:twoCellAnchor>
  <xdr:twoCellAnchor>
    <xdr:from>
      <xdr:col>4</xdr:col>
      <xdr:colOff>1047750</xdr:colOff>
      <xdr:row>5</xdr:row>
      <xdr:rowOff>29307</xdr:rowOff>
    </xdr:from>
    <xdr:to>
      <xdr:col>4</xdr:col>
      <xdr:colOff>2571750</xdr:colOff>
      <xdr:row>6</xdr:row>
      <xdr:rowOff>212480</xdr:rowOff>
    </xdr:to>
    <xdr:sp macro="" textlink="">
      <xdr:nvSpPr>
        <xdr:cNvPr id="3" name="正方形/長方形 2"/>
        <xdr:cNvSpPr/>
      </xdr:nvSpPr>
      <xdr:spPr>
        <a:xfrm>
          <a:off x="4905375" y="1000857"/>
          <a:ext cx="1524000" cy="43082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a:solidFill>
                <a:schemeClr val="tx1"/>
              </a:solidFill>
            </a:rPr>
            <a:t>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a:t>
          </a:r>
          <a:r>
            <a:rPr lang="en-US" altLang="ja-JP" sz="1100" b="0" i="0" baseline="0">
              <a:effectLst/>
              <a:latin typeface="+mn-ea"/>
              <a:ea typeface="+mn-ea"/>
              <a:cs typeface="+mn-cs"/>
            </a:rPr>
            <a:t>CASBEE</a:t>
          </a:r>
          <a:r>
            <a:rPr lang="ja-JP" altLang="ja-JP" sz="1100" b="0" i="0" baseline="0">
              <a:effectLst/>
              <a:latin typeface="+mn-ea"/>
              <a:ea typeface="+mn-ea"/>
              <a:cs typeface="+mn-cs"/>
            </a:rPr>
            <a:t>京都</a:t>
          </a:r>
          <a:r>
            <a:rPr lang="en-US" altLang="ja-JP" sz="1100" b="0" i="0" baseline="0">
              <a:effectLst/>
              <a:latin typeface="+mn-ea"/>
              <a:ea typeface="+mn-ea"/>
              <a:cs typeface="+mn-cs"/>
            </a:rPr>
            <a:t>-</a:t>
          </a:r>
          <a:r>
            <a:rPr lang="ja-JP" altLang="ja-JP" sz="1100" b="0" i="0" baseline="0">
              <a:effectLst/>
              <a:latin typeface="+mn-ea"/>
              <a:ea typeface="+mn-ea"/>
              <a:cs typeface="+mn-cs"/>
            </a:rPr>
            <a:t>既存（建築版）　評価ソフト</a:t>
          </a:r>
          <a:endParaRPr lang="ja-JP" altLang="en-US" sz="1100" b="0" i="0" u="none" strike="noStrike" baseline="0">
            <a:solidFill>
              <a:srgbClr val="000000"/>
            </a:solidFill>
            <a:latin typeface="+mn-ea"/>
            <a:ea typeface="+mn-ea"/>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rtl="0"/>
          <a:r>
            <a:rPr lang="ja-JP" altLang="en-US" sz="1100" b="0" i="0" u="none" strike="noStrike" baseline="0">
              <a:solidFill>
                <a:srgbClr val="000000"/>
              </a:solidFill>
              <a:latin typeface="ＭＳ Ｐゴシック"/>
              <a:ea typeface="ＭＳ Ｐゴシック"/>
            </a:rPr>
            <a:t>       </a:t>
          </a:r>
          <a:r>
            <a:rPr lang="en-US" altLang="ja-JP" sz="1100" b="0" i="0" baseline="0">
              <a:effectLst/>
              <a:latin typeface="+mn-ea"/>
              <a:ea typeface="+mn-ea"/>
              <a:cs typeface="+mn-cs"/>
            </a:rPr>
            <a:t>CASBEEkyoto-EB_2015v1.0</a:t>
          </a:r>
        </a:p>
        <a:p>
          <a:pPr rtl="0"/>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rPr>
            <a:t>2015</a:t>
          </a:r>
          <a:r>
            <a:rPr kumimoji="0" lang="ja-JP" altLang="en-US" sz="1100" b="0" i="0" u="none" strike="noStrike" kern="0" cap="none" spc="0" normalizeH="0" baseline="0" noProof="0">
              <a:ln>
                <a:noFill/>
              </a:ln>
              <a:solidFill>
                <a:sysClr val="windowText" lastClr="000000"/>
              </a:solidFill>
              <a:effectLst/>
              <a:uLnTx/>
              <a:uFillTx/>
              <a:latin typeface="ＭＳ Ｐゴシック"/>
              <a:ea typeface="+mn-ea"/>
              <a:cs typeface="+mn-cs"/>
            </a:rPr>
            <a:t>年 </a:t>
          </a:r>
          <a:r>
            <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rPr>
            <a:t>4</a:t>
          </a:r>
          <a:r>
            <a:rPr kumimoji="0" lang="ja-JP" altLang="en-US" sz="1100" b="0" i="0" u="none" strike="noStrike" kern="0" cap="none" spc="0" normalizeH="0" baseline="0" noProof="0">
              <a:ln>
                <a:noFill/>
              </a:ln>
              <a:solidFill>
                <a:sysClr val="windowText" lastClr="000000"/>
              </a:solidFill>
              <a:effectLst/>
              <a:uLnTx/>
              <a:uFillTx/>
              <a:latin typeface="ＭＳ Ｐゴシック"/>
              <a:ea typeface="+mn-ea"/>
              <a:cs typeface="+mn-cs"/>
            </a:rPr>
            <a:t>月発行</a:t>
          </a:r>
          <a:endPar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kumimoji="0" lang="ja-JP" altLang="en-US" sz="1100" b="0" i="0" u="none" strike="noStrike" kern="0" cap="none" spc="0" normalizeH="0" baseline="0" noProof="0">
              <a:ln>
                <a:noFill/>
              </a:ln>
              <a:solidFill>
                <a:sysClr val="windowText" lastClr="000000"/>
              </a:solidFill>
              <a:effectLst/>
              <a:uLnTx/>
              <a:uFillTx/>
              <a:latin typeface="ＭＳ Ｐゴシック"/>
              <a:ea typeface="+mn-ea"/>
              <a:cs typeface="+mn-cs"/>
            </a:rPr>
            <a:t>発行　　京都市都市計画局建築指導部建築審査課</a:t>
          </a:r>
          <a:r>
            <a:rPr lang="ja-JP" altLang="en-US" sz="1100" b="0" i="0" u="none" strike="noStrike" baseline="0">
              <a:solidFill>
                <a:srgbClr val="000000"/>
              </a:solidFill>
              <a:latin typeface="ＭＳ Ｐゴシック"/>
              <a:ea typeface="ＭＳ Ｐゴシック"/>
            </a:rPr>
            <a:t>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marL="0" marR="0" lvl="0" indent="0" algn="l" defTabSz="914400" rtl="0" eaLnBrk="1" fontAlgn="auto" latinLnBrk="0" hangingPunct="1">
            <a:lnSpc>
              <a:spcPts val="12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　　　　　</a:t>
          </a:r>
          <a:r>
            <a:rPr kumimoji="0" lang="ja-JP" altLang="en-US" sz="1100" b="0" i="0" u="none" strike="noStrike" kern="0" cap="none" spc="0" normalizeH="0" baseline="0" noProof="0">
              <a:ln>
                <a:noFill/>
              </a:ln>
              <a:solidFill>
                <a:sysClr val="windowText" lastClr="000000"/>
              </a:solidFill>
              <a:effectLst/>
              <a:uLnTx/>
              <a:uFillTx/>
              <a:latin typeface="ＭＳ Ｐゴシック"/>
              <a:ea typeface="+mn-ea"/>
              <a:cs typeface="+mn-cs"/>
            </a:rPr>
            <a:t>京都市都市計画局建築指導部建築審査課</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ysClr val="windowText" lastClr="000000"/>
              </a:solidFill>
              <a:effectLst/>
              <a:uLnTx/>
              <a:uFillTx/>
              <a:latin typeface="ＭＳ Ｐゴシック"/>
              <a:ea typeface="+mn-ea"/>
              <a:cs typeface="+mn-cs"/>
            </a:rPr>
            <a:t>　　　	〒</a:t>
          </a:r>
          <a:r>
            <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rPr>
            <a:t>604-8571</a:t>
          </a:r>
          <a:r>
            <a:rPr kumimoji="0" lang="ja-JP" altLang="en-US" sz="1100" b="0" i="0" u="none" strike="noStrike" kern="0" cap="none" spc="0" normalizeH="0" baseline="0" noProof="0">
              <a:ln>
                <a:noFill/>
              </a:ln>
              <a:solidFill>
                <a:sysClr val="windowText" lastClr="000000"/>
              </a:solidFill>
              <a:effectLst/>
              <a:uLnTx/>
              <a:uFillTx/>
              <a:latin typeface="ＭＳ Ｐゴシック"/>
              <a:ea typeface="+mn-ea"/>
              <a:cs typeface="+mn-cs"/>
            </a:rPr>
            <a:t>　京都府京都市中京区寺町通御池上ル上本能寺前町４８８</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ysClr val="windowText" lastClr="000000"/>
              </a:solidFill>
              <a:effectLst/>
              <a:uLnTx/>
              <a:uFillTx/>
              <a:latin typeface="ＭＳ Ｐゴシック"/>
              <a:ea typeface="+mn-ea"/>
              <a:cs typeface="+mn-cs"/>
            </a:rPr>
            <a:t>	ＴＥＬ　　</a:t>
          </a:r>
          <a:r>
            <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rPr>
            <a:t>075-222-3616</a:t>
          </a:r>
          <a:r>
            <a:rPr kumimoji="0" lang="ja-JP" altLang="en-US" sz="1100" b="0" i="0" u="none" strike="noStrike" kern="0" cap="none" spc="0" normalizeH="0" baseline="0" noProof="0">
              <a:ln>
                <a:noFill/>
              </a:ln>
              <a:solidFill>
                <a:sysClr val="windowText" lastClr="000000"/>
              </a:solidFill>
              <a:effectLst/>
              <a:uLnTx/>
              <a:uFillTx/>
              <a:latin typeface="ＭＳ Ｐゴシック"/>
              <a:ea typeface="+mn-ea"/>
              <a:cs typeface="+mn-cs"/>
            </a:rPr>
            <a:t>　　ＦＡＸ　　</a:t>
          </a:r>
          <a:r>
            <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rPr>
            <a:t>075-212-3657</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rPr>
            <a:t>	</a:t>
          </a:r>
          <a:r>
            <a:rPr lang="en-US" altLang="ja-JP" sz="1100" b="0" i="0" baseline="0">
              <a:latin typeface="+mj-ea"/>
              <a:ea typeface="+mj-ea"/>
              <a:cs typeface="+mn-cs"/>
            </a:rPr>
            <a:t>URL  http://www.city.kyoto.lg.jp/tokei/soshiki/9-3-2-0-0.html </a:t>
          </a:r>
          <a:r>
            <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rPr>
            <a:t/>
          </a:r>
          <a:br>
            <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rPr>
          </a:br>
          <a:r>
            <a:rPr kumimoji="0" lang="en-US" altLang="ja-JP" sz="1100" b="0" i="0" u="none" strike="noStrike" kern="0" cap="none" spc="0" normalizeH="0" baseline="0" noProof="0">
              <a:ln>
                <a:noFill/>
              </a:ln>
              <a:solidFill>
                <a:sysClr val="windowText" lastClr="000000"/>
              </a:solidFill>
              <a:effectLst/>
              <a:uLnTx/>
              <a:uFillTx/>
              <a:latin typeface="ＭＳ Ｐゴシック"/>
              <a:ea typeface="+mn-ea"/>
              <a:cs typeface="+mn-cs"/>
            </a:rPr>
            <a:t>                     </a:t>
          </a: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a:t>
          </a:r>
          <a:r>
            <a:rPr lang="en-US" altLang="ja-JP" sz="1100" b="0" i="0" baseline="0">
              <a:effectLst/>
              <a:latin typeface="+mn-ea"/>
              <a:ea typeface="+mn-ea"/>
              <a:cs typeface="+mn-cs"/>
            </a:rPr>
            <a:t>CASBEE</a:t>
          </a:r>
          <a:r>
            <a:rPr lang="ja-JP" altLang="ja-JP" sz="1100" b="0" i="0" baseline="0">
              <a:effectLst/>
              <a:latin typeface="+mn-ea"/>
              <a:ea typeface="+mn-ea"/>
              <a:cs typeface="+mn-cs"/>
            </a:rPr>
            <a:t>京都</a:t>
          </a:r>
          <a:r>
            <a:rPr lang="en-US" altLang="ja-JP" sz="1100" b="0" i="0" baseline="0">
              <a:effectLst/>
              <a:latin typeface="+mn-ea"/>
              <a:ea typeface="+mn-ea"/>
              <a:cs typeface="+mn-cs"/>
            </a:rPr>
            <a:t>-</a:t>
          </a:r>
          <a:r>
            <a:rPr lang="ja-JP" altLang="ja-JP" sz="1100" b="0" i="0" baseline="0">
              <a:effectLst/>
              <a:latin typeface="+mn-ea"/>
              <a:ea typeface="+mn-ea"/>
              <a:cs typeface="+mn-cs"/>
            </a:rPr>
            <a:t>既存　評価ソフト</a:t>
          </a:r>
          <a:r>
            <a:rPr lang="ja-JP" altLang="en-US" sz="1100" b="0" i="0" u="none" strike="noStrike" baseline="0">
              <a:solidFill>
                <a:srgbClr val="000000"/>
              </a:solidFill>
              <a:latin typeface="ＭＳ Ｐゴシック"/>
              <a:ea typeface="ＭＳ Ｐゴシック"/>
            </a:rPr>
            <a:t>」は、Microsoft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56</xdr:row>
      <xdr:rowOff>85725</xdr:rowOff>
    </xdr:from>
    <xdr:to>
      <xdr:col>6</xdr:col>
      <xdr:colOff>435300</xdr:colOff>
      <xdr:row>56</xdr:row>
      <xdr:rowOff>85725</xdr:rowOff>
    </xdr:to>
    <xdr:cxnSp macro="">
      <xdr:nvCxnSpPr>
        <xdr:cNvPr id="111" name="直線コネクタ 110"/>
        <xdr:cNvCxnSpPr/>
      </xdr:nvCxnSpPr>
      <xdr:spPr>
        <a:xfrm>
          <a:off x="314325" y="10601325"/>
          <a:ext cx="298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409575</xdr:colOff>
      <xdr:row>56</xdr:row>
      <xdr:rowOff>57150</xdr:rowOff>
    </xdr:from>
    <xdr:to>
      <xdr:col>14</xdr:col>
      <xdr:colOff>652125</xdr:colOff>
      <xdr:row>56</xdr:row>
      <xdr:rowOff>57150</xdr:rowOff>
    </xdr:to>
    <xdr:cxnSp macro="">
      <xdr:nvCxnSpPr>
        <xdr:cNvPr id="108" name="直線コネクタ 107"/>
        <xdr:cNvCxnSpPr/>
      </xdr:nvCxnSpPr>
      <xdr:spPr>
        <a:xfrm>
          <a:off x="7124700" y="10572750"/>
          <a:ext cx="2700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428625</xdr:colOff>
      <xdr:row>56</xdr:row>
      <xdr:rowOff>66675</xdr:rowOff>
    </xdr:from>
    <xdr:to>
      <xdr:col>10</xdr:col>
      <xdr:colOff>716700</xdr:colOff>
      <xdr:row>56</xdr:row>
      <xdr:rowOff>66675</xdr:rowOff>
    </xdr:to>
    <xdr:cxnSp macro="">
      <xdr:nvCxnSpPr>
        <xdr:cNvPr id="109" name="直線コネクタ 108"/>
        <xdr:cNvCxnSpPr/>
      </xdr:nvCxnSpPr>
      <xdr:spPr>
        <a:xfrm>
          <a:off x="3790950" y="10582275"/>
          <a:ext cx="2736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419100</xdr:colOff>
      <xdr:row>45</xdr:row>
      <xdr:rowOff>57150</xdr:rowOff>
    </xdr:from>
    <xdr:to>
      <xdr:col>14</xdr:col>
      <xdr:colOff>661650</xdr:colOff>
      <xdr:row>45</xdr:row>
      <xdr:rowOff>57150</xdr:rowOff>
    </xdr:to>
    <xdr:cxnSp macro="">
      <xdr:nvCxnSpPr>
        <xdr:cNvPr id="107" name="直線コネクタ 106"/>
        <xdr:cNvCxnSpPr/>
      </xdr:nvCxnSpPr>
      <xdr:spPr>
        <a:xfrm>
          <a:off x="7134225" y="8429625"/>
          <a:ext cx="2700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447675</xdr:colOff>
      <xdr:row>45</xdr:row>
      <xdr:rowOff>47625</xdr:rowOff>
    </xdr:from>
    <xdr:to>
      <xdr:col>10</xdr:col>
      <xdr:colOff>699750</xdr:colOff>
      <xdr:row>45</xdr:row>
      <xdr:rowOff>47625</xdr:rowOff>
    </xdr:to>
    <xdr:cxnSp macro="">
      <xdr:nvCxnSpPr>
        <xdr:cNvPr id="4" name="直線コネクタ 3"/>
        <xdr:cNvCxnSpPr/>
      </xdr:nvCxnSpPr>
      <xdr:spPr>
        <a:xfrm>
          <a:off x="3810000" y="8420100"/>
          <a:ext cx="2700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45</xdr:row>
      <xdr:rowOff>57150</xdr:rowOff>
    </xdr:from>
    <xdr:to>
      <xdr:col>6</xdr:col>
      <xdr:colOff>454350</xdr:colOff>
      <xdr:row>45</xdr:row>
      <xdr:rowOff>57150</xdr:rowOff>
    </xdr:to>
    <xdr:cxnSp macro="">
      <xdr:nvCxnSpPr>
        <xdr:cNvPr id="110" name="直線コネクタ 109"/>
        <xdr:cNvCxnSpPr/>
      </xdr:nvCxnSpPr>
      <xdr:spPr>
        <a:xfrm>
          <a:off x="333375" y="8429625"/>
          <a:ext cx="298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619125</xdr:colOff>
      <xdr:row>22</xdr:row>
      <xdr:rowOff>0</xdr:rowOff>
    </xdr:from>
    <xdr:to>
      <xdr:col>6</xdr:col>
      <xdr:colOff>485775</xdr:colOff>
      <xdr:row>26</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22</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24</xdr:row>
      <xdr:rowOff>180975</xdr:rowOff>
    </xdr:from>
    <xdr:to>
      <xdr:col>7</xdr:col>
      <xdr:colOff>9525</xdr:colOff>
      <xdr:row>26</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25</xdr:row>
      <xdr:rowOff>0</xdr:rowOff>
    </xdr:from>
    <xdr:to>
      <xdr:col>11</xdr:col>
      <xdr:colOff>228600</xdr:colOff>
      <xdr:row>26</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21</xdr:row>
      <xdr:rowOff>219075</xdr:rowOff>
    </xdr:from>
    <xdr:to>
      <xdr:col>10</xdr:col>
      <xdr:colOff>485775</xdr:colOff>
      <xdr:row>25</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133350</xdr:colOff>
      <xdr:row>24</xdr:row>
      <xdr:rowOff>180975</xdr:rowOff>
    </xdr:from>
    <xdr:to>
      <xdr:col>6</xdr:col>
      <xdr:colOff>114300</xdr:colOff>
      <xdr:row>37</xdr:row>
      <xdr:rowOff>123825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790575</xdr:colOff>
      <xdr:row>26</xdr:row>
      <xdr:rowOff>47625</xdr:rowOff>
    </xdr:from>
    <xdr:to>
      <xdr:col>10</xdr:col>
      <xdr:colOff>857250</xdr:colOff>
      <xdr:row>35</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38100</xdr:rowOff>
    </xdr:from>
    <xdr:to>
      <xdr:col>8</xdr:col>
      <xdr:colOff>209550</xdr:colOff>
      <xdr:row>28</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28</xdr:row>
      <xdr:rowOff>161925</xdr:rowOff>
    </xdr:from>
    <xdr:to>
      <xdr:col>8</xdr:col>
      <xdr:colOff>276225</xdr:colOff>
      <xdr:row>30</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30</xdr:row>
      <xdr:rowOff>47625</xdr:rowOff>
    </xdr:from>
    <xdr:to>
      <xdr:col>8</xdr:col>
      <xdr:colOff>276225</xdr:colOff>
      <xdr:row>31</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31</xdr:row>
      <xdr:rowOff>180975</xdr:rowOff>
    </xdr:from>
    <xdr:to>
      <xdr:col>8</xdr:col>
      <xdr:colOff>276225</xdr:colOff>
      <xdr:row>33</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34</xdr:row>
      <xdr:rowOff>114300</xdr:rowOff>
    </xdr:from>
    <xdr:to>
      <xdr:col>11</xdr:col>
      <xdr:colOff>47625</xdr:colOff>
      <xdr:row>35</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742950</xdr:colOff>
      <xdr:row>21</xdr:row>
      <xdr:rowOff>47625</xdr:rowOff>
    </xdr:from>
    <xdr:to>
      <xdr:col>15</xdr:col>
      <xdr:colOff>47625</xdr:colOff>
      <xdr:row>36</xdr:row>
      <xdr:rowOff>142875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41</xdr:row>
      <xdr:rowOff>114300</xdr:rowOff>
    </xdr:from>
    <xdr:to>
      <xdr:col>7</xdr:col>
      <xdr:colOff>0</xdr:colOff>
      <xdr:row>49</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41</xdr:row>
      <xdr:rowOff>104775</xdr:rowOff>
    </xdr:from>
    <xdr:to>
      <xdr:col>10</xdr:col>
      <xdr:colOff>752475</xdr:colOff>
      <xdr:row>49</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41</xdr:row>
      <xdr:rowOff>104775</xdr:rowOff>
    </xdr:from>
    <xdr:to>
      <xdr:col>14</xdr:col>
      <xdr:colOff>714375</xdr:colOff>
      <xdr:row>49</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52</xdr:row>
      <xdr:rowOff>152400</xdr:rowOff>
    </xdr:from>
    <xdr:to>
      <xdr:col>6</xdr:col>
      <xdr:colOff>476250</xdr:colOff>
      <xdr:row>60</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52</xdr:row>
      <xdr:rowOff>133350</xdr:rowOff>
    </xdr:from>
    <xdr:to>
      <xdr:col>10</xdr:col>
      <xdr:colOff>742950</xdr:colOff>
      <xdr:row>60</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53</xdr:row>
      <xdr:rowOff>0</xdr:rowOff>
    </xdr:from>
    <xdr:to>
      <xdr:col>14</xdr:col>
      <xdr:colOff>723900</xdr:colOff>
      <xdr:row>61</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48</xdr:row>
      <xdr:rowOff>161925</xdr:rowOff>
    </xdr:from>
    <xdr:to>
      <xdr:col>2</xdr:col>
      <xdr:colOff>704850</xdr:colOff>
      <xdr:row>49</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666750</xdr:colOff>
      <xdr:row>48</xdr:row>
      <xdr:rowOff>152400</xdr:rowOff>
    </xdr:from>
    <xdr:to>
      <xdr:col>8</xdr:col>
      <xdr:colOff>171450</xdr:colOff>
      <xdr:row>49</xdr:row>
      <xdr:rowOff>95250</xdr:rowOff>
    </xdr:to>
    <xdr:sp macro="" textlink="">
      <xdr:nvSpPr>
        <xdr:cNvPr id="66" name="Text Box 21"/>
        <xdr:cNvSpPr txBox="1">
          <a:spLocks noChangeArrowheads="1"/>
        </xdr:cNvSpPr>
      </xdr:nvSpPr>
      <xdr:spPr bwMode="auto">
        <a:xfrm>
          <a:off x="4029075" y="9096375"/>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666750</xdr:colOff>
      <xdr:row>48</xdr:row>
      <xdr:rowOff>152400</xdr:rowOff>
    </xdr:from>
    <xdr:ext cx="419100" cy="133350"/>
    <xdr:sp macro="" textlink="">
      <xdr:nvSpPr>
        <xdr:cNvPr id="67" name="Text Box 22"/>
        <xdr:cNvSpPr txBox="1">
          <a:spLocks noChangeArrowheads="1"/>
        </xdr:cNvSpPr>
      </xdr:nvSpPr>
      <xdr:spPr bwMode="auto">
        <a:xfrm>
          <a:off x="7381875" y="90963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19050</xdr:colOff>
      <xdr:row>48</xdr:row>
      <xdr:rowOff>85725</xdr:rowOff>
    </xdr:from>
    <xdr:to>
      <xdr:col>9</xdr:col>
      <xdr:colOff>514350</xdr:colOff>
      <xdr:row>49</xdr:row>
      <xdr:rowOff>161925</xdr:rowOff>
    </xdr:to>
    <xdr:sp macro="" textlink="">
      <xdr:nvSpPr>
        <xdr:cNvPr id="68" name="Text Box 107"/>
        <xdr:cNvSpPr txBox="1">
          <a:spLocks noChangeArrowheads="1"/>
        </xdr:cNvSpPr>
      </xdr:nvSpPr>
      <xdr:spPr bwMode="auto">
        <a:xfrm>
          <a:off x="4905375" y="9029700"/>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28575</xdr:colOff>
      <xdr:row>48</xdr:row>
      <xdr:rowOff>95250</xdr:rowOff>
    </xdr:from>
    <xdr:to>
      <xdr:col>10</xdr:col>
      <xdr:colOff>533400</xdr:colOff>
      <xdr:row>49</xdr:row>
      <xdr:rowOff>171450</xdr:rowOff>
    </xdr:to>
    <xdr:sp macro="" textlink="">
      <xdr:nvSpPr>
        <xdr:cNvPr id="69" name="Text Box 108"/>
        <xdr:cNvSpPr txBox="1">
          <a:spLocks noChangeArrowheads="1"/>
        </xdr:cNvSpPr>
      </xdr:nvSpPr>
      <xdr:spPr bwMode="auto">
        <a:xfrm>
          <a:off x="5838825" y="90392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571500</xdr:colOff>
      <xdr:row>48</xdr:row>
      <xdr:rowOff>95250</xdr:rowOff>
    </xdr:from>
    <xdr:to>
      <xdr:col>13</xdr:col>
      <xdr:colOff>219075</xdr:colOff>
      <xdr:row>49</xdr:row>
      <xdr:rowOff>171450</xdr:rowOff>
    </xdr:to>
    <xdr:sp macro="" textlink="">
      <xdr:nvSpPr>
        <xdr:cNvPr id="70" name="Text Box 109"/>
        <xdr:cNvSpPr txBox="1">
          <a:spLocks noChangeArrowheads="1"/>
        </xdr:cNvSpPr>
      </xdr:nvSpPr>
      <xdr:spPr bwMode="auto">
        <a:xfrm>
          <a:off x="8191500" y="90392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619125</xdr:colOff>
      <xdr:row>48</xdr:row>
      <xdr:rowOff>114300</xdr:rowOff>
    </xdr:from>
    <xdr:to>
      <xdr:col>14</xdr:col>
      <xdr:colOff>438150</xdr:colOff>
      <xdr:row>50</xdr:row>
      <xdr:rowOff>0</xdr:rowOff>
    </xdr:to>
    <xdr:sp macro="" textlink="">
      <xdr:nvSpPr>
        <xdr:cNvPr id="71" name="Text Box 110"/>
        <xdr:cNvSpPr txBox="1">
          <a:spLocks noChangeArrowheads="1"/>
        </xdr:cNvSpPr>
      </xdr:nvSpPr>
      <xdr:spPr bwMode="auto">
        <a:xfrm>
          <a:off x="9134475" y="905827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41</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40</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41</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48</xdr:row>
      <xdr:rowOff>171450</xdr:rowOff>
    </xdr:from>
    <xdr:to>
      <xdr:col>4</xdr:col>
      <xdr:colOff>76200</xdr:colOff>
      <xdr:row>49</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48</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48</xdr:row>
      <xdr:rowOff>161925</xdr:rowOff>
    </xdr:from>
    <xdr:to>
      <xdr:col>6</xdr:col>
      <xdr:colOff>400050</xdr:colOff>
      <xdr:row>49</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523874</xdr:colOff>
      <xdr:row>59</xdr:row>
      <xdr:rowOff>85725</xdr:rowOff>
    </xdr:from>
    <xdr:to>
      <xdr:col>8</xdr:col>
      <xdr:colOff>180974</xdr:colOff>
      <xdr:row>61</xdr:row>
      <xdr:rowOff>9525</xdr:rowOff>
    </xdr:to>
    <xdr:sp macro="" textlink="">
      <xdr:nvSpPr>
        <xdr:cNvPr id="78" name="Text Box 7"/>
        <xdr:cNvSpPr txBox="1">
          <a:spLocks noChangeArrowheads="1"/>
        </xdr:cNvSpPr>
      </xdr:nvSpPr>
      <xdr:spPr bwMode="auto">
        <a:xfrm>
          <a:off x="3886199" y="11201400"/>
          <a:ext cx="657225" cy="3238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8</xdr:col>
      <xdr:colOff>485775</xdr:colOff>
      <xdr:row>59</xdr:row>
      <xdr:rowOff>95250</xdr:rowOff>
    </xdr:from>
    <xdr:to>
      <xdr:col>9</xdr:col>
      <xdr:colOff>666750</xdr:colOff>
      <xdr:row>60</xdr:row>
      <xdr:rowOff>171450</xdr:rowOff>
    </xdr:to>
    <xdr:sp macro="" textlink="">
      <xdr:nvSpPr>
        <xdr:cNvPr id="79" name="Text Box 104"/>
        <xdr:cNvSpPr txBox="1">
          <a:spLocks noChangeArrowheads="1"/>
        </xdr:cNvSpPr>
      </xdr:nvSpPr>
      <xdr:spPr bwMode="auto">
        <a:xfrm>
          <a:off x="4848225" y="112109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51</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51</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51</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847725</xdr:colOff>
      <xdr:row>59</xdr:row>
      <xdr:rowOff>104775</xdr:rowOff>
    </xdr:from>
    <xdr:to>
      <xdr:col>10</xdr:col>
      <xdr:colOff>628650</xdr:colOff>
      <xdr:row>60</xdr:row>
      <xdr:rowOff>180975</xdr:rowOff>
    </xdr:to>
    <xdr:sp macro="" textlink="">
      <xdr:nvSpPr>
        <xdr:cNvPr id="83" name="Text Box 145"/>
        <xdr:cNvSpPr txBox="1">
          <a:spLocks noChangeArrowheads="1"/>
        </xdr:cNvSpPr>
      </xdr:nvSpPr>
      <xdr:spPr bwMode="auto">
        <a:xfrm>
          <a:off x="5734050" y="1122045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59</xdr:row>
      <xdr:rowOff>114300</xdr:rowOff>
    </xdr:from>
    <xdr:to>
      <xdr:col>2</xdr:col>
      <xdr:colOff>771525</xdr:colOff>
      <xdr:row>60</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59</xdr:row>
      <xdr:rowOff>114300</xdr:rowOff>
    </xdr:from>
    <xdr:to>
      <xdr:col>4</xdr:col>
      <xdr:colOff>85725</xdr:colOff>
      <xdr:row>60</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59</xdr:row>
      <xdr:rowOff>114300</xdr:rowOff>
    </xdr:from>
    <xdr:to>
      <xdr:col>5</xdr:col>
      <xdr:colOff>142875</xdr:colOff>
      <xdr:row>60</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59</xdr:row>
      <xdr:rowOff>114300</xdr:rowOff>
    </xdr:from>
    <xdr:to>
      <xdr:col>6</xdr:col>
      <xdr:colOff>285750</xdr:colOff>
      <xdr:row>60</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59</xdr:row>
      <xdr:rowOff>104775</xdr:rowOff>
    </xdr:from>
    <xdr:to>
      <xdr:col>12</xdr:col>
      <xdr:colOff>257175</xdr:colOff>
      <xdr:row>60</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59</xdr:row>
      <xdr:rowOff>104775</xdr:rowOff>
    </xdr:from>
    <xdr:to>
      <xdr:col>13</xdr:col>
      <xdr:colOff>257175</xdr:colOff>
      <xdr:row>60</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59</xdr:row>
      <xdr:rowOff>104775</xdr:rowOff>
    </xdr:from>
    <xdr:to>
      <xdr:col>14</xdr:col>
      <xdr:colOff>514350</xdr:colOff>
      <xdr:row>60</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0</xdr:rowOff>
    </xdr:from>
    <xdr:to>
      <xdr:col>15</xdr:col>
      <xdr:colOff>9525</xdr:colOff>
      <xdr:row>96</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6</xdr:col>
      <xdr:colOff>219073</xdr:colOff>
      <xdr:row>0</xdr:row>
      <xdr:rowOff>57150</xdr:rowOff>
    </xdr:from>
    <xdr:to>
      <xdr:col>10</xdr:col>
      <xdr:colOff>633619</xdr:colOff>
      <xdr:row>3</xdr:row>
      <xdr:rowOff>257175</xdr:rowOff>
    </xdr:to>
    <xdr:sp macro="" textlink="">
      <xdr:nvSpPr>
        <xdr:cNvPr id="121" name="Text Box 231"/>
        <xdr:cNvSpPr txBox="1">
          <a:spLocks noChangeArrowheads="1"/>
        </xdr:cNvSpPr>
      </xdr:nvSpPr>
      <xdr:spPr bwMode="auto">
        <a:xfrm>
          <a:off x="3086098" y="57150"/>
          <a:ext cx="3357771" cy="752475"/>
        </a:xfrm>
        <a:prstGeom prst="rect">
          <a:avLst/>
        </a:prstGeom>
        <a:noFill/>
        <a:ln>
          <a:noFill/>
        </a:ln>
        <a:extLst/>
      </xdr:spPr>
      <xdr:txBody>
        <a:bodyPr vertOverflow="clip" wrap="square" lIns="73152" tIns="4572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4200" b="0" i="0" u="none" strike="noStrike" kern="0" cap="none" spc="0" normalizeH="0" baseline="0" noProof="0">
              <a:ln>
                <a:noFill/>
              </a:ln>
              <a:solidFill>
                <a:srgbClr val="008000"/>
              </a:solidFill>
              <a:effectLst/>
              <a:uLnTx/>
              <a:uFillTx/>
              <a:latin typeface="ＤＦ超極太明朝体"/>
              <a:ea typeface="ＤＦ超極太明朝体"/>
            </a:rPr>
            <a:t>京都</a:t>
          </a:r>
          <a:r>
            <a:rPr kumimoji="0" lang="en-US" altLang="ja-JP" sz="4200" b="0" i="0" u="none" strike="noStrike" kern="0" cap="none" spc="0" normalizeH="0" baseline="0" noProof="0">
              <a:ln>
                <a:noFill/>
              </a:ln>
              <a:solidFill>
                <a:srgbClr val="008000"/>
              </a:solidFill>
              <a:effectLst/>
              <a:uLnTx/>
              <a:uFillTx/>
              <a:latin typeface="ＤＦ超極太明朝体"/>
              <a:ea typeface="ＤＦ超極太明朝体"/>
            </a:rPr>
            <a:t>-</a:t>
          </a:r>
          <a:r>
            <a:rPr kumimoji="0" lang="ja-JP" altLang="en-US" sz="4200" b="0" i="0" u="none" strike="noStrike" kern="0" cap="none" spc="0" normalizeH="0" baseline="0" noProof="0">
              <a:ln>
                <a:noFill/>
              </a:ln>
              <a:solidFill>
                <a:srgbClr val="008000"/>
              </a:solidFill>
              <a:effectLst/>
              <a:uLnTx/>
              <a:uFillTx/>
              <a:latin typeface="ＤＦ超極太明朝体"/>
              <a:ea typeface="ＤＦ超極太明朝体"/>
            </a:rPr>
            <a:t>既存</a:t>
          </a:r>
        </a:p>
      </xdr:txBody>
    </xdr:sp>
    <xdr:clientData/>
  </xdr:twoCellAnchor>
  <xdr:twoCellAnchor editAs="oneCell">
    <xdr:from>
      <xdr:col>2</xdr:col>
      <xdr:colOff>314325</xdr:colOff>
      <xdr:row>1</xdr:row>
      <xdr:rowOff>161925</xdr:rowOff>
    </xdr:from>
    <xdr:to>
      <xdr:col>6</xdr:col>
      <xdr:colOff>285750</xdr:colOff>
      <xdr:row>3</xdr:row>
      <xdr:rowOff>142875</xdr:rowOff>
    </xdr:to>
    <xdr:pic>
      <xdr:nvPicPr>
        <xdr:cNvPr id="122" name="図 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533400" y="238125"/>
          <a:ext cx="2619375" cy="45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200025</xdr:colOff>
      <xdr:row>0</xdr:row>
      <xdr:rowOff>57150</xdr:rowOff>
    </xdr:from>
    <xdr:to>
      <xdr:col>14</xdr:col>
      <xdr:colOff>352425</xdr:colOff>
      <xdr:row>4</xdr:row>
      <xdr:rowOff>104775</xdr:rowOff>
    </xdr:to>
    <xdr:grpSp>
      <xdr:nvGrpSpPr>
        <xdr:cNvPr id="123" name="グループ化 1"/>
        <xdr:cNvGrpSpPr>
          <a:grpSpLocks/>
        </xdr:cNvGrpSpPr>
      </xdr:nvGrpSpPr>
      <xdr:grpSpPr bwMode="auto">
        <a:xfrm>
          <a:off x="6915150" y="57150"/>
          <a:ext cx="2609850" cy="971550"/>
          <a:chOff x="6724650" y="9525"/>
          <a:chExt cx="2600325" cy="847725"/>
        </a:xfrm>
      </xdr:grpSpPr>
      <xdr:sp macro="" textlink="">
        <xdr:nvSpPr>
          <xdr:cNvPr id="124" name="テキスト ボックス 123"/>
          <xdr:cNvSpPr txBox="1"/>
        </xdr:nvSpPr>
        <xdr:spPr bwMode="auto">
          <a:xfrm>
            <a:off x="6686689" y="1214"/>
            <a:ext cx="2600325" cy="972390"/>
          </a:xfrm>
          <a:prstGeom prst="rect">
            <a:avLst/>
          </a:prstGeom>
          <a:noFill/>
          <a:ln w="9525" cmpd="sng">
            <a:noFill/>
          </a:ln>
          <a:effectLst/>
        </xdr:spPr>
        <xdr:txBody>
          <a:bodyPr vertOverflow="clip" horzOverflow="clip" wrap="square" tIns="0" bIns="0" rtlCol="0" anchor="t"/>
          <a:lstStyle/>
          <a:p>
            <a:pPr marL="0" marR="0" lvl="0" indent="0" algn="ctr" defTabSz="914400" rtl="0" eaLnBrk="1" fontAlgn="auto" latinLnBrk="0" hangingPunct="1">
              <a:lnSpc>
                <a:spcPts val="2900"/>
              </a:lnSpc>
              <a:spcBef>
                <a:spcPts val="0"/>
              </a:spcBef>
              <a:spcAft>
                <a:spcPts val="0"/>
              </a:spcAft>
              <a:buClrTx/>
              <a:buSzTx/>
              <a:buFontTx/>
              <a:buNone/>
              <a:tabLst/>
              <a:defRPr sz="1000"/>
            </a:pPr>
            <a:r>
              <a:rPr kumimoji="0" lang="ja-JP" altLang="en-US" sz="2400" b="0" i="0" u="none" strike="noStrike" kern="0" cap="none" spc="0" normalizeH="0" baseline="0" noProof="0">
                <a:ln>
                  <a:noFill/>
                </a:ln>
                <a:solidFill>
                  <a:srgbClr val="000000"/>
                </a:solidFill>
                <a:effectLst/>
                <a:uLnTx/>
                <a:uFillTx/>
                <a:latin typeface="ＭＳ Ｐゴシック"/>
                <a:ea typeface="ＭＳ Ｐゴシック"/>
                <a:cs typeface="+mn-cs"/>
              </a:rPr>
              <a:t>標準システム</a:t>
            </a:r>
            <a:endParaRPr kumimoji="0" lang="ja-JP" altLang="en-US" sz="2400" b="0" i="0" u="none" strike="noStrike" kern="0" cap="none" spc="0" normalizeH="0" baseline="0" noProof="0">
              <a:ln>
                <a:noFill/>
              </a:ln>
              <a:solidFill>
                <a:srgbClr val="000000"/>
              </a:solidFill>
              <a:effectLst/>
              <a:uLnTx/>
              <a:uFillTx/>
              <a:latin typeface="Calibri"/>
              <a:ea typeface="ＭＳ Ｐゴシック"/>
              <a:cs typeface="Calibri"/>
            </a:endParaRPr>
          </a:p>
          <a:p>
            <a:pPr marL="0" marR="0" lvl="0" indent="0" algn="ctr" defTabSz="914400" rtl="0" eaLnBrk="1" fontAlgn="auto" latinLnBrk="0" hangingPunct="1">
              <a:lnSpc>
                <a:spcPts val="2800"/>
              </a:lnSpc>
              <a:spcBef>
                <a:spcPts val="0"/>
              </a:spcBef>
              <a:spcAft>
                <a:spcPts val="0"/>
              </a:spcAft>
              <a:buClrTx/>
              <a:buSzTx/>
              <a:buFontTx/>
              <a:buNone/>
              <a:tabLst/>
              <a:defRPr sz="1000"/>
            </a:pPr>
            <a:r>
              <a:rPr kumimoji="0" lang="ja-JP" altLang="en-US" sz="2400" b="0" i="0" u="none" strike="noStrike" kern="0" cap="none" spc="0" normalizeH="0" baseline="0" noProof="0">
                <a:ln>
                  <a:noFill/>
                </a:ln>
                <a:solidFill>
                  <a:srgbClr val="000000"/>
                </a:solidFill>
                <a:effectLst/>
                <a:uLnTx/>
                <a:uFillTx/>
                <a:latin typeface="ＭＳ Ｐゴシック"/>
                <a:ea typeface="ＭＳ Ｐゴシック"/>
                <a:cs typeface="+mn-cs"/>
              </a:rPr>
              <a:t>評価結果</a:t>
            </a:r>
          </a:p>
        </xdr:txBody>
      </xdr:sp>
      <xdr:sp macro="" textlink="">
        <xdr:nvSpPr>
          <xdr:cNvPr id="125" name="正方形/長方形 124"/>
          <xdr:cNvSpPr/>
        </xdr:nvSpPr>
        <xdr:spPr bwMode="auto">
          <a:xfrm>
            <a:off x="6743630" y="26147"/>
            <a:ext cx="123373" cy="714749"/>
          </a:xfrm>
          <a:prstGeom prst="rect">
            <a:avLst/>
          </a:prstGeom>
          <a:solidFill>
            <a:sysClr val="windowText" lastClr="000000"/>
          </a:solid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smtClean="0">
              <a:ln>
                <a:noFill/>
              </a:ln>
              <a:solidFill>
                <a:sysClr val="window" lastClr="FFFFFF"/>
              </a:solidFill>
              <a:effectLst/>
              <a:uLnTx/>
              <a:uFillTx/>
              <a:latin typeface="Calibri"/>
              <a:ea typeface="ＭＳ Ｐゴシック"/>
              <a:cs typeface="+mn-cs"/>
            </a:endParaRPr>
          </a:p>
        </xdr:txBody>
      </xdr:sp>
      <xdr:sp macro="" textlink="">
        <xdr:nvSpPr>
          <xdr:cNvPr id="126" name="正方形/長方形 125"/>
          <xdr:cNvSpPr/>
        </xdr:nvSpPr>
        <xdr:spPr bwMode="auto">
          <a:xfrm>
            <a:off x="9173131" y="34458"/>
            <a:ext cx="123373" cy="714749"/>
          </a:xfrm>
          <a:prstGeom prst="rect">
            <a:avLst/>
          </a:prstGeom>
          <a:solidFill>
            <a:sysClr val="windowText" lastClr="000000"/>
          </a:solid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smtClean="0">
              <a:ln>
                <a:noFill/>
              </a:ln>
              <a:solidFill>
                <a:sysClr val="window" lastClr="FFFFFF"/>
              </a:solidFill>
              <a:effectLst/>
              <a:uLnTx/>
              <a:uFillTx/>
              <a:latin typeface="Calibri"/>
              <a:ea typeface="ＭＳ Ｐゴシック"/>
              <a:cs typeface="+mn-cs"/>
            </a:endParaRPr>
          </a:p>
        </xdr:txBody>
      </xdr:sp>
    </xdr:grpSp>
    <xdr:clientData/>
  </xdr:twoCellAnchor>
  <xdr:twoCellAnchor editAs="oneCell">
    <xdr:from>
      <xdr:col>7</xdr:col>
      <xdr:colOff>171450</xdr:colOff>
      <xdr:row>52</xdr:row>
      <xdr:rowOff>95250</xdr:rowOff>
    </xdr:from>
    <xdr:to>
      <xdr:col>7</xdr:col>
      <xdr:colOff>409215</xdr:colOff>
      <xdr:row>59</xdr:row>
      <xdr:rowOff>162431</xdr:rowOff>
    </xdr:to>
    <xdr:pic>
      <xdr:nvPicPr>
        <xdr:cNvPr id="2" name="図 1"/>
        <xdr:cNvPicPr>
          <a:picLocks noChangeAspect="1"/>
        </xdr:cNvPicPr>
      </xdr:nvPicPr>
      <xdr:blipFill>
        <a:blip xmlns:r="http://schemas.openxmlformats.org/officeDocument/2006/relationships" r:embed="rId13" cstate="print"/>
        <a:stretch>
          <a:fillRect/>
        </a:stretch>
      </xdr:blipFill>
      <xdr:spPr>
        <a:xfrm>
          <a:off x="3533775" y="9839325"/>
          <a:ext cx="237765" cy="1438781"/>
        </a:xfrm>
        <a:prstGeom prst="rect">
          <a:avLst/>
        </a:prstGeom>
      </xdr:spPr>
    </xdr:pic>
    <xdr:clientData/>
  </xdr:twoCellAnchor>
  <xdr:twoCellAnchor editAs="oneCell">
    <xdr:from>
      <xdr:col>11</xdr:col>
      <xdr:colOff>142875</xdr:colOff>
      <xdr:row>52</xdr:row>
      <xdr:rowOff>95250</xdr:rowOff>
    </xdr:from>
    <xdr:to>
      <xdr:col>11</xdr:col>
      <xdr:colOff>380640</xdr:colOff>
      <xdr:row>59</xdr:row>
      <xdr:rowOff>162431</xdr:rowOff>
    </xdr:to>
    <xdr:pic>
      <xdr:nvPicPr>
        <xdr:cNvPr id="102" name="図 101"/>
        <xdr:cNvPicPr>
          <a:picLocks noChangeAspect="1"/>
        </xdr:cNvPicPr>
      </xdr:nvPicPr>
      <xdr:blipFill>
        <a:blip xmlns:r="http://schemas.openxmlformats.org/officeDocument/2006/relationships" r:embed="rId13" cstate="print"/>
        <a:stretch>
          <a:fillRect/>
        </a:stretch>
      </xdr:blipFill>
      <xdr:spPr>
        <a:xfrm>
          <a:off x="6858000" y="9839325"/>
          <a:ext cx="237765" cy="1438781"/>
        </a:xfrm>
        <a:prstGeom prst="rect">
          <a:avLst/>
        </a:prstGeom>
      </xdr:spPr>
    </xdr:pic>
    <xdr:clientData/>
  </xdr:twoCellAnchor>
  <xdr:twoCellAnchor editAs="oneCell">
    <xdr:from>
      <xdr:col>1</xdr:col>
      <xdr:colOff>0</xdr:colOff>
      <xdr:row>52</xdr:row>
      <xdr:rowOff>114300</xdr:rowOff>
    </xdr:from>
    <xdr:to>
      <xdr:col>2</xdr:col>
      <xdr:colOff>75840</xdr:colOff>
      <xdr:row>59</xdr:row>
      <xdr:rowOff>181481</xdr:rowOff>
    </xdr:to>
    <xdr:pic>
      <xdr:nvPicPr>
        <xdr:cNvPr id="103" name="図 102"/>
        <xdr:cNvPicPr>
          <a:picLocks noChangeAspect="1"/>
        </xdr:cNvPicPr>
      </xdr:nvPicPr>
      <xdr:blipFill>
        <a:blip xmlns:r="http://schemas.openxmlformats.org/officeDocument/2006/relationships" r:embed="rId13" cstate="print"/>
        <a:stretch>
          <a:fillRect/>
        </a:stretch>
      </xdr:blipFill>
      <xdr:spPr>
        <a:xfrm>
          <a:off x="57150" y="9858375"/>
          <a:ext cx="237765" cy="1438781"/>
        </a:xfrm>
        <a:prstGeom prst="rect">
          <a:avLst/>
        </a:prstGeom>
      </xdr:spPr>
    </xdr:pic>
    <xdr:clientData/>
  </xdr:twoCellAnchor>
  <xdr:twoCellAnchor editAs="oneCell">
    <xdr:from>
      <xdr:col>1</xdr:col>
      <xdr:colOff>19050</xdr:colOff>
      <xdr:row>41</xdr:row>
      <xdr:rowOff>66675</xdr:rowOff>
    </xdr:from>
    <xdr:to>
      <xdr:col>2</xdr:col>
      <xdr:colOff>94890</xdr:colOff>
      <xdr:row>48</xdr:row>
      <xdr:rowOff>171956</xdr:rowOff>
    </xdr:to>
    <xdr:pic>
      <xdr:nvPicPr>
        <xdr:cNvPr id="104" name="図 103"/>
        <xdr:cNvPicPr>
          <a:picLocks noChangeAspect="1"/>
        </xdr:cNvPicPr>
      </xdr:nvPicPr>
      <xdr:blipFill>
        <a:blip xmlns:r="http://schemas.openxmlformats.org/officeDocument/2006/relationships" r:embed="rId13" cstate="print"/>
        <a:stretch>
          <a:fillRect/>
        </a:stretch>
      </xdr:blipFill>
      <xdr:spPr>
        <a:xfrm>
          <a:off x="76200" y="7677150"/>
          <a:ext cx="237765" cy="1438781"/>
        </a:xfrm>
        <a:prstGeom prst="rect">
          <a:avLst/>
        </a:prstGeom>
      </xdr:spPr>
    </xdr:pic>
    <xdr:clientData/>
  </xdr:twoCellAnchor>
  <xdr:twoCellAnchor editAs="oneCell">
    <xdr:from>
      <xdr:col>7</xdr:col>
      <xdr:colOff>190500</xdr:colOff>
      <xdr:row>41</xdr:row>
      <xdr:rowOff>66675</xdr:rowOff>
    </xdr:from>
    <xdr:to>
      <xdr:col>7</xdr:col>
      <xdr:colOff>428265</xdr:colOff>
      <xdr:row>48</xdr:row>
      <xdr:rowOff>171956</xdr:rowOff>
    </xdr:to>
    <xdr:pic>
      <xdr:nvPicPr>
        <xdr:cNvPr id="105" name="図 104"/>
        <xdr:cNvPicPr>
          <a:picLocks noChangeAspect="1"/>
        </xdr:cNvPicPr>
      </xdr:nvPicPr>
      <xdr:blipFill>
        <a:blip xmlns:r="http://schemas.openxmlformats.org/officeDocument/2006/relationships" r:embed="rId13" cstate="print"/>
        <a:stretch>
          <a:fillRect/>
        </a:stretch>
      </xdr:blipFill>
      <xdr:spPr>
        <a:xfrm>
          <a:off x="3552825" y="7677150"/>
          <a:ext cx="237765" cy="1438781"/>
        </a:xfrm>
        <a:prstGeom prst="rect">
          <a:avLst/>
        </a:prstGeom>
      </xdr:spPr>
    </xdr:pic>
    <xdr:clientData/>
  </xdr:twoCellAnchor>
  <xdr:twoCellAnchor editAs="oneCell">
    <xdr:from>
      <xdr:col>11</xdr:col>
      <xdr:colOff>152400</xdr:colOff>
      <xdr:row>41</xdr:row>
      <xdr:rowOff>66675</xdr:rowOff>
    </xdr:from>
    <xdr:to>
      <xdr:col>11</xdr:col>
      <xdr:colOff>390165</xdr:colOff>
      <xdr:row>48</xdr:row>
      <xdr:rowOff>171956</xdr:rowOff>
    </xdr:to>
    <xdr:pic>
      <xdr:nvPicPr>
        <xdr:cNvPr id="106" name="図 105"/>
        <xdr:cNvPicPr>
          <a:picLocks noChangeAspect="1"/>
        </xdr:cNvPicPr>
      </xdr:nvPicPr>
      <xdr:blipFill>
        <a:blip xmlns:r="http://schemas.openxmlformats.org/officeDocument/2006/relationships" r:embed="rId13" cstate="print"/>
        <a:stretch>
          <a:fillRect/>
        </a:stretch>
      </xdr:blipFill>
      <xdr:spPr>
        <a:xfrm>
          <a:off x="6867525" y="7677150"/>
          <a:ext cx="237765" cy="1438781"/>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39">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0">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1">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2">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0.56647</cdr:x>
      <cdr:y>0.65663</cdr:y>
    </cdr:from>
    <cdr:to>
      <cdr:x>0.72832</cdr:x>
      <cdr:y>0.80723</cdr:y>
    </cdr:to>
    <cdr:sp macro="" textlink="結果!$T$50">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T$48">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T$49">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T$51">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0.12219</cdr:x>
      <cdr:y>0.66867</cdr:y>
    </cdr:from>
    <cdr:to>
      <cdr:x>0.3119</cdr:x>
      <cdr:y>0.81325</cdr:y>
    </cdr:to>
    <cdr:sp macro="" textlink="結果!$W$48">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W$49">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W$50">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0.1254</cdr:x>
      <cdr:y>0.66265</cdr:y>
    </cdr:from>
    <cdr:to>
      <cdr:x>0.33119</cdr:x>
      <cdr:y>0.80723</cdr:y>
    </cdr:to>
    <cdr:sp macro="" textlink="結果!$Z$48">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49">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0">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0.56647</cdr:x>
      <cdr:y>0.65663</cdr:y>
    </cdr:from>
    <cdr:to>
      <cdr:x>0.72832</cdr:x>
      <cdr:y>0.80723</cdr:y>
    </cdr:to>
    <cdr:sp macro="" textlink="結果!$T$6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5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0.12219</cdr:x>
      <cdr:y>0.66867</cdr:y>
    </cdr:from>
    <cdr:to>
      <cdr:x>0.3119</cdr:x>
      <cdr:y>0.81325</cdr:y>
    </cdr:to>
    <cdr:sp macro="" textlink="結果!$W$59">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1">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26" Type="http://schemas.openxmlformats.org/officeDocument/2006/relationships/ctrlProp" Target="../ctrlProps/ctrlProp28.xml"/><Relationship Id="rId3" Type="http://schemas.openxmlformats.org/officeDocument/2006/relationships/vmlDrawing" Target="../drawings/vmlDrawing9.vml"/><Relationship Id="rId21" Type="http://schemas.openxmlformats.org/officeDocument/2006/relationships/ctrlProp" Target="../ctrlProps/ctrlProp23.x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2" Type="http://schemas.openxmlformats.org/officeDocument/2006/relationships/drawing" Target="../drawings/drawing11.xml"/><Relationship Id="rId16" Type="http://schemas.openxmlformats.org/officeDocument/2006/relationships/ctrlProp" Target="../ctrlProps/ctrlProp18.xml"/><Relationship Id="rId20" Type="http://schemas.openxmlformats.org/officeDocument/2006/relationships/ctrlProp" Target="../ctrlProps/ctrlProp22.xml"/><Relationship Id="rId1" Type="http://schemas.openxmlformats.org/officeDocument/2006/relationships/printerSettings" Target="../printerSettings/printerSettings15.bin"/><Relationship Id="rId6" Type="http://schemas.openxmlformats.org/officeDocument/2006/relationships/ctrlProp" Target="../ctrlProps/ctrlProp8.xml"/><Relationship Id="rId11" Type="http://schemas.openxmlformats.org/officeDocument/2006/relationships/ctrlProp" Target="../ctrlProps/ctrlProp13.xml"/><Relationship Id="rId24" Type="http://schemas.openxmlformats.org/officeDocument/2006/relationships/ctrlProp" Target="../ctrlProps/ctrlProp26.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10" Type="http://schemas.openxmlformats.org/officeDocument/2006/relationships/ctrlProp" Target="../ctrlProps/ctrlProp12.xml"/><Relationship Id="rId19" Type="http://schemas.openxmlformats.org/officeDocument/2006/relationships/ctrlProp" Target="../ctrlProps/ctrlProp21.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7"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pageSetUpPr autoPageBreaks="0" fitToPage="1"/>
  </sheetPr>
  <dimension ref="A1:R107"/>
  <sheetViews>
    <sheetView showGridLines="0" tabSelected="1" zoomScaleNormal="100" workbookViewId="0">
      <selection activeCell="B1" sqref="B1"/>
    </sheetView>
  </sheetViews>
  <sheetFormatPr defaultColWidth="0" defaultRowHeight="0" customHeight="1" zeroHeight="1"/>
  <cols>
    <col min="1" max="1" width="1.75" style="94" customWidth="1"/>
    <col min="2" max="2" width="21.625" style="94" customWidth="1"/>
    <col min="3" max="3" width="15.125" style="94" customWidth="1"/>
    <col min="4" max="4" width="16.5" style="94" customWidth="1"/>
    <col min="5" max="5" width="13.875" style="94" customWidth="1"/>
    <col min="6" max="6" width="11.5" style="94" customWidth="1"/>
    <col min="7" max="7" width="3.125" style="94" customWidth="1"/>
    <col min="8" max="8" width="8.25" style="94" customWidth="1"/>
    <col min="9" max="9" width="13" hidden="1" customWidth="1"/>
    <col min="10" max="10" width="11" hidden="1" customWidth="1"/>
    <col min="11" max="11" width="12.75" hidden="1" customWidth="1"/>
    <col min="12" max="12" width="39" hidden="1" customWidth="1"/>
    <col min="13" max="13" width="28.25" hidden="1" customWidth="1"/>
    <col min="14" max="14" width="2.5" hidden="1" customWidth="1"/>
    <col min="15" max="15" width="11.75" hidden="1" customWidth="1"/>
    <col min="16" max="16" width="11.625" hidden="1" customWidth="1"/>
    <col min="17" max="17" width="16.875" hidden="1" customWidth="1"/>
    <col min="18" max="18" width="9.5" hidden="1" customWidth="1"/>
  </cols>
  <sheetData>
    <row r="1" spans="1:11" ht="13.5">
      <c r="A1" s="3"/>
      <c r="B1" s="4"/>
      <c r="C1" s="3"/>
      <c r="D1" s="3"/>
      <c r="E1" s="3"/>
      <c r="F1" s="3"/>
      <c r="G1" s="3"/>
      <c r="H1" s="3"/>
    </row>
    <row r="2" spans="1:11" ht="21.75" customHeight="1">
      <c r="A2" s="3"/>
      <c r="B2" s="4"/>
      <c r="C2" s="3"/>
      <c r="D2" s="3"/>
      <c r="E2" s="3"/>
      <c r="F2" s="3"/>
      <c r="G2" s="3"/>
      <c r="H2" s="3"/>
    </row>
    <row r="3" spans="1:11" ht="21.75" customHeight="1">
      <c r="A3" s="3"/>
      <c r="B3" s="4"/>
      <c r="C3" s="3"/>
      <c r="D3" s="3"/>
      <c r="E3" s="3"/>
      <c r="F3" s="3"/>
      <c r="G3" s="3"/>
      <c r="H3" s="3"/>
      <c r="I3" t="s">
        <v>367</v>
      </c>
    </row>
    <row r="4" spans="1:11" ht="25.5">
      <c r="A4" s="3"/>
      <c r="B4" s="5" t="s">
        <v>3740</v>
      </c>
      <c r="C4" s="6"/>
      <c r="D4" s="6"/>
      <c r="E4" s="6"/>
      <c r="F4" s="7"/>
      <c r="G4" s="3"/>
      <c r="H4" s="3"/>
    </row>
    <row r="5" spans="1:11" ht="13.5">
      <c r="A5" s="8"/>
      <c r="B5" s="9" t="s">
        <v>368</v>
      </c>
      <c r="C5" s="10" t="s">
        <v>3506</v>
      </c>
      <c r="D5" s="10"/>
      <c r="E5" s="3"/>
      <c r="F5" s="3"/>
      <c r="G5" s="3"/>
      <c r="H5" s="3"/>
      <c r="I5" t="s">
        <v>40</v>
      </c>
      <c r="J5" t="s">
        <v>1176</v>
      </c>
      <c r="K5">
        <v>1</v>
      </c>
    </row>
    <row r="6" spans="1:11" ht="13.5">
      <c r="A6" s="8"/>
      <c r="B6" s="12" t="s">
        <v>1779</v>
      </c>
      <c r="C6" s="2912" t="s">
        <v>3507</v>
      </c>
      <c r="D6" s="13"/>
      <c r="E6" s="3"/>
      <c r="F6" s="3"/>
      <c r="G6" s="3"/>
      <c r="H6" s="3"/>
      <c r="I6" t="s">
        <v>41</v>
      </c>
      <c r="J6" t="s">
        <v>1084</v>
      </c>
      <c r="K6">
        <v>2</v>
      </c>
    </row>
    <row r="7" spans="1:11" ht="6.75" customHeight="1" thickBot="1">
      <c r="A7" s="8"/>
      <c r="B7" s="11"/>
      <c r="C7" s="11"/>
      <c r="D7" s="11"/>
      <c r="E7" s="11"/>
      <c r="F7" s="11"/>
      <c r="G7" s="3"/>
      <c r="H7" s="3"/>
      <c r="I7" t="s">
        <v>42</v>
      </c>
      <c r="J7" t="s">
        <v>1732</v>
      </c>
      <c r="K7" s="2402">
        <v>3</v>
      </c>
    </row>
    <row r="8" spans="1:11" ht="17.25" customHeight="1">
      <c r="A8" s="8"/>
      <c r="B8" s="14" t="s">
        <v>1733</v>
      </c>
      <c r="C8" s="15"/>
      <c r="D8" s="15"/>
      <c r="E8" s="15"/>
      <c r="F8" s="16"/>
      <c r="G8" s="3"/>
      <c r="H8" s="3"/>
      <c r="I8" t="s">
        <v>43</v>
      </c>
      <c r="J8" t="s">
        <v>1734</v>
      </c>
      <c r="K8" s="2402">
        <v>4</v>
      </c>
    </row>
    <row r="9" spans="1:11" ht="13.5">
      <c r="A9" s="8"/>
      <c r="B9" s="17" t="s">
        <v>1735</v>
      </c>
      <c r="C9" s="18"/>
      <c r="D9" s="18"/>
      <c r="E9" s="18"/>
      <c r="F9" s="19"/>
      <c r="G9" s="3"/>
      <c r="H9" s="3"/>
      <c r="I9" t="s">
        <v>44</v>
      </c>
      <c r="J9" t="s">
        <v>1736</v>
      </c>
      <c r="K9" s="2402">
        <v>5</v>
      </c>
    </row>
    <row r="10" spans="1:11" ht="13.5" hidden="1" customHeight="1">
      <c r="A10" s="8"/>
      <c r="B10" s="20"/>
      <c r="C10" s="21"/>
      <c r="D10" s="21"/>
      <c r="E10" s="21"/>
      <c r="F10" s="22"/>
      <c r="G10" s="3"/>
      <c r="H10" s="3"/>
      <c r="I10" t="s">
        <v>45</v>
      </c>
      <c r="J10" t="s">
        <v>1737</v>
      </c>
      <c r="K10" s="2402">
        <v>6</v>
      </c>
    </row>
    <row r="11" spans="1:11" ht="13.5">
      <c r="A11" s="23"/>
      <c r="B11" s="24" t="s">
        <v>1738</v>
      </c>
      <c r="C11" s="3281" t="s">
        <v>537</v>
      </c>
      <c r="D11" s="3282"/>
      <c r="E11" s="3287"/>
      <c r="F11" s="26"/>
      <c r="G11" s="3"/>
      <c r="H11" s="3"/>
      <c r="I11" t="s">
        <v>46</v>
      </c>
      <c r="K11" s="2402">
        <v>7</v>
      </c>
    </row>
    <row r="12" spans="1:11" ht="13.5">
      <c r="A12" s="23"/>
      <c r="B12" s="27" t="s">
        <v>1739</v>
      </c>
      <c r="C12" s="3281" t="s">
        <v>3770</v>
      </c>
      <c r="D12" s="3282"/>
      <c r="E12" s="3283"/>
      <c r="F12" s="28" t="s">
        <v>45</v>
      </c>
      <c r="G12" s="3"/>
      <c r="H12" s="3"/>
      <c r="I12" t="s">
        <v>47</v>
      </c>
      <c r="K12" s="2402">
        <v>8</v>
      </c>
    </row>
    <row r="13" spans="1:11" ht="13.5" hidden="1">
      <c r="A13" s="23"/>
      <c r="B13" s="27"/>
      <c r="C13" s="2910"/>
      <c r="D13" s="2911"/>
      <c r="E13" s="2913"/>
      <c r="F13" s="28"/>
      <c r="G13" s="3"/>
      <c r="H13" s="3"/>
      <c r="I13" t="s">
        <v>48</v>
      </c>
    </row>
    <row r="14" spans="1:11" ht="13.5">
      <c r="A14" s="23"/>
      <c r="B14" s="27" t="s">
        <v>231</v>
      </c>
      <c r="C14" s="3281" t="s">
        <v>2795</v>
      </c>
      <c r="D14" s="3282"/>
      <c r="E14" s="3283"/>
      <c r="F14" s="26"/>
      <c r="G14" s="3"/>
      <c r="H14" s="3"/>
    </row>
    <row r="15" spans="1:11" ht="16.5" customHeight="1">
      <c r="A15" s="23"/>
      <c r="B15" s="27" t="s">
        <v>232</v>
      </c>
      <c r="C15" s="2914">
        <v>37773</v>
      </c>
      <c r="D15" s="25"/>
      <c r="E15" s="25"/>
      <c r="F15" s="28" t="s">
        <v>3771</v>
      </c>
      <c r="G15" s="3"/>
      <c r="H15" s="3"/>
      <c r="K15" s="1">
        <f>VLOOKUP(F12,I5:K12,3)</f>
        <v>6</v>
      </c>
    </row>
    <row r="16" spans="1:11" ht="13.5" hidden="1">
      <c r="A16" s="23"/>
      <c r="B16" s="27"/>
      <c r="C16" s="2914"/>
      <c r="D16" s="25"/>
      <c r="E16" s="25"/>
      <c r="F16" s="29"/>
      <c r="G16" s="3"/>
      <c r="H16" s="3"/>
    </row>
    <row r="17" spans="1:12" ht="13.5">
      <c r="A17" s="23"/>
      <c r="B17" s="27" t="s">
        <v>234</v>
      </c>
      <c r="C17" s="2915" t="s">
        <v>538</v>
      </c>
      <c r="D17" s="30" t="s">
        <v>539</v>
      </c>
      <c r="E17" s="30"/>
      <c r="F17" s="26"/>
      <c r="G17" s="3"/>
      <c r="H17" s="3"/>
    </row>
    <row r="18" spans="1:12" ht="17.25" customHeight="1">
      <c r="A18" s="23"/>
      <c r="B18" s="27" t="s">
        <v>235</v>
      </c>
      <c r="C18" s="2915" t="s">
        <v>540</v>
      </c>
      <c r="D18" s="30" t="s">
        <v>541</v>
      </c>
      <c r="E18" s="30"/>
      <c r="F18" s="26"/>
      <c r="G18" s="3"/>
      <c r="H18" s="3"/>
    </row>
    <row r="19" spans="1:12" ht="17.25" customHeight="1">
      <c r="A19" s="23"/>
      <c r="B19" s="27" t="s">
        <v>236</v>
      </c>
      <c r="C19" s="2916">
        <f>SUM(C63:C64)</f>
        <v>0</v>
      </c>
      <c r="D19" s="30" t="s">
        <v>539</v>
      </c>
      <c r="E19" s="30"/>
      <c r="F19" s="26"/>
      <c r="G19" s="3"/>
      <c r="H19" s="3"/>
    </row>
    <row r="20" spans="1:12" ht="17.25" customHeight="1">
      <c r="A20" s="23"/>
      <c r="B20" s="27" t="s">
        <v>237</v>
      </c>
      <c r="C20" s="3281" t="s">
        <v>542</v>
      </c>
      <c r="D20" s="3282"/>
      <c r="E20" s="3283"/>
      <c r="F20" s="26"/>
      <c r="G20" s="3"/>
      <c r="H20" s="3"/>
    </row>
    <row r="21" spans="1:12" ht="17.25" customHeight="1">
      <c r="A21" s="23"/>
      <c r="B21" s="32"/>
      <c r="C21" s="3284" t="str">
        <f>O67</f>
        <v/>
      </c>
      <c r="D21" s="3285"/>
      <c r="E21" s="3286"/>
      <c r="F21" s="26"/>
      <c r="G21" s="3"/>
      <c r="H21" s="3"/>
    </row>
    <row r="22" spans="1:12" ht="17.25" customHeight="1">
      <c r="A22" s="23"/>
      <c r="B22" s="27" t="s">
        <v>239</v>
      </c>
      <c r="C22" s="2917" t="s">
        <v>240</v>
      </c>
      <c r="D22" s="25"/>
      <c r="E22" s="25"/>
      <c r="F22" s="26"/>
      <c r="G22" s="3"/>
      <c r="H22" s="3"/>
    </row>
    <row r="23" spans="1:12" ht="17.25" customHeight="1">
      <c r="A23" s="23"/>
      <c r="B23" s="27" t="s">
        <v>612</v>
      </c>
      <c r="C23" s="2917" t="s">
        <v>613</v>
      </c>
      <c r="D23" s="25"/>
      <c r="E23" s="25"/>
      <c r="F23" s="26"/>
      <c r="G23" s="3"/>
      <c r="H23" s="3"/>
      <c r="I23" t="s">
        <v>614</v>
      </c>
      <c r="J23" t="s">
        <v>613</v>
      </c>
      <c r="K23" t="s">
        <v>615</v>
      </c>
      <c r="L23" t="s">
        <v>616</v>
      </c>
    </row>
    <row r="24" spans="1:12" ht="17.25" customHeight="1">
      <c r="A24" s="23"/>
      <c r="B24" s="27" t="s">
        <v>617</v>
      </c>
      <c r="C24" s="2918" t="s">
        <v>543</v>
      </c>
      <c r="D24" s="30" t="s">
        <v>618</v>
      </c>
      <c r="E24" s="30"/>
      <c r="F24" s="26"/>
      <c r="G24" s="3"/>
      <c r="H24" s="3"/>
      <c r="I24" s="1">
        <f>IF(OR(C23=I23,C23=L23),1,IF(C23=J23,2,3))</f>
        <v>2</v>
      </c>
    </row>
    <row r="25" spans="1:12" ht="17.25" customHeight="1">
      <c r="A25" s="23"/>
      <c r="B25" s="27" t="s">
        <v>619</v>
      </c>
      <c r="C25" s="2918" t="s">
        <v>544</v>
      </c>
      <c r="D25" s="30" t="s">
        <v>620</v>
      </c>
      <c r="E25" s="30"/>
      <c r="F25" s="26"/>
      <c r="G25" s="3"/>
      <c r="H25" s="3"/>
    </row>
    <row r="26" spans="1:12" ht="6.75" customHeight="1" thickBot="1">
      <c r="A26" s="23"/>
      <c r="B26" s="27"/>
      <c r="C26" s="33"/>
      <c r="D26" s="33"/>
      <c r="E26" s="33"/>
      <c r="F26" s="34"/>
      <c r="G26" s="3"/>
      <c r="H26" s="3"/>
    </row>
    <row r="27" spans="1:12" ht="14.25" hidden="1" thickBot="1">
      <c r="A27"/>
      <c r="B27"/>
      <c r="C27"/>
      <c r="D27"/>
      <c r="E27"/>
      <c r="F27"/>
      <c r="G27"/>
      <c r="H27"/>
    </row>
    <row r="28" spans="1:12" ht="14.25" hidden="1" thickBot="1">
      <c r="A28"/>
      <c r="B28"/>
      <c r="C28"/>
      <c r="D28"/>
      <c r="E28"/>
      <c r="F28"/>
      <c r="G28"/>
      <c r="H28"/>
    </row>
    <row r="29" spans="1:12" ht="14.25" hidden="1" thickBot="1">
      <c r="A29"/>
      <c r="B29"/>
      <c r="C29"/>
      <c r="D29"/>
      <c r="E29"/>
      <c r="F29"/>
      <c r="G29"/>
      <c r="H29"/>
    </row>
    <row r="30" spans="1:12" ht="14.25" hidden="1" thickBot="1">
      <c r="A30"/>
      <c r="B30"/>
      <c r="C30"/>
      <c r="D30"/>
      <c r="E30"/>
      <c r="F30"/>
      <c r="G30"/>
      <c r="H30"/>
    </row>
    <row r="31" spans="1:12" ht="14.25" hidden="1" thickBot="1">
      <c r="A31"/>
      <c r="B31"/>
      <c r="C31"/>
      <c r="D31"/>
      <c r="E31"/>
      <c r="F31"/>
      <c r="G31"/>
      <c r="H31"/>
    </row>
    <row r="32" spans="1:12" ht="14.25" hidden="1" thickBot="1">
      <c r="A32"/>
      <c r="B32"/>
      <c r="C32"/>
      <c r="D32"/>
      <c r="E32"/>
      <c r="F32"/>
      <c r="G32"/>
      <c r="H32"/>
    </row>
    <row r="33" spans="1:18" ht="14.25" hidden="1" thickBot="1">
      <c r="A33"/>
      <c r="B33"/>
      <c r="C33"/>
      <c r="D33"/>
      <c r="E33"/>
      <c r="F33"/>
      <c r="G33"/>
      <c r="H33"/>
    </row>
    <row r="34" spans="1:18" ht="14.25" hidden="1" thickBot="1">
      <c r="A34"/>
      <c r="B34"/>
      <c r="C34"/>
      <c r="D34"/>
      <c r="E34"/>
      <c r="F34"/>
      <c r="G34"/>
      <c r="H34"/>
    </row>
    <row r="35" spans="1:18" ht="14.25" hidden="1" thickBot="1">
      <c r="A35"/>
      <c r="B35"/>
      <c r="C35"/>
      <c r="D35"/>
      <c r="E35"/>
      <c r="F35"/>
      <c r="G35"/>
      <c r="H35"/>
    </row>
    <row r="36" spans="1:18" ht="14.25" hidden="1" thickBot="1">
      <c r="A36"/>
      <c r="B36"/>
      <c r="C36"/>
      <c r="D36"/>
      <c r="E36"/>
      <c r="F36"/>
      <c r="G36"/>
      <c r="H36"/>
    </row>
    <row r="37" spans="1:18" ht="14.25" hidden="1" thickBot="1">
      <c r="A37"/>
      <c r="B37"/>
      <c r="C37"/>
      <c r="D37"/>
      <c r="E37"/>
      <c r="F37"/>
      <c r="G37"/>
      <c r="H37"/>
    </row>
    <row r="38" spans="1:18" ht="17.25" customHeight="1" thickBot="1">
      <c r="A38" s="35"/>
      <c r="B38" s="36" t="s">
        <v>621</v>
      </c>
      <c r="C38" s="37"/>
      <c r="D38" s="37"/>
      <c r="E38" s="37"/>
      <c r="F38" s="38"/>
      <c r="G38" s="3"/>
      <c r="H38" s="3"/>
      <c r="I38" t="s">
        <v>622</v>
      </c>
      <c r="J38">
        <v>0</v>
      </c>
      <c r="L38" s="1" t="s">
        <v>623</v>
      </c>
      <c r="M38" s="1" t="s">
        <v>624</v>
      </c>
    </row>
    <row r="39" spans="1:18" ht="16.5" customHeight="1">
      <c r="A39" s="35"/>
      <c r="B39" s="39" t="s">
        <v>625</v>
      </c>
      <c r="C39" s="2919">
        <v>42193</v>
      </c>
      <c r="D39" s="25"/>
      <c r="E39" s="25"/>
      <c r="F39" s="2281"/>
      <c r="G39" s="3"/>
      <c r="H39" s="3"/>
      <c r="I39" t="s">
        <v>627</v>
      </c>
      <c r="J39">
        <v>1</v>
      </c>
      <c r="L39" s="1" t="s">
        <v>627</v>
      </c>
      <c r="M39" s="1" t="s">
        <v>334</v>
      </c>
    </row>
    <row r="40" spans="1:18" ht="16.5" customHeight="1">
      <c r="A40" s="35"/>
      <c r="B40" s="39" t="s">
        <v>335</v>
      </c>
      <c r="C40" s="2917" t="s">
        <v>336</v>
      </c>
      <c r="D40" s="25"/>
      <c r="E40" s="25"/>
      <c r="F40" s="26"/>
      <c r="G40" s="3"/>
      <c r="H40" s="3"/>
      <c r="I40" t="s">
        <v>626</v>
      </c>
      <c r="J40">
        <v>2</v>
      </c>
      <c r="L40" s="1" t="s">
        <v>626</v>
      </c>
      <c r="M40" s="1" t="s">
        <v>337</v>
      </c>
    </row>
    <row r="41" spans="1:18" ht="16.5" customHeight="1">
      <c r="A41" s="40"/>
      <c r="B41" s="39" t="s">
        <v>338</v>
      </c>
      <c r="C41" s="2919">
        <v>42195</v>
      </c>
      <c r="D41" s="25"/>
      <c r="E41" s="25"/>
      <c r="F41" s="26"/>
      <c r="G41" s="3"/>
      <c r="H41" s="3"/>
      <c r="I41" t="s">
        <v>339</v>
      </c>
      <c r="J41">
        <v>2</v>
      </c>
      <c r="L41" s="1" t="s">
        <v>339</v>
      </c>
      <c r="M41" s="1"/>
    </row>
    <row r="42" spans="1:18" ht="16.5" customHeight="1">
      <c r="A42" s="40"/>
      <c r="B42" s="39" t="s">
        <v>340</v>
      </c>
      <c r="C42" s="2917" t="s">
        <v>336</v>
      </c>
      <c r="D42" s="25"/>
      <c r="E42" s="25"/>
      <c r="F42" s="26"/>
      <c r="G42" s="3"/>
      <c r="H42" s="3"/>
      <c r="I42" s="1">
        <v>0</v>
      </c>
    </row>
    <row r="43" spans="1:18" ht="17.25" customHeight="1" thickBot="1">
      <c r="A43" s="40"/>
      <c r="B43" s="41" t="s">
        <v>341</v>
      </c>
      <c r="C43" s="2920" t="s">
        <v>342</v>
      </c>
      <c r="D43" s="42" t="str">
        <f>IF(C43=I43,L43,L44)</f>
        <v>→LCCO2算定条件シート（標準計算）を入力</v>
      </c>
      <c r="E43" s="25"/>
      <c r="F43" s="43"/>
      <c r="G43" s="3"/>
      <c r="H43" s="3"/>
      <c r="I43" t="s">
        <v>342</v>
      </c>
      <c r="L43" t="s">
        <v>343</v>
      </c>
    </row>
    <row r="44" spans="1:18" ht="9.75" customHeight="1" thickBot="1">
      <c r="A44" s="44"/>
      <c r="B44" s="45"/>
      <c r="C44" s="45"/>
      <c r="D44" s="45"/>
      <c r="E44" s="45"/>
      <c r="F44" s="45"/>
      <c r="G44" s="3"/>
      <c r="H44" s="3"/>
      <c r="I44" t="s">
        <v>344</v>
      </c>
      <c r="L44" t="s">
        <v>345</v>
      </c>
    </row>
    <row r="45" spans="1:18" ht="13.5">
      <c r="A45" s="44"/>
      <c r="B45" s="46" t="s">
        <v>346</v>
      </c>
      <c r="C45" s="47"/>
      <c r="D45" s="47"/>
      <c r="E45" s="47"/>
      <c r="F45" s="48"/>
      <c r="G45" s="3"/>
      <c r="H45" s="3"/>
    </row>
    <row r="46" spans="1:18" ht="14.25" thickBot="1">
      <c r="A46" s="44"/>
      <c r="B46" s="20" t="s">
        <v>347</v>
      </c>
      <c r="C46" s="49"/>
      <c r="D46" s="50"/>
      <c r="E46" s="50"/>
      <c r="F46" s="51"/>
      <c r="G46" s="3"/>
      <c r="H46" s="3"/>
      <c r="J46" t="s">
        <v>545</v>
      </c>
      <c r="K46" t="s">
        <v>1116</v>
      </c>
      <c r="L46" t="s">
        <v>546</v>
      </c>
    </row>
    <row r="47" spans="1:18" ht="13.5">
      <c r="A47" s="44"/>
      <c r="B47" s="52" t="s">
        <v>547</v>
      </c>
      <c r="C47" s="31">
        <f>E47+E48</f>
        <v>0</v>
      </c>
      <c r="D47" s="30" t="s">
        <v>1975</v>
      </c>
      <c r="E47" s="53"/>
      <c r="F47" s="2281" t="s">
        <v>1963</v>
      </c>
      <c r="G47" s="3"/>
      <c r="H47" s="3"/>
      <c r="I47" t="s">
        <v>348</v>
      </c>
      <c r="J47">
        <f>C47</f>
        <v>0</v>
      </c>
      <c r="K47" t="e">
        <f>J47/$J$66</f>
        <v>#DIV/0!</v>
      </c>
      <c r="N47">
        <f>IF(J47=0,0,RANK(J47,$J$47:$J$64))</f>
        <v>0</v>
      </c>
      <c r="O47" t="str">
        <f>IF(AND(0&lt;N47,N47&lt;4),I47&amp;",","")</f>
        <v/>
      </c>
      <c r="P47" s="2257" t="s">
        <v>1442</v>
      </c>
      <c r="Q47" s="2258" t="s">
        <v>348</v>
      </c>
      <c r="R47" s="2282">
        <f>E47</f>
        <v>0</v>
      </c>
    </row>
    <row r="48" spans="1:18" ht="13.5">
      <c r="A48" s="44"/>
      <c r="B48" s="54"/>
      <c r="C48" s="30"/>
      <c r="D48" s="2280" t="s">
        <v>1967</v>
      </c>
      <c r="E48" s="53"/>
      <c r="F48" s="2281" t="s">
        <v>1971</v>
      </c>
      <c r="G48" s="3"/>
      <c r="H48" s="3"/>
      <c r="N48">
        <f t="shared" ref="N48:N64" si="0">IF(J48=0,0,RANK(J48,$J$47:$J$64))</f>
        <v>0</v>
      </c>
      <c r="O48" t="str">
        <f t="shared" ref="O48:O64" si="1">IF(AND(0&lt;N48,N48&lt;4),I48&amp;",","")</f>
        <v/>
      </c>
      <c r="P48" s="2259"/>
      <c r="Q48" s="2258" t="s">
        <v>1923</v>
      </c>
      <c r="R48" s="2282">
        <f>E48</f>
        <v>0</v>
      </c>
    </row>
    <row r="49" spans="1:18" ht="13.5">
      <c r="A49" s="44"/>
      <c r="B49" s="54" t="s">
        <v>349</v>
      </c>
      <c r="C49" s="31">
        <f>SUM(E49:E53)</f>
        <v>0</v>
      </c>
      <c r="D49" s="30" t="s">
        <v>1974</v>
      </c>
      <c r="E49" s="53"/>
      <c r="F49" s="2281" t="s">
        <v>1971</v>
      </c>
      <c r="G49" s="3"/>
      <c r="H49" s="3"/>
      <c r="I49" t="s">
        <v>350</v>
      </c>
      <c r="J49" s="2376">
        <f>C49</f>
        <v>0</v>
      </c>
      <c r="K49" t="e">
        <f>J49/$J$66</f>
        <v>#DIV/0!</v>
      </c>
      <c r="N49">
        <f t="shared" si="0"/>
        <v>0</v>
      </c>
      <c r="O49" t="str">
        <f t="shared" si="1"/>
        <v/>
      </c>
      <c r="P49" s="2261" t="s">
        <v>1927</v>
      </c>
      <c r="Q49" s="2258" t="s">
        <v>1928</v>
      </c>
      <c r="R49" s="2282">
        <f t="shared" ref="R49:R59" si="2">E49</f>
        <v>0</v>
      </c>
    </row>
    <row r="50" spans="1:18" ht="13.5">
      <c r="A50" s="44"/>
      <c r="B50" s="54"/>
      <c r="C50" s="30"/>
      <c r="D50" s="2280" t="s">
        <v>3508</v>
      </c>
      <c r="E50" s="53"/>
      <c r="F50" s="2281" t="s">
        <v>1971</v>
      </c>
      <c r="G50" s="3"/>
      <c r="H50" s="3"/>
      <c r="J50" s="2377"/>
      <c r="N50">
        <f t="shared" si="0"/>
        <v>0</v>
      </c>
      <c r="O50" t="str">
        <f t="shared" si="1"/>
        <v/>
      </c>
      <c r="P50" s="2261"/>
      <c r="Q50" s="2258" t="s">
        <v>1104</v>
      </c>
      <c r="R50" s="2282">
        <f t="shared" si="2"/>
        <v>0</v>
      </c>
    </row>
    <row r="51" spans="1:18" ht="13.5" hidden="1">
      <c r="A51" s="44"/>
      <c r="B51" s="54"/>
      <c r="C51" s="30"/>
      <c r="D51" s="2280" t="s">
        <v>1972</v>
      </c>
      <c r="E51" s="53"/>
      <c r="F51" s="2281" t="s">
        <v>1971</v>
      </c>
      <c r="G51" s="3"/>
      <c r="H51" s="3"/>
      <c r="N51">
        <f t="shared" si="0"/>
        <v>0</v>
      </c>
      <c r="O51" t="str">
        <f t="shared" si="1"/>
        <v/>
      </c>
      <c r="P51" s="2261"/>
      <c r="Q51" s="2258" t="s">
        <v>1105</v>
      </c>
      <c r="R51" s="2282">
        <f t="shared" si="2"/>
        <v>0</v>
      </c>
    </row>
    <row r="52" spans="1:18" ht="13.5">
      <c r="A52" s="44"/>
      <c r="B52" s="54"/>
      <c r="C52" s="30"/>
      <c r="D52" s="2280" t="s">
        <v>1965</v>
      </c>
      <c r="E52" s="53"/>
      <c r="F52" s="2281" t="s">
        <v>1971</v>
      </c>
      <c r="G52" s="3"/>
      <c r="H52" s="3"/>
      <c r="N52">
        <f t="shared" si="0"/>
        <v>0</v>
      </c>
      <c r="O52" t="str">
        <f t="shared" si="1"/>
        <v/>
      </c>
      <c r="P52" s="2261"/>
      <c r="Q52" s="2258" t="s">
        <v>1931</v>
      </c>
      <c r="R52" s="2282">
        <f t="shared" si="2"/>
        <v>0</v>
      </c>
    </row>
    <row r="53" spans="1:18" ht="13.5">
      <c r="A53" s="44"/>
      <c r="B53" s="54"/>
      <c r="C53" s="30"/>
      <c r="D53" s="2280" t="s">
        <v>1966</v>
      </c>
      <c r="E53" s="53"/>
      <c r="F53" s="2281" t="s">
        <v>1971</v>
      </c>
      <c r="G53" s="3"/>
      <c r="H53" s="3"/>
      <c r="N53">
        <f t="shared" si="0"/>
        <v>0</v>
      </c>
      <c r="O53" t="str">
        <f t="shared" si="1"/>
        <v/>
      </c>
      <c r="P53" s="2259"/>
      <c r="Q53" s="2258" t="s">
        <v>1932</v>
      </c>
      <c r="R53" s="2282">
        <f t="shared" si="2"/>
        <v>0</v>
      </c>
    </row>
    <row r="54" spans="1:18" ht="13.5">
      <c r="A54" s="44"/>
      <c r="B54" s="54" t="s">
        <v>351</v>
      </c>
      <c r="C54" s="31">
        <f>E54+E55</f>
        <v>0</v>
      </c>
      <c r="D54" s="30" t="s">
        <v>1976</v>
      </c>
      <c r="E54" s="53"/>
      <c r="F54" s="2281" t="s">
        <v>1971</v>
      </c>
      <c r="G54" s="3"/>
      <c r="H54" s="3"/>
      <c r="I54" t="s">
        <v>352</v>
      </c>
      <c r="J54" s="2376">
        <f>C54</f>
        <v>0</v>
      </c>
      <c r="K54" t="e">
        <f>J54/$J$66</f>
        <v>#DIV/0!</v>
      </c>
      <c r="N54">
        <f t="shared" si="0"/>
        <v>0</v>
      </c>
      <c r="O54" t="str">
        <f t="shared" si="1"/>
        <v/>
      </c>
      <c r="P54" s="2257" t="s">
        <v>1924</v>
      </c>
      <c r="Q54" s="2258" t="s">
        <v>1612</v>
      </c>
      <c r="R54" s="2282">
        <f t="shared" si="2"/>
        <v>0</v>
      </c>
    </row>
    <row r="55" spans="1:18" ht="13.5">
      <c r="A55" s="44"/>
      <c r="B55" s="54"/>
      <c r="C55" s="30"/>
      <c r="D55" s="2280" t="s">
        <v>1968</v>
      </c>
      <c r="E55" s="53"/>
      <c r="F55" s="2281" t="s">
        <v>1971</v>
      </c>
      <c r="G55" s="3"/>
      <c r="H55" s="3"/>
      <c r="N55">
        <f t="shared" si="0"/>
        <v>0</v>
      </c>
      <c r="O55" t="str">
        <f t="shared" si="1"/>
        <v/>
      </c>
      <c r="P55" s="2259"/>
      <c r="Q55" s="2258" t="s">
        <v>1925</v>
      </c>
      <c r="R55" s="2282">
        <f t="shared" si="2"/>
        <v>0</v>
      </c>
    </row>
    <row r="56" spans="1:18" ht="13.5">
      <c r="A56" s="44"/>
      <c r="B56" s="54" t="s">
        <v>353</v>
      </c>
      <c r="C56" s="53"/>
      <c r="D56" s="30" t="s">
        <v>548</v>
      </c>
      <c r="E56" s="30"/>
      <c r="F56" s="2281"/>
      <c r="G56" s="3"/>
      <c r="H56" s="3"/>
      <c r="I56" t="s">
        <v>354</v>
      </c>
      <c r="J56" s="2377">
        <f>C56</f>
        <v>0</v>
      </c>
      <c r="K56" t="e">
        <f>J56/$J$66</f>
        <v>#DIV/0!</v>
      </c>
      <c r="N56">
        <f t="shared" si="0"/>
        <v>0</v>
      </c>
      <c r="O56" t="str">
        <f t="shared" si="1"/>
        <v/>
      </c>
      <c r="P56" s="2258" t="s">
        <v>354</v>
      </c>
      <c r="Q56" s="2260"/>
      <c r="R56" s="2282">
        <f>C56</f>
        <v>0</v>
      </c>
    </row>
    <row r="57" spans="1:18" ht="13.5">
      <c r="A57" s="44"/>
      <c r="B57" s="54" t="s">
        <v>355</v>
      </c>
      <c r="C57" s="31">
        <f>E57+E58+E59</f>
        <v>0</v>
      </c>
      <c r="D57" s="30" t="s">
        <v>1977</v>
      </c>
      <c r="E57" s="53"/>
      <c r="F57" s="2281" t="s">
        <v>1971</v>
      </c>
      <c r="G57" s="3"/>
      <c r="H57" s="3"/>
      <c r="I57" t="s">
        <v>356</v>
      </c>
      <c r="J57">
        <f>C57</f>
        <v>0</v>
      </c>
      <c r="K57" t="e">
        <f>J57/$J$66</f>
        <v>#DIV/0!</v>
      </c>
      <c r="N57">
        <f t="shared" si="0"/>
        <v>0</v>
      </c>
      <c r="O57" t="str">
        <f t="shared" si="1"/>
        <v/>
      </c>
      <c r="P57" s="2257" t="s">
        <v>1933</v>
      </c>
      <c r="Q57" s="2258" t="s">
        <v>1934</v>
      </c>
      <c r="R57" s="2282">
        <f t="shared" si="2"/>
        <v>0</v>
      </c>
    </row>
    <row r="58" spans="1:18" ht="13.5">
      <c r="A58" s="44"/>
      <c r="B58" s="54"/>
      <c r="C58" s="30"/>
      <c r="D58" s="2280" t="s">
        <v>1969</v>
      </c>
      <c r="E58" s="53"/>
      <c r="F58" s="2281" t="s">
        <v>1971</v>
      </c>
      <c r="G58" s="3"/>
      <c r="H58" s="3"/>
      <c r="N58">
        <f t="shared" si="0"/>
        <v>0</v>
      </c>
      <c r="O58" t="str">
        <f t="shared" si="1"/>
        <v/>
      </c>
      <c r="P58" s="2261"/>
      <c r="Q58" s="2258" t="s">
        <v>1935</v>
      </c>
      <c r="R58" s="2282">
        <f t="shared" si="2"/>
        <v>0</v>
      </c>
    </row>
    <row r="59" spans="1:18" ht="13.5">
      <c r="A59" s="44"/>
      <c r="B59" s="54"/>
      <c r="C59" s="30"/>
      <c r="D59" s="2280" t="s">
        <v>1970</v>
      </c>
      <c r="E59" s="53"/>
      <c r="F59" s="2281" t="s">
        <v>1971</v>
      </c>
      <c r="G59" s="3"/>
      <c r="H59" s="3"/>
      <c r="N59">
        <f t="shared" si="0"/>
        <v>0</v>
      </c>
      <c r="O59" t="str">
        <f t="shared" si="1"/>
        <v/>
      </c>
      <c r="P59" s="2261"/>
      <c r="Q59" s="2255" t="s">
        <v>1936</v>
      </c>
      <c r="R59" s="2282">
        <f t="shared" si="2"/>
        <v>0</v>
      </c>
    </row>
    <row r="60" spans="1:18" ht="13.5">
      <c r="A60" s="44"/>
      <c r="B60" s="54" t="s">
        <v>357</v>
      </c>
      <c r="C60" s="53"/>
      <c r="D60" s="30" t="s">
        <v>548</v>
      </c>
      <c r="E60" s="30"/>
      <c r="F60" s="2281"/>
      <c r="G60" s="3"/>
      <c r="H60" s="3"/>
      <c r="I60" t="s">
        <v>364</v>
      </c>
      <c r="J60">
        <f>C60</f>
        <v>0</v>
      </c>
      <c r="K60" t="e">
        <f>J60/$J$66</f>
        <v>#DIV/0!</v>
      </c>
      <c r="N60">
        <f t="shared" si="0"/>
        <v>0</v>
      </c>
      <c r="O60" t="str">
        <f t="shared" si="1"/>
        <v/>
      </c>
      <c r="P60" s="2258" t="s">
        <v>364</v>
      </c>
      <c r="Q60" s="2260"/>
      <c r="R60" s="2282">
        <f>C60</f>
        <v>0</v>
      </c>
    </row>
    <row r="61" spans="1:18" ht="13.5">
      <c r="A61" s="44"/>
      <c r="B61" s="54" t="s">
        <v>359</v>
      </c>
      <c r="C61" s="53"/>
      <c r="D61" s="30" t="s">
        <v>548</v>
      </c>
      <c r="E61" s="30"/>
      <c r="F61" s="2281"/>
      <c r="G61" s="3"/>
      <c r="H61" s="3"/>
      <c r="I61" t="s">
        <v>358</v>
      </c>
      <c r="J61">
        <f>C61</f>
        <v>0</v>
      </c>
      <c r="K61" t="e">
        <f>J61/$J$66</f>
        <v>#DIV/0!</v>
      </c>
      <c r="L61">
        <f>J61*F68</f>
        <v>0</v>
      </c>
      <c r="N61">
        <f t="shared" si="0"/>
        <v>0</v>
      </c>
      <c r="O61" t="str">
        <f t="shared" si="1"/>
        <v/>
      </c>
      <c r="P61" s="2258" t="s">
        <v>358</v>
      </c>
      <c r="Q61" s="2260"/>
      <c r="R61" s="2282">
        <f>C61</f>
        <v>0</v>
      </c>
    </row>
    <row r="62" spans="1:18" ht="13.5">
      <c r="A62" s="44"/>
      <c r="B62" s="54" t="s">
        <v>361</v>
      </c>
      <c r="C62" s="53"/>
      <c r="D62" s="30" t="s">
        <v>548</v>
      </c>
      <c r="E62" s="30"/>
      <c r="F62" s="2281"/>
      <c r="G62" s="3"/>
      <c r="H62" s="3"/>
      <c r="I62" t="s">
        <v>549</v>
      </c>
      <c r="J62">
        <f>C62</f>
        <v>0</v>
      </c>
      <c r="K62" t="e">
        <f>J62/$J$66</f>
        <v>#DIV/0!</v>
      </c>
      <c r="L62">
        <f>J62*F69</f>
        <v>0</v>
      </c>
      <c r="N62">
        <f t="shared" si="0"/>
        <v>0</v>
      </c>
      <c r="O62" t="str">
        <f t="shared" si="1"/>
        <v/>
      </c>
      <c r="P62" s="2258" t="s">
        <v>1926</v>
      </c>
      <c r="Q62" s="2260"/>
      <c r="R62" s="2282">
        <f>C62</f>
        <v>0</v>
      </c>
    </row>
    <row r="63" spans="1:18" ht="13.5">
      <c r="A63" s="44"/>
      <c r="B63" s="54" t="s">
        <v>1688</v>
      </c>
      <c r="C63" s="31">
        <f>SUM(C47:C62)</f>
        <v>0</v>
      </c>
      <c r="D63" s="30" t="s">
        <v>548</v>
      </c>
      <c r="E63" s="30"/>
      <c r="F63" s="2281"/>
      <c r="G63" s="3"/>
      <c r="H63" s="3"/>
      <c r="N63">
        <f t="shared" si="0"/>
        <v>0</v>
      </c>
      <c r="O63" t="str">
        <f t="shared" si="1"/>
        <v/>
      </c>
      <c r="P63" s="2275"/>
      <c r="Q63" s="2256"/>
    </row>
    <row r="64" spans="1:18" ht="13.5">
      <c r="A64" s="44"/>
      <c r="B64" s="55" t="s">
        <v>363</v>
      </c>
      <c r="C64" s="31">
        <f>E64+E65</f>
        <v>0</v>
      </c>
      <c r="D64" s="30" t="s">
        <v>1978</v>
      </c>
      <c r="E64" s="53"/>
      <c r="F64" s="2281" t="s">
        <v>1971</v>
      </c>
      <c r="G64" s="3"/>
      <c r="H64" s="3"/>
      <c r="I64" t="s">
        <v>362</v>
      </c>
      <c r="J64">
        <f>C64</f>
        <v>0</v>
      </c>
      <c r="K64" t="e">
        <f>J64/$J$66</f>
        <v>#DIV/0!</v>
      </c>
      <c r="L64" s="2377">
        <f>E64</f>
        <v>0</v>
      </c>
      <c r="N64">
        <f t="shared" si="0"/>
        <v>0</v>
      </c>
      <c r="O64" t="str">
        <f t="shared" si="1"/>
        <v/>
      </c>
      <c r="P64" s="2" t="s">
        <v>1724</v>
      </c>
      <c r="Q64" s="2262" t="s">
        <v>1957</v>
      </c>
      <c r="R64" s="2282">
        <f>E64</f>
        <v>0</v>
      </c>
    </row>
    <row r="65" spans="1:18" ht="13.5">
      <c r="A65" s="44"/>
      <c r="B65" s="2191"/>
      <c r="C65" s="30"/>
      <c r="D65" s="2280" t="s">
        <v>1973</v>
      </c>
      <c r="E65" s="53"/>
      <c r="F65" s="2281" t="s">
        <v>1971</v>
      </c>
      <c r="G65" s="3"/>
      <c r="H65" s="3"/>
      <c r="P65" s="2263"/>
      <c r="Q65" s="2264" t="s">
        <v>369</v>
      </c>
      <c r="R65" s="2282">
        <f>E65</f>
        <v>0</v>
      </c>
    </row>
    <row r="66" spans="1:18" ht="13.5">
      <c r="A66" s="44"/>
      <c r="B66" s="2191"/>
      <c r="C66" s="30"/>
      <c r="D66" s="30"/>
      <c r="E66" s="30"/>
      <c r="F66" s="26"/>
      <c r="G66" s="3"/>
      <c r="H66" s="3"/>
      <c r="I66" t="s">
        <v>366</v>
      </c>
      <c r="J66">
        <f>SUM(J47:J64)</f>
        <v>0</v>
      </c>
      <c r="K66" t="e">
        <f>J66/$J$66</f>
        <v>#DIV/0!</v>
      </c>
      <c r="L66">
        <f>SUM(L47:L64)</f>
        <v>0</v>
      </c>
      <c r="O66" t="str">
        <f>IF(MAX(N47:N63)&gt;3,"等","")</f>
        <v/>
      </c>
    </row>
    <row r="67" spans="1:18" ht="13.5">
      <c r="A67" s="44"/>
      <c r="B67" s="20" t="s">
        <v>365</v>
      </c>
      <c r="C67" s="49"/>
      <c r="D67" s="2276"/>
      <c r="E67" s="50"/>
      <c r="F67" s="51"/>
      <c r="G67" s="3"/>
      <c r="H67" s="3"/>
      <c r="O67" t="str">
        <f>O47&amp;O49&amp;O54&amp;O56&amp;O57&amp;O61&amp;O62&amp;O64&amp;O60&amp;O66</f>
        <v/>
      </c>
    </row>
    <row r="68" spans="1:18" ht="13.5">
      <c r="A68" s="44"/>
      <c r="B68" s="55" t="s">
        <v>2796</v>
      </c>
      <c r="C68" s="56"/>
      <c r="D68" s="56"/>
      <c r="E68" s="56"/>
      <c r="F68" s="57"/>
      <c r="G68" s="3"/>
      <c r="H68" s="3"/>
    </row>
    <row r="69" spans="1:18" ht="13.5">
      <c r="A69" s="44"/>
      <c r="B69" s="55" t="s">
        <v>2797</v>
      </c>
      <c r="C69" s="56"/>
      <c r="D69" s="56"/>
      <c r="E69" s="56"/>
      <c r="F69" s="57"/>
      <c r="G69" s="3"/>
      <c r="H69" s="3"/>
    </row>
    <row r="70" spans="1:18" ht="13.5">
      <c r="A70" s="44"/>
      <c r="B70" s="55" t="s">
        <v>2798</v>
      </c>
      <c r="C70" s="2190"/>
      <c r="D70" s="2190"/>
      <c r="E70" s="2190"/>
      <c r="F70" s="2192">
        <f>IF(C64=0,0,E64/C64)</f>
        <v>0</v>
      </c>
      <c r="G70" s="3"/>
      <c r="H70" s="3"/>
    </row>
    <row r="71" spans="1:18" ht="14.25" thickBot="1">
      <c r="A71" s="56"/>
      <c r="B71" s="58"/>
      <c r="C71" s="59"/>
      <c r="D71" s="59"/>
      <c r="E71" s="59"/>
      <c r="F71" s="60"/>
      <c r="G71" s="56"/>
      <c r="H71" s="56"/>
    </row>
    <row r="72" spans="1:18" ht="14.25" thickBot="1">
      <c r="A72" s="56"/>
      <c r="B72" s="56"/>
      <c r="C72" s="56"/>
      <c r="D72" s="56"/>
      <c r="E72" s="56"/>
      <c r="F72" s="56"/>
      <c r="G72" s="56"/>
      <c r="H72" s="56"/>
    </row>
    <row r="73" spans="1:18" ht="14.25" thickBot="1">
      <c r="A73" s="44"/>
      <c r="B73" s="61" t="s">
        <v>1616</v>
      </c>
      <c r="C73" s="62"/>
      <c r="D73" s="62"/>
      <c r="E73" s="63"/>
      <c r="F73" s="64"/>
      <c r="G73" s="3"/>
      <c r="H73" s="3"/>
    </row>
    <row r="74" spans="1:18" ht="14.25" thickBot="1">
      <c r="A74" s="44"/>
      <c r="B74" s="65" t="s">
        <v>1617</v>
      </c>
      <c r="C74" s="66" t="s">
        <v>1618</v>
      </c>
      <c r="D74" s="2277"/>
      <c r="E74" s="67"/>
      <c r="F74" s="68"/>
      <c r="G74" s="3"/>
      <c r="H74" s="3"/>
    </row>
    <row r="75" spans="1:18" ht="13.5">
      <c r="A75" s="44"/>
      <c r="B75" s="69" t="s">
        <v>1619</v>
      </c>
      <c r="C75" s="70" t="s">
        <v>1620</v>
      </c>
      <c r="D75" s="71"/>
      <c r="E75" s="71" t="s">
        <v>1621</v>
      </c>
      <c r="F75" s="72"/>
      <c r="G75" s="3"/>
      <c r="H75" s="3"/>
    </row>
    <row r="76" spans="1:18" ht="14.25" thickBot="1">
      <c r="A76" s="23"/>
      <c r="B76" s="65" t="s">
        <v>1622</v>
      </c>
      <c r="C76" s="73" t="s">
        <v>255</v>
      </c>
      <c r="D76" s="74"/>
      <c r="E76" s="74" t="s">
        <v>256</v>
      </c>
      <c r="F76" s="75"/>
      <c r="G76" s="3"/>
      <c r="H76" s="3"/>
    </row>
    <row r="77" spans="1:18" ht="13.5">
      <c r="A77" s="44"/>
      <c r="B77" s="44"/>
      <c r="C77" s="44"/>
      <c r="D77" s="44"/>
      <c r="E77" s="44"/>
      <c r="F77" s="44"/>
      <c r="G77" s="3"/>
      <c r="H77" s="3"/>
    </row>
    <row r="78" spans="1:18" ht="13.5">
      <c r="A78" s="23"/>
      <c r="B78" s="76" t="s">
        <v>257</v>
      </c>
      <c r="C78" s="77" t="s">
        <v>258</v>
      </c>
      <c r="D78" s="2278"/>
      <c r="E78" s="78"/>
      <c r="F78" s="79"/>
      <c r="G78" s="3"/>
      <c r="H78" s="3"/>
    </row>
    <row r="79" spans="1:18" ht="13.5">
      <c r="A79" s="23"/>
      <c r="B79" s="80" t="s">
        <v>259</v>
      </c>
      <c r="C79" s="81" t="s">
        <v>2799</v>
      </c>
      <c r="D79" s="82"/>
      <c r="E79" s="82"/>
      <c r="F79" s="83"/>
      <c r="G79" s="84"/>
      <c r="H79" s="84"/>
    </row>
    <row r="80" spans="1:18" ht="13.5">
      <c r="A80" s="23"/>
      <c r="B80" s="85" t="s">
        <v>349</v>
      </c>
      <c r="C80" s="86" t="s">
        <v>2800</v>
      </c>
      <c r="D80" s="87"/>
      <c r="E80" s="87"/>
      <c r="F80" s="88"/>
      <c r="G80" s="84"/>
      <c r="H80" s="84"/>
    </row>
    <row r="81" spans="1:8" ht="13.5">
      <c r="A81" s="23"/>
      <c r="B81" s="85" t="s">
        <v>351</v>
      </c>
      <c r="C81" s="86" t="s">
        <v>2801</v>
      </c>
      <c r="D81" s="87"/>
      <c r="E81" s="87"/>
      <c r="F81" s="88"/>
      <c r="G81" s="84"/>
      <c r="H81" s="84"/>
    </row>
    <row r="82" spans="1:8" ht="13.5">
      <c r="A82" s="23"/>
      <c r="B82" s="85" t="s">
        <v>353</v>
      </c>
      <c r="C82" s="86" t="s">
        <v>2802</v>
      </c>
      <c r="D82" s="87"/>
      <c r="E82" s="87"/>
      <c r="F82" s="88"/>
      <c r="G82" s="84"/>
      <c r="H82" s="84"/>
    </row>
    <row r="83" spans="1:8" ht="13.5">
      <c r="A83" s="23"/>
      <c r="B83" s="85" t="s">
        <v>355</v>
      </c>
      <c r="C83" s="86" t="s">
        <v>2803</v>
      </c>
      <c r="D83" s="87"/>
      <c r="E83" s="87"/>
      <c r="F83" s="88"/>
      <c r="G83" s="84"/>
      <c r="H83" s="84"/>
    </row>
    <row r="84" spans="1:8" ht="13.5">
      <c r="A84" s="23"/>
      <c r="B84" s="85" t="s">
        <v>357</v>
      </c>
      <c r="C84" s="86" t="s">
        <v>2804</v>
      </c>
      <c r="D84" s="87"/>
      <c r="E84" s="89"/>
      <c r="F84" s="88"/>
      <c r="G84" s="84"/>
      <c r="H84" s="84"/>
    </row>
    <row r="85" spans="1:8" ht="13.5">
      <c r="A85" s="23"/>
      <c r="B85" s="85" t="s">
        <v>359</v>
      </c>
      <c r="C85" s="86" t="s">
        <v>2805</v>
      </c>
      <c r="D85" s="87"/>
      <c r="E85" s="87"/>
      <c r="F85" s="88"/>
      <c r="G85" s="84"/>
      <c r="H85" s="84"/>
    </row>
    <row r="86" spans="1:8" ht="13.5">
      <c r="A86" s="23"/>
      <c r="B86" s="85" t="s">
        <v>361</v>
      </c>
      <c r="C86" s="86" t="s">
        <v>2806</v>
      </c>
      <c r="D86" s="87"/>
      <c r="E86" s="87"/>
      <c r="F86" s="88"/>
      <c r="G86" s="84"/>
      <c r="H86" s="84"/>
    </row>
    <row r="87" spans="1:8" ht="13.5">
      <c r="A87" s="23"/>
      <c r="B87" s="90" t="s">
        <v>363</v>
      </c>
      <c r="C87" s="91" t="s">
        <v>550</v>
      </c>
      <c r="D87" s="2279"/>
      <c r="E87" s="92"/>
      <c r="F87" s="93"/>
      <c r="G87" s="84"/>
      <c r="H87" s="84"/>
    </row>
    <row r="88" spans="1:8" ht="13.5">
      <c r="A88" s="23"/>
      <c r="B88" s="23"/>
      <c r="C88" s="23"/>
      <c r="D88" s="23"/>
      <c r="E88" s="23"/>
      <c r="F88" s="23"/>
      <c r="G88" s="23"/>
      <c r="H88" s="23"/>
    </row>
    <row r="89" spans="1:8" ht="14.25" hidden="1" customHeight="1"/>
    <row r="90" spans="1:8" ht="13.5" hidden="1"/>
    <row r="91" spans="1:8" ht="13.5" hidden="1"/>
    <row r="92" spans="1:8" ht="13.5" hidden="1"/>
    <row r="93" spans="1:8" ht="13.5" hidden="1"/>
    <row r="94" spans="1:8" ht="13.5" hidden="1"/>
    <row r="95" spans="1:8" ht="13.5" hidden="1"/>
    <row r="96" spans="1:8" ht="13.5" hidden="1"/>
    <row r="97" ht="13.5" hidden="1"/>
    <row r="98" ht="13.5" hidden="1"/>
    <row r="99" ht="13.5" hidden="1"/>
    <row r="100" ht="13.5" hidden="1"/>
    <row r="101" ht="13.5" hidden="1"/>
    <row r="102" ht="13.5" hidden="1"/>
    <row r="103" ht="13.5" hidden="1"/>
    <row r="104" ht="13.5" hidden="1"/>
    <row r="105" ht="13.5" hidden="1"/>
    <row r="106" ht="13.5" hidden="1"/>
    <row r="107" ht="13.5" hidden="1"/>
  </sheetData>
  <sheetProtection password="CC47" sheet="1" objects="1" scenarios="1"/>
  <mergeCells count="5">
    <mergeCell ref="C12:E12"/>
    <mergeCell ref="C14:E14"/>
    <mergeCell ref="C20:E20"/>
    <mergeCell ref="C21:E21"/>
    <mergeCell ref="C11:E11"/>
  </mergeCells>
  <phoneticPr fontId="21"/>
  <conditionalFormatting sqref="F15:F16 C20:E20 C22:C25 C56 F12:F13 D12:E14 C39:C40 C11:C18 E47:E55 E64:E65 E57:E59 C60:C62">
    <cfRule type="cellIs" dxfId="169" priority="2" stopIfTrue="1" operator="equal">
      <formula>0</formula>
    </cfRule>
  </conditionalFormatting>
  <conditionalFormatting sqref="F69">
    <cfRule type="expression" dxfId="168" priority="3" stopIfTrue="1">
      <formula>AND($C$62&gt;0,F69=0)</formula>
    </cfRule>
  </conditionalFormatting>
  <conditionalFormatting sqref="F68">
    <cfRule type="expression" dxfId="167" priority="4" stopIfTrue="1">
      <formula>AND($C$61&gt;0,F68=0)</formula>
    </cfRule>
  </conditionalFormatting>
  <conditionalFormatting sqref="C42">
    <cfRule type="cellIs" dxfId="166" priority="1" stopIfTrue="1" operator="equal">
      <formula>0</formula>
    </cfRule>
  </conditionalFormatting>
  <dataValidations count="6">
    <dataValidation type="list" allowBlank="1" showInputMessage="1" showErrorMessage="1" sqref="F13">
      <formula1>$I$5:$I$10</formula1>
    </dataValidation>
    <dataValidation type="list" allowBlank="1" showInputMessage="1" showErrorMessage="1" sqref="F15:F16">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2">
      <formula1>$I$5:$I$12</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7"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11">
    <pageSetUpPr fitToPage="1"/>
  </sheetPr>
  <dimension ref="A1:AC119"/>
  <sheetViews>
    <sheetView showGridLines="0" zoomScaleNormal="100" zoomScaleSheetLayoutView="100" workbookViewId="0">
      <selection activeCell="L17" sqref="L17"/>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6.75" hidden="1" customWidth="1"/>
    <col min="27" max="27" width="10.375" hidden="1" customWidth="1"/>
    <col min="28" max="28" width="13.875" hidden="1" customWidth="1"/>
    <col min="29" max="29" width="12.75" hidden="1" customWidth="1"/>
    <col min="30" max="16384" width="9" hidden="1"/>
  </cols>
  <sheetData>
    <row r="1" spans="2:29" ht="9.75" customHeight="1" thickBot="1"/>
    <row r="2" spans="2:29" ht="25.5" customHeight="1">
      <c r="B2" s="2153"/>
      <c r="C2" s="2154" t="s">
        <v>1804</v>
      </c>
      <c r="D2" s="2155"/>
      <c r="E2" s="2155"/>
      <c r="F2" s="2156"/>
      <c r="G2" s="2156"/>
      <c r="H2" s="2157"/>
      <c r="I2" s="2155"/>
      <c r="J2" s="2158"/>
      <c r="K2" s="2158"/>
      <c r="L2" s="2158"/>
      <c r="M2" s="2159" t="s">
        <v>2253</v>
      </c>
      <c r="N2" s="3756" t="str">
        <f>メイン!C11</f>
        <v>○○ビル</v>
      </c>
      <c r="O2" s="3756"/>
      <c r="P2" s="3756"/>
      <c r="Q2" s="2160"/>
    </row>
    <row r="3" spans="2:29">
      <c r="B3" s="2168"/>
      <c r="C3" s="2169"/>
      <c r="D3" s="2169"/>
      <c r="E3" s="2169"/>
      <c r="F3" s="2169"/>
      <c r="G3" s="2169"/>
      <c r="H3" s="2169"/>
      <c r="I3" s="2169"/>
      <c r="J3" s="2169"/>
      <c r="K3" s="2169"/>
      <c r="L3" s="2169"/>
      <c r="M3" s="2169"/>
      <c r="N3" s="2169"/>
      <c r="O3" s="2169"/>
      <c r="P3" s="2169"/>
      <c r="Q3" s="2348"/>
      <c r="S3" t="s">
        <v>883</v>
      </c>
      <c r="U3" s="2239" t="s">
        <v>881</v>
      </c>
      <c r="V3" s="2416">
        <f>IF($I$6&lt;=W9,V10,IF($I$6&lt;=W8,V9,IF($I$6&lt;=W7,V8,IF($I$6&lt;=W6,V7,1))))</f>
        <v>5</v>
      </c>
      <c r="X3">
        <f>VLOOKUP($V$3,V6:Y10,3)</f>
        <v>-10.000000000000002</v>
      </c>
      <c r="Y3">
        <f>VLOOKUP($V$3,V6:Y10,4)</f>
        <v>13.000000000000002</v>
      </c>
      <c r="Z3" s="2416">
        <f>IF($I$6&lt;=AA9,Z10,IF($I$6&lt;=AA8,Z9,IF($I$6&lt;=AA7,Z8,IF($I$6&lt;=AA6,Z7,1))))</f>
        <v>5</v>
      </c>
      <c r="AB3">
        <f>VLOOKUP($Z$3,Z6:AC10,3)</f>
        <v>-12.499999999999989</v>
      </c>
      <c r="AC3">
        <f>VLOOKUP($Z$3,Z6:AC10,4)</f>
        <v>15.624999999999991</v>
      </c>
    </row>
    <row r="4" spans="2:29">
      <c r="B4" s="2168"/>
      <c r="C4" s="2169"/>
      <c r="D4" s="2169"/>
      <c r="E4" s="2169"/>
      <c r="F4" s="2169"/>
      <c r="G4" s="2169"/>
      <c r="H4" s="2169"/>
      <c r="I4" s="2161" t="s">
        <v>513</v>
      </c>
      <c r="J4" s="2169"/>
      <c r="K4" s="2169"/>
      <c r="L4" s="2169"/>
      <c r="M4" s="2161" t="s">
        <v>514</v>
      </c>
      <c r="N4" s="2169"/>
      <c r="O4" s="2169"/>
      <c r="P4" s="2169"/>
      <c r="Q4" s="2348"/>
      <c r="S4" t="s">
        <v>884</v>
      </c>
      <c r="U4" s="2239" t="s">
        <v>882</v>
      </c>
      <c r="V4" s="2416">
        <f>IF($I$6&lt;=W16,V16,IF($I$6&lt;=W15,V15,IF($I$6&lt;=W14,V14,1)))</f>
        <v>4</v>
      </c>
      <c r="Z4" s="2416">
        <f>IF($I$6&lt;=AA16,Z16,IF($I$6&lt;=AA15,Z15,IF($I$6&lt;=AA14,Z14,IF($I$6&lt;=AA13,Z13,1))))</f>
        <v>4</v>
      </c>
    </row>
    <row r="5" spans="2:29" ht="14.25" thickBot="1">
      <c r="B5" s="2168"/>
      <c r="C5" s="2349" t="s">
        <v>282</v>
      </c>
      <c r="D5" s="2161" t="s">
        <v>512</v>
      </c>
      <c r="E5" s="2169"/>
      <c r="F5" s="2169"/>
      <c r="G5" s="2169"/>
      <c r="H5" s="2169"/>
      <c r="I5" s="2169"/>
      <c r="J5" s="2169"/>
      <c r="K5" s="2169"/>
      <c r="L5" s="2169"/>
      <c r="M5" s="2169"/>
      <c r="N5" s="2169"/>
      <c r="O5" s="2169"/>
      <c r="P5" s="2169"/>
      <c r="Q5" s="2348"/>
      <c r="T5" t="s">
        <v>2497</v>
      </c>
      <c r="U5" t="s">
        <v>2083</v>
      </c>
      <c r="V5" s="1" t="s">
        <v>2082</v>
      </c>
      <c r="W5" s="1" t="s">
        <v>2081</v>
      </c>
      <c r="X5" t="s">
        <v>2330</v>
      </c>
      <c r="Y5" t="s">
        <v>2331</v>
      </c>
      <c r="Z5" s="1" t="s">
        <v>2082</v>
      </c>
      <c r="AA5" s="1" t="str">
        <f>メイン!I12</f>
        <v>８地域</v>
      </c>
      <c r="AB5" t="s">
        <v>2330</v>
      </c>
      <c r="AC5" t="s">
        <v>2331</v>
      </c>
    </row>
    <row r="6" spans="2:29" ht="14.25" thickBot="1">
      <c r="B6" s="2168"/>
      <c r="C6" s="2169"/>
      <c r="D6" s="2161"/>
      <c r="E6" s="3749" t="s">
        <v>883</v>
      </c>
      <c r="F6" s="3750"/>
      <c r="G6" s="3751"/>
      <c r="H6" s="2240" t="str">
        <f>IF(E6=S3,U3,U4)</f>
        <v>BPI=</v>
      </c>
      <c r="I6" s="2351"/>
      <c r="J6" s="2169"/>
      <c r="K6" s="2169"/>
      <c r="L6" s="2173" t="s">
        <v>515</v>
      </c>
      <c r="M6" s="2163" t="s">
        <v>2497</v>
      </c>
      <c r="N6" s="2169"/>
      <c r="O6" s="2169"/>
      <c r="P6" s="2169"/>
      <c r="Q6" s="2348"/>
      <c r="T6" t="s">
        <v>2401</v>
      </c>
      <c r="V6" s="1">
        <v>1</v>
      </c>
      <c r="W6" s="1">
        <v>1.03</v>
      </c>
      <c r="X6" s="2416">
        <v>0</v>
      </c>
      <c r="Y6" s="2416">
        <v>1</v>
      </c>
      <c r="Z6" s="1">
        <v>1</v>
      </c>
      <c r="AA6" s="1">
        <v>1.03</v>
      </c>
      <c r="AB6" s="2416">
        <v>0</v>
      </c>
      <c r="AC6" s="2416">
        <v>1</v>
      </c>
    </row>
    <row r="7" spans="2:29" ht="5.25" customHeight="1">
      <c r="B7" s="2168"/>
      <c r="C7" s="2169"/>
      <c r="D7" s="2169"/>
      <c r="E7" s="2169"/>
      <c r="F7" s="2169"/>
      <c r="G7" s="2169"/>
      <c r="H7" s="2169"/>
      <c r="I7" s="2169"/>
      <c r="J7" s="2169"/>
      <c r="K7" s="2169"/>
      <c r="L7" s="2169"/>
      <c r="M7" s="2169"/>
      <c r="N7" s="2169"/>
      <c r="O7" s="2169"/>
      <c r="P7" s="2169"/>
      <c r="Q7" s="2348"/>
      <c r="T7" t="s">
        <v>2402</v>
      </c>
      <c r="V7" s="1">
        <v>2</v>
      </c>
      <c r="W7" s="1">
        <v>1</v>
      </c>
      <c r="X7">
        <f>(V7-V6)/(W7-W6)</f>
        <v>-33.333333333333307</v>
      </c>
      <c r="Y7">
        <f>V7-X7*W7</f>
        <v>35.333333333333307</v>
      </c>
      <c r="Z7" s="1">
        <v>2</v>
      </c>
      <c r="AA7" s="1">
        <v>1</v>
      </c>
      <c r="AB7">
        <f>(Z7-Z6)/(AA7-AA6)</f>
        <v>-33.333333333333307</v>
      </c>
      <c r="AC7">
        <f>Z7-AB7*AA7</f>
        <v>35.333333333333307</v>
      </c>
    </row>
    <row r="8" spans="2:29">
      <c r="B8" s="2168"/>
      <c r="C8" s="2169"/>
      <c r="D8" s="2169"/>
      <c r="E8" s="2169"/>
      <c r="F8" s="2169"/>
      <c r="G8" s="2169"/>
      <c r="H8" s="2169"/>
      <c r="I8" s="2367" t="str">
        <f>W5</f>
        <v>1～7地域</v>
      </c>
      <c r="J8" s="2367" t="str">
        <f>AA5</f>
        <v>８地域</v>
      </c>
      <c r="K8" s="2169"/>
      <c r="L8" s="2169"/>
      <c r="M8" s="2169"/>
      <c r="N8" s="2169"/>
      <c r="O8" s="2169"/>
      <c r="P8" s="2169"/>
      <c r="Q8" s="2348"/>
      <c r="T8" t="s">
        <v>2332</v>
      </c>
      <c r="V8" s="1">
        <v>3</v>
      </c>
      <c r="W8" s="1">
        <v>0.97</v>
      </c>
      <c r="X8">
        <f>(V8-V7)/(W8-W7)</f>
        <v>-33.333333333333307</v>
      </c>
      <c r="Y8">
        <f>V8-X8*W8</f>
        <v>35.333333333333307</v>
      </c>
      <c r="Z8" s="1">
        <v>3</v>
      </c>
      <c r="AA8" s="1">
        <v>0.97</v>
      </c>
      <c r="AB8">
        <f>(Z8-Z7)/(AA8-AA7)</f>
        <v>-33.333333333333307</v>
      </c>
      <c r="AC8">
        <f>Z8-AB8*AA8</f>
        <v>35.333333333333307</v>
      </c>
    </row>
    <row r="9" spans="2:29">
      <c r="B9" s="2168"/>
      <c r="C9" s="2169"/>
      <c r="D9" s="2169"/>
      <c r="E9" s="2169"/>
      <c r="F9" s="2169" t="s">
        <v>283</v>
      </c>
      <c r="G9" s="2169"/>
      <c r="H9" s="2173" t="s">
        <v>1667</v>
      </c>
      <c r="I9" s="2370">
        <f>IF(I6&lt;=0.8,5,I6*X3+Y3)</f>
        <v>5</v>
      </c>
      <c r="J9" s="2370">
        <f>IF(I6&lt;=0.85,5,I6*AB3+AC3)</f>
        <v>5</v>
      </c>
      <c r="K9" s="2169"/>
      <c r="L9" s="2169"/>
      <c r="M9" s="2169"/>
      <c r="N9" s="2169"/>
      <c r="O9" s="2169"/>
      <c r="P9" s="2169"/>
      <c r="Q9" s="2348"/>
      <c r="T9" t="s">
        <v>2403</v>
      </c>
      <c r="V9" s="1">
        <v>4</v>
      </c>
      <c r="W9" s="1">
        <v>0.9</v>
      </c>
      <c r="X9">
        <f>(V9-V8)/(W9-W8)</f>
        <v>-14.285714285714295</v>
      </c>
      <c r="Y9">
        <f>V9-X9*W9</f>
        <v>16.857142857142868</v>
      </c>
      <c r="Z9" s="1">
        <v>4</v>
      </c>
      <c r="AA9" s="1">
        <v>0.93</v>
      </c>
      <c r="AB9">
        <f>(Z9-Z8)/(AA9-AA8)</f>
        <v>-25.000000000000046</v>
      </c>
      <c r="AC9">
        <f>Z9-AB9*AA9</f>
        <v>27.250000000000043</v>
      </c>
    </row>
    <row r="10" spans="2:29">
      <c r="B10" s="2168"/>
      <c r="C10" s="2169"/>
      <c r="D10" s="2169"/>
      <c r="E10" s="2169"/>
      <c r="F10" s="2169"/>
      <c r="G10" s="2169"/>
      <c r="H10" s="2173" t="s">
        <v>1668</v>
      </c>
      <c r="I10" s="2370">
        <f>V4</f>
        <v>4</v>
      </c>
      <c r="J10" s="2370">
        <f>Z4</f>
        <v>4</v>
      </c>
      <c r="K10" s="2169"/>
      <c r="L10" s="2169"/>
      <c r="M10" s="2169"/>
      <c r="N10" s="2169"/>
      <c r="O10" s="2169"/>
      <c r="P10" s="2169"/>
      <c r="Q10" s="2348"/>
      <c r="T10" t="s">
        <v>2404</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168"/>
      <c r="C11" s="2169"/>
      <c r="D11" s="2169"/>
      <c r="E11" s="2169"/>
      <c r="F11" s="2169"/>
      <c r="G11" s="2169"/>
      <c r="H11" s="2173"/>
      <c r="I11" s="2352"/>
      <c r="J11" s="2352"/>
      <c r="K11" s="2169"/>
      <c r="L11" s="2169"/>
      <c r="M11" s="2368"/>
      <c r="N11" s="2169"/>
      <c r="O11" s="2169"/>
      <c r="P11" s="2169"/>
      <c r="Q11" s="2348"/>
    </row>
    <row r="12" spans="2:29" ht="14.25" thickBot="1">
      <c r="B12" s="2168"/>
      <c r="C12" s="2169"/>
      <c r="D12" s="2169"/>
      <c r="E12" s="2161"/>
      <c r="F12" s="2169" t="s">
        <v>885</v>
      </c>
      <c r="G12" s="2367" t="str">
        <f>メイン!F12</f>
        <v>６地域</v>
      </c>
      <c r="H12" s="2169"/>
      <c r="I12" s="2353">
        <f>IF(I6="",0,IF(E6=S3,IF(G12=AA5,J9,I9),IF(G12=AA5,J10,I10)))</f>
        <v>0</v>
      </c>
      <c r="J12" s="2169"/>
      <c r="K12" s="2169"/>
      <c r="L12" s="2169"/>
      <c r="M12" s="2353">
        <f>IF(M6="",$T10,IF(M6=T9,5,IF(M6=T8,3,IF(M6=T7,2,1))))</f>
        <v>1</v>
      </c>
      <c r="N12" s="2169"/>
      <c r="O12" s="2169"/>
      <c r="P12" s="2169"/>
      <c r="Q12" s="2348"/>
      <c r="U12" t="s">
        <v>1677</v>
      </c>
      <c r="V12" s="1" t="s">
        <v>2082</v>
      </c>
      <c r="W12" s="1" t="s">
        <v>2081</v>
      </c>
      <c r="Z12" s="1" t="s">
        <v>2082</v>
      </c>
      <c r="AA12" s="1">
        <f>メイン!I19</f>
        <v>0</v>
      </c>
    </row>
    <row r="13" spans="2:29" ht="6.75" customHeight="1">
      <c r="B13" s="2168"/>
      <c r="C13" s="2169"/>
      <c r="D13" s="2169"/>
      <c r="E13" s="2161"/>
      <c r="F13" s="2169"/>
      <c r="G13" s="2169"/>
      <c r="H13" s="2169"/>
      <c r="I13" s="2169"/>
      <c r="J13" s="2169"/>
      <c r="K13" s="2169"/>
      <c r="L13" s="2169"/>
      <c r="M13" s="2169"/>
      <c r="N13" s="2169"/>
      <c r="O13" s="2169"/>
      <c r="P13" s="2169"/>
      <c r="Q13" s="2348"/>
      <c r="V13" s="1">
        <v>1</v>
      </c>
      <c r="W13" s="1"/>
      <c r="Z13" s="1">
        <v>1</v>
      </c>
      <c r="AA13" s="1"/>
    </row>
    <row r="14" spans="2:29">
      <c r="B14" s="2168"/>
      <c r="C14" s="2169"/>
      <c r="D14" s="2169"/>
      <c r="E14" s="2161"/>
      <c r="F14" s="2169"/>
      <c r="G14" s="2169"/>
      <c r="H14" s="2173" t="s">
        <v>320</v>
      </c>
      <c r="I14" s="2179">
        <f>H94-H91</f>
        <v>0</v>
      </c>
      <c r="J14" s="2169" t="s">
        <v>1666</v>
      </c>
      <c r="K14" s="2169"/>
      <c r="L14" s="2169"/>
      <c r="M14" s="2179">
        <f>メイン!C64</f>
        <v>0</v>
      </c>
      <c r="N14" s="2169" t="s">
        <v>1971</v>
      </c>
      <c r="O14" s="2169"/>
      <c r="P14" s="2169"/>
      <c r="Q14" s="2348"/>
      <c r="V14" s="1">
        <v>2</v>
      </c>
      <c r="W14" s="1">
        <v>1</v>
      </c>
      <c r="Z14" s="1">
        <v>2</v>
      </c>
      <c r="AA14" s="1">
        <v>1</v>
      </c>
    </row>
    <row r="15" spans="2:29">
      <c r="B15" s="2168"/>
      <c r="C15" s="2169"/>
      <c r="D15" s="2169"/>
      <c r="E15" s="2161"/>
      <c r="F15" s="2169"/>
      <c r="G15" s="2169"/>
      <c r="H15" s="2173" t="s">
        <v>2084</v>
      </c>
      <c r="I15" s="2350">
        <f>IF(I14+M14=0,0,I14/(I14+M14))</f>
        <v>0</v>
      </c>
      <c r="J15" s="2169"/>
      <c r="K15" s="2169"/>
      <c r="L15" s="2173"/>
      <c r="M15" s="2350">
        <f>IF(I14+M14=0,0,M14/(I14+M14))</f>
        <v>0</v>
      </c>
      <c r="N15" s="2169"/>
      <c r="O15" s="2169"/>
      <c r="P15" s="2169"/>
      <c r="Q15" s="2348"/>
      <c r="V15" s="1">
        <v>3</v>
      </c>
      <c r="W15" s="1">
        <v>0.97</v>
      </c>
      <c r="Z15" s="1">
        <v>3</v>
      </c>
      <c r="AA15" s="1">
        <v>0.97</v>
      </c>
    </row>
    <row r="16" spans="2:29" ht="4.5" customHeight="1" thickBot="1">
      <c r="B16" s="2168"/>
      <c r="C16" s="2169"/>
      <c r="D16" s="2169"/>
      <c r="E16" s="2161"/>
      <c r="F16" s="2169"/>
      <c r="G16" s="2169"/>
      <c r="H16" s="2169"/>
      <c r="I16" s="2169"/>
      <c r="J16" s="2169"/>
      <c r="K16" s="2169"/>
      <c r="L16" s="2169"/>
      <c r="M16" s="2169"/>
      <c r="N16" s="2169"/>
      <c r="O16" s="2169"/>
      <c r="P16" s="2169"/>
      <c r="Q16" s="2348"/>
      <c r="V16" s="1">
        <v>4</v>
      </c>
      <c r="W16" s="1">
        <v>0.9</v>
      </c>
      <c r="Z16" s="1">
        <v>4</v>
      </c>
      <c r="AA16" s="1">
        <v>0.93</v>
      </c>
    </row>
    <row r="17" spans="2:29" ht="14.25" thickBot="1">
      <c r="B17" s="2168"/>
      <c r="C17" s="2169"/>
      <c r="D17" s="2169"/>
      <c r="E17" s="2161" t="s">
        <v>880</v>
      </c>
      <c r="F17" s="2169"/>
      <c r="G17" s="2169"/>
      <c r="H17" s="2173" t="s">
        <v>2177</v>
      </c>
      <c r="I17" s="2386">
        <f>I12*I15+M12*M15</f>
        <v>0</v>
      </c>
      <c r="J17" s="2169"/>
      <c r="K17" s="2169"/>
      <c r="L17" s="2169"/>
      <c r="M17" s="2169"/>
      <c r="N17" s="2169"/>
      <c r="O17" s="2169"/>
      <c r="P17" s="2169"/>
      <c r="Q17" s="2348"/>
      <c r="V17" s="1">
        <v>5</v>
      </c>
      <c r="W17" s="1"/>
      <c r="Z17" s="1">
        <v>5</v>
      </c>
      <c r="AA17" s="1"/>
    </row>
    <row r="18" spans="2:29">
      <c r="B18" s="2168"/>
      <c r="C18" s="2169"/>
      <c r="D18" s="2169"/>
      <c r="E18" s="2169"/>
      <c r="F18" s="2169"/>
      <c r="G18" s="2169"/>
      <c r="H18" s="2169"/>
      <c r="I18" s="2169"/>
      <c r="J18" s="2169"/>
      <c r="K18" s="2169"/>
      <c r="L18" s="2169"/>
      <c r="M18" s="2169"/>
      <c r="N18" s="2169"/>
      <c r="O18" s="2169"/>
      <c r="P18" s="2169"/>
      <c r="Q18" s="2348"/>
    </row>
    <row r="19" spans="2:29" hidden="1">
      <c r="B19" s="2168"/>
      <c r="C19" s="2169"/>
      <c r="D19" s="2429"/>
      <c r="E19" s="2161" t="s">
        <v>1670</v>
      </c>
      <c r="F19" s="2169"/>
      <c r="G19" s="2169"/>
      <c r="H19" s="2169"/>
      <c r="I19" s="2367">
        <f>IF(G12=W20,W25,V25)</f>
        <v>195</v>
      </c>
      <c r="J19" s="2169" t="s">
        <v>1676</v>
      </c>
      <c r="K19" s="2169"/>
      <c r="L19" s="2169"/>
      <c r="M19" s="2169"/>
      <c r="N19" s="2169"/>
      <c r="O19" s="2169"/>
      <c r="P19" s="2169"/>
      <c r="Q19" s="2348"/>
      <c r="T19" t="s">
        <v>1671</v>
      </c>
      <c r="V19" s="2372">
        <f>(1-I6)*100</f>
        <v>100</v>
      </c>
      <c r="Z19">
        <f>IF($I$19&gt;=AA25,Z25,IF($I$19&gt;=AA24,Z24,IF($I$19&gt;=AA23,Z23,IF($I$19&gt;=AA22,Z22,Z21))))</f>
        <v>5</v>
      </c>
      <c r="AB19">
        <f>VLOOKUP($Z$19,Z21:AC25,3)</f>
        <v>0</v>
      </c>
      <c r="AC19">
        <f>VLOOKUP($Z$19,Z21:AC25,4)</f>
        <v>0</v>
      </c>
    </row>
    <row r="20" spans="2:29" ht="6" hidden="1" customHeight="1" thickBot="1">
      <c r="B20" s="2168"/>
      <c r="C20" s="2169"/>
      <c r="D20" s="2429"/>
      <c r="E20" s="2169"/>
      <c r="F20" s="2169"/>
      <c r="G20" s="2169"/>
      <c r="H20" s="2169"/>
      <c r="I20" s="2169"/>
      <c r="J20" s="2169"/>
      <c r="K20" s="2169"/>
      <c r="L20" s="2169"/>
      <c r="M20" s="2169"/>
      <c r="N20" s="2169"/>
      <c r="O20" s="2169"/>
      <c r="P20" s="2169"/>
      <c r="Q20" s="2348"/>
      <c r="V20" s="1" t="s">
        <v>2081</v>
      </c>
      <c r="W20" s="1" t="s">
        <v>47</v>
      </c>
      <c r="Z20" s="1" t="s">
        <v>2082</v>
      </c>
      <c r="AA20" s="1" t="s">
        <v>1680</v>
      </c>
      <c r="AB20" t="s">
        <v>2330</v>
      </c>
      <c r="AC20" t="s">
        <v>2331</v>
      </c>
    </row>
    <row r="21" spans="2:29" ht="14.25" hidden="1" thickBot="1">
      <c r="B21" s="2168"/>
      <c r="C21" s="2169"/>
      <c r="D21" s="2429"/>
      <c r="E21" s="2169"/>
      <c r="F21" s="2169"/>
      <c r="G21" s="2169"/>
      <c r="H21" s="2169"/>
      <c r="I21" s="2353">
        <f>IF(I19&gt;=35,5,I19*AB19+AC19)</f>
        <v>5</v>
      </c>
      <c r="J21" s="2169"/>
      <c r="K21" s="2169"/>
      <c r="L21" s="2169"/>
      <c r="M21" s="2169"/>
      <c r="N21" s="2169"/>
      <c r="O21" s="2169"/>
      <c r="P21" s="2169"/>
      <c r="Q21" s="2348"/>
      <c r="U21" s="137" t="s">
        <v>1672</v>
      </c>
      <c r="V21" s="1">
        <f>2*V19</f>
        <v>200</v>
      </c>
      <c r="W21" s="2373">
        <f>2*V19</f>
        <v>200</v>
      </c>
      <c r="Z21" s="1">
        <v>1</v>
      </c>
      <c r="AA21" s="1">
        <v>-5</v>
      </c>
      <c r="AB21">
        <f>(Z22-Z21)/(AA22-AA21)</f>
        <v>0.2</v>
      </c>
      <c r="AC21">
        <f>Z22-AB21*AA22</f>
        <v>2</v>
      </c>
    </row>
    <row r="22" spans="2:29" ht="12" hidden="1" customHeight="1">
      <c r="B22" s="2168"/>
      <c r="C22" s="2169"/>
      <c r="D22" s="2169"/>
      <c r="E22" s="2169"/>
      <c r="F22" s="2169"/>
      <c r="G22" s="2169"/>
      <c r="H22" s="2169"/>
      <c r="I22" s="2169"/>
      <c r="J22" s="2169"/>
      <c r="K22" s="2169"/>
      <c r="L22" s="2169"/>
      <c r="M22" s="2169"/>
      <c r="N22" s="2169"/>
      <c r="O22" s="2169"/>
      <c r="P22" s="2169"/>
      <c r="Q22" s="2348"/>
      <c r="U22" s="137" t="s">
        <v>1674</v>
      </c>
      <c r="V22" s="2373">
        <f>1.3*V19+1.7</f>
        <v>131.69999999999999</v>
      </c>
      <c r="W22" s="2263">
        <f>2*V19</f>
        <v>200</v>
      </c>
      <c r="Z22" s="1">
        <v>2</v>
      </c>
      <c r="AA22" s="1">
        <v>0</v>
      </c>
      <c r="AB22">
        <f>(Z23-Z22)/(AA23-AA22)</f>
        <v>0.2</v>
      </c>
      <c r="AC22">
        <f>Z23-AB22*AA23</f>
        <v>2</v>
      </c>
    </row>
    <row r="23" spans="2:29" ht="14.25" thickBot="1">
      <c r="B23" s="2168"/>
      <c r="C23" s="2349" t="s">
        <v>284</v>
      </c>
      <c r="D23" s="2161" t="s">
        <v>516</v>
      </c>
      <c r="E23" s="2169"/>
      <c r="F23" s="2169"/>
      <c r="G23" s="2169"/>
      <c r="H23" s="2169"/>
      <c r="I23" s="2169"/>
      <c r="J23" s="2169"/>
      <c r="K23" s="2169"/>
      <c r="L23" s="2169"/>
      <c r="M23" s="2169"/>
      <c r="N23" s="2169"/>
      <c r="O23" s="2169"/>
      <c r="P23" s="2169"/>
      <c r="Q23" s="2348"/>
      <c r="U23" s="137" t="s">
        <v>1675</v>
      </c>
      <c r="V23" s="2263">
        <f>1.3*V19+1.7</f>
        <v>131.69999999999999</v>
      </c>
      <c r="W23" s="2373">
        <f>2.7*V19-5.2</f>
        <v>264.8</v>
      </c>
      <c r="Z23" s="1">
        <v>3</v>
      </c>
      <c r="AA23" s="1">
        <v>5</v>
      </c>
      <c r="AB23">
        <f>(Z24-Z23)/(AA24-AA23)</f>
        <v>0.1</v>
      </c>
      <c r="AC23">
        <f>Z24-AB23*AA24</f>
        <v>2.5</v>
      </c>
    </row>
    <row r="24" spans="2:29" ht="14.25" thickBot="1">
      <c r="B24" s="2168"/>
      <c r="C24" s="2349"/>
      <c r="D24" s="2161"/>
      <c r="E24" s="3749" t="s">
        <v>1800</v>
      </c>
      <c r="F24" s="3750"/>
      <c r="G24" s="3751"/>
      <c r="H24" s="2169"/>
      <c r="I24" s="2161" t="s">
        <v>513</v>
      </c>
      <c r="J24" s="2169"/>
      <c r="K24" s="2169"/>
      <c r="L24" s="2169"/>
      <c r="M24" s="2161" t="s">
        <v>369</v>
      </c>
      <c r="N24" s="2161" t="s">
        <v>97</v>
      </c>
      <c r="O24" s="2169"/>
      <c r="P24" s="2169"/>
      <c r="Q24" s="2166"/>
      <c r="U24" s="137" t="s">
        <v>1673</v>
      </c>
      <c r="V24" s="1">
        <f>2*V19-5</f>
        <v>195</v>
      </c>
      <c r="W24" s="2263">
        <f>2.7*V19-5.2</f>
        <v>264.8</v>
      </c>
      <c r="Z24" s="1">
        <v>4</v>
      </c>
      <c r="AA24" s="1">
        <v>15</v>
      </c>
      <c r="AB24">
        <f>(Z25-Z24)/(AA25-AA24)</f>
        <v>0.05</v>
      </c>
      <c r="AC24">
        <f>Z25-AB24*AA25</f>
        <v>3.25</v>
      </c>
    </row>
    <row r="25" spans="2:29" ht="14.25" thickBot="1">
      <c r="B25" s="2168"/>
      <c r="C25" s="2169"/>
      <c r="D25" s="2161"/>
      <c r="E25" s="2161"/>
      <c r="F25" s="2161"/>
      <c r="G25" s="2161"/>
      <c r="H25" s="2374" t="s">
        <v>2479</v>
      </c>
      <c r="I25" s="2351"/>
      <c r="J25" s="2169"/>
      <c r="K25" s="2169"/>
      <c r="L25" s="2374" t="s">
        <v>1685</v>
      </c>
      <c r="M25" s="2350">
        <f>M44</f>
        <v>0.8</v>
      </c>
      <c r="N25" s="2369">
        <f>IF(N39=0,0,(N41-N40)/(N39-N40))</f>
        <v>1</v>
      </c>
      <c r="O25" s="2169" t="s">
        <v>1679</v>
      </c>
      <c r="P25" s="2169"/>
      <c r="Q25" s="2348"/>
      <c r="V25">
        <f>IF($V$19&lt;2.5,V21,IF($V$19&lt;7.5,V22,IF($V$19&lt;10,V23,V24)))</f>
        <v>195</v>
      </c>
      <c r="W25">
        <f>IF($V$19&lt;2.5,W21,IF($V$19&lt;7.5,W22,IF($V$19&lt;10,W23,W24)))</f>
        <v>264.8</v>
      </c>
      <c r="Z25" s="1">
        <v>5</v>
      </c>
      <c r="AA25" s="1">
        <v>35</v>
      </c>
    </row>
    <row r="26" spans="2:29" ht="14.25" thickBot="1">
      <c r="B26" s="2168"/>
      <c r="C26" s="2169"/>
      <c r="D26" s="2161"/>
      <c r="E26" s="2169"/>
      <c r="F26" s="2161"/>
      <c r="G26" s="2169"/>
      <c r="H26" s="2374" t="s">
        <v>2480</v>
      </c>
      <c r="I26" s="2351"/>
      <c r="J26" s="2169"/>
      <c r="K26" s="2169"/>
      <c r="L26" s="2161"/>
      <c r="M26" s="2169"/>
      <c r="N26" s="2161"/>
      <c r="O26" s="2169"/>
      <c r="P26" s="2161"/>
      <c r="Q26" s="2348"/>
    </row>
    <row r="27" spans="2:29" ht="14.25" thickBot="1">
      <c r="B27" s="2168"/>
      <c r="C27" s="2169"/>
      <c r="D27" s="2161"/>
      <c r="E27" s="2161"/>
      <c r="F27" s="2169"/>
      <c r="G27" s="2169"/>
      <c r="H27" s="2169"/>
      <c r="I27" s="2353">
        <f>IF($I$25&lt;=W39,V39,IF($I$25&lt;=W38,V38,IF($I$25&lt;=W37,V37,V36)))</f>
        <v>4</v>
      </c>
      <c r="J27" s="2169"/>
      <c r="K27" s="2169"/>
      <c r="L27" s="2169"/>
      <c r="M27" s="2353">
        <f>IF(OR(M25=0,M25="-"),0,IF(M25&lt;=W40,5,IF(M25&gt;W36,1,M25*X42+Y42)))</f>
        <v>4.5</v>
      </c>
      <c r="N27" s="2353">
        <f>IF(N61=T59,IF(N25=0,0,IF(N25&lt;=AA40,5,IF(N25&gt;AA36,1,N25*AB27+AC27))),N61)</f>
        <v>4</v>
      </c>
      <c r="O27" s="2169"/>
      <c r="P27" s="2161"/>
      <c r="Q27" s="2348"/>
      <c r="S27" t="s">
        <v>1801</v>
      </c>
      <c r="V27" s="2463">
        <f>IF($I$44&lt;=W40,V40,IF($I$44&lt;=W39,V39,IF($I$44&lt;=W38,V38,IF($I$44&lt;=W37,V37,V36))))</f>
        <v>1</v>
      </c>
      <c r="X27">
        <f>VLOOKUP($V$27,V36:Y40,3)</f>
        <v>-19.999999999999982</v>
      </c>
      <c r="Y27">
        <f>VLOOKUP($V$27,V36:Y40,4)</f>
        <v>22.999999999999982</v>
      </c>
      <c r="Z27">
        <f>IF($N$25&lt;=AA40,Z40,IF($N$25&lt;=AA39,Z39,IF($N$25&lt;=AA38,Z38,IF($N$25&lt;=AA37,Z37))))</f>
        <v>4</v>
      </c>
      <c r="AB27">
        <f>VLOOKUP($Z$27,Z36:AC40,3)</f>
        <v>-10.000000000000002</v>
      </c>
      <c r="AC27">
        <f>VLOOKUP($Z$27,Z36:AC40,4)</f>
        <v>14.000000000000002</v>
      </c>
    </row>
    <row r="28" spans="2:29" ht="11.25" customHeight="1">
      <c r="B28" s="2168"/>
      <c r="C28" s="2169"/>
      <c r="D28" s="2161"/>
      <c r="E28" s="2161"/>
      <c r="F28" s="2161"/>
      <c r="G28" s="2169"/>
      <c r="H28" s="2161"/>
      <c r="I28" s="2169"/>
      <c r="J28" s="2169"/>
      <c r="K28" s="2169"/>
      <c r="L28" s="2161"/>
      <c r="M28" s="2169"/>
      <c r="N28" s="2161"/>
      <c r="O28" s="2169"/>
      <c r="P28" s="2161"/>
      <c r="Q28" s="2348"/>
      <c r="S28" t="s">
        <v>1800</v>
      </c>
    </row>
    <row r="29" spans="2:29">
      <c r="B29" s="2168"/>
      <c r="C29" s="2169"/>
      <c r="D29" s="2161"/>
      <c r="E29" s="2161"/>
      <c r="F29" s="2161"/>
      <c r="G29" s="2169"/>
      <c r="H29" s="2173" t="s">
        <v>320</v>
      </c>
      <c r="I29" s="2179">
        <f>H94</f>
        <v>0</v>
      </c>
      <c r="J29" s="2169"/>
      <c r="K29" s="2169"/>
      <c r="L29" s="2169"/>
      <c r="M29" s="2179">
        <f>IF(M27=0,0,メイン!E65)</f>
        <v>0</v>
      </c>
      <c r="N29" s="2179">
        <f>IF(N27=0,0,メイン!E64)</f>
        <v>0</v>
      </c>
      <c r="O29" s="2169"/>
      <c r="P29" s="2161"/>
      <c r="Q29" s="2348"/>
    </row>
    <row r="30" spans="2:29" ht="9.75" customHeight="1" thickBot="1">
      <c r="B30" s="2168"/>
      <c r="C30" s="2169"/>
      <c r="D30" s="2161"/>
      <c r="E30" s="2169"/>
      <c r="F30" s="2161"/>
      <c r="G30" s="2169"/>
      <c r="H30" s="2161"/>
      <c r="I30" s="2169"/>
      <c r="J30" s="2169"/>
      <c r="K30" s="2169"/>
      <c r="L30" s="2161"/>
      <c r="M30" s="2169"/>
      <c r="N30" s="2161"/>
      <c r="O30" s="2169"/>
      <c r="P30" s="2161"/>
      <c r="Q30" s="2348"/>
    </row>
    <row r="31" spans="2:29" ht="14.25" thickBot="1">
      <c r="B31" s="2168"/>
      <c r="C31" s="2169"/>
      <c r="D31" s="2161"/>
      <c r="E31" s="2169" t="s">
        <v>2760</v>
      </c>
      <c r="F31" s="2161"/>
      <c r="G31" s="2169"/>
      <c r="H31" s="2161"/>
      <c r="I31" s="2353">
        <f>IF(AND(I25=0,I44="-"),0,IF(E24=S28,I27,IF(I44&lt;=W40,5,IF(I44&gt;W36,1,I44*X27+Y27))))</f>
        <v>0</v>
      </c>
      <c r="J31" s="2169"/>
      <c r="K31" s="2169"/>
      <c r="L31" s="2161"/>
      <c r="M31" s="2353">
        <f>IF(M29+N29=0,0,M27*M29/M14+N27*N29/M14)</f>
        <v>0</v>
      </c>
      <c r="N31" s="2161"/>
      <c r="O31" s="2169"/>
      <c r="P31" s="2161"/>
      <c r="Q31" s="2348"/>
    </row>
    <row r="32" spans="2:29" s="2734" customFormat="1" ht="14.25" thickBot="1">
      <c r="B32" s="2168"/>
      <c r="C32" s="2169"/>
      <c r="D32" s="2161"/>
      <c r="E32" s="2169" t="s">
        <v>2761</v>
      </c>
      <c r="F32" s="2161"/>
      <c r="G32" s="2169"/>
      <c r="H32" s="2169" t="s">
        <v>2782</v>
      </c>
      <c r="I32" s="2353">
        <f>IF(I31&lt;2,1,I31-1)</f>
        <v>1</v>
      </c>
      <c r="J32" s="2169"/>
      <c r="K32" s="2169"/>
      <c r="L32" s="2161"/>
      <c r="M32" s="2368"/>
      <c r="N32" s="2161"/>
      <c r="O32" s="2169"/>
      <c r="P32" s="2161"/>
      <c r="Q32" s="2348"/>
    </row>
    <row r="33" spans="2:29" ht="14.25" thickBot="1">
      <c r="B33" s="2168"/>
      <c r="C33" s="2169"/>
      <c r="D33" s="2161"/>
      <c r="E33" s="2169"/>
      <c r="F33" s="2161"/>
      <c r="G33" s="2169"/>
      <c r="H33" s="2169" t="s">
        <v>2783</v>
      </c>
      <c r="I33" s="2353">
        <f>IF(境界値!I14&gt;=0.8,計画書!I31,IF(0.5*ROUNDDOWN(I32/0.5,0)+境界値!I51&lt;1,1,0.5*ROUNDDOWN(I32/0.5,0)+境界値!I51))</f>
        <v>1</v>
      </c>
      <c r="J33" s="2161"/>
      <c r="K33" s="2169"/>
      <c r="L33" s="2161"/>
      <c r="M33" s="2169"/>
      <c r="N33" s="2161"/>
      <c r="O33" s="2169"/>
      <c r="P33" s="2161"/>
      <c r="Q33" s="2348"/>
    </row>
    <row r="34" spans="2:29" s="2424" customFormat="1" ht="14.25" thickBot="1">
      <c r="B34" s="2168"/>
      <c r="C34" s="2169"/>
      <c r="D34" s="2161"/>
      <c r="E34" s="2161" t="s">
        <v>518</v>
      </c>
      <c r="F34" s="2161"/>
      <c r="G34" s="2169"/>
      <c r="H34" s="2161"/>
      <c r="I34" s="2386" t="e">
        <f>I33*I29/($I$29+$M$29+$N$29)+M31*(M29+N29)/($I$29+$M$29+$N$29)</f>
        <v>#DIV/0!</v>
      </c>
      <c r="J34" s="2161"/>
      <c r="K34" s="2169"/>
      <c r="L34" s="2161"/>
      <c r="M34" s="2169"/>
      <c r="N34" s="2161"/>
      <c r="O34" s="2169"/>
      <c r="P34" s="2161"/>
      <c r="Q34" s="2348"/>
    </row>
    <row r="35" spans="2:29" hidden="1">
      <c r="B35" s="2168"/>
      <c r="C35" s="2169"/>
      <c r="D35" s="2161"/>
      <c r="E35" s="2161"/>
      <c r="F35" s="2161"/>
      <c r="G35" s="2161"/>
      <c r="H35" s="2161"/>
      <c r="I35" s="2161"/>
      <c r="J35" s="2161"/>
      <c r="K35" s="2161"/>
      <c r="L35" s="2161"/>
      <c r="M35" s="2161"/>
      <c r="N35" s="2161"/>
      <c r="O35" s="2161"/>
      <c r="P35" s="2161"/>
      <c r="Q35" s="2348"/>
      <c r="V35" s="1" t="s">
        <v>2082</v>
      </c>
      <c r="W35" s="1" t="s">
        <v>1678</v>
      </c>
      <c r="X35" t="s">
        <v>2330</v>
      </c>
      <c r="Y35" t="s">
        <v>2331</v>
      </c>
      <c r="Z35" s="1" t="s">
        <v>2082</v>
      </c>
      <c r="AA35" s="1" t="s">
        <v>1957</v>
      </c>
      <c r="AB35" t="s">
        <v>2330</v>
      </c>
      <c r="AC35" t="s">
        <v>2331</v>
      </c>
    </row>
    <row r="36" spans="2:29" ht="14.25" hidden="1" thickBot="1">
      <c r="B36" s="2168"/>
      <c r="C36" s="2169"/>
      <c r="D36" s="2462"/>
      <c r="E36" s="2161" t="s">
        <v>2024</v>
      </c>
      <c r="F36" s="2161"/>
      <c r="G36" s="2161"/>
      <c r="H36" s="2161"/>
      <c r="I36" s="2371">
        <f>-100*I25+105</f>
        <v>105</v>
      </c>
      <c r="J36" s="2161" t="s">
        <v>1669</v>
      </c>
      <c r="K36" s="2169"/>
      <c r="L36" s="2161"/>
      <c r="M36" s="2371">
        <f>-100*M25+105</f>
        <v>25</v>
      </c>
      <c r="N36" s="2161" t="s">
        <v>1669</v>
      </c>
      <c r="O36" s="2169"/>
      <c r="P36" s="2161"/>
      <c r="Q36" s="2348"/>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4.25" hidden="1" thickBot="1">
      <c r="B37" s="2168"/>
      <c r="C37" s="2169"/>
      <c r="D37" s="2462"/>
      <c r="E37" s="2169"/>
      <c r="F37" s="2161"/>
      <c r="G37" s="2169"/>
      <c r="H37" s="2161"/>
      <c r="I37" s="2353" t="str">
        <f>IF(I25=0,"-",IF(I36&gt;=W50,5,I36*X44+Y44))</f>
        <v>-</v>
      </c>
      <c r="J37" s="2161"/>
      <c r="K37" s="2169"/>
      <c r="L37" s="2161"/>
      <c r="M37" s="2353">
        <f>IF(M25=0,"-",IF(M36&gt;=AA50,5,M36*AB44+AC44))</f>
        <v>0</v>
      </c>
      <c r="N37" s="2375"/>
      <c r="O37" s="2169"/>
      <c r="P37" s="2161"/>
      <c r="Q37" s="2348"/>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4.25" thickBot="1">
      <c r="B38" s="2168"/>
      <c r="C38" s="2169"/>
      <c r="D38" s="2161"/>
      <c r="E38" s="2169"/>
      <c r="F38" s="2161"/>
      <c r="G38" s="2169"/>
      <c r="H38" s="2161"/>
      <c r="I38" s="2169"/>
      <c r="J38" s="2161"/>
      <c r="K38" s="2169"/>
      <c r="L38" s="2161"/>
      <c r="M38" s="2169"/>
      <c r="N38" s="2161"/>
      <c r="O38" s="2169"/>
      <c r="P38" s="2161"/>
      <c r="Q38" s="2348"/>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168"/>
      <c r="C39" s="2169"/>
      <c r="D39" s="40" t="s">
        <v>524</v>
      </c>
      <c r="E39" s="2169"/>
      <c r="F39" s="2169"/>
      <c r="G39" s="2169"/>
      <c r="H39" s="2169"/>
      <c r="I39" s="2162"/>
      <c r="J39" s="2169" t="s">
        <v>517</v>
      </c>
      <c r="K39" s="2169"/>
      <c r="L39" s="2169"/>
      <c r="M39" s="2162">
        <v>1500</v>
      </c>
      <c r="N39" s="2162">
        <v>1200</v>
      </c>
      <c r="O39" s="2169" t="s">
        <v>517</v>
      </c>
      <c r="P39" s="2169"/>
      <c r="Q39" s="2348"/>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168"/>
      <c r="C40" s="2169"/>
      <c r="D40" s="40"/>
      <c r="E40" s="2169" t="s">
        <v>3192</v>
      </c>
      <c r="F40" s="2169"/>
      <c r="G40" s="2169"/>
      <c r="H40" s="2169"/>
      <c r="I40" s="2392"/>
      <c r="J40" s="2169"/>
      <c r="K40" s="2169"/>
      <c r="L40" s="2169"/>
      <c r="M40" s="2392"/>
      <c r="N40" s="2330">
        <f>N52</f>
        <v>0</v>
      </c>
      <c r="O40" s="2169" t="s">
        <v>1684</v>
      </c>
      <c r="P40" s="2169"/>
      <c r="Q40" s="2348"/>
      <c r="S40">
        <v>4</v>
      </c>
      <c r="V40" s="1">
        <v>5</v>
      </c>
      <c r="W40" s="1">
        <v>0.7</v>
      </c>
      <c r="Z40" s="1">
        <v>5</v>
      </c>
      <c r="AA40" s="1">
        <v>0.9</v>
      </c>
    </row>
    <row r="41" spans="2:29">
      <c r="B41" s="2168"/>
      <c r="C41" s="2169"/>
      <c r="D41" s="40" t="s">
        <v>525</v>
      </c>
      <c r="E41" s="2169"/>
      <c r="F41" s="2169"/>
      <c r="G41" s="2169"/>
      <c r="H41" s="2169"/>
      <c r="I41" s="2167"/>
      <c r="J41" s="2169"/>
      <c r="K41" s="2169"/>
      <c r="L41" s="2169"/>
      <c r="M41" s="2167">
        <v>1200</v>
      </c>
      <c r="N41" s="2167">
        <v>1200</v>
      </c>
      <c r="O41" s="2169"/>
      <c r="P41" s="2169"/>
      <c r="Q41" s="2348"/>
      <c r="S41">
        <v>5</v>
      </c>
    </row>
    <row r="42" spans="2:29">
      <c r="B42" s="2168"/>
      <c r="C42" s="2169"/>
      <c r="D42" s="40" t="s">
        <v>1682</v>
      </c>
      <c r="E42" s="2169"/>
      <c r="F42" s="2169"/>
      <c r="G42" s="2169"/>
      <c r="H42" s="2169"/>
      <c r="I42" s="2167"/>
      <c r="J42" s="2169"/>
      <c r="K42" s="2169"/>
      <c r="L42" s="2169"/>
      <c r="M42" s="2167">
        <v>1500</v>
      </c>
      <c r="N42" s="2167">
        <v>1200</v>
      </c>
      <c r="O42" s="2169"/>
      <c r="P42" s="2169"/>
      <c r="Q42" s="2348"/>
      <c r="U42" t="s">
        <v>673</v>
      </c>
      <c r="V42">
        <f>IF($M$25&lt;=W40,V40,IF($M$25&lt;=W39,V39,IF($M$25&lt;=W38,V38,IF($M$25&lt;=W37,V37,V36))))</f>
        <v>4</v>
      </c>
      <c r="X42">
        <f>VLOOKUP($V$42,V36:Y40,3)</f>
        <v>-4.9999999999999982</v>
      </c>
      <c r="Y42">
        <f>VLOOKUP($V$42,V36:Y40,4)</f>
        <v>8.4999999999999982</v>
      </c>
    </row>
    <row r="43" spans="2:29" ht="14.25" thickBot="1">
      <c r="B43" s="2168"/>
      <c r="C43" s="2169"/>
      <c r="D43" s="40" t="s">
        <v>430</v>
      </c>
      <c r="E43" s="2169"/>
      <c r="F43" s="2169"/>
      <c r="G43" s="2169"/>
      <c r="H43" s="2169"/>
      <c r="I43" s="2164"/>
      <c r="J43" s="2169" t="s">
        <v>517</v>
      </c>
      <c r="K43" s="2169"/>
      <c r="L43" s="2169"/>
      <c r="M43" s="2164"/>
      <c r="N43" s="2164"/>
      <c r="O43" s="2169" t="s">
        <v>517</v>
      </c>
      <c r="P43" s="2169"/>
      <c r="Q43" s="2348"/>
    </row>
    <row r="44" spans="2:29">
      <c r="B44" s="2168"/>
      <c r="C44" s="2169"/>
      <c r="D44" s="2169"/>
      <c r="E44" s="2165"/>
      <c r="F44" s="2169"/>
      <c r="G44" s="2169"/>
      <c r="H44" s="894" t="s">
        <v>1686</v>
      </c>
      <c r="I44" s="2354" t="str">
        <f>IF(I41=0,"-",ROUND(I41/I39,5))</f>
        <v>-</v>
      </c>
      <c r="J44" s="2169"/>
      <c r="K44" s="2169"/>
      <c r="L44" s="2169"/>
      <c r="M44" s="2354">
        <f>IF(M41=0,"-",ROUND(M41/M39,5))</f>
        <v>0.8</v>
      </c>
      <c r="N44" s="2169"/>
      <c r="O44" s="2169"/>
      <c r="P44" s="2169"/>
      <c r="Q44" s="2348"/>
      <c r="V44">
        <f>IF($I$36&gt;=W50,V50,IF($I$36&gt;=W49,V49,IF($I$36&gt;=W48,V48,IF($I$36&gt;=W47,V47,V46))))</f>
        <v>5</v>
      </c>
      <c r="X44">
        <f>VLOOKUP($V$44,V46:Y50,3)</f>
        <v>0</v>
      </c>
      <c r="Y44">
        <f>VLOOKUP($V$44,V46:Y50,4)</f>
        <v>0</v>
      </c>
      <c r="Z44">
        <f>IF($M$36&gt;=AA50,Z50,IF($M$36&gt;=AA49,Z49,IF($M$36&gt;=AA48,Z48,IF($M$36&gt;=AA47,Z47,Z46))))</f>
        <v>4</v>
      </c>
      <c r="AB44">
        <f>VLOOKUP($Z$19,Z46:AC50,3)</f>
        <v>0</v>
      </c>
      <c r="AC44">
        <f>VLOOKUP($Z$19,Z46:AC50,4)</f>
        <v>0</v>
      </c>
    </row>
    <row r="45" spans="2:29">
      <c r="B45" s="2168"/>
      <c r="C45" s="2169"/>
      <c r="D45" s="2169"/>
      <c r="E45" s="2165"/>
      <c r="F45" s="2169"/>
      <c r="G45" s="2169"/>
      <c r="H45" s="894" t="s">
        <v>1687</v>
      </c>
      <c r="I45" s="2354" t="str">
        <f>IF(I42=0,"-",ROUND(I42/I39,5))</f>
        <v>-</v>
      </c>
      <c r="J45" s="2169"/>
      <c r="K45" s="2169"/>
      <c r="L45" s="2169"/>
      <c r="M45" s="2354">
        <f>IF(M42=0,"-",ROUND(M42/M39,5))</f>
        <v>1</v>
      </c>
      <c r="N45" s="2169"/>
      <c r="O45" s="2169"/>
      <c r="P45" s="2169"/>
      <c r="Q45" s="2348"/>
      <c r="T45" t="s">
        <v>1681</v>
      </c>
      <c r="V45" s="1" t="s">
        <v>2082</v>
      </c>
      <c r="W45" s="1" t="s">
        <v>1678</v>
      </c>
      <c r="X45" t="s">
        <v>2330</v>
      </c>
      <c r="Y45" t="s">
        <v>2331</v>
      </c>
      <c r="Z45" s="1" t="s">
        <v>2082</v>
      </c>
      <c r="AA45" s="1" t="s">
        <v>369</v>
      </c>
      <c r="AB45" t="s">
        <v>2330</v>
      </c>
      <c r="AC45" t="s">
        <v>2331</v>
      </c>
    </row>
    <row r="46" spans="2:29">
      <c r="B46" s="2168"/>
      <c r="C46" s="2169"/>
      <c r="D46" s="2169"/>
      <c r="E46" s="2169" t="s">
        <v>3193</v>
      </c>
      <c r="F46" s="2169"/>
      <c r="G46" s="2169"/>
      <c r="H46" s="2169"/>
      <c r="I46" s="2169"/>
      <c r="J46" s="2169"/>
      <c r="K46" s="2169"/>
      <c r="L46" s="2169"/>
      <c r="M46" s="2169"/>
      <c r="N46" s="2169"/>
      <c r="O46" s="2161"/>
      <c r="P46" s="2169"/>
      <c r="Q46" s="2348"/>
      <c r="V46" s="1">
        <v>1</v>
      </c>
      <c r="W46" s="1">
        <v>-5</v>
      </c>
      <c r="X46">
        <f>(V47-V46)/(W47-W46)</f>
        <v>0.2</v>
      </c>
      <c r="Y46">
        <f>V47-X46*W47</f>
        <v>2</v>
      </c>
      <c r="Z46" s="1">
        <v>1</v>
      </c>
      <c r="AA46" s="1">
        <v>-5</v>
      </c>
      <c r="AB46">
        <f>(Z47-Z46)/(AA47-AA46)</f>
        <v>0.2</v>
      </c>
      <c r="AC46">
        <f>Z47-AB46*AA47</f>
        <v>2</v>
      </c>
    </row>
    <row r="47" spans="2:29">
      <c r="B47" s="2168"/>
      <c r="C47" s="2169"/>
      <c r="D47" s="2169"/>
      <c r="E47" s="2169" t="s">
        <v>98</v>
      </c>
      <c r="F47" s="2161"/>
      <c r="G47" s="2161"/>
      <c r="H47" s="2161"/>
      <c r="I47" s="2161"/>
      <c r="J47" s="2161"/>
      <c r="K47" s="2161"/>
      <c r="L47" s="2161"/>
      <c r="M47" s="2161"/>
      <c r="N47" s="2161"/>
      <c r="O47" s="2161"/>
      <c r="P47" s="2169"/>
      <c r="Q47" s="2348"/>
      <c r="V47" s="1">
        <v>2</v>
      </c>
      <c r="W47" s="1">
        <v>0</v>
      </c>
      <c r="X47">
        <f>(V48-V47)/(W48-W47)</f>
        <v>0.2</v>
      </c>
      <c r="Y47">
        <f>V48-X47*W48</f>
        <v>2</v>
      </c>
      <c r="Z47" s="1">
        <v>2</v>
      </c>
      <c r="AA47" s="1">
        <v>0</v>
      </c>
      <c r="AB47">
        <f>(Z48-Z47)/(AA48-AA47)</f>
        <v>0.2</v>
      </c>
      <c r="AC47">
        <f>Z48-AB47*AA48</f>
        <v>2</v>
      </c>
    </row>
    <row r="48" spans="2:29">
      <c r="B48" s="2168"/>
      <c r="C48" s="2169"/>
      <c r="D48" s="2169"/>
      <c r="E48" s="2169"/>
      <c r="F48" s="2169"/>
      <c r="G48" s="2169"/>
      <c r="H48" s="2169"/>
      <c r="I48" s="2169"/>
      <c r="J48" s="2169"/>
      <c r="K48" s="2169"/>
      <c r="L48" s="2169"/>
      <c r="M48" s="2161"/>
      <c r="N48" s="2161"/>
      <c r="O48" s="2161"/>
      <c r="P48" s="2169"/>
      <c r="Q48" s="2348"/>
      <c r="V48" s="1">
        <v>3</v>
      </c>
      <c r="W48" s="1">
        <v>5</v>
      </c>
      <c r="X48">
        <f>(V49-V48)/(W49-W48)</f>
        <v>0.1</v>
      </c>
      <c r="Y48">
        <f>V49-X48*W49</f>
        <v>2.5</v>
      </c>
      <c r="Z48" s="1">
        <v>3</v>
      </c>
      <c r="AA48" s="1">
        <v>5</v>
      </c>
      <c r="AB48">
        <f>(Z49-Z48)/(AA49-AA48)</f>
        <v>0.1</v>
      </c>
      <c r="AC48">
        <f>Z49-AB48*AA49</f>
        <v>2.5</v>
      </c>
    </row>
    <row r="49" spans="2:29">
      <c r="B49" s="2168"/>
      <c r="C49" s="2169"/>
      <c r="D49" s="2169"/>
      <c r="E49" s="2161"/>
      <c r="F49" s="2161"/>
      <c r="G49" s="2161"/>
      <c r="H49" s="2161"/>
      <c r="I49" s="2161"/>
      <c r="J49" s="2161"/>
      <c r="K49" s="2161"/>
      <c r="L49" s="2161"/>
      <c r="M49" s="2161"/>
      <c r="N49" s="2161"/>
      <c r="O49" s="2161"/>
      <c r="P49" s="2169"/>
      <c r="Q49" s="2348"/>
      <c r="V49" s="1">
        <v>4</v>
      </c>
      <c r="W49" s="1">
        <v>15</v>
      </c>
      <c r="X49">
        <f>(V50-V49)/(W50-W49)</f>
        <v>0.05</v>
      </c>
      <c r="Y49">
        <f>V50-X49*W50</f>
        <v>3.25</v>
      </c>
      <c r="Z49" s="1">
        <v>4</v>
      </c>
      <c r="AA49" s="1">
        <v>15</v>
      </c>
      <c r="AB49">
        <f>(Z50-Z49)/(AA50-AA49)</f>
        <v>0.05</v>
      </c>
      <c r="AC49">
        <f>Z50-AB49*AA50</f>
        <v>3.25</v>
      </c>
    </row>
    <row r="50" spans="2:29">
      <c r="B50" s="2168"/>
      <c r="C50" s="2169"/>
      <c r="D50" s="2169" t="s">
        <v>2477</v>
      </c>
      <c r="E50" s="2161" t="s">
        <v>2023</v>
      </c>
      <c r="F50" s="2161"/>
      <c r="G50" s="2161"/>
      <c r="H50" s="2161"/>
      <c r="I50" s="2161"/>
      <c r="J50" s="2161"/>
      <c r="K50" s="2161"/>
      <c r="L50" s="2161"/>
      <c r="M50" s="2161"/>
      <c r="N50" s="2161"/>
      <c r="O50" s="2161"/>
      <c r="P50" s="2169"/>
      <c r="Q50" s="2348"/>
      <c r="V50" s="1">
        <v>5</v>
      </c>
      <c r="W50" s="1">
        <v>35</v>
      </c>
      <c r="Z50" s="1">
        <v>5</v>
      </c>
      <c r="AA50" s="1">
        <v>35</v>
      </c>
    </row>
    <row r="51" spans="2:29" ht="14.25" thickBot="1">
      <c r="B51" s="2168"/>
      <c r="C51" s="2169"/>
      <c r="D51" s="2169"/>
      <c r="E51" s="2161"/>
      <c r="F51" s="2161"/>
      <c r="G51" s="2161"/>
      <c r="H51" s="2355" t="s">
        <v>1524</v>
      </c>
      <c r="I51" s="2161" t="s">
        <v>285</v>
      </c>
      <c r="J51" s="2161" t="s">
        <v>286</v>
      </c>
      <c r="K51" s="2161" t="s">
        <v>1525</v>
      </c>
      <c r="L51" s="2161" t="s">
        <v>287</v>
      </c>
      <c r="M51" s="2161" t="s">
        <v>288</v>
      </c>
      <c r="N51" s="2161" t="s">
        <v>1443</v>
      </c>
      <c r="O51" s="2161"/>
      <c r="P51" s="2169"/>
      <c r="Q51" s="2348"/>
    </row>
    <row r="52" spans="2:29" ht="14.25" thickBot="1">
      <c r="B52" s="2168"/>
      <c r="C52" s="2169"/>
      <c r="D52" s="2169"/>
      <c r="E52" s="2161"/>
      <c r="F52" s="2161"/>
      <c r="G52" s="1444" t="s">
        <v>370</v>
      </c>
      <c r="H52" s="2234"/>
      <c r="I52" s="2179">
        <f>H52*メイン!E$64</f>
        <v>0</v>
      </c>
      <c r="J52" s="2179">
        <v>0</v>
      </c>
      <c r="K52" s="2162"/>
      <c r="L52" s="2179">
        <v>12181</v>
      </c>
      <c r="M52" s="2345">
        <f>I52*J52+K52*L52</f>
        <v>0</v>
      </c>
      <c r="N52" s="2346">
        <f>SUM(M52:M56)/1000</f>
        <v>0</v>
      </c>
      <c r="O52" s="2169" t="s">
        <v>517</v>
      </c>
      <c r="P52" s="2169"/>
      <c r="Q52" s="2348"/>
    </row>
    <row r="53" spans="2:29">
      <c r="B53" s="2168"/>
      <c r="C53" s="2169"/>
      <c r="D53" s="2169"/>
      <c r="E53" s="2161"/>
      <c r="F53" s="2161"/>
      <c r="G53" s="1444" t="s">
        <v>3194</v>
      </c>
      <c r="H53" s="2235"/>
      <c r="I53" s="2179">
        <f>H53*メイン!E$64</f>
        <v>0</v>
      </c>
      <c r="J53" s="2179">
        <v>87</v>
      </c>
      <c r="K53" s="2167"/>
      <c r="L53" s="2179">
        <v>9571</v>
      </c>
      <c r="M53" s="2179">
        <f>I53*J53+K53*L53</f>
        <v>0</v>
      </c>
      <c r="N53" s="2161"/>
      <c r="O53" s="2161"/>
      <c r="P53" s="2169"/>
      <c r="Q53" s="2348"/>
    </row>
    <row r="54" spans="2:29">
      <c r="B54" s="2168"/>
      <c r="C54" s="2169"/>
      <c r="D54" s="2169"/>
      <c r="E54" s="2161"/>
      <c r="F54" s="2161"/>
      <c r="G54" s="1444" t="s">
        <v>3195</v>
      </c>
      <c r="H54" s="2235"/>
      <c r="I54" s="2179">
        <f>H54*メイン!E$64</f>
        <v>0</v>
      </c>
      <c r="J54" s="2179">
        <v>167</v>
      </c>
      <c r="K54" s="2167"/>
      <c r="L54" s="2179">
        <v>4771</v>
      </c>
      <c r="M54" s="2179">
        <f>I54*J54+K54*L54</f>
        <v>0</v>
      </c>
      <c r="N54" s="2161"/>
      <c r="O54" s="2161"/>
      <c r="P54" s="2169"/>
      <c r="Q54" s="2348"/>
    </row>
    <row r="55" spans="2:29">
      <c r="B55" s="2168"/>
      <c r="C55" s="2169"/>
      <c r="D55" s="2169"/>
      <c r="E55" s="2161"/>
      <c r="F55" s="2161"/>
      <c r="G55" s="1444" t="s">
        <v>3196</v>
      </c>
      <c r="H55" s="2235"/>
      <c r="I55" s="2179">
        <f>H55*メイン!E$64</f>
        <v>0</v>
      </c>
      <c r="J55" s="2179">
        <v>47</v>
      </c>
      <c r="K55" s="2167"/>
      <c r="L55" s="2179">
        <v>15571</v>
      </c>
      <c r="M55" s="2179">
        <f>I55*J55+K55*L55</f>
        <v>0</v>
      </c>
      <c r="N55" s="2161"/>
      <c r="O55" s="2161"/>
      <c r="P55" s="2169"/>
      <c r="Q55" s="2348"/>
    </row>
    <row r="56" spans="2:29" ht="14.25" thickBot="1">
      <c r="B56" s="2168"/>
      <c r="C56" s="2169"/>
      <c r="D56" s="2169"/>
      <c r="E56" s="2161"/>
      <c r="F56" s="2161"/>
      <c r="G56" s="1444" t="s">
        <v>1523</v>
      </c>
      <c r="H56" s="2236"/>
      <c r="I56" s="2179">
        <f>H56*メイン!E$64</f>
        <v>0</v>
      </c>
      <c r="J56" s="2179">
        <v>0</v>
      </c>
      <c r="K56" s="2164"/>
      <c r="L56" s="2179">
        <v>21211</v>
      </c>
      <c r="M56" s="2179">
        <f>I56*J56+K56*L56</f>
        <v>0</v>
      </c>
      <c r="N56" s="2161"/>
      <c r="O56" s="2161"/>
      <c r="P56" s="2169"/>
      <c r="Q56" s="2348"/>
    </row>
    <row r="57" spans="2:29">
      <c r="B57" s="2168"/>
      <c r="C57" s="2169"/>
      <c r="D57" s="2169"/>
      <c r="E57" s="2169"/>
      <c r="F57" s="2169"/>
      <c r="G57" s="2169" t="s">
        <v>2476</v>
      </c>
      <c r="H57" s="2417">
        <f>SUM(H52:H56)</f>
        <v>0</v>
      </c>
      <c r="I57" s="2169"/>
      <c r="J57" s="2161"/>
      <c r="K57" s="2169"/>
      <c r="L57" s="2169"/>
      <c r="M57" s="2169"/>
      <c r="N57" s="2169"/>
      <c r="O57" s="2169"/>
      <c r="P57" s="2169"/>
      <c r="Q57" s="2348"/>
    </row>
    <row r="58" spans="2:29">
      <c r="B58" s="2168"/>
      <c r="C58" s="2169"/>
      <c r="D58" s="2169"/>
      <c r="E58" s="2169"/>
      <c r="F58" s="2169"/>
      <c r="G58" s="2169"/>
      <c r="H58" s="2169"/>
      <c r="I58" s="2169"/>
      <c r="J58" s="2161"/>
      <c r="K58" s="2169"/>
      <c r="L58" s="2169"/>
      <c r="M58" s="2169"/>
      <c r="N58" s="2169"/>
      <c r="O58" s="2169"/>
      <c r="P58" s="2169"/>
      <c r="Q58" s="2348"/>
    </row>
    <row r="59" spans="2:29">
      <c r="B59" s="2168"/>
      <c r="C59" s="2169"/>
      <c r="D59" s="2169"/>
      <c r="E59" s="2169"/>
      <c r="F59" s="2169"/>
      <c r="G59" s="2169"/>
      <c r="H59" s="2169"/>
      <c r="I59" s="2169"/>
      <c r="J59" s="2161"/>
      <c r="K59" s="2169"/>
      <c r="L59" s="2169"/>
      <c r="M59" s="2169"/>
      <c r="N59" s="2169"/>
      <c r="O59" s="2169"/>
      <c r="P59" s="2169"/>
      <c r="Q59" s="2348"/>
      <c r="T59" s="2416" t="s">
        <v>2468</v>
      </c>
    </row>
    <row r="60" spans="2:29" ht="14.25" thickBot="1">
      <c r="B60" s="2168"/>
      <c r="C60" s="2169"/>
      <c r="D60" s="2743" t="s">
        <v>2467</v>
      </c>
      <c r="E60" s="2169"/>
      <c r="F60" s="2169"/>
      <c r="G60" s="2169"/>
      <c r="H60" s="2169"/>
      <c r="I60" s="2169"/>
      <c r="J60" s="2161"/>
      <c r="K60" s="2169"/>
      <c r="L60" s="2169"/>
      <c r="M60" s="2169"/>
      <c r="N60" s="2169"/>
      <c r="O60" s="2169"/>
      <c r="P60" s="2169"/>
      <c r="Q60" s="2348"/>
      <c r="T60">
        <v>1</v>
      </c>
    </row>
    <row r="61" spans="2:29" ht="13.5" customHeight="1" thickBot="1">
      <c r="B61" s="2168"/>
      <c r="C61" s="2169"/>
      <c r="D61" s="2169"/>
      <c r="E61" s="3752" t="s">
        <v>3197</v>
      </c>
      <c r="F61" s="3752"/>
      <c r="G61" s="3752"/>
      <c r="H61" s="3752"/>
      <c r="I61" s="3752"/>
      <c r="J61" s="3752"/>
      <c r="K61" s="3752"/>
      <c r="L61" s="2169"/>
      <c r="M61" s="2169" t="s">
        <v>2475</v>
      </c>
      <c r="N61" s="3753" t="s">
        <v>2468</v>
      </c>
      <c r="O61" s="3754"/>
      <c r="P61" s="3755"/>
      <c r="Q61" s="2348"/>
      <c r="T61">
        <v>4</v>
      </c>
    </row>
    <row r="62" spans="2:29">
      <c r="B62" s="2168"/>
      <c r="C62" s="2169"/>
      <c r="D62" s="2169"/>
      <c r="E62" s="3752"/>
      <c r="F62" s="3752"/>
      <c r="G62" s="3752"/>
      <c r="H62" s="3752"/>
      <c r="I62" s="3752"/>
      <c r="J62" s="3752"/>
      <c r="K62" s="3752"/>
      <c r="L62" s="2169"/>
      <c r="M62" s="2169"/>
      <c r="N62" s="2169"/>
      <c r="O62" s="2169"/>
      <c r="P62" s="2169"/>
      <c r="Q62" s="2348"/>
    </row>
    <row r="63" spans="2:29">
      <c r="B63" s="2168"/>
      <c r="C63" s="2169"/>
      <c r="D63" s="2169"/>
      <c r="E63" s="3752"/>
      <c r="F63" s="3752"/>
      <c r="G63" s="3752"/>
      <c r="H63" s="3752"/>
      <c r="I63" s="3752"/>
      <c r="J63" s="3752"/>
      <c r="K63" s="3752"/>
      <c r="L63" s="2169"/>
      <c r="M63" s="2169"/>
      <c r="N63" s="2169"/>
      <c r="O63" s="2169"/>
      <c r="P63" s="2169"/>
      <c r="Q63" s="2348"/>
    </row>
    <row r="64" spans="2:29" ht="7.5" customHeight="1" thickBot="1">
      <c r="B64" s="2168"/>
      <c r="C64" s="2169"/>
      <c r="D64" s="2169"/>
      <c r="E64" s="2169"/>
      <c r="F64" s="2169"/>
      <c r="G64" s="2169"/>
      <c r="H64" s="2169"/>
      <c r="I64" s="2169"/>
      <c r="J64" s="2161"/>
      <c r="K64" s="2169"/>
      <c r="L64" s="2169"/>
      <c r="M64" s="2169"/>
      <c r="N64" s="2169"/>
      <c r="O64" s="2169"/>
      <c r="P64" s="2169"/>
      <c r="Q64" s="2348"/>
    </row>
    <row r="65" spans="2:21" ht="14.25" thickBot="1">
      <c r="B65" s="2168"/>
      <c r="C65" s="2169"/>
      <c r="D65" s="2169"/>
      <c r="E65" s="2169" t="s">
        <v>1959</v>
      </c>
      <c r="F65" s="2163" t="s">
        <v>2482</v>
      </c>
      <c r="G65" s="2169"/>
      <c r="H65" s="2169"/>
      <c r="I65" s="2169"/>
      <c r="J65" s="2161" t="s">
        <v>1960</v>
      </c>
      <c r="K65" s="2163" t="s">
        <v>2482</v>
      </c>
      <c r="L65" s="2169"/>
      <c r="M65" s="2169"/>
      <c r="N65" s="2169"/>
      <c r="O65" s="2169"/>
      <c r="P65" s="2169"/>
      <c r="Q65" s="2348"/>
      <c r="T65" t="s">
        <v>1953</v>
      </c>
      <c r="U65" t="s">
        <v>1951</v>
      </c>
    </row>
    <row r="66" spans="2:21">
      <c r="B66" s="2168"/>
      <c r="C66" s="2169"/>
      <c r="D66" s="2169"/>
      <c r="E66" s="2169"/>
      <c r="F66" s="2169" t="s">
        <v>2469</v>
      </c>
      <c r="G66" s="2169"/>
      <c r="H66" s="2169"/>
      <c r="I66" s="2169"/>
      <c r="J66" s="2161"/>
      <c r="K66" s="2169" t="s">
        <v>2473</v>
      </c>
      <c r="L66" s="2169"/>
      <c r="M66" s="2169"/>
      <c r="N66" s="2169"/>
      <c r="O66" s="2169"/>
      <c r="P66" s="2169"/>
      <c r="Q66" s="2348"/>
      <c r="T66" t="s">
        <v>1955</v>
      </c>
      <c r="U66" t="s">
        <v>1954</v>
      </c>
    </row>
    <row r="67" spans="2:21">
      <c r="B67" s="2168"/>
      <c r="C67" s="2169"/>
      <c r="D67" s="2169"/>
      <c r="E67" s="2169"/>
      <c r="F67" s="2169" t="s">
        <v>2470</v>
      </c>
      <c r="G67" s="2169"/>
      <c r="H67" s="2169"/>
      <c r="I67" s="2169"/>
      <c r="J67" s="2161"/>
      <c r="K67" s="2169" t="s">
        <v>2474</v>
      </c>
      <c r="L67" s="2169"/>
      <c r="M67" s="2169"/>
      <c r="N67" s="2169"/>
      <c r="O67" s="2169"/>
      <c r="P67" s="2169"/>
      <c r="Q67" s="2348"/>
      <c r="T67" t="s">
        <v>1956</v>
      </c>
      <c r="U67" t="s">
        <v>1964</v>
      </c>
    </row>
    <row r="68" spans="2:21">
      <c r="B68" s="2168"/>
      <c r="C68" s="2169"/>
      <c r="D68" s="2169"/>
      <c r="E68" s="2169"/>
      <c r="F68" s="2169" t="s">
        <v>2471</v>
      </c>
      <c r="G68" s="2169"/>
      <c r="H68" s="2169"/>
      <c r="I68" s="2169"/>
      <c r="J68" s="2161"/>
      <c r="K68" s="2169" t="s">
        <v>2472</v>
      </c>
      <c r="L68" s="2169"/>
      <c r="M68" s="2169"/>
      <c r="N68" s="2169"/>
      <c r="O68" s="2169"/>
      <c r="P68" s="2169"/>
      <c r="Q68" s="2348"/>
      <c r="T68" t="s">
        <v>1964</v>
      </c>
    </row>
    <row r="69" spans="2:21" ht="14.25" thickBot="1">
      <c r="B69" s="2357"/>
      <c r="C69" s="2358"/>
      <c r="D69" s="2358"/>
      <c r="E69" s="2358"/>
      <c r="F69" s="2358" t="s">
        <v>2472</v>
      </c>
      <c r="G69" s="2358"/>
      <c r="H69" s="2358"/>
      <c r="I69" s="2358"/>
      <c r="J69" s="2360"/>
      <c r="K69" s="2358"/>
      <c r="L69" s="2358"/>
      <c r="M69" s="2358"/>
      <c r="N69" s="2358"/>
      <c r="O69" s="2358"/>
      <c r="P69" s="2358"/>
      <c r="Q69" s="2359"/>
    </row>
    <row r="70" spans="2:21" ht="14.25" thickBot="1">
      <c r="B70" s="879"/>
      <c r="C70" s="879"/>
      <c r="D70" s="879"/>
      <c r="E70" s="879"/>
      <c r="F70" s="879"/>
      <c r="G70" s="879"/>
      <c r="H70" s="879"/>
      <c r="I70" s="879"/>
      <c r="J70" s="879"/>
      <c r="K70" s="879"/>
      <c r="L70" s="879"/>
      <c r="M70" s="879"/>
      <c r="N70" s="879"/>
      <c r="O70" s="879"/>
      <c r="P70" s="879"/>
      <c r="Q70" s="879"/>
    </row>
    <row r="71" spans="2:21" ht="27" customHeight="1">
      <c r="B71" s="2361"/>
      <c r="C71" s="2362" t="s">
        <v>1805</v>
      </c>
      <c r="D71" s="2363"/>
      <c r="E71" s="2363"/>
      <c r="F71" s="2363"/>
      <c r="G71" s="2363"/>
      <c r="H71" s="2363"/>
      <c r="I71" s="2363"/>
      <c r="J71" s="2363"/>
      <c r="K71" s="2363"/>
      <c r="L71" s="2363"/>
      <c r="M71" s="2363"/>
      <c r="N71" s="2364"/>
      <c r="O71" s="2365"/>
      <c r="P71" s="2365"/>
      <c r="Q71" s="2366"/>
    </row>
    <row r="72" spans="2:21">
      <c r="B72" s="2172"/>
      <c r="C72" s="901"/>
      <c r="D72" s="901" t="s">
        <v>3316</v>
      </c>
      <c r="E72" s="2169"/>
      <c r="F72" s="2169"/>
      <c r="G72" s="2374"/>
      <c r="H72" s="2169"/>
      <c r="I72" s="2169"/>
      <c r="J72" s="2169"/>
      <c r="K72" s="2169"/>
      <c r="L72" s="2169"/>
      <c r="M72" s="2169"/>
      <c r="N72" s="2169" t="s">
        <v>2007</v>
      </c>
      <c r="O72" s="2169"/>
      <c r="P72" s="2169"/>
      <c r="Q72" s="2327" t="s">
        <v>2008</v>
      </c>
    </row>
    <row r="73" spans="2:21">
      <c r="B73" s="2172"/>
      <c r="C73" s="901"/>
      <c r="D73" s="901"/>
      <c r="E73" s="2169"/>
      <c r="F73" s="2173" t="s">
        <v>1683</v>
      </c>
      <c r="G73" s="2173" t="s">
        <v>2769</v>
      </c>
      <c r="H73" s="2173" t="s">
        <v>2768</v>
      </c>
      <c r="I73" s="2169"/>
      <c r="J73" s="2169" t="s">
        <v>519</v>
      </c>
      <c r="K73" s="2169"/>
      <c r="L73" s="2171" t="s">
        <v>94</v>
      </c>
      <c r="M73" s="2169"/>
      <c r="N73" s="898" t="s">
        <v>517</v>
      </c>
      <c r="O73" s="906"/>
      <c r="P73" s="906"/>
      <c r="Q73" s="900" t="s">
        <v>517</v>
      </c>
    </row>
    <row r="74" spans="2:21">
      <c r="B74" s="2172"/>
      <c r="C74" s="901"/>
      <c r="D74" s="901"/>
      <c r="E74" s="2161" t="s">
        <v>511</v>
      </c>
      <c r="F74" s="2175">
        <f>IF(E24=S27,I45,I26)</f>
        <v>0</v>
      </c>
      <c r="G74" s="2714">
        <f>-(境界値!I51-1)*0.1</f>
        <v>0.1</v>
      </c>
      <c r="H74" s="2175">
        <f>IF(E24=S27,I45,I26)+G74</f>
        <v>0.1</v>
      </c>
      <c r="I74" s="2169"/>
      <c r="J74" s="2176">
        <f>(H98*N98+H100*N100+N101*H101)/1000</f>
        <v>0</v>
      </c>
      <c r="K74" s="2177" t="s">
        <v>517</v>
      </c>
      <c r="L74" s="2328" t="e">
        <f>N104</f>
        <v>#DIV/0!</v>
      </c>
      <c r="M74" s="2177"/>
      <c r="N74" s="2329">
        <f>境界値!J20+境界値!J8</f>
        <v>0</v>
      </c>
      <c r="O74" s="906"/>
      <c r="P74" s="913"/>
      <c r="Q74" s="2178" t="e">
        <f>(N74/H74+J74)/L74</f>
        <v>#DIV/0!</v>
      </c>
      <c r="S74" t="s">
        <v>2793</v>
      </c>
      <c r="T74" s="2398" t="e">
        <f>T94/Q74</f>
        <v>#DIV/0!</v>
      </c>
    </row>
    <row r="75" spans="2:21" s="2738" customFormat="1">
      <c r="B75" s="2172"/>
      <c r="C75" s="901"/>
      <c r="D75" s="901"/>
      <c r="E75" s="2161"/>
      <c r="F75" s="2739"/>
      <c r="G75" s="2740"/>
      <c r="H75" s="2739"/>
      <c r="I75" s="2169"/>
      <c r="J75" s="2182"/>
      <c r="K75" s="2177"/>
      <c r="L75" s="2741"/>
      <c r="M75" s="2177"/>
      <c r="N75" s="2332"/>
      <c r="O75" s="906"/>
      <c r="P75" s="913"/>
      <c r="Q75" s="2333"/>
      <c r="S75" s="2738" t="s">
        <v>2794</v>
      </c>
      <c r="T75" s="2742">
        <f>CO2データ!N170</f>
        <v>0.8</v>
      </c>
    </row>
    <row r="76" spans="2:21">
      <c r="B76" s="2168"/>
      <c r="C76" s="2169"/>
      <c r="D76" s="2169"/>
      <c r="E76" s="2169"/>
      <c r="F76" s="2169"/>
      <c r="G76" s="2171"/>
      <c r="H76" s="2171" t="s">
        <v>527</v>
      </c>
      <c r="I76" s="2169"/>
      <c r="J76" s="2171" t="s">
        <v>526</v>
      </c>
      <c r="K76" s="2171"/>
      <c r="L76" s="2171" t="s">
        <v>2771</v>
      </c>
      <c r="M76" s="2169"/>
      <c r="N76" s="2169"/>
      <c r="O76" s="2169"/>
      <c r="P76" s="2169"/>
      <c r="Q76" s="2348"/>
    </row>
    <row r="77" spans="2:21">
      <c r="B77" s="2168"/>
      <c r="C77" s="2169"/>
      <c r="D77" s="2169"/>
      <c r="E77" s="2169"/>
      <c r="F77" s="2169"/>
      <c r="G77" s="2173"/>
      <c r="H77" s="2173" t="s">
        <v>2022</v>
      </c>
      <c r="I77" s="2169"/>
      <c r="J77" s="2171" t="s">
        <v>520</v>
      </c>
      <c r="K77" s="2171"/>
      <c r="L77" s="2171" t="s">
        <v>1450</v>
      </c>
      <c r="M77" s="2169"/>
      <c r="N77" s="2169"/>
      <c r="O77" s="2169"/>
      <c r="P77" s="2169"/>
      <c r="Q77" s="2348"/>
      <c r="S77" t="s">
        <v>568</v>
      </c>
    </row>
    <row r="78" spans="2:21">
      <c r="B78" s="2168"/>
      <c r="C78" s="2169"/>
      <c r="D78" s="2169"/>
      <c r="E78" s="2335" t="s">
        <v>1442</v>
      </c>
      <c r="F78" s="2336" t="s">
        <v>348</v>
      </c>
      <c r="G78" s="2337"/>
      <c r="H78" s="2356">
        <f>メイン!R47</f>
        <v>0</v>
      </c>
      <c r="I78" s="908"/>
      <c r="J78" s="2356">
        <f>CO2データ!H151</f>
        <v>0</v>
      </c>
      <c r="K78" s="908"/>
      <c r="L78" s="2389" t="e">
        <f>CO2データ!R151</f>
        <v>#VALUE!</v>
      </c>
      <c r="M78" s="2169"/>
      <c r="N78" s="2169"/>
      <c r="O78" s="2169"/>
      <c r="P78" s="2169"/>
      <c r="Q78" s="2348"/>
      <c r="S78" s="2396">
        <f>CO2データ!N151</f>
        <v>0.9</v>
      </c>
    </row>
    <row r="79" spans="2:21">
      <c r="B79" s="2168"/>
      <c r="C79" s="2169"/>
      <c r="D79" s="2169"/>
      <c r="E79" s="2338"/>
      <c r="F79" s="2336" t="s">
        <v>1923</v>
      </c>
      <c r="G79" s="2337"/>
      <c r="H79" s="2356">
        <f>メイン!R48</f>
        <v>0</v>
      </c>
      <c r="I79" s="908"/>
      <c r="J79" s="2356">
        <f>CO2データ!H152</f>
        <v>0</v>
      </c>
      <c r="K79" s="908"/>
      <c r="L79" s="2389" t="e">
        <f>CO2データ!R152</f>
        <v>#VALUE!</v>
      </c>
      <c r="M79" s="2169"/>
      <c r="N79" s="2169"/>
      <c r="O79" s="2169"/>
      <c r="P79" s="2169"/>
      <c r="Q79" s="2348"/>
      <c r="S79" s="2396">
        <f>CO2データ!N152</f>
        <v>0.83</v>
      </c>
    </row>
    <row r="80" spans="2:21">
      <c r="B80" s="2168"/>
      <c r="C80" s="2169"/>
      <c r="D80" s="2169"/>
      <c r="E80" s="2339" t="s">
        <v>1927</v>
      </c>
      <c r="F80" s="2336" t="s">
        <v>1928</v>
      </c>
      <c r="G80" s="2337"/>
      <c r="H80" s="2356">
        <f>メイン!R49</f>
        <v>0</v>
      </c>
      <c r="I80" s="908"/>
      <c r="J80" s="2356">
        <f>CO2データ!H153</f>
        <v>0</v>
      </c>
      <c r="K80" s="908"/>
      <c r="L80" s="2389" t="e">
        <f>CO2データ!R153</f>
        <v>#VALUE!</v>
      </c>
      <c r="M80" s="2169"/>
      <c r="N80" s="2169"/>
      <c r="O80" s="2169"/>
      <c r="P80" s="2169"/>
      <c r="Q80" s="2348"/>
      <c r="S80" s="2396">
        <f>CO2データ!N153</f>
        <v>0.71</v>
      </c>
    </row>
    <row r="81" spans="2:27">
      <c r="B81" s="2168"/>
      <c r="C81" s="2169"/>
      <c r="D81" s="2169"/>
      <c r="E81" s="2339"/>
      <c r="F81" s="2340" t="s">
        <v>1929</v>
      </c>
      <c r="G81" s="2341" t="s">
        <v>1930</v>
      </c>
      <c r="H81" s="2356">
        <f>メイン!R50</f>
        <v>0</v>
      </c>
      <c r="I81" s="908"/>
      <c r="J81" s="2356">
        <f>CO2データ!H154</f>
        <v>0</v>
      </c>
      <c r="K81" s="908"/>
      <c r="L81" s="2389" t="e">
        <f>CO2データ!R154</f>
        <v>#VALUE!</v>
      </c>
      <c r="M81" s="2169"/>
      <c r="N81" s="2169"/>
      <c r="O81" s="2169"/>
      <c r="P81" s="2169"/>
      <c r="Q81" s="2348"/>
      <c r="S81" s="2396">
        <f>CO2データ!N154</f>
        <v>0.62299911901772109</v>
      </c>
    </row>
    <row r="82" spans="2:27">
      <c r="B82" s="2168"/>
      <c r="C82" s="2169"/>
      <c r="D82" s="2169"/>
      <c r="E82" s="2339"/>
      <c r="F82" s="2342"/>
      <c r="G82" s="2341" t="s">
        <v>2260</v>
      </c>
      <c r="H82" s="2356">
        <f>メイン!R51</f>
        <v>0</v>
      </c>
      <c r="I82" s="908"/>
      <c r="J82" s="2356">
        <f>CO2データ!H155</f>
        <v>0</v>
      </c>
      <c r="K82" s="908"/>
      <c r="L82" s="2389" t="e">
        <f>CO2データ!R155</f>
        <v>#VALUE!</v>
      </c>
      <c r="M82" s="2169"/>
      <c r="N82" s="2169"/>
      <c r="O82" s="2169"/>
      <c r="P82" s="2169"/>
      <c r="Q82" s="2348"/>
      <c r="S82" s="2396">
        <f>CO2データ!N155</f>
        <v>0.75998792472086629</v>
      </c>
    </row>
    <row r="83" spans="2:27">
      <c r="B83" s="2168"/>
      <c r="C83" s="2169"/>
      <c r="D83" s="2169"/>
      <c r="E83" s="2339"/>
      <c r="F83" s="2336" t="s">
        <v>1931</v>
      </c>
      <c r="G83" s="2337"/>
      <c r="H83" s="2356">
        <f>メイン!R52</f>
        <v>0</v>
      </c>
      <c r="I83" s="908"/>
      <c r="J83" s="2356">
        <f>CO2データ!H156</f>
        <v>0</v>
      </c>
      <c r="K83" s="908"/>
      <c r="L83" s="2389" t="e">
        <f>CO2データ!R156</f>
        <v>#VALUE!</v>
      </c>
      <c r="M83" s="2169"/>
      <c r="N83" s="2169"/>
      <c r="O83" s="2169"/>
      <c r="P83" s="2169"/>
      <c r="Q83" s="2348"/>
      <c r="S83" s="2396">
        <f>CO2データ!N156</f>
        <v>0.74</v>
      </c>
    </row>
    <row r="84" spans="2:27">
      <c r="B84" s="2168"/>
      <c r="C84" s="2169"/>
      <c r="D84" s="2169"/>
      <c r="E84" s="2338"/>
      <c r="F84" s="2336" t="s">
        <v>1932</v>
      </c>
      <c r="G84" s="2337"/>
      <c r="H84" s="2356">
        <f>メイン!R53</f>
        <v>0</v>
      </c>
      <c r="I84" s="908"/>
      <c r="J84" s="2356">
        <f>CO2データ!H157</f>
        <v>0</v>
      </c>
      <c r="K84" s="908"/>
      <c r="L84" s="2389" t="e">
        <f>CO2データ!R157</f>
        <v>#VALUE!</v>
      </c>
      <c r="M84" s="2169"/>
      <c r="N84" s="2169"/>
      <c r="O84" s="2169"/>
      <c r="P84" s="2169"/>
      <c r="Q84" s="2348"/>
      <c r="S84" s="2396">
        <f>CO2データ!N157</f>
        <v>0.79</v>
      </c>
    </row>
    <row r="85" spans="2:27">
      <c r="B85" s="2168"/>
      <c r="C85" s="2169"/>
      <c r="D85" s="2169"/>
      <c r="E85" s="2335" t="s">
        <v>1924</v>
      </c>
      <c r="F85" s="2336" t="s">
        <v>1612</v>
      </c>
      <c r="G85" s="2337"/>
      <c r="H85" s="2356">
        <f>メイン!R54</f>
        <v>0</v>
      </c>
      <c r="I85" s="908"/>
      <c r="J85" s="2356">
        <f>CO2データ!H158</f>
        <v>0</v>
      </c>
      <c r="K85" s="908"/>
      <c r="L85" s="2389" t="e">
        <f>CO2データ!R158</f>
        <v>#VALUE!</v>
      </c>
      <c r="M85" s="2169"/>
      <c r="N85" s="2169"/>
      <c r="O85" s="2169"/>
      <c r="P85" s="2169"/>
      <c r="Q85" s="2348"/>
      <c r="S85" s="2396">
        <f>CO2データ!N158</f>
        <v>0.93</v>
      </c>
    </row>
    <row r="86" spans="2:27">
      <c r="B86" s="2168"/>
      <c r="C86" s="2169"/>
      <c r="D86" s="2169"/>
      <c r="E86" s="2338"/>
      <c r="F86" s="2336" t="s">
        <v>1925</v>
      </c>
      <c r="G86" s="2337"/>
      <c r="H86" s="2356">
        <f>メイン!R55</f>
        <v>0</v>
      </c>
      <c r="I86" s="908"/>
      <c r="J86" s="2356">
        <f>CO2データ!H159</f>
        <v>0</v>
      </c>
      <c r="K86" s="908"/>
      <c r="L86" s="2389" t="e">
        <f>CO2データ!R159</f>
        <v>#VALUE!</v>
      </c>
      <c r="M86" s="2169"/>
      <c r="N86" s="2169"/>
      <c r="O86" s="2169"/>
      <c r="P86" s="2169"/>
      <c r="Q86" s="2348"/>
      <c r="S86" s="2396">
        <f>CO2データ!N159</f>
        <v>0.92</v>
      </c>
    </row>
    <row r="87" spans="2:27">
      <c r="B87" s="2168"/>
      <c r="C87" s="2169"/>
      <c r="D87" s="2169"/>
      <c r="E87" s="2336" t="s">
        <v>354</v>
      </c>
      <c r="F87" s="2343"/>
      <c r="G87" s="2337"/>
      <c r="H87" s="2356">
        <f>メイン!R56</f>
        <v>0</v>
      </c>
      <c r="I87" s="908"/>
      <c r="J87" s="2356">
        <f>CO2データ!H160</f>
        <v>0</v>
      </c>
      <c r="K87" s="908"/>
      <c r="L87" s="2389" t="e">
        <f>CO2データ!R160</f>
        <v>#VALUE!</v>
      </c>
      <c r="M87" s="2169"/>
      <c r="N87" s="2169"/>
      <c r="O87" s="2169"/>
      <c r="P87" s="2169"/>
      <c r="Q87" s="2348"/>
      <c r="S87" s="2396">
        <f>CO2データ!N160</f>
        <v>0.5</v>
      </c>
    </row>
    <row r="88" spans="2:27">
      <c r="B88" s="2168"/>
      <c r="C88" s="2169"/>
      <c r="D88" s="2169"/>
      <c r="E88" s="2335" t="s">
        <v>1933</v>
      </c>
      <c r="F88" s="2336" t="s">
        <v>1934</v>
      </c>
      <c r="G88" s="2337"/>
      <c r="H88" s="2356">
        <f>メイン!R57</f>
        <v>0</v>
      </c>
      <c r="I88" s="908"/>
      <c r="J88" s="2356">
        <f>CO2データ!H161</f>
        <v>0</v>
      </c>
      <c r="K88" s="908"/>
      <c r="L88" s="2389" t="e">
        <f>CO2データ!R161</f>
        <v>#VALUE!</v>
      </c>
      <c r="M88" s="2169"/>
      <c r="N88" s="2169"/>
      <c r="O88" s="2169"/>
      <c r="P88" s="2169"/>
      <c r="Q88" s="2348"/>
      <c r="S88" s="2396">
        <f>CO2データ!N161</f>
        <v>0.76</v>
      </c>
    </row>
    <row r="89" spans="2:27">
      <c r="B89" s="2168"/>
      <c r="C89" s="2169"/>
      <c r="D89" s="2169"/>
      <c r="E89" s="2339"/>
      <c r="F89" s="2336" t="s">
        <v>1935</v>
      </c>
      <c r="G89" s="2337"/>
      <c r="H89" s="2356">
        <f>メイン!R58</f>
        <v>0</v>
      </c>
      <c r="I89" s="908"/>
      <c r="J89" s="2356">
        <f>CO2データ!H162</f>
        <v>0</v>
      </c>
      <c r="K89" s="908"/>
      <c r="L89" s="2389" t="e">
        <f>CO2データ!R162</f>
        <v>#VALUE!</v>
      </c>
      <c r="M89" s="2169"/>
      <c r="N89" s="2169"/>
      <c r="O89" s="2169"/>
      <c r="P89" s="2169"/>
      <c r="Q89" s="2348"/>
      <c r="S89" s="2396">
        <f>CO2データ!N162</f>
        <v>0.81</v>
      </c>
    </row>
    <row r="90" spans="2:27">
      <c r="B90" s="2168"/>
      <c r="C90" s="2169"/>
      <c r="D90" s="2169"/>
      <c r="E90" s="2339"/>
      <c r="F90" s="2340" t="s">
        <v>1936</v>
      </c>
      <c r="G90" s="2344"/>
      <c r="H90" s="2356">
        <f>メイン!R59</f>
        <v>0</v>
      </c>
      <c r="I90" s="908"/>
      <c r="J90" s="2356">
        <f>CO2データ!H163</f>
        <v>0</v>
      </c>
      <c r="K90" s="908"/>
      <c r="L90" s="2389" t="e">
        <f>CO2データ!R163</f>
        <v>#VALUE!</v>
      </c>
      <c r="M90" s="2169"/>
      <c r="N90" s="2169"/>
      <c r="O90" s="2169"/>
      <c r="P90" s="2169"/>
      <c r="Q90" s="2348"/>
      <c r="S90" s="2396">
        <f>CO2データ!N163</f>
        <v>0.92</v>
      </c>
    </row>
    <row r="91" spans="2:27">
      <c r="B91" s="2168"/>
      <c r="C91" s="2169"/>
      <c r="D91" s="2169"/>
      <c r="E91" s="2336" t="s">
        <v>364</v>
      </c>
      <c r="F91" s="2343"/>
      <c r="G91" s="2337"/>
      <c r="H91" s="2356">
        <f>メイン!R60</f>
        <v>0</v>
      </c>
      <c r="I91" s="908"/>
      <c r="J91" s="2356">
        <f>CO2データ!H164</f>
        <v>0</v>
      </c>
      <c r="K91" s="908"/>
      <c r="L91" s="2389" t="e">
        <f>CO2データ!R164</f>
        <v>#VALUE!</v>
      </c>
      <c r="M91" s="2169"/>
      <c r="N91" s="2169"/>
      <c r="O91" s="2169"/>
      <c r="P91" s="2169"/>
      <c r="Q91" s="2348"/>
      <c r="S91" s="2396">
        <f>CO2データ!N164</f>
        <v>1</v>
      </c>
    </row>
    <row r="92" spans="2:27">
      <c r="B92" s="2168"/>
      <c r="C92" s="2169"/>
      <c r="D92" s="2169"/>
      <c r="E92" s="2336" t="s">
        <v>358</v>
      </c>
      <c r="F92" s="2343"/>
      <c r="G92" s="2337"/>
      <c r="H92" s="2356">
        <f>メイン!R61</f>
        <v>0</v>
      </c>
      <c r="I92" s="908"/>
      <c r="J92" s="2356">
        <f>CO2データ!H165</f>
        <v>0</v>
      </c>
      <c r="K92" s="908"/>
      <c r="L92" s="2389" t="e">
        <f>CO2データ!R165</f>
        <v>#VALUE!</v>
      </c>
      <c r="M92" s="2169"/>
      <c r="N92" s="2169"/>
      <c r="O92" s="2169"/>
      <c r="P92" s="2169"/>
      <c r="Q92" s="2348"/>
      <c r="S92" s="2396">
        <f>CO2データ!N165</f>
        <v>0.65</v>
      </c>
    </row>
    <row r="93" spans="2:27" ht="14.25" thickBot="1">
      <c r="B93" s="2168"/>
      <c r="C93" s="2169"/>
      <c r="D93" s="2169"/>
      <c r="E93" s="2336" t="s">
        <v>1926</v>
      </c>
      <c r="F93" s="2343"/>
      <c r="G93" s="2337"/>
      <c r="H93" s="2356">
        <f>メイン!R62</f>
        <v>0</v>
      </c>
      <c r="I93" s="908"/>
      <c r="J93" s="2356">
        <f>CO2データ!H166</f>
        <v>0</v>
      </c>
      <c r="K93" s="908"/>
      <c r="L93" s="2390" t="e">
        <f>CO2データ!R166</f>
        <v>#VALUE!</v>
      </c>
      <c r="M93" s="2169"/>
      <c r="N93" s="2169"/>
      <c r="O93" s="2169"/>
      <c r="P93" s="2169"/>
      <c r="Q93" s="2348"/>
      <c r="S93" s="2396">
        <f>CO2データ!N166</f>
        <v>0.77</v>
      </c>
    </row>
    <row r="94" spans="2:27" ht="14.25" thickBot="1">
      <c r="B94" s="2168"/>
      <c r="C94" s="2169"/>
      <c r="D94" s="2169"/>
      <c r="E94" s="2347" t="s">
        <v>93</v>
      </c>
      <c r="F94" s="2347" t="s">
        <v>366</v>
      </c>
      <c r="G94" s="2347"/>
      <c r="H94" s="2378">
        <f>SUM(H78:H93)</f>
        <v>0</v>
      </c>
      <c r="I94" s="908"/>
      <c r="J94" s="2378">
        <f>SUMPRODUCT(H78:H93,J78:J93)/1000</f>
        <v>0</v>
      </c>
      <c r="K94" s="908" t="s">
        <v>95</v>
      </c>
      <c r="L94" s="2391" t="e">
        <f>SUMPRODUCT(H78:H93,L78:L93)/H94</f>
        <v>#VALUE!</v>
      </c>
      <c r="M94" s="2169"/>
      <c r="N94" s="2169"/>
      <c r="O94" s="2169"/>
      <c r="P94" s="2169"/>
      <c r="Q94" s="2348"/>
      <c r="T94" s="2397">
        <f>SUMPRODUCT(H78:H93,J78:J93,S78:S93)/1000</f>
        <v>0</v>
      </c>
    </row>
    <row r="95" spans="2:27">
      <c r="B95" s="2168"/>
      <c r="C95" s="2169"/>
      <c r="D95" s="2169"/>
      <c r="E95" s="908"/>
      <c r="F95" s="908"/>
      <c r="G95" s="908"/>
      <c r="H95" s="908"/>
      <c r="I95" s="908"/>
      <c r="J95" s="908"/>
      <c r="K95" s="908"/>
      <c r="L95" s="908"/>
      <c r="M95" s="2169"/>
      <c r="N95" s="2169"/>
      <c r="O95" s="2169"/>
      <c r="P95" s="2169"/>
      <c r="Q95" s="2348"/>
    </row>
    <row r="96" spans="2:27">
      <c r="B96" s="2168"/>
      <c r="C96" s="2169"/>
      <c r="D96" s="2169"/>
      <c r="E96" s="909" t="s">
        <v>1803</v>
      </c>
      <c r="F96" s="2174"/>
      <c r="G96" s="2169"/>
      <c r="H96" s="2171" t="s">
        <v>527</v>
      </c>
      <c r="I96" s="2169"/>
      <c r="J96" s="2169"/>
      <c r="K96" s="2169"/>
      <c r="L96" s="2169"/>
      <c r="M96" s="2169"/>
      <c r="N96" s="2169"/>
      <c r="O96" s="2169"/>
      <c r="P96" s="2169"/>
      <c r="Q96" s="2348"/>
      <c r="S96" s="2396"/>
      <c r="V96" s="1"/>
      <c r="W96" s="1"/>
      <c r="Z96" s="1"/>
      <c r="AA96" s="1"/>
    </row>
    <row r="97" spans="2:27" ht="14.25" hidden="1" thickBot="1">
      <c r="B97" s="2168"/>
      <c r="C97" s="2169"/>
      <c r="D97" s="2169"/>
      <c r="E97" s="909"/>
      <c r="F97" s="2174"/>
      <c r="G97" s="2169"/>
      <c r="H97" s="2169"/>
      <c r="I97" s="2169"/>
      <c r="J97" s="2169"/>
      <c r="K97" s="2169"/>
      <c r="L97" s="2169"/>
      <c r="M97" s="2169"/>
      <c r="N97" s="2169"/>
      <c r="O97" s="2169"/>
      <c r="P97" s="2169"/>
      <c r="Q97" s="2348"/>
      <c r="T97" s="2407">
        <v>1</v>
      </c>
      <c r="V97" s="1446"/>
      <c r="W97" s="1446"/>
      <c r="Z97" s="1446"/>
      <c r="AA97" s="1446"/>
    </row>
    <row r="98" spans="2:27" ht="14.25" hidden="1" thickBot="1">
      <c r="B98" s="2168"/>
      <c r="C98" s="2169"/>
      <c r="D98" s="2169"/>
      <c r="E98" s="909"/>
      <c r="F98" s="909" t="s">
        <v>1689</v>
      </c>
      <c r="G98" s="2174"/>
      <c r="H98" s="2179">
        <f>IF(T97=1,0,H94-H81-H82)</f>
        <v>0</v>
      </c>
      <c r="I98" s="2169"/>
      <c r="J98" s="2169"/>
      <c r="K98" s="2169"/>
      <c r="L98" s="2169"/>
      <c r="M98" s="2169"/>
      <c r="N98" s="2393">
        <f>採点LR1!I44</f>
        <v>0</v>
      </c>
      <c r="O98" s="2169" t="s">
        <v>1690</v>
      </c>
      <c r="P98" s="2169"/>
      <c r="Q98" s="2348"/>
      <c r="S98" s="2396">
        <f>CO2データ!N171</f>
        <v>0</v>
      </c>
      <c r="V98" s="1446"/>
      <c r="W98" s="1446"/>
      <c r="Z98" s="1446"/>
      <c r="AA98" s="1446"/>
    </row>
    <row r="99" spans="2:27">
      <c r="B99" s="2180"/>
      <c r="C99" s="901"/>
      <c r="D99" s="901"/>
      <c r="E99" s="909"/>
      <c r="F99" s="909" t="s">
        <v>2493</v>
      </c>
      <c r="G99" s="2174"/>
      <c r="H99" s="2173" t="s">
        <v>2022</v>
      </c>
      <c r="I99" s="2173"/>
      <c r="J99" s="903" t="s">
        <v>1338</v>
      </c>
      <c r="K99" s="903" t="s">
        <v>1339</v>
      </c>
      <c r="L99" s="903" t="s">
        <v>1340</v>
      </c>
      <c r="M99" s="904" t="s">
        <v>247</v>
      </c>
      <c r="N99" s="904" t="s">
        <v>1728</v>
      </c>
      <c r="O99" s="2182"/>
      <c r="P99" s="913"/>
      <c r="Q99" s="2183"/>
      <c r="S99" s="2396">
        <f>CO2データ!N172</f>
        <v>0</v>
      </c>
    </row>
    <row r="100" spans="2:27">
      <c r="B100" s="2180"/>
      <c r="C100" s="901"/>
      <c r="D100" s="901"/>
      <c r="E100" s="909"/>
      <c r="F100" s="909"/>
      <c r="G100" s="2173" t="s">
        <v>1691</v>
      </c>
      <c r="H100" s="2379">
        <f>H81+H82+M14</f>
        <v>0</v>
      </c>
      <c r="I100" s="2173"/>
      <c r="J100" s="2384">
        <v>0</v>
      </c>
      <c r="K100" s="2384">
        <v>1</v>
      </c>
      <c r="L100" s="2384">
        <v>15</v>
      </c>
      <c r="M100" s="2186">
        <f>採点LR1!K47</f>
        <v>3</v>
      </c>
      <c r="N100" s="2383">
        <f>IF(M100&gt;=5,$L100,IF(M100&gt;=4,$K100,$J100))</f>
        <v>0</v>
      </c>
      <c r="O100" s="2169"/>
      <c r="P100" s="913"/>
      <c r="Q100" s="2183"/>
      <c r="S100" s="2396">
        <f>CO2データ!N173</f>
        <v>0</v>
      </c>
    </row>
    <row r="101" spans="2:27">
      <c r="B101" s="2180"/>
      <c r="C101" s="901"/>
      <c r="D101" s="901"/>
      <c r="E101" s="909"/>
      <c r="F101" s="909"/>
      <c r="G101" s="2174" t="s">
        <v>1692</v>
      </c>
      <c r="H101" s="2179">
        <f>IF(T97=1,H94-H81-H82,0)</f>
        <v>0</v>
      </c>
      <c r="I101" s="2173"/>
      <c r="J101" s="2384">
        <v>0</v>
      </c>
      <c r="K101" s="2384">
        <v>1</v>
      </c>
      <c r="L101" s="2384">
        <f>採点LR1!I54</f>
        <v>0</v>
      </c>
      <c r="M101" s="2186">
        <f>採点LR1!G47</f>
        <v>3</v>
      </c>
      <c r="N101" s="2383">
        <f>IF(M101&gt;=5,$L101,IF(M101&gt;=4,$K101,$J101))</f>
        <v>0</v>
      </c>
      <c r="O101" s="2169" t="s">
        <v>2405</v>
      </c>
      <c r="P101" s="913"/>
      <c r="Q101" s="2183"/>
      <c r="S101" s="2396">
        <f>CO2データ!N174</f>
        <v>0</v>
      </c>
    </row>
    <row r="102" spans="2:27">
      <c r="B102" s="2180"/>
      <c r="C102" s="901"/>
      <c r="D102" s="901"/>
      <c r="E102" s="2188"/>
      <c r="F102" s="2188"/>
      <c r="G102" s="2181"/>
      <c r="H102" s="2174"/>
      <c r="I102" s="2174"/>
      <c r="J102" s="2174"/>
      <c r="K102" s="2174"/>
      <c r="L102" s="2174"/>
      <c r="M102" s="2174"/>
      <c r="N102" s="2174"/>
      <c r="O102" s="2182"/>
      <c r="P102" s="913"/>
      <c r="Q102" s="2183"/>
      <c r="S102" s="2396">
        <f>CO2データ!N175</f>
        <v>0</v>
      </c>
    </row>
    <row r="103" spans="2:27">
      <c r="B103" s="2172"/>
      <c r="C103" s="901"/>
      <c r="D103" s="901"/>
      <c r="E103" s="909" t="s">
        <v>280</v>
      </c>
      <c r="F103" s="2188"/>
      <c r="G103" s="2169"/>
      <c r="H103" s="2380"/>
      <c r="I103" s="2169"/>
      <c r="J103" s="903" t="s">
        <v>1338</v>
      </c>
      <c r="K103" s="903" t="s">
        <v>1339</v>
      </c>
      <c r="L103" s="903" t="s">
        <v>1340</v>
      </c>
      <c r="M103" s="904" t="s">
        <v>247</v>
      </c>
      <c r="N103" s="904" t="s">
        <v>521</v>
      </c>
      <c r="O103" s="906"/>
      <c r="P103" s="913"/>
      <c r="Q103" s="2183"/>
      <c r="S103" s="2396">
        <f>CO2データ!N176</f>
        <v>0</v>
      </c>
    </row>
    <row r="104" spans="2:27">
      <c r="B104" s="2172"/>
      <c r="C104" s="901"/>
      <c r="D104" s="901"/>
      <c r="E104" s="909"/>
      <c r="F104" s="909" t="s">
        <v>522</v>
      </c>
      <c r="G104" s="2169"/>
      <c r="H104" s="2169"/>
      <c r="I104" s="2169"/>
      <c r="J104" s="2184">
        <v>1</v>
      </c>
      <c r="K104" s="2185">
        <v>0.97499999999999998</v>
      </c>
      <c r="L104" s="2184">
        <v>0.95</v>
      </c>
      <c r="M104" s="2186" t="e">
        <f>スコア!O134</f>
        <v>#DIV/0!</v>
      </c>
      <c r="N104" s="2187" t="e">
        <f>IF(M104&gt;=5,$L104,IF(M104&gt;=4,$K104,$J104))</f>
        <v>#DIV/0!</v>
      </c>
      <c r="O104" s="906"/>
      <c r="P104" s="913"/>
      <c r="Q104" s="2183"/>
    </row>
    <row r="105" spans="2:27">
      <c r="B105" s="2172"/>
      <c r="C105" s="901"/>
      <c r="D105" s="2169"/>
      <c r="E105" s="2169"/>
      <c r="F105" s="2169"/>
      <c r="G105" s="2169"/>
      <c r="H105" s="2169"/>
      <c r="I105" s="2169"/>
      <c r="J105" s="2169"/>
      <c r="K105" s="2169"/>
      <c r="L105" s="2169"/>
      <c r="M105" s="2169"/>
      <c r="N105" s="898"/>
      <c r="O105" s="906"/>
      <c r="P105" s="906"/>
      <c r="Q105" s="900"/>
    </row>
    <row r="106" spans="2:27">
      <c r="B106" s="2172"/>
      <c r="C106" s="901"/>
      <c r="D106" s="2169"/>
      <c r="E106" s="2161" t="s">
        <v>523</v>
      </c>
      <c r="F106" s="2169"/>
      <c r="G106" s="2210"/>
      <c r="H106" s="2169"/>
      <c r="I106" s="2169"/>
      <c r="J106" s="2169"/>
      <c r="K106" s="2169"/>
      <c r="L106" s="2169"/>
      <c r="M106" s="2169"/>
      <c r="N106" s="2169" t="s">
        <v>2007</v>
      </c>
      <c r="O106" s="2169"/>
      <c r="P106" s="2169"/>
      <c r="Q106" s="2327" t="s">
        <v>2008</v>
      </c>
    </row>
    <row r="107" spans="2:27">
      <c r="B107" s="2172"/>
      <c r="C107" s="901"/>
      <c r="D107" s="2169"/>
      <c r="E107" s="2169"/>
      <c r="F107" s="2169"/>
      <c r="G107" s="2210"/>
      <c r="H107" s="2169"/>
      <c r="I107" s="2169"/>
      <c r="J107" s="2169"/>
      <c r="K107" s="2169"/>
      <c r="L107" s="2169"/>
      <c r="M107" s="2169"/>
      <c r="N107" s="898" t="s">
        <v>517</v>
      </c>
      <c r="O107" s="906"/>
      <c r="P107" s="906"/>
      <c r="Q107" s="900" t="s">
        <v>517</v>
      </c>
    </row>
    <row r="108" spans="2:27">
      <c r="B108" s="2172"/>
      <c r="C108" s="901"/>
      <c r="D108" s="2169"/>
      <c r="E108" s="908"/>
      <c r="F108" s="2169" t="s">
        <v>1957</v>
      </c>
      <c r="G108" s="2210"/>
      <c r="H108" s="2169"/>
      <c r="I108" s="2169"/>
      <c r="J108" s="2173" t="s">
        <v>281</v>
      </c>
      <c r="K108" s="2173" t="s">
        <v>2007</v>
      </c>
      <c r="L108" s="2173" t="s">
        <v>2008</v>
      </c>
      <c r="M108" s="2173"/>
      <c r="N108" s="2329">
        <f>IF(N29=0,0,IF(N61=T59,IF(N42=0,"-",N42),J110*K110/1000))</f>
        <v>0</v>
      </c>
      <c r="O108" s="2169"/>
      <c r="P108" s="2169"/>
      <c r="Q108" s="2178">
        <f>IF(N29=0,0,IF(N61=T59,(N39-N40)*1.1+N40,J110*L110/1000))</f>
        <v>0</v>
      </c>
      <c r="S108" s="2396"/>
    </row>
    <row r="109" spans="2:27">
      <c r="B109" s="2172"/>
      <c r="C109" s="901"/>
      <c r="D109" s="2169"/>
      <c r="E109" s="908"/>
      <c r="F109" s="2169"/>
      <c r="G109" s="2210"/>
      <c r="H109" s="2169"/>
      <c r="I109" s="2169"/>
      <c r="J109" s="2173" t="s">
        <v>2022</v>
      </c>
      <c r="K109" s="2170" t="s">
        <v>2405</v>
      </c>
      <c r="L109" s="2170" t="s">
        <v>2405</v>
      </c>
      <c r="M109" s="2173"/>
      <c r="N109" s="2332"/>
      <c r="O109" s="2169"/>
      <c r="P109" s="2169"/>
      <c r="Q109" s="2333"/>
    </row>
    <row r="110" spans="2:27">
      <c r="B110" s="2172"/>
      <c r="C110" s="901"/>
      <c r="D110" s="2169"/>
      <c r="E110" s="908"/>
      <c r="F110" s="2169"/>
      <c r="G110" s="2174" t="s">
        <v>2779</v>
      </c>
      <c r="H110" s="2169"/>
      <c r="I110" s="2173"/>
      <c r="J110" s="2329">
        <f>N29</f>
        <v>0</v>
      </c>
      <c r="K110" s="2329">
        <f>CO2データ!I196</f>
        <v>1343</v>
      </c>
      <c r="L110" s="2329">
        <f>CO2データ!I197</f>
        <v>1163</v>
      </c>
      <c r="M110" s="2173"/>
      <c r="N110" s="898"/>
      <c r="O110" s="906"/>
      <c r="P110" s="906"/>
      <c r="Q110" s="900"/>
    </row>
    <row r="111" spans="2:27" ht="6.75" customHeight="1">
      <c r="B111" s="2172"/>
      <c r="C111" s="901"/>
      <c r="D111" s="2169"/>
      <c r="E111" s="908"/>
      <c r="F111" s="2169"/>
      <c r="G111" s="2174"/>
      <c r="H111" s="2169"/>
      <c r="I111" s="2173"/>
      <c r="J111" s="2332"/>
      <c r="K111" s="2332"/>
      <c r="L111" s="2332"/>
      <c r="M111" s="2173"/>
      <c r="N111" s="898"/>
      <c r="O111" s="906"/>
      <c r="P111" s="906"/>
      <c r="Q111" s="900"/>
    </row>
    <row r="112" spans="2:27">
      <c r="B112" s="2172"/>
      <c r="C112" s="901"/>
      <c r="D112" s="2169"/>
      <c r="E112" s="2169"/>
      <c r="F112" s="2169" t="s">
        <v>673</v>
      </c>
      <c r="G112" s="2210"/>
      <c r="H112" s="2169"/>
      <c r="I112" s="2169"/>
      <c r="J112" s="2169"/>
      <c r="K112" s="2169"/>
      <c r="L112" s="2171"/>
      <c r="M112" s="2169"/>
      <c r="N112" s="2329">
        <f>IF(M29=0,0,IF(M42=0,"-",M42))</f>
        <v>0</v>
      </c>
      <c r="O112" s="906"/>
      <c r="P112" s="913"/>
      <c r="Q112" s="2178">
        <f>IF(M29=0,0,M39)</f>
        <v>0</v>
      </c>
      <c r="S112" s="2396"/>
    </row>
    <row r="113" spans="2:17" ht="14.25" thickBot="1">
      <c r="B113" s="2357"/>
      <c r="C113" s="2358"/>
      <c r="D113" s="2358"/>
      <c r="E113" s="2358"/>
      <c r="F113" s="2358"/>
      <c r="G113" s="2358"/>
      <c r="H113" s="2358"/>
      <c r="I113" s="2358"/>
      <c r="J113" s="2358"/>
      <c r="K113" s="2358"/>
      <c r="L113" s="2358"/>
      <c r="M113" s="2358"/>
      <c r="N113" s="2358"/>
      <c r="O113" s="2358"/>
      <c r="P113" s="2358"/>
      <c r="Q113" s="2359"/>
    </row>
    <row r="114" spans="2:17">
      <c r="H114" s="1450"/>
    </row>
    <row r="115" spans="2:17"/>
    <row r="116" spans="2:17"/>
    <row r="117" spans="2:17"/>
    <row r="118" spans="2:17"/>
    <row r="119" spans="2:17"/>
  </sheetData>
  <sheetProtection password="CC47" sheet="1" objects="1" scenarios="1"/>
  <mergeCells count="5">
    <mergeCell ref="E6:G6"/>
    <mergeCell ref="E24:G24"/>
    <mergeCell ref="E61:K63"/>
    <mergeCell ref="N61:P61"/>
    <mergeCell ref="N2:P2"/>
  </mergeCells>
  <phoneticPr fontId="21"/>
  <conditionalFormatting sqref="N98">
    <cfRule type="expression" dxfId="52" priority="5" stopIfTrue="1">
      <formula>$J$52&gt;0</formula>
    </cfRule>
  </conditionalFormatting>
  <conditionalFormatting sqref="I39:I42">
    <cfRule type="expression" dxfId="51" priority="6" stopIfTrue="1">
      <formula>OR($I$29=0,$E$24=$S$28)</formula>
    </cfRule>
  </conditionalFormatting>
  <conditionalFormatting sqref="I25:I26">
    <cfRule type="expression" dxfId="50" priority="4" stopIfTrue="1">
      <formula>$E$24=$S$27</formula>
    </cfRule>
  </conditionalFormatting>
  <conditionalFormatting sqref="M39:M43">
    <cfRule type="expression" dxfId="49" priority="3">
      <formula>$M$14=0</formula>
    </cfRule>
  </conditionalFormatting>
  <conditionalFormatting sqref="N39:N43">
    <cfRule type="expression" dxfId="48" priority="2">
      <formula>$M$14=0</formula>
    </cfRule>
  </conditionalFormatting>
  <dataValidations count="8">
    <dataValidation allowBlank="1" showInputMessage="1" sqref="N98"/>
    <dataValidation type="list" allowBlank="1" showInputMessage="1" sqref="N61">
      <formula1>$T$59:$T$61</formula1>
    </dataValidation>
    <dataValidation type="list" allowBlank="1" showInputMessage="1" showErrorMessage="1" sqref="F65">
      <formula1>$T$65:$T$68</formula1>
    </dataValidation>
    <dataValidation type="list" allowBlank="1" showInputMessage="1" showErrorMessage="1" sqref="K65">
      <formula1>$U$65:$U$67</formula1>
    </dataValidation>
    <dataValidation type="list" allowBlank="1" showInputMessage="1" showErrorMessage="1" sqref="N37">
      <formula1>$S$37:$S$41</formula1>
    </dataValidation>
    <dataValidation type="list" allowBlank="1" showInputMessage="1" showErrorMessage="1" sqref="E24:G24">
      <formula1>$S$27:$S$28</formula1>
    </dataValidation>
    <dataValidation type="list" allowBlank="1" showInputMessage="1" showErrorMessage="1" sqref="M6">
      <formula1>$T$5:$T$9</formula1>
    </dataValidation>
    <dataValidation type="list" allowBlank="1" showInputMessage="1" showErrorMessage="1" sqref="E6">
      <formula1>$S$3:$S$4</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11.xml><?xml version="1.0" encoding="utf-8"?>
<worksheet xmlns="http://schemas.openxmlformats.org/spreadsheetml/2006/main" xmlns:r="http://schemas.openxmlformats.org/officeDocument/2006/relationships">
  <sheetPr codeName="Sheet12">
    <pageSetUpPr fitToPage="1"/>
  </sheetPr>
  <dimension ref="A1:V102"/>
  <sheetViews>
    <sheetView showGridLines="0" zoomScaleNormal="100" zoomScaleSheetLayoutView="100" workbookViewId="0">
      <selection activeCell="N24" sqref="N24"/>
    </sheetView>
  </sheetViews>
  <sheetFormatPr defaultColWidth="0" defaultRowHeight="13.5" zeroHeight="1"/>
  <cols>
    <col min="1" max="1" width="3.75" customWidth="1"/>
    <col min="2" max="3" width="3.5" customWidth="1"/>
    <col min="4" max="4" width="11.25" customWidth="1"/>
    <col min="5" max="5" width="12.375" customWidth="1"/>
    <col min="6" max="6" width="2.375" customWidth="1"/>
    <col min="7" max="7" width="12.25" customWidth="1"/>
    <col min="8" max="9" width="9" customWidth="1"/>
    <col min="10" max="10" width="10.75" customWidth="1"/>
    <col min="11" max="11" width="12" customWidth="1"/>
    <col min="12" max="15" width="9" customWidth="1"/>
    <col min="16" max="22" width="0" hidden="1" customWidth="1"/>
    <col min="23" max="16384" width="9" hidden="1"/>
  </cols>
  <sheetData>
    <row r="1" spans="1:16">
      <c r="A1" s="2571"/>
      <c r="B1" s="94"/>
      <c r="C1" s="94"/>
      <c r="D1" s="94"/>
      <c r="E1" s="94"/>
      <c r="F1" s="94"/>
      <c r="G1" s="94"/>
      <c r="H1" s="94"/>
      <c r="I1" s="94"/>
      <c r="J1" s="94"/>
      <c r="K1" s="94"/>
      <c r="L1" s="953" t="s">
        <v>2253</v>
      </c>
      <c r="M1" s="3757" t="str">
        <f>メイン!C11</f>
        <v>○○ビル</v>
      </c>
      <c r="N1" s="3757"/>
      <c r="O1" s="2571"/>
      <c r="P1" s="2571"/>
    </row>
    <row r="2" spans="1:16">
      <c r="A2" s="2571"/>
      <c r="B2" s="2574" t="s">
        <v>3198</v>
      </c>
      <c r="C2" s="2575"/>
      <c r="D2" s="2575"/>
      <c r="E2" s="2575"/>
      <c r="F2" s="2575"/>
      <c r="G2" s="2575"/>
      <c r="H2" s="2575"/>
      <c r="I2" s="2575"/>
      <c r="J2" s="2575"/>
      <c r="K2" s="94"/>
      <c r="L2" s="94"/>
      <c r="M2" s="94"/>
      <c r="N2" s="1189"/>
      <c r="O2" s="2571"/>
      <c r="P2" s="2571"/>
    </row>
    <row r="3" spans="1:16" ht="14.25" thickBot="1">
      <c r="A3" s="2571"/>
      <c r="B3" s="2576"/>
      <c r="C3" s="2577"/>
      <c r="D3" s="2577"/>
      <c r="E3" s="2577"/>
      <c r="F3" s="2577"/>
      <c r="G3" s="2577"/>
      <c r="H3" s="2577"/>
      <c r="I3" s="2577"/>
      <c r="J3" s="94"/>
      <c r="K3" s="94"/>
      <c r="L3" s="94"/>
      <c r="M3" s="94"/>
      <c r="N3" s="1189"/>
      <c r="O3" s="2571"/>
      <c r="P3" s="2571"/>
    </row>
    <row r="4" spans="1:16" ht="16.5" thickBot="1">
      <c r="A4" s="2571"/>
      <c r="B4" s="2578"/>
      <c r="C4" s="2578"/>
      <c r="D4" s="94"/>
      <c r="E4" s="94"/>
      <c r="F4" s="94"/>
      <c r="G4" s="94"/>
      <c r="H4" s="94"/>
      <c r="I4" s="94"/>
      <c r="J4" s="2579"/>
      <c r="K4" s="2580" t="s">
        <v>3199</v>
      </c>
      <c r="L4" s="94"/>
      <c r="M4" s="94"/>
      <c r="N4" s="94"/>
      <c r="O4" s="2571"/>
      <c r="P4" s="2571"/>
    </row>
    <row r="5" spans="1:16" ht="15.75">
      <c r="A5" s="2571"/>
      <c r="B5" s="2578"/>
      <c r="C5" s="2581" t="s">
        <v>2512</v>
      </c>
      <c r="D5" s="94"/>
      <c r="E5" s="94"/>
      <c r="F5" s="94"/>
      <c r="G5" s="94"/>
      <c r="H5" s="94"/>
      <c r="I5" s="94"/>
      <c r="J5" s="94"/>
      <c r="K5" s="94"/>
      <c r="L5" s="94"/>
      <c r="M5" s="94"/>
      <c r="N5" s="94"/>
      <c r="O5" s="2571"/>
      <c r="P5" s="2571"/>
    </row>
    <row r="6" spans="1:16" ht="16.5" thickBot="1">
      <c r="A6" s="2571"/>
      <c r="B6" s="2578"/>
      <c r="C6" s="2578"/>
      <c r="D6" s="2585" t="s">
        <v>2777</v>
      </c>
      <c r="E6" s="2583"/>
      <c r="F6" s="94"/>
      <c r="G6" s="94"/>
      <c r="H6" s="94"/>
      <c r="L6" s="94"/>
      <c r="M6" s="94"/>
      <c r="N6" s="94"/>
      <c r="O6" s="2571"/>
      <c r="P6" s="2571"/>
    </row>
    <row r="7" spans="1:16" s="2715" customFormat="1" ht="16.5" thickBot="1">
      <c r="B7" s="2578"/>
      <c r="C7" s="2578"/>
      <c r="D7" s="2582"/>
      <c r="E7" s="2600" t="s">
        <v>2776</v>
      </c>
      <c r="F7" s="94"/>
      <c r="J7" s="2584"/>
      <c r="K7" s="2464" t="s">
        <v>2513</v>
      </c>
      <c r="L7" s="94"/>
      <c r="M7" s="94"/>
      <c r="N7" s="94"/>
    </row>
    <row r="8" spans="1:16" ht="16.5" thickBot="1">
      <c r="A8" s="2571"/>
      <c r="B8" s="2578"/>
      <c r="C8" s="2578"/>
      <c r="E8" s="2730" t="s">
        <v>2774</v>
      </c>
      <c r="J8" s="2584">
        <v>0</v>
      </c>
      <c r="K8" s="2464" t="s">
        <v>2513</v>
      </c>
      <c r="L8" s="94"/>
      <c r="M8" s="94"/>
      <c r="N8" s="94"/>
      <c r="O8" s="2571"/>
      <c r="P8" s="2571"/>
    </row>
    <row r="9" spans="1:16" s="2715" customFormat="1" ht="16.5" thickBot="1">
      <c r="B9" s="2578"/>
      <c r="C9" s="2578"/>
      <c r="D9" s="2585"/>
      <c r="E9" s="2731" t="s">
        <v>2778</v>
      </c>
      <c r="F9" s="94"/>
      <c r="G9" s="94"/>
      <c r="H9" s="94"/>
      <c r="I9" s="94"/>
      <c r="J9" s="2578"/>
      <c r="K9" s="2578"/>
      <c r="L9" s="94"/>
      <c r="M9" s="94"/>
      <c r="N9" s="94"/>
    </row>
    <row r="10" spans="1:16" s="2715" customFormat="1" ht="15.75">
      <c r="B10" s="2578"/>
      <c r="C10" s="2578"/>
      <c r="D10" s="2585"/>
      <c r="F10" s="94"/>
      <c r="H10" s="2702" t="s">
        <v>1943</v>
      </c>
      <c r="I10" s="2703" t="s">
        <v>1459</v>
      </c>
      <c r="J10" s="2704" t="s">
        <v>2766</v>
      </c>
      <c r="K10" s="1188" t="s">
        <v>2775</v>
      </c>
      <c r="L10" s="94"/>
      <c r="M10" s="94"/>
      <c r="N10" s="94"/>
    </row>
    <row r="11" spans="1:16" s="2715" customFormat="1" ht="16.5" thickBot="1">
      <c r="B11" s="2578"/>
      <c r="C11" s="2578"/>
      <c r="D11" s="94"/>
      <c r="F11" s="94"/>
      <c r="H11" s="2705">
        <v>0.8</v>
      </c>
      <c r="I11" s="2732">
        <v>0.1</v>
      </c>
      <c r="J11" s="2706">
        <v>0.1</v>
      </c>
      <c r="L11" s="94"/>
      <c r="M11" s="94"/>
      <c r="N11" s="94"/>
    </row>
    <row r="12" spans="1:16" s="2715" customFormat="1" ht="12" customHeight="1" thickBot="1">
      <c r="B12" s="2578"/>
      <c r="C12" s="2578"/>
      <c r="D12" s="94"/>
      <c r="E12" s="2578"/>
      <c r="F12" s="2578"/>
      <c r="G12" s="2578"/>
      <c r="H12" s="2578"/>
      <c r="I12" s="2578"/>
      <c r="J12" s="2578"/>
      <c r="K12" s="2578"/>
      <c r="L12" s="94"/>
      <c r="M12" s="94"/>
      <c r="N12" s="94"/>
    </row>
    <row r="13" spans="1:16" ht="16.5" thickBot="1">
      <c r="A13" s="2571"/>
      <c r="B13" s="2578"/>
      <c r="C13" s="2578"/>
      <c r="D13" s="2585" t="s">
        <v>2514</v>
      </c>
      <c r="E13" s="94"/>
      <c r="F13" s="94"/>
      <c r="G13" s="2586" t="s">
        <v>2515</v>
      </c>
      <c r="H13" s="2587" t="s">
        <v>2773</v>
      </c>
      <c r="I13" s="2588"/>
      <c r="J13" s="2589" t="s">
        <v>2516</v>
      </c>
      <c r="K13" s="94"/>
      <c r="L13" s="1188" t="s">
        <v>2770</v>
      </c>
      <c r="M13" s="94"/>
      <c r="N13" s="94"/>
      <c r="O13" s="2571"/>
      <c r="P13" s="2571"/>
    </row>
    <row r="14" spans="1:16" ht="16.5" thickTop="1">
      <c r="A14" s="2571"/>
      <c r="B14" s="2578"/>
      <c r="C14" s="2578"/>
      <c r="D14" s="94"/>
      <c r="E14" s="94"/>
      <c r="F14" s="94"/>
      <c r="G14" s="2700" t="s">
        <v>2764</v>
      </c>
      <c r="H14" s="2724">
        <f>メイン!R60</f>
        <v>0</v>
      </c>
      <c r="I14" s="2590">
        <f>IF(H14=0,0,+H14/$L$14)</f>
        <v>0</v>
      </c>
      <c r="J14" s="2591"/>
      <c r="K14" s="2464" t="s">
        <v>2513</v>
      </c>
      <c r="L14" s="2697">
        <f>メイン!C63</f>
        <v>0</v>
      </c>
      <c r="M14" s="2727" t="s">
        <v>2772</v>
      </c>
      <c r="N14" s="94"/>
      <c r="O14" s="2571"/>
      <c r="P14" s="2571"/>
    </row>
    <row r="15" spans="1:16" ht="15.75">
      <c r="A15" s="2571"/>
      <c r="B15" s="2578"/>
      <c r="C15" s="2578"/>
      <c r="D15" s="94"/>
      <c r="E15" s="94"/>
      <c r="F15" s="94"/>
      <c r="G15" s="2592" t="s">
        <v>2517</v>
      </c>
      <c r="H15" s="2721"/>
      <c r="I15" s="2593">
        <f>IF(H15=0,0,+H15/$L$14)</f>
        <v>0</v>
      </c>
      <c r="J15" s="2594"/>
      <c r="K15" s="2464" t="s">
        <v>2513</v>
      </c>
      <c r="L15" s="94"/>
      <c r="M15" s="2582"/>
      <c r="N15" s="2595"/>
      <c r="O15" s="2571"/>
      <c r="P15" s="2571"/>
    </row>
    <row r="16" spans="1:16" s="2687" customFormat="1" ht="15.75">
      <c r="B16" s="2578"/>
      <c r="C16" s="2578"/>
      <c r="D16" s="94"/>
      <c r="E16" s="94"/>
      <c r="F16" s="94"/>
      <c r="G16" s="2698" t="s">
        <v>2765</v>
      </c>
      <c r="H16" s="2722"/>
      <c r="I16" s="2593">
        <f>IF(H16=0,0,+H16/$L$14)</f>
        <v>0</v>
      </c>
      <c r="J16" s="2699"/>
      <c r="K16" s="2464" t="s">
        <v>2513</v>
      </c>
      <c r="L16" s="94"/>
      <c r="M16" s="2582"/>
      <c r="N16" s="2595"/>
    </row>
    <row r="17" spans="1:22" s="2687" customFormat="1" ht="15.75">
      <c r="B17" s="2578"/>
      <c r="C17" s="2578"/>
      <c r="D17" s="94"/>
      <c r="E17" s="94"/>
      <c r="F17" s="94"/>
      <c r="G17" s="2698"/>
      <c r="H17" s="2722"/>
      <c r="I17" s="2593">
        <f>IF(H17=0,0,+H17/$L$14)</f>
        <v>0</v>
      </c>
      <c r="J17" s="2699"/>
      <c r="K17" s="2464" t="s">
        <v>2513</v>
      </c>
      <c r="L17" s="94"/>
      <c r="M17" s="2582"/>
      <c r="N17" s="2595"/>
    </row>
    <row r="18" spans="1:22" ht="16.5" thickBot="1">
      <c r="A18" s="2571"/>
      <c r="B18" s="2578"/>
      <c r="C18" s="2578"/>
      <c r="D18" s="94"/>
      <c r="E18" s="94"/>
      <c r="F18" s="94"/>
      <c r="G18" s="2596"/>
      <c r="H18" s="2723"/>
      <c r="I18" s="2597">
        <f>IF(H18=0,0,+H18/$L$14)</f>
        <v>0</v>
      </c>
      <c r="J18" s="2598"/>
      <c r="K18" s="2464" t="s">
        <v>2513</v>
      </c>
      <c r="L18" s="94"/>
      <c r="M18" s="2582"/>
      <c r="N18" s="2595"/>
      <c r="O18" s="2571"/>
      <c r="P18" s="2571"/>
    </row>
    <row r="19" spans="1:22" ht="6.75" customHeight="1" thickBot="1">
      <c r="A19" s="2571"/>
      <c r="B19" s="2578"/>
      <c r="C19" s="2578"/>
      <c r="D19" s="2578"/>
      <c r="E19" s="2578"/>
      <c r="F19" s="2578"/>
      <c r="G19" s="2578"/>
      <c r="H19" s="2578"/>
      <c r="I19" s="2578"/>
      <c r="J19" s="2578"/>
      <c r="K19" s="2578"/>
      <c r="L19" s="2578"/>
      <c r="M19" s="2582"/>
      <c r="N19" s="2595"/>
      <c r="O19" s="2571"/>
      <c r="P19" s="2571"/>
    </row>
    <row r="20" spans="1:22" ht="16.5" thickBot="1">
      <c r="A20" s="2571"/>
      <c r="B20" s="2578"/>
      <c r="C20" s="94"/>
      <c r="D20" s="2585" t="s">
        <v>2518</v>
      </c>
      <c r="E20" s="94"/>
      <c r="F20" s="94"/>
      <c r="G20" s="94"/>
      <c r="H20" s="2578"/>
      <c r="I20" s="94"/>
      <c r="J20" s="2599">
        <f>+J7-SUM(J14:J18)</f>
        <v>0</v>
      </c>
      <c r="K20" s="2464" t="s">
        <v>2513</v>
      </c>
      <c r="L20" s="94"/>
      <c r="M20" s="2582"/>
      <c r="N20" s="2595"/>
      <c r="O20" s="2571"/>
      <c r="P20" s="2571"/>
    </row>
    <row r="21" spans="1:22" s="2687" customFormat="1" ht="9" customHeight="1" thickBot="1">
      <c r="B21" s="2578"/>
      <c r="C21" s="94"/>
      <c r="D21" s="2585"/>
      <c r="E21" s="94"/>
      <c r="F21" s="94"/>
      <c r="G21" s="94"/>
      <c r="H21" s="2578"/>
      <c r="I21" s="2578"/>
      <c r="J21" s="2578"/>
      <c r="K21" s="2578"/>
      <c r="L21" s="94"/>
      <c r="M21" s="2582"/>
      <c r="N21" s="2595"/>
    </row>
    <row r="22" spans="1:22" ht="16.5" thickBot="1">
      <c r="A22" s="2571"/>
      <c r="B22" s="2578"/>
      <c r="C22" s="2585" t="s">
        <v>2519</v>
      </c>
      <c r="D22" s="94"/>
      <c r="E22" s="94"/>
      <c r="F22" s="2585"/>
      <c r="G22" s="94"/>
      <c r="H22" s="2578"/>
      <c r="I22" s="94"/>
      <c r="J22" s="2600" t="s">
        <v>2520</v>
      </c>
      <c r="K22" s="94"/>
      <c r="L22" s="2601" t="s">
        <v>2559</v>
      </c>
      <c r="M22" s="2582"/>
      <c r="N22" s="2595"/>
      <c r="O22" s="2571"/>
      <c r="P22" s="2571"/>
      <c r="T22" s="2571"/>
      <c r="U22" s="2571"/>
      <c r="V22" s="2571"/>
    </row>
    <row r="23" spans="1:22">
      <c r="A23" s="2571"/>
      <c r="B23" s="94"/>
      <c r="C23" s="94"/>
      <c r="D23" s="2600" t="s">
        <v>2522</v>
      </c>
      <c r="E23" s="2602"/>
      <c r="F23" s="94"/>
      <c r="G23" s="2600" t="s">
        <v>2523</v>
      </c>
      <c r="H23" s="94"/>
      <c r="I23" s="94"/>
      <c r="J23" s="94"/>
      <c r="K23" s="2600" t="s">
        <v>2524</v>
      </c>
      <c r="L23" s="94"/>
      <c r="M23" s="94"/>
      <c r="N23" s="94"/>
      <c r="O23" s="2571"/>
      <c r="P23" s="2571"/>
      <c r="T23" s="2571"/>
      <c r="U23" s="2571"/>
      <c r="V23" s="2571"/>
    </row>
    <row r="24" spans="1:22" ht="14.25" thickBot="1">
      <c r="A24" s="2571"/>
      <c r="B24" s="94"/>
      <c r="C24" s="94"/>
      <c r="D24" s="2603" t="s">
        <v>316</v>
      </c>
      <c r="E24" s="2603" t="s">
        <v>2525</v>
      </c>
      <c r="F24" s="2604"/>
      <c r="G24" s="2605" t="s">
        <v>316</v>
      </c>
      <c r="H24" s="2605" t="s">
        <v>2526</v>
      </c>
      <c r="I24" s="94"/>
      <c r="J24" s="94"/>
      <c r="K24" s="2605" t="s">
        <v>316</v>
      </c>
      <c r="L24" s="2606" t="s">
        <v>2527</v>
      </c>
      <c r="M24" s="2606" t="s">
        <v>2528</v>
      </c>
      <c r="N24" s="94"/>
      <c r="O24" s="2571"/>
      <c r="P24" s="2571"/>
      <c r="T24" s="2571" t="s">
        <v>1930</v>
      </c>
      <c r="U24" s="2571" t="s">
        <v>2559</v>
      </c>
      <c r="V24" s="2571" t="s">
        <v>2575</v>
      </c>
    </row>
    <row r="25" spans="1:22" ht="14.25" hidden="1" thickBot="1">
      <c r="A25" s="2571"/>
      <c r="B25" s="94"/>
      <c r="C25" s="94"/>
      <c r="D25" s="2607"/>
      <c r="E25" s="2607"/>
      <c r="F25" s="94"/>
      <c r="G25" s="2608"/>
      <c r="H25" s="2609"/>
      <c r="I25" s="94"/>
      <c r="J25" s="94"/>
      <c r="K25" s="2610" t="str">
        <f>VLOOKUP(L22,U24:V30,2)</f>
        <v>e</v>
      </c>
      <c r="L25" s="94"/>
      <c r="M25" s="94"/>
      <c r="N25" s="94"/>
      <c r="O25" s="2571"/>
      <c r="P25" s="2571"/>
      <c r="T25" s="2571" t="s">
        <v>2557</v>
      </c>
      <c r="U25" s="2571" t="s">
        <v>2521</v>
      </c>
      <c r="V25" s="2571" t="s">
        <v>2576</v>
      </c>
    </row>
    <row r="26" spans="1:22" ht="14.25">
      <c r="A26" s="2571"/>
      <c r="B26" s="94"/>
      <c r="C26" s="94"/>
      <c r="D26" s="2611" t="s">
        <v>1442</v>
      </c>
      <c r="E26" s="2612">
        <f>メイン!R47</f>
        <v>0</v>
      </c>
      <c r="F26" s="94"/>
      <c r="G26" s="2613" t="s">
        <v>1442</v>
      </c>
      <c r="H26" s="2735" t="str">
        <f>IF(E26=0,"",E26/$E$44)</f>
        <v/>
      </c>
      <c r="I26" s="94"/>
      <c r="J26" s="94"/>
      <c r="K26" s="2613" t="s">
        <v>1442</v>
      </c>
      <c r="L26" s="2614">
        <f t="shared" ref="L26:L42" si="0">HLOOKUP(K$25,$G$56:$M$73,P57)</f>
        <v>1900</v>
      </c>
      <c r="M26" s="2614">
        <f t="shared" ref="M26:M42" si="1">HLOOKUP(K$25,$G$78:$M$95,P79)</f>
        <v>3250</v>
      </c>
      <c r="N26" s="94"/>
      <c r="O26" s="2571"/>
      <c r="P26" s="2571"/>
      <c r="T26" s="2571" t="s">
        <v>2521</v>
      </c>
      <c r="U26" s="2571" t="s">
        <v>2561</v>
      </c>
      <c r="V26" s="2571" t="s">
        <v>2577</v>
      </c>
    </row>
    <row r="27" spans="1:22" ht="14.25" hidden="1">
      <c r="A27" s="2571"/>
      <c r="B27" s="94"/>
      <c r="C27" s="94"/>
      <c r="D27" s="2615" t="s">
        <v>2529</v>
      </c>
      <c r="E27" s="2616"/>
      <c r="F27" s="94"/>
      <c r="G27" s="2617" t="s">
        <v>2529</v>
      </c>
      <c r="H27" s="2736"/>
      <c r="I27" s="94"/>
      <c r="J27" s="94"/>
      <c r="K27" s="2617" t="s">
        <v>2529</v>
      </c>
      <c r="L27" s="2614">
        <f t="shared" si="0"/>
        <v>0</v>
      </c>
      <c r="M27" s="2614">
        <f t="shared" si="1"/>
        <v>0</v>
      </c>
      <c r="N27" s="94"/>
      <c r="O27" s="2571"/>
      <c r="T27" s="2571" t="s">
        <v>2558</v>
      </c>
      <c r="U27" s="2571" t="s">
        <v>2560</v>
      </c>
      <c r="V27" s="2571" t="s">
        <v>2578</v>
      </c>
    </row>
    <row r="28" spans="1:22" ht="14.25">
      <c r="A28" s="2571"/>
      <c r="B28" s="94"/>
      <c r="C28" s="94"/>
      <c r="D28" s="2618" t="s">
        <v>2530</v>
      </c>
      <c r="E28" s="2619">
        <f>メイン!R48</f>
        <v>0</v>
      </c>
      <c r="F28" s="94"/>
      <c r="G28" s="2613" t="s">
        <v>2530</v>
      </c>
      <c r="H28" s="2736" t="str">
        <f t="shared" ref="H28:H42" si="2">IF(E28=0,"",E28/$E$44)</f>
        <v/>
      </c>
      <c r="I28" s="94"/>
      <c r="J28" s="94"/>
      <c r="K28" s="2613" t="s">
        <v>2530</v>
      </c>
      <c r="L28" s="2614">
        <f t="shared" si="0"/>
        <v>1100</v>
      </c>
      <c r="M28" s="2614">
        <f t="shared" si="1"/>
        <v>1600</v>
      </c>
      <c r="N28" s="94"/>
      <c r="O28" s="2571"/>
      <c r="P28" s="2571"/>
      <c r="T28" s="2571" t="s">
        <v>2559</v>
      </c>
      <c r="U28" s="2571" t="s">
        <v>2558</v>
      </c>
      <c r="V28" s="2571" t="s">
        <v>2579</v>
      </c>
    </row>
    <row r="29" spans="1:22" ht="14.25">
      <c r="A29" s="2571"/>
      <c r="B29" s="94"/>
      <c r="C29" s="94"/>
      <c r="D29" s="2611" t="s">
        <v>2531</v>
      </c>
      <c r="E29" s="2612">
        <f>メイン!R49</f>
        <v>0</v>
      </c>
      <c r="F29" s="94"/>
      <c r="G29" s="2613" t="s">
        <v>2531</v>
      </c>
      <c r="H29" s="2736" t="str">
        <f t="shared" si="2"/>
        <v/>
      </c>
      <c r="I29" s="94"/>
      <c r="J29" s="94"/>
      <c r="K29" s="2613" t="s">
        <v>2531</v>
      </c>
      <c r="L29" s="2614">
        <f t="shared" si="0"/>
        <v>520</v>
      </c>
      <c r="M29" s="2614">
        <f t="shared" si="1"/>
        <v>1400</v>
      </c>
      <c r="N29" s="94"/>
      <c r="O29" s="2571"/>
      <c r="P29" s="2571"/>
      <c r="T29" s="2571" t="s">
        <v>2560</v>
      </c>
      <c r="U29" s="2571" t="s">
        <v>2557</v>
      </c>
      <c r="V29" s="2571" t="s">
        <v>2580</v>
      </c>
    </row>
    <row r="30" spans="1:22" ht="14.25">
      <c r="A30" s="2571"/>
      <c r="B30" s="94"/>
      <c r="C30" s="94"/>
      <c r="D30" s="2615" t="s">
        <v>2532</v>
      </c>
      <c r="E30" s="2616">
        <f>メイン!R50+メイン!R51</f>
        <v>0</v>
      </c>
      <c r="F30" s="94"/>
      <c r="G30" s="2613" t="s">
        <v>2532</v>
      </c>
      <c r="H30" s="2736" t="str">
        <f t="shared" si="2"/>
        <v/>
      </c>
      <c r="I30" s="94"/>
      <c r="J30" s="94"/>
      <c r="K30" s="2613" t="s">
        <v>2532</v>
      </c>
      <c r="L30" s="2614">
        <f t="shared" si="0"/>
        <v>270</v>
      </c>
      <c r="M30" s="2614">
        <f t="shared" si="1"/>
        <v>460</v>
      </c>
      <c r="N30" s="94"/>
      <c r="O30" s="2571"/>
      <c r="P30" s="2571"/>
      <c r="T30" s="2571" t="s">
        <v>2561</v>
      </c>
      <c r="U30" s="2571" t="s">
        <v>1930</v>
      </c>
      <c r="V30" s="2571" t="s">
        <v>2581</v>
      </c>
    </row>
    <row r="31" spans="1:22" ht="14.25">
      <c r="A31" s="2571"/>
      <c r="B31" s="94"/>
      <c r="C31" s="94"/>
      <c r="D31" s="2615" t="s">
        <v>2533</v>
      </c>
      <c r="E31" s="2616">
        <f>メイン!R52</f>
        <v>0</v>
      </c>
      <c r="F31" s="94"/>
      <c r="G31" s="2613" t="s">
        <v>2533</v>
      </c>
      <c r="H31" s="2736" t="str">
        <f t="shared" si="2"/>
        <v/>
      </c>
      <c r="I31" s="94"/>
      <c r="J31" s="94"/>
      <c r="K31" s="2613" t="s">
        <v>2533</v>
      </c>
      <c r="L31" s="2614">
        <f t="shared" si="0"/>
        <v>330</v>
      </c>
      <c r="M31" s="2614">
        <f t="shared" si="1"/>
        <v>630</v>
      </c>
      <c r="N31" s="94"/>
      <c r="O31" s="2571"/>
      <c r="P31" s="2571"/>
      <c r="T31" s="2571"/>
      <c r="U31" s="2571"/>
      <c r="V31" s="2571"/>
    </row>
    <row r="32" spans="1:22" ht="14.25">
      <c r="A32" s="2571"/>
      <c r="B32" s="94"/>
      <c r="C32" s="94"/>
      <c r="D32" s="2618" t="s">
        <v>2534</v>
      </c>
      <c r="E32" s="2619">
        <f>メイン!R53</f>
        <v>0</v>
      </c>
      <c r="F32" s="94"/>
      <c r="G32" s="2613" t="s">
        <v>2534</v>
      </c>
      <c r="H32" s="2736" t="str">
        <f t="shared" si="2"/>
        <v/>
      </c>
      <c r="I32" s="94"/>
      <c r="J32" s="94"/>
      <c r="K32" s="2613" t="s">
        <v>2534</v>
      </c>
      <c r="L32" s="2614">
        <f>HLOOKUP(K$25,$G$56:$M$73,P63)</f>
        <v>1000</v>
      </c>
      <c r="M32" s="2614">
        <f t="shared" si="1"/>
        <v>2300</v>
      </c>
      <c r="N32" s="94"/>
      <c r="O32" s="2571"/>
      <c r="P32" s="2571"/>
      <c r="T32" s="2571"/>
      <c r="U32" s="2571"/>
      <c r="V32" s="2571"/>
    </row>
    <row r="33" spans="1:19" ht="14.25" hidden="1">
      <c r="A33" s="2571"/>
      <c r="B33" s="94"/>
      <c r="C33" s="94"/>
      <c r="D33" s="1014" t="s">
        <v>2535</v>
      </c>
      <c r="E33" s="2620"/>
      <c r="F33" s="94"/>
      <c r="G33" s="2617" t="s">
        <v>2535</v>
      </c>
      <c r="H33" s="2736" t="str">
        <f t="shared" si="2"/>
        <v/>
      </c>
      <c r="I33" s="94"/>
      <c r="J33" s="94"/>
      <c r="K33" s="2617" t="s">
        <v>2535</v>
      </c>
      <c r="L33" s="2614">
        <f t="shared" si="0"/>
        <v>0</v>
      </c>
      <c r="M33" s="2614">
        <f t="shared" si="1"/>
        <v>0</v>
      </c>
      <c r="N33" s="94"/>
      <c r="O33" s="2571"/>
    </row>
    <row r="34" spans="1:19" ht="14.25">
      <c r="A34" s="2571"/>
      <c r="B34" s="94"/>
      <c r="C34" s="94"/>
      <c r="D34" s="2611" t="s">
        <v>2759</v>
      </c>
      <c r="E34" s="2612">
        <f>メイン!R54</f>
        <v>0</v>
      </c>
      <c r="F34" s="94"/>
      <c r="G34" s="2613" t="s">
        <v>2536</v>
      </c>
      <c r="H34" s="2736" t="str">
        <f t="shared" si="2"/>
        <v/>
      </c>
      <c r="I34" s="94"/>
      <c r="J34" s="94"/>
      <c r="K34" s="2613" t="s">
        <v>2536</v>
      </c>
      <c r="L34" s="2614">
        <f t="shared" si="0"/>
        <v>2900</v>
      </c>
      <c r="M34" s="2614">
        <f t="shared" si="1"/>
        <v>4600</v>
      </c>
      <c r="N34" s="94"/>
      <c r="O34" s="2571"/>
      <c r="P34" s="2571"/>
    </row>
    <row r="35" spans="1:19" ht="14.25">
      <c r="A35" s="2571"/>
      <c r="B35" s="94"/>
      <c r="C35" s="94"/>
      <c r="D35" s="2618" t="s">
        <v>352</v>
      </c>
      <c r="E35" s="2619">
        <f>メイン!R55</f>
        <v>0</v>
      </c>
      <c r="F35" s="94"/>
      <c r="G35" s="2613" t="s">
        <v>2537</v>
      </c>
      <c r="H35" s="2736" t="str">
        <f t="shared" si="2"/>
        <v/>
      </c>
      <c r="I35" s="94"/>
      <c r="J35" s="94"/>
      <c r="K35" s="2613" t="s">
        <v>2537</v>
      </c>
      <c r="L35" s="2614">
        <f t="shared" si="0"/>
        <v>2400</v>
      </c>
      <c r="M35" s="2614">
        <f t="shared" si="1"/>
        <v>3750</v>
      </c>
      <c r="N35" s="94"/>
      <c r="O35" s="2571"/>
      <c r="P35" s="2571"/>
    </row>
    <row r="36" spans="1:19" ht="14.25">
      <c r="A36" s="2571"/>
      <c r="B36" s="94"/>
      <c r="C36" s="94"/>
      <c r="D36" s="1014" t="s">
        <v>354</v>
      </c>
      <c r="E36" s="2620">
        <f>メイン!R56</f>
        <v>0</v>
      </c>
      <c r="F36" s="94"/>
      <c r="G36" s="2621" t="s">
        <v>2538</v>
      </c>
      <c r="H36" s="2736" t="str">
        <f t="shared" si="2"/>
        <v/>
      </c>
      <c r="I36" s="94"/>
      <c r="J36" s="94"/>
      <c r="K36" s="2621" t="s">
        <v>2538</v>
      </c>
      <c r="L36" s="2614">
        <f>HLOOKUP(K$25,$G$56:$M$73,P67)</f>
        <v>2900</v>
      </c>
      <c r="M36" s="2614">
        <f t="shared" si="1"/>
        <v>4600</v>
      </c>
      <c r="N36" s="94"/>
      <c r="O36" s="2571"/>
      <c r="P36" s="2571"/>
    </row>
    <row r="37" spans="1:19" ht="14.25">
      <c r="A37" s="2571"/>
      <c r="B37" s="94"/>
      <c r="C37" s="94"/>
      <c r="D37" s="2615" t="s">
        <v>2539</v>
      </c>
      <c r="E37" s="2616">
        <f>メイン!R57</f>
        <v>0</v>
      </c>
      <c r="F37" s="94"/>
      <c r="G37" s="2613" t="s">
        <v>2539</v>
      </c>
      <c r="H37" s="2736" t="str">
        <f t="shared" si="2"/>
        <v/>
      </c>
      <c r="I37" s="94"/>
      <c r="J37" s="94"/>
      <c r="K37" s="2613" t="s">
        <v>2539</v>
      </c>
      <c r="L37" s="2614">
        <f t="shared" si="0"/>
        <v>1400</v>
      </c>
      <c r="M37" s="2614">
        <f t="shared" si="1"/>
        <v>2900</v>
      </c>
      <c r="N37" s="94"/>
      <c r="O37" s="2571"/>
      <c r="P37" s="2571"/>
    </row>
    <row r="38" spans="1:19" ht="14.25">
      <c r="A38" s="2571"/>
      <c r="B38" s="94"/>
      <c r="C38" s="94"/>
      <c r="D38" s="2615" t="s">
        <v>2540</v>
      </c>
      <c r="E38" s="2616">
        <f>メイン!R58</f>
        <v>0</v>
      </c>
      <c r="F38" s="94"/>
      <c r="G38" s="2613" t="s">
        <v>2540</v>
      </c>
      <c r="H38" s="2736" t="str">
        <f t="shared" si="2"/>
        <v/>
      </c>
      <c r="I38" s="94"/>
      <c r="J38" s="94"/>
      <c r="K38" s="2613" t="s">
        <v>2540</v>
      </c>
      <c r="L38" s="2614">
        <f t="shared" si="0"/>
        <v>1300</v>
      </c>
      <c r="M38" s="2614">
        <f t="shared" si="1"/>
        <v>2200</v>
      </c>
      <c r="N38" s="94"/>
      <c r="O38" s="2571"/>
      <c r="P38" s="2571"/>
    </row>
    <row r="39" spans="1:19" ht="14.25">
      <c r="A39" s="2571"/>
      <c r="B39" s="94"/>
      <c r="C39" s="94"/>
      <c r="D39" s="2618" t="s">
        <v>2541</v>
      </c>
      <c r="E39" s="2619">
        <f>メイン!R59</f>
        <v>0</v>
      </c>
      <c r="F39" s="94"/>
      <c r="G39" s="2613" t="s">
        <v>2541</v>
      </c>
      <c r="H39" s="2736" t="str">
        <f t="shared" si="2"/>
        <v/>
      </c>
      <c r="I39" s="94"/>
      <c r="J39" s="94"/>
      <c r="K39" s="2613" t="s">
        <v>2541</v>
      </c>
      <c r="L39" s="2614">
        <f t="shared" si="0"/>
        <v>1450</v>
      </c>
      <c r="M39" s="2614">
        <f t="shared" si="1"/>
        <v>2900</v>
      </c>
      <c r="N39" s="94"/>
      <c r="O39" s="2571"/>
      <c r="P39" s="2571"/>
    </row>
    <row r="40" spans="1:19" ht="14.25">
      <c r="A40" s="2571"/>
      <c r="B40" s="94"/>
      <c r="C40" s="94"/>
      <c r="D40" s="1014" t="s">
        <v>1615</v>
      </c>
      <c r="E40" s="2620">
        <f>メイン!R61</f>
        <v>0</v>
      </c>
      <c r="F40" s="94"/>
      <c r="G40" s="2613" t="s">
        <v>1615</v>
      </c>
      <c r="H40" s="2736" t="str">
        <f t="shared" si="2"/>
        <v/>
      </c>
      <c r="I40" s="94"/>
      <c r="J40" s="94"/>
      <c r="K40" s="2613" t="s">
        <v>1615</v>
      </c>
      <c r="L40" s="2614">
        <f t="shared" si="0"/>
        <v>2450</v>
      </c>
      <c r="M40" s="2614">
        <f t="shared" si="1"/>
        <v>3800</v>
      </c>
      <c r="N40" s="94"/>
      <c r="O40" s="2571"/>
    </row>
    <row r="41" spans="1:19" ht="14.25" hidden="1">
      <c r="A41" s="2571"/>
      <c r="B41" s="94"/>
      <c r="C41" s="94"/>
      <c r="D41" s="1014" t="s">
        <v>2542</v>
      </c>
      <c r="E41" s="2620"/>
      <c r="F41" s="94"/>
      <c r="G41" s="2617" t="s">
        <v>2542</v>
      </c>
      <c r="H41" s="2736" t="str">
        <f t="shared" si="2"/>
        <v/>
      </c>
      <c r="I41" s="94"/>
      <c r="J41" s="94"/>
      <c r="K41" s="2617" t="s">
        <v>2542</v>
      </c>
      <c r="L41" s="2614">
        <f t="shared" si="0"/>
        <v>0</v>
      </c>
      <c r="M41" s="2614">
        <f t="shared" si="1"/>
        <v>0</v>
      </c>
      <c r="N41" s="94"/>
      <c r="O41" s="2571"/>
      <c r="P41" s="2571"/>
    </row>
    <row r="42" spans="1:19" ht="15" thickBot="1">
      <c r="A42" s="2571"/>
      <c r="B42" s="94"/>
      <c r="C42" s="94"/>
      <c r="D42" s="1014" t="s">
        <v>250</v>
      </c>
      <c r="E42" s="2620">
        <f>メイン!R62</f>
        <v>0</v>
      </c>
      <c r="F42" s="94"/>
      <c r="G42" s="2613" t="s">
        <v>2544</v>
      </c>
      <c r="H42" s="2737" t="str">
        <f t="shared" si="2"/>
        <v/>
      </c>
      <c r="I42" s="94"/>
      <c r="J42" s="94"/>
      <c r="K42" s="2613" t="s">
        <v>2544</v>
      </c>
      <c r="L42" s="2614">
        <f t="shared" si="0"/>
        <v>2750</v>
      </c>
      <c r="M42" s="2614">
        <f t="shared" si="1"/>
        <v>3800</v>
      </c>
      <c r="N42" s="94"/>
      <c r="O42" s="2571"/>
      <c r="P42" s="2571"/>
    </row>
    <row r="43" spans="1:19" hidden="1">
      <c r="A43" s="2571"/>
      <c r="B43" s="94"/>
      <c r="C43" s="94"/>
      <c r="D43" s="1011"/>
      <c r="E43" s="2620"/>
      <c r="F43" s="94"/>
      <c r="G43" s="2622"/>
      <c r="H43" s="2623"/>
      <c r="I43" s="94"/>
      <c r="J43" s="94"/>
      <c r="K43" s="2622"/>
      <c r="L43" s="2614"/>
      <c r="M43" s="2614"/>
      <c r="N43" s="94"/>
      <c r="O43" s="2571"/>
      <c r="P43" s="2571"/>
    </row>
    <row r="44" spans="1:19">
      <c r="A44" s="2571"/>
      <c r="B44" s="94"/>
      <c r="C44" s="94"/>
      <c r="D44" s="1011" t="s">
        <v>366</v>
      </c>
      <c r="E44" s="2624">
        <f>SUM(E25:E43)</f>
        <v>0</v>
      </c>
      <c r="F44" s="94"/>
      <c r="G44" s="2625" t="s">
        <v>366</v>
      </c>
      <c r="H44" s="2626">
        <f>SUM(H26:H42)</f>
        <v>0</v>
      </c>
      <c r="I44" s="94"/>
      <c r="J44" s="94"/>
      <c r="K44" s="2622" t="s">
        <v>366</v>
      </c>
      <c r="L44" s="2624">
        <f>SUMPRODUCT(H26:H42,L26:L42)</f>
        <v>0</v>
      </c>
      <c r="M44" s="2624">
        <f>SUMPRODUCT(H26:H42,M26:M42)</f>
        <v>0</v>
      </c>
      <c r="N44" s="94"/>
      <c r="O44" s="2571"/>
      <c r="P44" s="2571"/>
      <c r="S44" s="2571"/>
    </row>
    <row r="45" spans="1:19">
      <c r="A45" s="2571"/>
      <c r="B45" s="94"/>
      <c r="C45" s="94"/>
      <c r="D45" s="2464" t="s">
        <v>2545</v>
      </c>
      <c r="E45" s="94"/>
      <c r="F45" s="94"/>
      <c r="G45" s="94"/>
      <c r="H45" s="94"/>
      <c r="I45" s="94"/>
      <c r="J45" s="94"/>
      <c r="K45" s="94"/>
      <c r="L45" s="94"/>
      <c r="M45" s="94"/>
      <c r="N45" s="94"/>
      <c r="O45" s="2571"/>
      <c r="P45" s="2571"/>
    </row>
    <row r="46" spans="1:19">
      <c r="A46" s="2571"/>
      <c r="B46" s="94"/>
      <c r="C46" s="94"/>
      <c r="D46" s="94"/>
      <c r="E46" s="94"/>
      <c r="F46" s="94"/>
      <c r="G46" s="2606"/>
      <c r="H46" s="94"/>
      <c r="I46" s="94"/>
      <c r="J46" s="94"/>
      <c r="K46" s="94"/>
      <c r="L46" s="94"/>
      <c r="M46" s="94"/>
      <c r="N46" s="94"/>
      <c r="O46" s="2571"/>
      <c r="P46" s="2571"/>
    </row>
    <row r="47" spans="1:19">
      <c r="A47" s="2571"/>
      <c r="B47" s="94"/>
      <c r="C47" s="2627" t="s">
        <v>2546</v>
      </c>
      <c r="D47" s="94"/>
      <c r="E47" s="94"/>
      <c r="F47" s="94"/>
      <c r="G47" s="94"/>
      <c r="H47" s="94"/>
      <c r="I47" s="94"/>
      <c r="J47" s="94"/>
      <c r="K47" s="94"/>
      <c r="L47" s="94"/>
      <c r="M47" s="94"/>
      <c r="N47" s="94"/>
      <c r="O47" s="2571"/>
      <c r="P47" s="2571"/>
    </row>
    <row r="48" spans="1:19">
      <c r="A48" s="2571"/>
      <c r="B48" s="94"/>
      <c r="C48" s="94"/>
      <c r="D48" s="2600" t="s">
        <v>3200</v>
      </c>
      <c r="E48" s="94"/>
      <c r="F48" s="94"/>
      <c r="G48" s="94"/>
      <c r="H48" s="94"/>
      <c r="I48" s="2179">
        <f>E44</f>
        <v>0</v>
      </c>
      <c r="J48" s="2464" t="s">
        <v>2547</v>
      </c>
      <c r="K48" s="2464"/>
      <c r="L48" s="2464"/>
      <c r="M48" s="2464"/>
      <c r="N48" s="94"/>
      <c r="O48" s="2571"/>
      <c r="P48" s="2571"/>
    </row>
    <row r="49" spans="1:16">
      <c r="A49" s="2571"/>
      <c r="B49" s="94"/>
      <c r="C49" s="94"/>
      <c r="D49" s="2585" t="s">
        <v>2548</v>
      </c>
      <c r="E49" s="94"/>
      <c r="F49" s="94"/>
      <c r="G49" s="94"/>
      <c r="H49" s="94"/>
      <c r="I49" s="2179" t="e">
        <f>J20/I48*1000</f>
        <v>#DIV/0!</v>
      </c>
      <c r="J49" s="2464" t="s">
        <v>2549</v>
      </c>
      <c r="K49" s="2464"/>
      <c r="L49" s="2464"/>
      <c r="M49" s="2464"/>
      <c r="N49" s="94"/>
      <c r="O49" s="2571"/>
      <c r="P49" s="2571"/>
    </row>
    <row r="50" spans="1:16" ht="14.25" thickBot="1">
      <c r="A50" s="2571"/>
      <c r="B50" s="94"/>
      <c r="C50" s="94"/>
      <c r="D50" s="2585" t="s">
        <v>2550</v>
      </c>
      <c r="E50" s="94"/>
      <c r="F50" s="94"/>
      <c r="G50" s="2606"/>
      <c r="H50" s="2628" t="s">
        <v>2551</v>
      </c>
      <c r="I50" s="2179">
        <f>L44</f>
        <v>0</v>
      </c>
      <c r="J50" s="2464" t="s">
        <v>2549</v>
      </c>
      <c r="K50" s="2629" t="s">
        <v>2552</v>
      </c>
      <c r="L50" s="2179">
        <f>M44</f>
        <v>0</v>
      </c>
      <c r="M50" s="2464" t="s">
        <v>2553</v>
      </c>
      <c r="N50" s="94"/>
      <c r="O50" s="2571"/>
      <c r="P50" s="2571"/>
    </row>
    <row r="51" spans="1:16" ht="14.25" thickBot="1">
      <c r="A51" s="2571"/>
      <c r="B51" s="94"/>
      <c r="C51" s="94"/>
      <c r="D51" s="2585" t="s">
        <v>2554</v>
      </c>
      <c r="E51" s="94"/>
      <c r="F51" s="94"/>
      <c r="G51" s="94"/>
      <c r="H51" s="94"/>
      <c r="I51" s="2630">
        <f>IF(I14&gt;=0.8,1,IF(I48=0,0,IF(I49&gt;L50,-1,IF(I49&lt;I50,1,0))))</f>
        <v>0</v>
      </c>
      <c r="J51" s="2600" t="str">
        <f>IF(I51=1,"レベル上げる",IF(I51=-1,"レベル下げる","上下なし"))</f>
        <v>上下なし</v>
      </c>
      <c r="K51" s="2631" t="s">
        <v>3201</v>
      </c>
      <c r="L51" s="94"/>
      <c r="M51" s="94"/>
      <c r="N51" s="94"/>
      <c r="O51" s="2571"/>
      <c r="P51" s="2571"/>
    </row>
    <row r="52" spans="1:16" ht="9.75" customHeight="1">
      <c r="A52" s="2571"/>
      <c r="B52" s="94"/>
      <c r="C52" s="94"/>
      <c r="D52" s="94"/>
      <c r="E52" s="94"/>
      <c r="F52" s="94"/>
      <c r="G52" s="2606"/>
      <c r="H52" s="94"/>
      <c r="I52" s="94"/>
      <c r="J52" s="94"/>
      <c r="K52" s="94"/>
      <c r="L52" s="94"/>
      <c r="M52" s="94"/>
      <c r="N52" s="94"/>
      <c r="O52" s="2571"/>
      <c r="P52" s="2571"/>
    </row>
    <row r="53" spans="1:16">
      <c r="A53" s="2571"/>
      <c r="B53" s="94"/>
      <c r="C53" s="94"/>
      <c r="D53" s="94"/>
      <c r="E53" s="2632" t="s">
        <v>2555</v>
      </c>
      <c r="F53" s="94"/>
      <c r="G53" s="94"/>
      <c r="H53" s="94"/>
      <c r="I53" s="94"/>
      <c r="J53" s="94"/>
      <c r="K53" s="94"/>
      <c r="L53" s="94"/>
      <c r="M53" s="94"/>
      <c r="N53" s="94"/>
      <c r="O53" s="2571"/>
      <c r="P53" s="2571"/>
    </row>
    <row r="54" spans="1:16">
      <c r="A54" s="2571"/>
      <c r="B54" s="94"/>
      <c r="C54" s="94"/>
      <c r="D54" s="2606"/>
      <c r="E54" s="2605" t="s">
        <v>2556</v>
      </c>
      <c r="F54" s="94"/>
      <c r="G54" s="94"/>
      <c r="H54" s="94"/>
      <c r="I54" s="94"/>
      <c r="J54" s="94"/>
      <c r="K54" s="94"/>
      <c r="L54" s="94"/>
      <c r="M54" s="94"/>
      <c r="N54" s="94"/>
      <c r="O54" s="2571"/>
      <c r="P54" s="2571"/>
    </row>
    <row r="55" spans="1:16">
      <c r="A55" s="2571"/>
      <c r="B55" s="94"/>
      <c r="C55" s="94"/>
      <c r="D55" s="94"/>
      <c r="E55" s="2622" t="s">
        <v>316</v>
      </c>
      <c r="F55" s="94"/>
      <c r="G55" s="2633" t="s">
        <v>1930</v>
      </c>
      <c r="H55" s="2633" t="s">
        <v>2557</v>
      </c>
      <c r="I55" s="2633" t="s">
        <v>2521</v>
      </c>
      <c r="J55" s="2633" t="s">
        <v>2558</v>
      </c>
      <c r="K55" s="2633" t="s">
        <v>2559</v>
      </c>
      <c r="L55" s="2633" t="s">
        <v>2560</v>
      </c>
      <c r="M55" s="2633" t="s">
        <v>2561</v>
      </c>
      <c r="N55" s="94"/>
      <c r="O55" s="2571"/>
      <c r="P55" s="2571"/>
    </row>
    <row r="56" spans="1:16" hidden="1">
      <c r="A56" s="2571"/>
      <c r="B56" s="94"/>
      <c r="C56" s="94"/>
      <c r="D56" s="94"/>
      <c r="E56" s="1654"/>
      <c r="F56" s="94"/>
      <c r="G56" s="2633" t="s">
        <v>2562</v>
      </c>
      <c r="H56" s="2633" t="s">
        <v>2563</v>
      </c>
      <c r="I56" s="2633" t="s">
        <v>2564</v>
      </c>
      <c r="J56" s="2633" t="s">
        <v>2565</v>
      </c>
      <c r="K56" s="2633" t="s">
        <v>2566</v>
      </c>
      <c r="L56" s="2633" t="s">
        <v>2567</v>
      </c>
      <c r="M56" s="2633" t="s">
        <v>2568</v>
      </c>
      <c r="N56" s="94"/>
      <c r="O56" s="2571"/>
      <c r="P56" s="2571"/>
    </row>
    <row r="57" spans="1:16">
      <c r="A57" s="2571"/>
      <c r="B57" s="94"/>
      <c r="C57" s="94"/>
      <c r="D57" s="94"/>
      <c r="E57" s="2622" t="s">
        <v>1442</v>
      </c>
      <c r="F57" s="94"/>
      <c r="G57" s="2614">
        <v>1900</v>
      </c>
      <c r="H57" s="2614">
        <v>1900</v>
      </c>
      <c r="I57" s="2614">
        <v>1900</v>
      </c>
      <c r="J57" s="2614">
        <v>1900</v>
      </c>
      <c r="K57" s="2614">
        <v>1900</v>
      </c>
      <c r="L57" s="2614">
        <v>1900</v>
      </c>
      <c r="M57" s="2614">
        <v>1900</v>
      </c>
      <c r="N57" s="94"/>
      <c r="O57" s="2571"/>
      <c r="P57" s="2571">
        <v>2</v>
      </c>
    </row>
    <row r="58" spans="1:16" hidden="1">
      <c r="A58" s="2571"/>
      <c r="B58" s="94"/>
      <c r="C58" s="94"/>
      <c r="D58" s="94"/>
      <c r="E58" s="1654" t="s">
        <v>2529</v>
      </c>
      <c r="F58" s="94"/>
      <c r="G58" s="2614"/>
      <c r="H58" s="2614"/>
      <c r="I58" s="2614"/>
      <c r="J58" s="2614"/>
      <c r="K58" s="2614"/>
      <c r="L58" s="2614"/>
      <c r="M58" s="2614"/>
      <c r="N58" s="94"/>
      <c r="O58" s="2571"/>
      <c r="P58" s="2571">
        <v>3</v>
      </c>
    </row>
    <row r="59" spans="1:16">
      <c r="A59" s="2571"/>
      <c r="B59" s="94"/>
      <c r="C59" s="94"/>
      <c r="D59" s="94"/>
      <c r="E59" s="2622" t="s">
        <v>2530</v>
      </c>
      <c r="F59" s="94"/>
      <c r="G59" s="2614">
        <v>1100</v>
      </c>
      <c r="H59" s="2614">
        <v>1100</v>
      </c>
      <c r="I59" s="2614">
        <v>1100</v>
      </c>
      <c r="J59" s="2614">
        <v>1100</v>
      </c>
      <c r="K59" s="2614">
        <v>1100</v>
      </c>
      <c r="L59" s="2614">
        <v>1100</v>
      </c>
      <c r="M59" s="2614">
        <v>1100</v>
      </c>
      <c r="N59" s="94"/>
      <c r="O59" s="2571"/>
      <c r="P59" s="2571">
        <v>4</v>
      </c>
    </row>
    <row r="60" spans="1:16">
      <c r="A60" s="2571"/>
      <c r="B60" s="94"/>
      <c r="C60" s="94"/>
      <c r="D60" s="94"/>
      <c r="E60" s="2622" t="s">
        <v>2531</v>
      </c>
      <c r="F60" s="94"/>
      <c r="G60" s="2614">
        <v>520</v>
      </c>
      <c r="H60" s="2614">
        <v>520</v>
      </c>
      <c r="I60" s="2614">
        <v>520</v>
      </c>
      <c r="J60" s="2614">
        <v>520</v>
      </c>
      <c r="K60" s="2614">
        <v>520</v>
      </c>
      <c r="L60" s="2614">
        <v>520</v>
      </c>
      <c r="M60" s="2614">
        <v>520</v>
      </c>
      <c r="N60" s="94"/>
      <c r="O60" s="2571"/>
      <c r="P60" s="2571">
        <v>5</v>
      </c>
    </row>
    <row r="61" spans="1:16">
      <c r="A61" s="2571"/>
      <c r="B61" s="94"/>
      <c r="C61" s="94"/>
      <c r="D61" s="94"/>
      <c r="E61" s="2622" t="s">
        <v>2532</v>
      </c>
      <c r="F61" s="94"/>
      <c r="G61" s="2634">
        <v>510</v>
      </c>
      <c r="H61" s="2614">
        <v>270</v>
      </c>
      <c r="I61" s="2614">
        <v>270</v>
      </c>
      <c r="J61" s="2614">
        <v>270</v>
      </c>
      <c r="K61" s="2614">
        <v>270</v>
      </c>
      <c r="L61" s="2614">
        <v>270</v>
      </c>
      <c r="M61" s="2614">
        <v>270</v>
      </c>
      <c r="N61" s="94"/>
      <c r="O61" s="2571"/>
      <c r="P61" s="2571">
        <v>6</v>
      </c>
    </row>
    <row r="62" spans="1:16">
      <c r="A62" s="2571"/>
      <c r="B62" s="94"/>
      <c r="C62" s="94"/>
      <c r="D62" s="94"/>
      <c r="E62" s="2622" t="s">
        <v>2533</v>
      </c>
      <c r="F62" s="94"/>
      <c r="G62" s="2614">
        <v>330</v>
      </c>
      <c r="H62" s="2614">
        <v>330</v>
      </c>
      <c r="I62" s="2614">
        <v>330</v>
      </c>
      <c r="J62" s="2614">
        <v>330</v>
      </c>
      <c r="K62" s="2614">
        <v>330</v>
      </c>
      <c r="L62" s="2614">
        <v>330</v>
      </c>
      <c r="M62" s="2614">
        <v>330</v>
      </c>
      <c r="N62" s="94"/>
      <c r="O62" s="2571"/>
      <c r="P62" s="2571">
        <v>7</v>
      </c>
    </row>
    <row r="63" spans="1:16">
      <c r="A63" s="2571"/>
      <c r="B63" s="94"/>
      <c r="C63" s="94"/>
      <c r="D63" s="94"/>
      <c r="E63" s="2622" t="s">
        <v>2534</v>
      </c>
      <c r="F63" s="94"/>
      <c r="G63" s="2614">
        <v>1000</v>
      </c>
      <c r="H63" s="2614">
        <v>1000</v>
      </c>
      <c r="I63" s="2614">
        <v>1000</v>
      </c>
      <c r="J63" s="2614">
        <v>1000</v>
      </c>
      <c r="K63" s="2614">
        <v>1000</v>
      </c>
      <c r="L63" s="2614">
        <v>1000</v>
      </c>
      <c r="M63" s="2614">
        <v>1000</v>
      </c>
      <c r="N63" s="94"/>
      <c r="O63" s="2571"/>
      <c r="P63" s="2571">
        <v>8</v>
      </c>
    </row>
    <row r="64" spans="1:16" hidden="1">
      <c r="A64" s="2571"/>
      <c r="B64" s="94"/>
      <c r="C64" s="94"/>
      <c r="D64" s="94"/>
      <c r="E64" s="1654" t="s">
        <v>2535</v>
      </c>
      <c r="F64" s="94"/>
      <c r="G64" s="2614"/>
      <c r="H64" s="2614"/>
      <c r="I64" s="2614"/>
      <c r="J64" s="2614"/>
      <c r="K64" s="2614"/>
      <c r="L64" s="2614"/>
      <c r="M64" s="2614"/>
      <c r="N64" s="94"/>
      <c r="O64" s="2571"/>
      <c r="P64" s="2571">
        <v>9</v>
      </c>
    </row>
    <row r="65" spans="1:16">
      <c r="A65" s="2571"/>
      <c r="B65" s="94"/>
      <c r="C65" s="94"/>
      <c r="D65" s="94"/>
      <c r="E65" s="2622" t="s">
        <v>2569</v>
      </c>
      <c r="F65" s="94"/>
      <c r="G65" s="2614">
        <v>2900</v>
      </c>
      <c r="H65" s="2614">
        <v>2900</v>
      </c>
      <c r="I65" s="2614">
        <v>2900</v>
      </c>
      <c r="J65" s="2614">
        <v>2900</v>
      </c>
      <c r="K65" s="2614">
        <v>2900</v>
      </c>
      <c r="L65" s="2614">
        <v>2900</v>
      </c>
      <c r="M65" s="2614">
        <v>2900</v>
      </c>
      <c r="N65" s="94"/>
      <c r="O65" s="2571"/>
      <c r="P65" s="2571">
        <v>10</v>
      </c>
    </row>
    <row r="66" spans="1:16">
      <c r="A66" s="2571"/>
      <c r="B66" s="94"/>
      <c r="C66" s="94"/>
      <c r="D66" s="94"/>
      <c r="E66" s="2622" t="s">
        <v>2570</v>
      </c>
      <c r="F66" s="94"/>
      <c r="G66" s="2614">
        <v>2400</v>
      </c>
      <c r="H66" s="2614">
        <v>2400</v>
      </c>
      <c r="I66" s="2614">
        <v>2400</v>
      </c>
      <c r="J66" s="2614">
        <v>2400</v>
      </c>
      <c r="K66" s="2614">
        <v>2400</v>
      </c>
      <c r="L66" s="2614">
        <v>2400</v>
      </c>
      <c r="M66" s="2614">
        <v>2400</v>
      </c>
      <c r="N66" s="94"/>
      <c r="O66" s="2571"/>
      <c r="P66" s="2571">
        <v>11</v>
      </c>
    </row>
    <row r="67" spans="1:16">
      <c r="A67" s="2571"/>
      <c r="B67" s="94"/>
      <c r="C67" s="94"/>
      <c r="D67" s="94"/>
      <c r="E67" s="2635" t="s">
        <v>2571</v>
      </c>
      <c r="F67" s="94"/>
      <c r="G67" s="2614">
        <v>2900</v>
      </c>
      <c r="H67" s="2614">
        <v>2900</v>
      </c>
      <c r="I67" s="2614">
        <v>2900</v>
      </c>
      <c r="J67" s="2614">
        <v>2900</v>
      </c>
      <c r="K67" s="2614">
        <v>2900</v>
      </c>
      <c r="L67" s="2614">
        <v>2900</v>
      </c>
      <c r="M67" s="2614">
        <v>2900</v>
      </c>
      <c r="N67" s="94"/>
      <c r="O67" s="2571"/>
      <c r="P67" s="2571">
        <v>12</v>
      </c>
    </row>
    <row r="68" spans="1:16">
      <c r="A68" s="2571"/>
      <c r="B68" s="94"/>
      <c r="C68" s="94"/>
      <c r="D68" s="94"/>
      <c r="E68" s="2622" t="s">
        <v>2539</v>
      </c>
      <c r="F68" s="94"/>
      <c r="G68" s="2614">
        <v>1400</v>
      </c>
      <c r="H68" s="2614">
        <v>1400</v>
      </c>
      <c r="I68" s="2614">
        <v>1400</v>
      </c>
      <c r="J68" s="2614">
        <v>1400</v>
      </c>
      <c r="K68" s="2614">
        <v>1400</v>
      </c>
      <c r="L68" s="2614">
        <v>1400</v>
      </c>
      <c r="M68" s="2614">
        <v>1400</v>
      </c>
      <c r="N68" s="94"/>
      <c r="O68" s="2571"/>
      <c r="P68" s="2571">
        <v>13</v>
      </c>
    </row>
    <row r="69" spans="1:16">
      <c r="A69" s="2571"/>
      <c r="B69" s="94"/>
      <c r="C69" s="94"/>
      <c r="D69" s="94"/>
      <c r="E69" s="2622" t="s">
        <v>2540</v>
      </c>
      <c r="F69" s="94"/>
      <c r="G69" s="2614">
        <v>1300</v>
      </c>
      <c r="H69" s="2614">
        <v>1300</v>
      </c>
      <c r="I69" s="2614">
        <v>1300</v>
      </c>
      <c r="J69" s="2614">
        <v>1300</v>
      </c>
      <c r="K69" s="2614">
        <v>1300</v>
      </c>
      <c r="L69" s="2614">
        <v>1300</v>
      </c>
      <c r="M69" s="2614">
        <v>1300</v>
      </c>
      <c r="N69" s="94"/>
      <c r="O69" s="2571"/>
      <c r="P69" s="2571">
        <v>14</v>
      </c>
    </row>
    <row r="70" spans="1:16">
      <c r="A70" s="2571"/>
      <c r="B70" s="94"/>
      <c r="C70" s="94"/>
      <c r="D70" s="94"/>
      <c r="E70" s="2622" t="s">
        <v>2541</v>
      </c>
      <c r="F70" s="94"/>
      <c r="G70" s="2614">
        <v>1450</v>
      </c>
      <c r="H70" s="2614">
        <v>1450</v>
      </c>
      <c r="I70" s="2614">
        <v>1450</v>
      </c>
      <c r="J70" s="2614">
        <v>1450</v>
      </c>
      <c r="K70" s="2614">
        <v>1450</v>
      </c>
      <c r="L70" s="2614">
        <v>1450</v>
      </c>
      <c r="M70" s="2614">
        <v>1450</v>
      </c>
      <c r="N70" s="94"/>
      <c r="O70" s="2571"/>
      <c r="P70" s="2571">
        <v>15</v>
      </c>
    </row>
    <row r="71" spans="1:16">
      <c r="A71" s="2571"/>
      <c r="B71" s="94"/>
      <c r="C71" s="94"/>
      <c r="D71" s="94"/>
      <c r="E71" s="2622" t="s">
        <v>1615</v>
      </c>
      <c r="F71" s="94"/>
      <c r="G71" s="2614">
        <v>2450</v>
      </c>
      <c r="H71" s="2614">
        <v>2450</v>
      </c>
      <c r="I71" s="2614">
        <v>2450</v>
      </c>
      <c r="J71" s="2614">
        <v>2450</v>
      </c>
      <c r="K71" s="2614">
        <v>2450</v>
      </c>
      <c r="L71" s="2614">
        <v>2450</v>
      </c>
      <c r="M71" s="2614">
        <v>2450</v>
      </c>
      <c r="N71" s="94"/>
      <c r="O71" s="2571"/>
      <c r="P71" s="2571">
        <v>16</v>
      </c>
    </row>
    <row r="72" spans="1:16" hidden="1">
      <c r="A72" s="2571"/>
      <c r="B72" s="94"/>
      <c r="C72" s="94"/>
      <c r="D72" s="94"/>
      <c r="E72" s="1654" t="s">
        <v>2542</v>
      </c>
      <c r="F72" s="94"/>
      <c r="G72" s="2614"/>
      <c r="H72" s="2614"/>
      <c r="I72" s="2614"/>
      <c r="J72" s="2614"/>
      <c r="K72" s="2614"/>
      <c r="L72" s="2614"/>
      <c r="M72" s="2614"/>
      <c r="N72" s="94"/>
      <c r="O72" s="2571"/>
      <c r="P72" s="2571">
        <v>17</v>
      </c>
    </row>
    <row r="73" spans="1:16">
      <c r="A73" s="2571"/>
      <c r="B73" s="94"/>
      <c r="C73" s="94"/>
      <c r="D73" s="94"/>
      <c r="E73" s="2622" t="s">
        <v>2543</v>
      </c>
      <c r="F73" s="94"/>
      <c r="G73" s="2614">
        <v>2750</v>
      </c>
      <c r="H73" s="2614">
        <v>2750</v>
      </c>
      <c r="I73" s="2614">
        <v>2750</v>
      </c>
      <c r="J73" s="2614">
        <v>2750</v>
      </c>
      <c r="K73" s="2614">
        <v>2750</v>
      </c>
      <c r="L73" s="2614">
        <v>2750</v>
      </c>
      <c r="M73" s="2614">
        <v>2750</v>
      </c>
      <c r="N73" s="94"/>
      <c r="O73" s="2571"/>
      <c r="P73" s="2571">
        <v>18</v>
      </c>
    </row>
    <row r="74" spans="1:16" hidden="1">
      <c r="A74" s="2571"/>
      <c r="B74" s="94"/>
      <c r="C74" s="94"/>
      <c r="D74" s="94"/>
      <c r="E74" s="2622"/>
      <c r="F74" s="94"/>
      <c r="G74" s="2622"/>
      <c r="H74" s="2622"/>
      <c r="I74" s="2622"/>
      <c r="J74" s="2622"/>
      <c r="K74" s="2622"/>
      <c r="L74" s="2622"/>
      <c r="M74" s="2622"/>
      <c r="N74" s="94"/>
      <c r="O74" s="2571"/>
      <c r="P74" s="2571"/>
    </row>
    <row r="75" spans="1:16" ht="7.5" customHeight="1">
      <c r="A75" s="2571"/>
      <c r="B75" s="94"/>
      <c r="C75" s="94"/>
      <c r="D75" s="94"/>
      <c r="E75" s="94"/>
      <c r="F75" s="94"/>
      <c r="G75" s="94"/>
      <c r="H75" s="94"/>
      <c r="I75" s="94"/>
      <c r="J75" s="94"/>
      <c r="K75" s="94"/>
      <c r="L75" s="94"/>
      <c r="M75" s="94"/>
      <c r="N75" s="94"/>
      <c r="O75" s="2571"/>
      <c r="P75" s="2571"/>
    </row>
    <row r="76" spans="1:16">
      <c r="A76" s="2571"/>
      <c r="B76" s="94"/>
      <c r="C76" s="94"/>
      <c r="D76" s="94"/>
      <c r="E76" s="2606" t="s">
        <v>2572</v>
      </c>
      <c r="F76" s="94"/>
      <c r="G76" s="94"/>
      <c r="H76" s="94"/>
      <c r="I76" s="94"/>
      <c r="J76" s="94"/>
      <c r="K76" s="94"/>
      <c r="L76" s="94"/>
      <c r="M76" s="94"/>
      <c r="N76" s="94"/>
      <c r="O76" s="2571"/>
      <c r="P76" s="2571"/>
    </row>
    <row r="77" spans="1:16">
      <c r="A77" s="2571"/>
      <c r="B77" s="94"/>
      <c r="C77" s="94"/>
      <c r="D77" s="94"/>
      <c r="E77" s="2622" t="s">
        <v>316</v>
      </c>
      <c r="F77" s="94"/>
      <c r="G77" s="2633" t="s">
        <v>1930</v>
      </c>
      <c r="H77" s="2633" t="s">
        <v>2557</v>
      </c>
      <c r="I77" s="2633" t="s">
        <v>2521</v>
      </c>
      <c r="J77" s="2633" t="s">
        <v>2558</v>
      </c>
      <c r="K77" s="2633" t="s">
        <v>2559</v>
      </c>
      <c r="L77" s="2633" t="s">
        <v>2560</v>
      </c>
      <c r="M77" s="2633" t="s">
        <v>2561</v>
      </c>
      <c r="N77" s="94"/>
      <c r="O77" s="2571"/>
      <c r="P77" s="2571"/>
    </row>
    <row r="78" spans="1:16" hidden="1">
      <c r="A78" s="2571"/>
      <c r="B78" s="94"/>
      <c r="C78" s="94"/>
      <c r="D78" s="94"/>
      <c r="E78" s="1654"/>
      <c r="F78" s="94"/>
      <c r="G78" s="2633" t="s">
        <v>2562</v>
      </c>
      <c r="H78" s="2633" t="s">
        <v>2563</v>
      </c>
      <c r="I78" s="2633" t="s">
        <v>2564</v>
      </c>
      <c r="J78" s="2633" t="s">
        <v>2565</v>
      </c>
      <c r="K78" s="2633" t="s">
        <v>2566</v>
      </c>
      <c r="L78" s="2633" t="s">
        <v>2573</v>
      </c>
      <c r="M78" s="2633" t="s">
        <v>2574</v>
      </c>
      <c r="N78" s="94"/>
      <c r="O78" s="2571"/>
      <c r="P78" s="2571"/>
    </row>
    <row r="79" spans="1:16">
      <c r="A79" s="2571"/>
      <c r="B79" s="94"/>
      <c r="C79" s="94"/>
      <c r="D79" s="94"/>
      <c r="E79" s="2622" t="s">
        <v>1442</v>
      </c>
      <c r="F79" s="94"/>
      <c r="G79" s="2614">
        <v>3250</v>
      </c>
      <c r="H79" s="2614">
        <v>3250</v>
      </c>
      <c r="I79" s="2614">
        <v>3250</v>
      </c>
      <c r="J79" s="2614">
        <v>3250</v>
      </c>
      <c r="K79" s="2614">
        <v>3250</v>
      </c>
      <c r="L79" s="2614">
        <v>3250</v>
      </c>
      <c r="M79" s="2614">
        <v>3250</v>
      </c>
      <c r="N79" s="94"/>
      <c r="O79" s="2571"/>
      <c r="P79" s="2571">
        <v>2</v>
      </c>
    </row>
    <row r="80" spans="1:16" hidden="1">
      <c r="A80" s="2571"/>
      <c r="B80" s="94"/>
      <c r="C80" s="94"/>
      <c r="D80" s="94"/>
      <c r="E80" s="1654" t="s">
        <v>2529</v>
      </c>
      <c r="F80" s="94"/>
      <c r="G80" s="2614"/>
      <c r="H80" s="2614"/>
      <c r="I80" s="2614"/>
      <c r="J80" s="2614"/>
      <c r="K80" s="2614"/>
      <c r="L80" s="2614"/>
      <c r="M80" s="2614"/>
      <c r="N80" s="94"/>
      <c r="O80" s="2571"/>
      <c r="P80" s="2571">
        <v>3</v>
      </c>
    </row>
    <row r="81" spans="1:16">
      <c r="A81" s="2571"/>
      <c r="B81" s="94"/>
      <c r="C81" s="94"/>
      <c r="D81" s="94"/>
      <c r="E81" s="2622" t="s">
        <v>2530</v>
      </c>
      <c r="F81" s="94"/>
      <c r="G81" s="2614">
        <v>1600</v>
      </c>
      <c r="H81" s="2614">
        <v>1600</v>
      </c>
      <c r="I81" s="2614">
        <v>1600</v>
      </c>
      <c r="J81" s="2614">
        <v>1600</v>
      </c>
      <c r="K81" s="2614">
        <v>1600</v>
      </c>
      <c r="L81" s="2614">
        <v>1600</v>
      </c>
      <c r="M81" s="2614">
        <v>1600</v>
      </c>
      <c r="N81" s="94"/>
      <c r="O81" s="2571"/>
      <c r="P81" s="2571">
        <v>4</v>
      </c>
    </row>
    <row r="82" spans="1:16">
      <c r="A82" s="2571"/>
      <c r="B82" s="94"/>
      <c r="C82" s="94"/>
      <c r="D82" s="94"/>
      <c r="E82" s="2622" t="s">
        <v>2531</v>
      </c>
      <c r="F82" s="94"/>
      <c r="G82" s="2614">
        <v>1400</v>
      </c>
      <c r="H82" s="2614">
        <v>1400</v>
      </c>
      <c r="I82" s="2614">
        <v>1400</v>
      </c>
      <c r="J82" s="2614">
        <v>1400</v>
      </c>
      <c r="K82" s="2614">
        <v>1400</v>
      </c>
      <c r="L82" s="2614">
        <v>1400</v>
      </c>
      <c r="M82" s="2614">
        <v>1400</v>
      </c>
      <c r="N82" s="94"/>
      <c r="O82" s="2571"/>
      <c r="P82" s="2571">
        <v>5</v>
      </c>
    </row>
    <row r="83" spans="1:16">
      <c r="A83" s="2571"/>
      <c r="B83" s="94"/>
      <c r="C83" s="94"/>
      <c r="D83" s="94"/>
      <c r="E83" s="2622" t="s">
        <v>2532</v>
      </c>
      <c r="F83" s="94"/>
      <c r="G83" s="2614">
        <v>800</v>
      </c>
      <c r="H83" s="2614">
        <v>460</v>
      </c>
      <c r="I83" s="2614">
        <v>460</v>
      </c>
      <c r="J83" s="2614">
        <v>460</v>
      </c>
      <c r="K83" s="2614">
        <v>460</v>
      </c>
      <c r="L83" s="2614">
        <v>460</v>
      </c>
      <c r="M83" s="2614">
        <v>460</v>
      </c>
      <c r="N83" s="94"/>
      <c r="O83" s="2571"/>
      <c r="P83" s="2571">
        <v>6</v>
      </c>
    </row>
    <row r="84" spans="1:16">
      <c r="A84" s="2571"/>
      <c r="B84" s="94"/>
      <c r="C84" s="94"/>
      <c r="D84" s="94"/>
      <c r="E84" s="2622" t="s">
        <v>2533</v>
      </c>
      <c r="F84" s="94"/>
      <c r="G84" s="2614">
        <v>630</v>
      </c>
      <c r="H84" s="2614">
        <v>630</v>
      </c>
      <c r="I84" s="2614">
        <v>630</v>
      </c>
      <c r="J84" s="2614">
        <v>630</v>
      </c>
      <c r="K84" s="2614">
        <v>630</v>
      </c>
      <c r="L84" s="2614">
        <v>630</v>
      </c>
      <c r="M84" s="2614">
        <v>630</v>
      </c>
      <c r="N84" s="94"/>
      <c r="O84" s="2571"/>
      <c r="P84" s="2571">
        <v>7</v>
      </c>
    </row>
    <row r="85" spans="1:16">
      <c r="A85" s="2571"/>
      <c r="B85" s="94"/>
      <c r="C85" s="94"/>
      <c r="D85" s="94"/>
      <c r="E85" s="2622" t="s">
        <v>2534</v>
      </c>
      <c r="F85" s="94"/>
      <c r="G85" s="2614">
        <v>2300</v>
      </c>
      <c r="H85" s="2614">
        <v>2300</v>
      </c>
      <c r="I85" s="2614">
        <v>2300</v>
      </c>
      <c r="J85" s="2614">
        <v>2300</v>
      </c>
      <c r="K85" s="2614">
        <v>2300</v>
      </c>
      <c r="L85" s="2614">
        <v>2300</v>
      </c>
      <c r="M85" s="2614">
        <v>2300</v>
      </c>
      <c r="N85" s="94"/>
      <c r="O85" s="2571"/>
      <c r="P85" s="2571">
        <v>8</v>
      </c>
    </row>
    <row r="86" spans="1:16" hidden="1">
      <c r="A86" s="2571"/>
      <c r="B86" s="94"/>
      <c r="C86" s="94"/>
      <c r="D86" s="94"/>
      <c r="E86" s="1654" t="s">
        <v>2535</v>
      </c>
      <c r="F86" s="94"/>
      <c r="G86" s="2614"/>
      <c r="H86" s="2614"/>
      <c r="I86" s="2614"/>
      <c r="J86" s="2614"/>
      <c r="K86" s="2614"/>
      <c r="L86" s="2614"/>
      <c r="M86" s="2614"/>
      <c r="N86" s="94"/>
      <c r="O86" s="2571"/>
      <c r="P86" s="2571">
        <v>9</v>
      </c>
    </row>
    <row r="87" spans="1:16">
      <c r="A87" s="2571"/>
      <c r="B87" s="94"/>
      <c r="C87" s="94"/>
      <c r="D87" s="94"/>
      <c r="E87" s="2622" t="s">
        <v>2536</v>
      </c>
      <c r="F87" s="94"/>
      <c r="G87" s="2614">
        <v>4600</v>
      </c>
      <c r="H87" s="2614">
        <v>4600</v>
      </c>
      <c r="I87" s="2614">
        <v>4600</v>
      </c>
      <c r="J87" s="2614">
        <v>4600</v>
      </c>
      <c r="K87" s="2614">
        <v>4600</v>
      </c>
      <c r="L87" s="2614">
        <v>4600</v>
      </c>
      <c r="M87" s="2614">
        <v>4600</v>
      </c>
      <c r="N87" s="94"/>
      <c r="O87" s="2571"/>
      <c r="P87" s="2571">
        <v>10</v>
      </c>
    </row>
    <row r="88" spans="1:16">
      <c r="A88" s="2571"/>
      <c r="B88" s="94"/>
      <c r="C88" s="94"/>
      <c r="D88" s="94"/>
      <c r="E88" s="2622" t="s">
        <v>2537</v>
      </c>
      <c r="F88" s="94"/>
      <c r="G88" s="2614">
        <v>3750</v>
      </c>
      <c r="H88" s="2614">
        <v>3750</v>
      </c>
      <c r="I88" s="2614">
        <v>3750</v>
      </c>
      <c r="J88" s="2614">
        <v>3750</v>
      </c>
      <c r="K88" s="2614">
        <v>3750</v>
      </c>
      <c r="L88" s="2614">
        <v>3750</v>
      </c>
      <c r="M88" s="2614">
        <v>3750</v>
      </c>
      <c r="N88" s="94"/>
      <c r="O88" s="2571"/>
      <c r="P88" s="2571">
        <v>11</v>
      </c>
    </row>
    <row r="89" spans="1:16">
      <c r="A89" s="2571"/>
      <c r="B89" s="94"/>
      <c r="C89" s="94"/>
      <c r="D89" s="94"/>
      <c r="E89" s="2635" t="s">
        <v>2538</v>
      </c>
      <c r="F89" s="94"/>
      <c r="G89" s="2614">
        <v>4600</v>
      </c>
      <c r="H89" s="2614">
        <v>4600</v>
      </c>
      <c r="I89" s="2614">
        <v>4600</v>
      </c>
      <c r="J89" s="2614">
        <v>4600</v>
      </c>
      <c r="K89" s="2614">
        <v>4600</v>
      </c>
      <c r="L89" s="2614">
        <v>4600</v>
      </c>
      <c r="M89" s="2614">
        <v>4600</v>
      </c>
      <c r="N89" s="94"/>
      <c r="O89" s="2571"/>
      <c r="P89" s="2571">
        <v>12</v>
      </c>
    </row>
    <row r="90" spans="1:16">
      <c r="A90" s="2571"/>
      <c r="B90" s="94"/>
      <c r="C90" s="94"/>
      <c r="D90" s="94"/>
      <c r="E90" s="2622" t="s">
        <v>2539</v>
      </c>
      <c r="F90" s="94"/>
      <c r="G90" s="2614">
        <v>2900</v>
      </c>
      <c r="H90" s="2614">
        <v>2900</v>
      </c>
      <c r="I90" s="2614">
        <v>2900</v>
      </c>
      <c r="J90" s="2614">
        <v>2900</v>
      </c>
      <c r="K90" s="2614">
        <v>2900</v>
      </c>
      <c r="L90" s="2614">
        <v>2900</v>
      </c>
      <c r="M90" s="2614">
        <v>2900</v>
      </c>
      <c r="N90" s="94"/>
      <c r="O90" s="2571"/>
      <c r="P90" s="2571">
        <v>13</v>
      </c>
    </row>
    <row r="91" spans="1:16">
      <c r="A91" s="2571"/>
      <c r="B91" s="94"/>
      <c r="C91" s="94"/>
      <c r="D91" s="94"/>
      <c r="E91" s="2622" t="s">
        <v>2540</v>
      </c>
      <c r="F91" s="94"/>
      <c r="G91" s="2614">
        <v>2200</v>
      </c>
      <c r="H91" s="2614">
        <v>2200</v>
      </c>
      <c r="I91" s="2614">
        <v>2200</v>
      </c>
      <c r="J91" s="2614">
        <v>2200</v>
      </c>
      <c r="K91" s="2614">
        <v>2200</v>
      </c>
      <c r="L91" s="2614">
        <v>2200</v>
      </c>
      <c r="M91" s="2614">
        <v>2200</v>
      </c>
      <c r="N91" s="94"/>
      <c r="O91" s="2571"/>
      <c r="P91" s="2571">
        <v>14</v>
      </c>
    </row>
    <row r="92" spans="1:16">
      <c r="A92" s="2571"/>
      <c r="B92" s="94"/>
      <c r="C92" s="94"/>
      <c r="D92" s="94"/>
      <c r="E92" s="2622" t="s">
        <v>2541</v>
      </c>
      <c r="F92" s="94"/>
      <c r="G92" s="2614">
        <v>2900</v>
      </c>
      <c r="H92" s="2614">
        <v>2900</v>
      </c>
      <c r="I92" s="2614">
        <v>2900</v>
      </c>
      <c r="J92" s="2614">
        <v>2900</v>
      </c>
      <c r="K92" s="2614">
        <v>2900</v>
      </c>
      <c r="L92" s="2614">
        <v>2900</v>
      </c>
      <c r="M92" s="2614">
        <v>2900</v>
      </c>
      <c r="N92" s="94"/>
      <c r="O92" s="2571"/>
      <c r="P92" s="2571">
        <v>15</v>
      </c>
    </row>
    <row r="93" spans="1:16">
      <c r="A93" s="2571"/>
      <c r="B93" s="94"/>
      <c r="C93" s="94"/>
      <c r="D93" s="94"/>
      <c r="E93" s="2622" t="s">
        <v>1615</v>
      </c>
      <c r="F93" s="94"/>
      <c r="G93" s="2614">
        <v>3800</v>
      </c>
      <c r="H93" s="2614">
        <v>3800</v>
      </c>
      <c r="I93" s="2614">
        <v>3800</v>
      </c>
      <c r="J93" s="2614">
        <v>3800</v>
      </c>
      <c r="K93" s="2614">
        <v>3800</v>
      </c>
      <c r="L93" s="2614">
        <v>3800</v>
      </c>
      <c r="M93" s="2614">
        <v>3800</v>
      </c>
      <c r="N93" s="94"/>
      <c r="O93" s="2571"/>
      <c r="P93" s="2571">
        <v>16</v>
      </c>
    </row>
    <row r="94" spans="1:16" hidden="1">
      <c r="A94" s="2571"/>
      <c r="B94" s="94"/>
      <c r="C94" s="94"/>
      <c r="D94" s="94"/>
      <c r="E94" s="1654" t="s">
        <v>2542</v>
      </c>
      <c r="F94" s="94"/>
      <c r="G94" s="2614"/>
      <c r="H94" s="2614"/>
      <c r="I94" s="2614"/>
      <c r="J94" s="2614"/>
      <c r="K94" s="2614"/>
      <c r="L94" s="2614"/>
      <c r="M94" s="2614"/>
      <c r="N94" s="94"/>
      <c r="O94" s="2571"/>
      <c r="P94" s="2571">
        <v>17</v>
      </c>
    </row>
    <row r="95" spans="1:16">
      <c r="A95" s="2571"/>
      <c r="B95" s="94"/>
      <c r="C95" s="94"/>
      <c r="D95" s="94"/>
      <c r="E95" s="2622" t="s">
        <v>2544</v>
      </c>
      <c r="F95" s="94"/>
      <c r="G95" s="2614">
        <v>3800</v>
      </c>
      <c r="H95" s="2614">
        <v>3800</v>
      </c>
      <c r="I95" s="2614">
        <v>3800</v>
      </c>
      <c r="J95" s="2614">
        <v>3800</v>
      </c>
      <c r="K95" s="2614">
        <v>3800</v>
      </c>
      <c r="L95" s="2614">
        <v>3800</v>
      </c>
      <c r="M95" s="2614">
        <v>3800</v>
      </c>
      <c r="N95" s="94"/>
      <c r="O95" s="2571"/>
      <c r="P95" s="2571">
        <v>18</v>
      </c>
    </row>
    <row r="96" spans="1:16">
      <c r="A96" s="2571"/>
      <c r="B96" s="2571"/>
      <c r="C96" s="2571"/>
      <c r="D96" s="2571"/>
      <c r="E96" s="2571"/>
      <c r="F96" s="2571"/>
      <c r="G96" s="2571"/>
      <c r="H96" s="2571"/>
      <c r="I96" s="2571"/>
      <c r="J96" s="2571"/>
      <c r="K96" s="2571"/>
      <c r="L96" s="2571"/>
      <c r="M96" s="2571"/>
      <c r="N96" s="2571"/>
      <c r="O96" s="2571"/>
      <c r="P96" s="2571"/>
    </row>
    <row r="97"/>
    <row r="98"/>
    <row r="99"/>
    <row r="100"/>
    <row r="101"/>
    <row r="102"/>
  </sheetData>
  <sheetProtection password="CC47" sheet="1" objects="1" scenarios="1"/>
  <mergeCells count="1">
    <mergeCell ref="M1:N1"/>
  </mergeCells>
  <phoneticPr fontId="21"/>
  <conditionalFormatting sqref="H44">
    <cfRule type="cellIs" dxfId="47" priority="2" stopIfTrue="1" operator="notEqual">
      <formula>1</formula>
    </cfRule>
  </conditionalFormatting>
  <conditionalFormatting sqref="I15:I18">
    <cfRule type="cellIs" dxfId="46" priority="3" stopIfTrue="1" operator="greaterThanOrEqual">
      <formula>0.2</formula>
    </cfRule>
  </conditionalFormatting>
  <conditionalFormatting sqref="I14">
    <cfRule type="cellIs" dxfId="45" priority="1" operator="greaterThanOrEqual">
      <formula>0.8</formula>
    </cfRule>
  </conditionalFormatting>
  <dataValidations count="1">
    <dataValidation type="list" allowBlank="1" showInputMessage="1" showErrorMessage="1" sqref="L22">
      <formula1>$T$24:$T$30</formula1>
    </dataValidation>
  </dataValidations>
  <pageMargins left="0.70866141732283472" right="0.70866141732283472" top="0.74803149606299213" bottom="0.74803149606299213" header="0.31496062992125984" footer="0.31496062992125984"/>
  <pageSetup paperSize="9" scale="70" fitToHeight="0" orientation="portrait" verticalDpi="0" r:id="rId1"/>
  <headerFooter>
    <oddHeader>&amp;L&amp;F&amp;R&amp;A</oddHeader>
    <oddFooter>&amp;C&amp;P/&amp;N</oddFooter>
  </headerFooter>
  <legacyDrawing r:id="rId2"/>
</worksheet>
</file>

<file path=xl/worksheets/sheet12.xml><?xml version="1.0" encoding="utf-8"?>
<worksheet xmlns="http://schemas.openxmlformats.org/spreadsheetml/2006/main" xmlns:r="http://schemas.openxmlformats.org/officeDocument/2006/relationships">
  <sheetPr codeName="Sheet13">
    <pageSetUpPr autoPageBreaks="0"/>
  </sheetPr>
  <dimension ref="A1:W284"/>
  <sheetViews>
    <sheetView showGridLines="0" zoomScaleNormal="100" zoomScaleSheetLayoutView="100" workbookViewId="0">
      <selection activeCell="G50" sqref="G50"/>
    </sheetView>
  </sheetViews>
  <sheetFormatPr defaultColWidth="0" defaultRowHeight="13.5" zeroHeight="1"/>
  <cols>
    <col min="1" max="1" width="2.5" customWidth="1"/>
    <col min="2" max="2" width="25.125" hidden="1" customWidth="1"/>
    <col min="3" max="3" width="11" hidden="1" customWidth="1"/>
    <col min="4" max="4" width="4.875" style="2108" customWidth="1"/>
    <col min="5" max="5" width="1.75" style="2108" customWidth="1"/>
    <col min="6" max="15" width="11.125" style="2108" customWidth="1"/>
    <col min="16" max="16" width="2.125" customWidth="1"/>
    <col min="17" max="16384" width="9" hidden="1"/>
  </cols>
  <sheetData>
    <row r="1" spans="2:21" ht="15.75">
      <c r="D1" s="951"/>
      <c r="E1" s="1110"/>
      <c r="F1" s="952"/>
      <c r="G1" s="952"/>
      <c r="H1" s="952"/>
      <c r="I1" s="952"/>
      <c r="J1" s="952"/>
      <c r="K1" s="952"/>
      <c r="L1" s="1452" t="s">
        <v>2253</v>
      </c>
      <c r="M1" s="3487" t="str">
        <f>メイン!C11</f>
        <v>○○ビル</v>
      </c>
      <c r="N1" s="3487"/>
      <c r="O1" s="3487"/>
      <c r="R1" t="s">
        <v>1094</v>
      </c>
    </row>
    <row r="2" spans="2:21" ht="5.25" customHeight="1" thickBot="1">
      <c r="D2" s="951"/>
      <c r="E2" s="1110"/>
      <c r="F2" s="1110"/>
      <c r="G2" s="1110"/>
      <c r="H2" s="1110"/>
      <c r="I2" s="1110"/>
      <c r="J2" s="1110"/>
      <c r="K2" s="1110"/>
      <c r="L2" s="1453"/>
      <c r="M2" s="1110"/>
      <c r="N2" s="1110"/>
      <c r="O2" s="1110"/>
    </row>
    <row r="3" spans="2:21" ht="18.75" thickBot="1">
      <c r="D3" s="1454" t="s">
        <v>435</v>
      </c>
      <c r="E3" s="955"/>
      <c r="F3" s="955"/>
      <c r="G3" s="955"/>
      <c r="H3" s="952"/>
      <c r="I3" s="957"/>
      <c r="J3" s="958" t="s">
        <v>2813</v>
      </c>
      <c r="K3" s="959"/>
      <c r="L3" s="1340"/>
      <c r="M3" s="955"/>
      <c r="N3" s="955"/>
      <c r="O3" s="1191" t="str">
        <f>IF(メイン!E39=0,"",メイン!E39)</f>
        <v/>
      </c>
      <c r="R3" t="s">
        <v>2180</v>
      </c>
      <c r="T3" t="str">
        <f>メイン!I39</f>
        <v>基本設計段階</v>
      </c>
    </row>
    <row r="4" spans="2:21" ht="6" customHeight="1">
      <c r="D4" s="954"/>
      <c r="E4" s="955"/>
      <c r="F4" s="955"/>
      <c r="G4" s="955"/>
      <c r="H4" s="955"/>
      <c r="I4" s="955"/>
      <c r="J4" s="955"/>
      <c r="K4" s="955"/>
      <c r="L4" s="1455"/>
      <c r="M4" s="955"/>
      <c r="N4" s="955"/>
      <c r="O4" s="955"/>
      <c r="S4" t="s">
        <v>2181</v>
      </c>
      <c r="T4" t="str">
        <f>メイン!I40</f>
        <v>実施設計段階</v>
      </c>
    </row>
    <row r="5" spans="2:21" ht="13.5" customHeight="1">
      <c r="D5" s="1386">
        <v>1</v>
      </c>
      <c r="E5" s="961" t="s">
        <v>436</v>
      </c>
      <c r="F5" s="961"/>
      <c r="G5" s="961"/>
      <c r="H5" s="962"/>
      <c r="I5" s="962"/>
      <c r="J5" s="962"/>
      <c r="K5" s="962"/>
      <c r="L5" s="1456"/>
      <c r="M5" s="962"/>
      <c r="N5" s="962"/>
      <c r="O5" s="962"/>
      <c r="T5" t="str">
        <f>メイン!I41</f>
        <v>竣工段階</v>
      </c>
    </row>
    <row r="6" spans="2:21" ht="13.5" customHeight="1">
      <c r="D6" s="1386">
        <v>1.1000000000000001</v>
      </c>
      <c r="E6" s="961" t="s">
        <v>672</v>
      </c>
      <c r="F6" s="2111"/>
      <c r="G6" s="961"/>
      <c r="H6" s="962"/>
      <c r="I6" s="962"/>
      <c r="J6" s="962"/>
      <c r="K6" s="962"/>
      <c r="L6" s="1456"/>
      <c r="M6" s="962"/>
      <c r="N6" s="962"/>
      <c r="O6" s="962"/>
      <c r="R6" t="s">
        <v>937</v>
      </c>
    </row>
    <row r="7" spans="2:21" ht="13.5" customHeight="1" thickBot="1">
      <c r="D7" s="1457"/>
      <c r="E7" s="1457"/>
      <c r="F7" s="1114"/>
      <c r="G7" s="972"/>
      <c r="H7" s="973"/>
      <c r="I7" s="974" t="s">
        <v>1125</v>
      </c>
      <c r="J7" s="975" t="e">
        <f>重み!M142</f>
        <v>#DIV/0!</v>
      </c>
      <c r="K7" s="1115"/>
      <c r="L7" s="1117"/>
      <c r="N7" s="962"/>
      <c r="O7" s="962"/>
      <c r="R7" t="s">
        <v>938</v>
      </c>
    </row>
    <row r="8" spans="2:21" ht="28.5" customHeight="1" thickBot="1">
      <c r="D8" s="954"/>
      <c r="E8" s="1091"/>
      <c r="F8" s="978">
        <v>3</v>
      </c>
      <c r="G8" s="1095" t="s">
        <v>437</v>
      </c>
      <c r="H8" s="983"/>
      <c r="I8" s="983"/>
      <c r="J8" s="983"/>
      <c r="K8" s="983"/>
      <c r="L8" s="1282"/>
      <c r="M8" s="962"/>
      <c r="N8" s="962"/>
      <c r="O8" s="962"/>
    </row>
    <row r="9" spans="2:21" ht="15.75" customHeight="1">
      <c r="B9" s="1">
        <v>1</v>
      </c>
      <c r="C9" s="1">
        <v>1</v>
      </c>
      <c r="D9" s="954"/>
      <c r="E9" s="1091"/>
      <c r="F9" s="985" t="str">
        <f>IF(F8=$S$16,$T$10,IF(ROUNDDOWN(F8,0)=$S$10,$U$10,$T$10))</f>
        <v>　レベル　1</v>
      </c>
      <c r="G9" s="987" t="s">
        <v>663</v>
      </c>
      <c r="H9" s="988"/>
      <c r="I9" s="988"/>
      <c r="J9" s="988"/>
      <c r="K9" s="988"/>
      <c r="L9" s="1458"/>
      <c r="M9" s="962"/>
      <c r="N9" s="962"/>
      <c r="O9" s="962"/>
    </row>
    <row r="10" spans="2:21" ht="15.75" customHeight="1">
      <c r="B10" s="1" t="s">
        <v>175</v>
      </c>
      <c r="C10" s="1">
        <v>2</v>
      </c>
      <c r="D10" s="954"/>
      <c r="E10" s="1091"/>
      <c r="F10" s="990" t="str">
        <f>IF(F8=$S$16,$T$11,IF(ROUNDDOWN(F8,0)=$S$11,$U$11,$T$11))</f>
        <v>　レベル　2</v>
      </c>
      <c r="G10" s="994" t="s">
        <v>1795</v>
      </c>
      <c r="H10" s="995"/>
      <c r="I10" s="995"/>
      <c r="J10" s="995"/>
      <c r="K10" s="995"/>
      <c r="L10" s="1459"/>
      <c r="M10" s="962"/>
      <c r="N10" s="962"/>
      <c r="O10" s="962"/>
      <c r="S10">
        <v>1</v>
      </c>
      <c r="T10" t="s">
        <v>939</v>
      </c>
      <c r="U10" t="s">
        <v>940</v>
      </c>
    </row>
    <row r="11" spans="2:21" ht="15.75" customHeight="1">
      <c r="B11" s="1">
        <v>3</v>
      </c>
      <c r="C11" s="1">
        <v>3</v>
      </c>
      <c r="D11" s="954"/>
      <c r="E11" s="1091"/>
      <c r="F11" s="990" t="str">
        <f>IF(F8=$S$16,$T$12,IF(ROUNDDOWN(F8,0)=$S$12,$U$12,$T$12))</f>
        <v>■レベル　3</v>
      </c>
      <c r="G11" s="994" t="s">
        <v>438</v>
      </c>
      <c r="H11" s="995"/>
      <c r="I11" s="995"/>
      <c r="J11" s="995"/>
      <c r="K11" s="995"/>
      <c r="L11" s="1460"/>
      <c r="M11" s="962"/>
      <c r="N11" s="962"/>
      <c r="O11" s="962"/>
      <c r="S11">
        <v>2</v>
      </c>
      <c r="T11" t="s">
        <v>1095</v>
      </c>
      <c r="U11" t="s">
        <v>1096</v>
      </c>
    </row>
    <row r="12" spans="2:21" ht="15.75" customHeight="1">
      <c r="B12" s="1">
        <v>4</v>
      </c>
      <c r="C12" s="1">
        <v>4</v>
      </c>
      <c r="D12" s="954"/>
      <c r="E12" s="1091"/>
      <c r="F12" s="990" t="str">
        <f>IF(F8=$S$16,$T$13,IF(ROUNDDOWN(F8,0)=$S$13,$U$13,$T$13))</f>
        <v>　レベル　4</v>
      </c>
      <c r="G12" s="994" t="s">
        <v>3202</v>
      </c>
      <c r="H12" s="995"/>
      <c r="I12" s="995"/>
      <c r="J12" s="995"/>
      <c r="K12" s="995"/>
      <c r="L12" s="1460"/>
      <c r="M12" s="962"/>
      <c r="N12" s="962"/>
      <c r="O12" s="962"/>
      <c r="S12">
        <v>3</v>
      </c>
      <c r="T12" t="s">
        <v>1100</v>
      </c>
      <c r="U12" t="s">
        <v>1101</v>
      </c>
    </row>
    <row r="13" spans="2:21" ht="15.75" customHeight="1">
      <c r="B13" s="1" t="s">
        <v>175</v>
      </c>
      <c r="C13" s="1">
        <v>5</v>
      </c>
      <c r="D13" s="954"/>
      <c r="E13" s="1091"/>
      <c r="F13" s="1001" t="str">
        <f>IF(F8=$S$16,$T$14,IF(ROUNDDOWN(F8,0)=$S$14,$U$14,$T$14))</f>
        <v>　レベル　5</v>
      </c>
      <c r="G13" s="1005" t="s">
        <v>1795</v>
      </c>
      <c r="H13" s="1006"/>
      <c r="I13" s="1006"/>
      <c r="J13" s="1006"/>
      <c r="K13" s="1006"/>
      <c r="L13" s="1461"/>
      <c r="M13" s="962"/>
      <c r="N13" s="962"/>
      <c r="O13" s="962"/>
      <c r="S13">
        <v>4</v>
      </c>
      <c r="T13" t="s">
        <v>1001</v>
      </c>
      <c r="U13" t="s">
        <v>1002</v>
      </c>
    </row>
    <row r="14" spans="2:21" ht="14.25" customHeight="1">
      <c r="B14" s="1008">
        <v>0</v>
      </c>
      <c r="C14" s="1008">
        <v>0</v>
      </c>
      <c r="D14" s="954"/>
      <c r="E14" s="1091"/>
      <c r="F14" s="1091"/>
      <c r="G14" s="1462"/>
      <c r="H14" s="1463"/>
      <c r="I14" s="1463"/>
      <c r="J14" s="1463"/>
      <c r="K14" s="1463"/>
      <c r="L14" s="1456"/>
      <c r="M14" s="962"/>
      <c r="N14" s="962"/>
      <c r="O14" s="962"/>
      <c r="S14">
        <v>5</v>
      </c>
      <c r="T14" t="s">
        <v>1008</v>
      </c>
      <c r="U14" t="s">
        <v>1009</v>
      </c>
    </row>
    <row r="15" spans="2:21" ht="14.25" customHeight="1">
      <c r="D15" s="1386">
        <v>1.2</v>
      </c>
      <c r="E15" s="961" t="s">
        <v>439</v>
      </c>
      <c r="F15" s="961"/>
      <c r="G15" s="962"/>
      <c r="H15" s="1193"/>
      <c r="I15" s="962"/>
      <c r="J15" s="962"/>
      <c r="K15" s="962"/>
      <c r="L15" s="1464"/>
      <c r="M15" s="962"/>
      <c r="N15" s="962"/>
      <c r="O15" s="962"/>
    </row>
    <row r="16" spans="2:21" ht="14.25" customHeight="1">
      <c r="D16" s="1386"/>
      <c r="E16" s="961"/>
      <c r="F16" s="1113" t="s">
        <v>2720</v>
      </c>
      <c r="G16" s="962"/>
      <c r="H16" s="1193"/>
      <c r="I16" s="962"/>
      <c r="J16" s="962"/>
      <c r="K16" s="1113" t="s">
        <v>2719</v>
      </c>
      <c r="L16" s="1464"/>
      <c r="M16" s="962"/>
      <c r="N16" s="962"/>
      <c r="O16" s="962"/>
      <c r="S16">
        <v>0</v>
      </c>
      <c r="T16" t="s">
        <v>941</v>
      </c>
      <c r="U16" t="s">
        <v>941</v>
      </c>
    </row>
    <row r="17" spans="2:15" ht="14.25" customHeight="1" thickBot="1">
      <c r="B17" t="s">
        <v>942</v>
      </c>
      <c r="C17" t="s">
        <v>943</v>
      </c>
      <c r="D17" s="954"/>
      <c r="E17" s="1091"/>
      <c r="F17" s="971"/>
      <c r="G17" s="972"/>
      <c r="H17" s="973"/>
      <c r="I17" s="974" t="s">
        <v>1125</v>
      </c>
      <c r="J17" s="977" t="e">
        <f>重み!M144</f>
        <v>#DIV/0!</v>
      </c>
      <c r="K17" s="971"/>
      <c r="L17" s="972"/>
      <c r="M17" s="973"/>
      <c r="N17" s="974" t="s">
        <v>1125</v>
      </c>
      <c r="O17" s="977" t="e">
        <f>重み!M145</f>
        <v>#DIV/0!</v>
      </c>
    </row>
    <row r="18" spans="2:15" ht="28.5" customHeight="1" thickBot="1">
      <c r="B18" s="1259" t="s">
        <v>440</v>
      </c>
      <c r="C18" s="1259"/>
      <c r="D18" s="954"/>
      <c r="E18" s="1091"/>
      <c r="F18" s="978">
        <v>3</v>
      </c>
      <c r="G18" s="982" t="s">
        <v>384</v>
      </c>
      <c r="H18" s="983"/>
      <c r="I18" s="983"/>
      <c r="J18" s="1465"/>
      <c r="K18" s="978">
        <v>3</v>
      </c>
      <c r="L18" s="1095" t="s">
        <v>2103</v>
      </c>
      <c r="M18" s="983"/>
      <c r="N18" s="983"/>
      <c r="O18" s="984"/>
    </row>
    <row r="19" spans="2:15" ht="18" customHeight="1">
      <c r="B19" s="1" t="s">
        <v>175</v>
      </c>
      <c r="C19" s="1" t="s">
        <v>175</v>
      </c>
      <c r="D19" s="954"/>
      <c r="E19" s="1091"/>
      <c r="F19" s="985" t="str">
        <f>IF(F18=$S$16,$T$10,IF(ROUNDDOWN(F18,0)=$S$10,$U$10,$T$10))</f>
        <v>　レベル　1</v>
      </c>
      <c r="G19" s="2644" t="s">
        <v>1795</v>
      </c>
      <c r="H19" s="2644"/>
      <c r="I19" s="2644"/>
      <c r="J19" s="989"/>
      <c r="K19" s="985" t="str">
        <f>IF(K18=$S$16,$T$10,IF(ROUNDDOWN(K18,0)=$S$10,$U$10,$T$10))</f>
        <v>　レベル　1</v>
      </c>
      <c r="L19" s="2425" t="s">
        <v>1795</v>
      </c>
      <c r="M19" s="988"/>
      <c r="N19" s="988"/>
      <c r="O19" s="989"/>
    </row>
    <row r="20" spans="2:15" ht="18" customHeight="1">
      <c r="B20" s="1" t="s">
        <v>175</v>
      </c>
      <c r="C20" s="1" t="s">
        <v>175</v>
      </c>
      <c r="D20" s="954"/>
      <c r="E20" s="1091"/>
      <c r="F20" s="990" t="str">
        <f>IF(F18=$S$16,$T$11,IF(ROUNDDOWN(F18,0)=$S$11,$U$11,$T$11))</f>
        <v>　レベル　2</v>
      </c>
      <c r="G20" s="2649" t="s">
        <v>1795</v>
      </c>
      <c r="H20" s="2647"/>
      <c r="I20" s="2647"/>
      <c r="J20" s="996"/>
      <c r="K20" s="990" t="str">
        <f>IF(K18=$S$16,$T$11,IF(ROUNDDOWN(K18,0)=$S$11,$U$11,$T$11))</f>
        <v>　レベル　2</v>
      </c>
      <c r="L20" s="2426" t="s">
        <v>1795</v>
      </c>
      <c r="M20" s="995"/>
      <c r="N20" s="995"/>
      <c r="O20" s="996"/>
    </row>
    <row r="21" spans="2:15" ht="35.25" customHeight="1">
      <c r="B21" s="1">
        <v>3</v>
      </c>
      <c r="C21" s="1">
        <v>3</v>
      </c>
      <c r="D21" s="954"/>
      <c r="E21" s="1091"/>
      <c r="F21" s="990" t="str">
        <f>IF(F18=$S$16,$T$12,IF(ROUNDDOWN(F18,0)=$S$12,$U$12,$T$12))</f>
        <v>■レベル　3</v>
      </c>
      <c r="G21" s="3420" t="s">
        <v>3203</v>
      </c>
      <c r="H21" s="3422"/>
      <c r="I21" s="3422"/>
      <c r="J21" s="3404"/>
      <c r="K21" s="990" t="str">
        <f>IF(K18=$S$16,$T$12,IF(ROUNDDOWN(K18,0)=$S$12,$U$12,$T$12))</f>
        <v>■レベル　3</v>
      </c>
      <c r="L21" s="3420" t="s">
        <v>3204</v>
      </c>
      <c r="M21" s="3422"/>
      <c r="N21" s="3422"/>
      <c r="O21" s="3404"/>
    </row>
    <row r="22" spans="2:15" ht="18" customHeight="1">
      <c r="B22" s="1">
        <v>4</v>
      </c>
      <c r="C22" s="1">
        <v>4</v>
      </c>
      <c r="D22" s="954"/>
      <c r="E22" s="1091"/>
      <c r="F22" s="990" t="str">
        <f>IF(F18=$S$16,$T$13,IF(ROUNDDOWN(F18,0)=$S$13,$U$13,$T$13))</f>
        <v>　レベル　4</v>
      </c>
      <c r="G22" s="3420" t="s">
        <v>3205</v>
      </c>
      <c r="H22" s="3422"/>
      <c r="I22" s="3422"/>
      <c r="J22" s="3404"/>
      <c r="K22" s="990" t="str">
        <f>IF(K18=$S$16,$T$13,IF(ROUNDDOWN(K18,0)=$S$13,$U$13,$T$13))</f>
        <v>　レベル　4</v>
      </c>
      <c r="L22" s="994" t="s">
        <v>2717</v>
      </c>
      <c r="M22" s="995"/>
      <c r="N22" s="995"/>
      <c r="O22" s="996"/>
    </row>
    <row r="23" spans="2:15" ht="18" customHeight="1">
      <c r="B23" s="1">
        <v>5</v>
      </c>
      <c r="C23" s="1">
        <v>5</v>
      </c>
      <c r="D23" s="954"/>
      <c r="E23" s="1091"/>
      <c r="F23" s="1001" t="str">
        <f>IF(F18=$S$16,$T$14,IF(ROUNDDOWN(F18,0)=$S$14,$U$14,$T$14))</f>
        <v>　レベル　5</v>
      </c>
      <c r="G23" s="2688" t="s">
        <v>2716</v>
      </c>
      <c r="H23" s="2689"/>
      <c r="I23" s="2689"/>
      <c r="J23" s="1007"/>
      <c r="K23" s="1001" t="str">
        <f>IF(K18=$S$16,$T$14,IF(ROUNDDOWN(K18,0)=$S$14,$U$14,$T$14))</f>
        <v>　レベル　5</v>
      </c>
      <c r="L23" s="1005" t="s">
        <v>2718</v>
      </c>
      <c r="M23" s="1006"/>
      <c r="N23" s="1006"/>
      <c r="O23" s="1007"/>
    </row>
    <row r="24" spans="2:15" ht="14.25" customHeight="1">
      <c r="B24" s="1008">
        <v>0</v>
      </c>
      <c r="C24" s="1008">
        <v>0</v>
      </c>
      <c r="D24" s="954"/>
      <c r="E24" s="1091"/>
      <c r="F24" s="1091"/>
      <c r="G24" s="1462" t="s">
        <v>1775</v>
      </c>
      <c r="H24" s="1466" t="s">
        <v>1776</v>
      </c>
      <c r="I24" s="1466"/>
      <c r="J24" s="1091"/>
      <c r="K24" s="1091"/>
      <c r="L24" s="1467"/>
      <c r="M24" s="1091"/>
      <c r="N24" s="1091"/>
      <c r="O24" s="1091"/>
    </row>
    <row r="25" spans="2:15" ht="27.75" customHeight="1">
      <c r="D25" s="954"/>
      <c r="E25" s="1091"/>
      <c r="F25" s="952"/>
      <c r="G25" s="1468"/>
      <c r="H25" s="1469" t="s">
        <v>1777</v>
      </c>
      <c r="I25" s="1468"/>
      <c r="J25" s="1463"/>
      <c r="K25" s="952"/>
      <c r="L25" s="1469"/>
      <c r="M25" s="1463"/>
      <c r="N25" s="1463"/>
      <c r="O25" s="1463"/>
    </row>
    <row r="26" spans="2:15" ht="14.25" customHeight="1">
      <c r="D26" s="1386">
        <v>2</v>
      </c>
      <c r="E26" s="961" t="s">
        <v>1061</v>
      </c>
      <c r="F26" s="962"/>
      <c r="G26" s="962"/>
      <c r="H26" s="962"/>
      <c r="I26" s="962"/>
      <c r="J26" s="962"/>
      <c r="K26" s="962"/>
      <c r="L26" s="1456"/>
      <c r="M26" s="962"/>
      <c r="N26" s="962"/>
      <c r="O26" s="962"/>
    </row>
    <row r="27" spans="2:15" ht="14.25" customHeight="1">
      <c r="D27" s="1470">
        <v>2.1</v>
      </c>
      <c r="E27" s="1192" t="s">
        <v>1062</v>
      </c>
      <c r="F27" s="962"/>
      <c r="G27" s="962"/>
      <c r="H27" s="962"/>
      <c r="I27" s="962"/>
      <c r="J27" s="962"/>
      <c r="K27" s="962"/>
      <c r="L27" s="1456"/>
      <c r="M27" s="962"/>
      <c r="N27" s="962"/>
      <c r="O27" s="962"/>
    </row>
    <row r="28" spans="2:15" ht="14.25" customHeight="1" thickBot="1">
      <c r="C28" t="s">
        <v>1090</v>
      </c>
      <c r="D28" s="1457"/>
      <c r="E28" s="1457"/>
      <c r="F28" s="1114"/>
      <c r="G28" s="972"/>
      <c r="H28" s="973"/>
      <c r="I28" s="973"/>
      <c r="J28" s="973"/>
      <c r="K28" s="973"/>
      <c r="L28" s="1115"/>
      <c r="M28" s="1115"/>
      <c r="N28" s="974" t="s">
        <v>1125</v>
      </c>
      <c r="O28" s="977" t="e">
        <f>重み!M147</f>
        <v>#DIV/0!</v>
      </c>
    </row>
    <row r="29" spans="2:15" ht="24" customHeight="1" thickBot="1">
      <c r="C29" s="1259">
        <v>0</v>
      </c>
      <c r="D29" s="954"/>
      <c r="E29" s="964"/>
      <c r="F29" s="2150">
        <f>IF(C29=1,M29,IF(G37=$R$3,0,ROUND(IF(H47=0,2,IF(H47&gt;=5,5,IF(H47&gt;=3,4,IF(H47&gt;=1,3)))),0)))</f>
        <v>3</v>
      </c>
      <c r="G29" s="1095" t="s">
        <v>664</v>
      </c>
      <c r="H29" s="984"/>
      <c r="I29" s="1095"/>
      <c r="J29" s="1100"/>
      <c r="K29" s="1095" t="s">
        <v>1087</v>
      </c>
      <c r="L29" s="984"/>
      <c r="M29" s="2144">
        <v>0</v>
      </c>
      <c r="N29" s="1185" t="s">
        <v>1778</v>
      </c>
      <c r="O29" s="1471"/>
    </row>
    <row r="30" spans="2:15" ht="18.75" customHeight="1">
      <c r="B30" s="1443"/>
      <c r="C30" s="1" t="s">
        <v>2387</v>
      </c>
      <c r="D30" s="954"/>
      <c r="E30" s="964"/>
      <c r="F30" s="985" t="str">
        <f>IF(F29=$S$16,$T$10,IF(ROUNDDOWN(F29,0)=$S$10,$U$10,$T$10))</f>
        <v>　レベル　1</v>
      </c>
      <c r="G30" s="3401" t="s">
        <v>1795</v>
      </c>
      <c r="H30" s="3767"/>
      <c r="I30" s="3767"/>
      <c r="J30" s="3768"/>
      <c r="K30" s="3439" t="s">
        <v>567</v>
      </c>
      <c r="L30" s="3698"/>
      <c r="M30" s="1182" t="str">
        <f>IF(M29=$S$16,$T$10,IF(ROUNDDOWN(M29,0)=$S$10,$U$10,$T$10))</f>
        <v>　レベル　1</v>
      </c>
      <c r="N30" s="1472" t="s">
        <v>665</v>
      </c>
      <c r="O30" s="1473"/>
    </row>
    <row r="31" spans="2:15" ht="39.75" customHeight="1">
      <c r="B31" s="1443"/>
      <c r="C31" s="1" t="s">
        <v>944</v>
      </c>
      <c r="D31" s="954"/>
      <c r="E31" s="964"/>
      <c r="F31" s="990" t="str">
        <f>IF(F29=$S$16,$T$11,IF(ROUNDDOWN(F29,0)=$S$11,$U$11,$T$11))</f>
        <v>　レベル　2</v>
      </c>
      <c r="G31" s="3420" t="s">
        <v>3317</v>
      </c>
      <c r="H31" s="3769"/>
      <c r="I31" s="3769"/>
      <c r="J31" s="3748"/>
      <c r="K31" s="3699"/>
      <c r="L31" s="3700"/>
      <c r="M31" s="1183" t="str">
        <f>IF(M29=$S$16,$T$11,IF(ROUNDDOWN(M29,0)=$S$11,$U$11,$T$11))</f>
        <v>　レベル　2</v>
      </c>
      <c r="N31" s="1474" t="s">
        <v>665</v>
      </c>
      <c r="O31" s="1475"/>
    </row>
    <row r="32" spans="2:15" ht="39.75" customHeight="1">
      <c r="B32" s="1443"/>
      <c r="C32" s="1">
        <v>3</v>
      </c>
      <c r="D32" s="954"/>
      <c r="E32" s="964"/>
      <c r="F32" s="990" t="str">
        <f>IF(F29=$S$16,$T$12,IF(ROUNDDOWN(F29,0)=$S$12,$U$12,$T$12))</f>
        <v>■レベル　3</v>
      </c>
      <c r="G32" s="3420" t="s">
        <v>3318</v>
      </c>
      <c r="H32" s="3769"/>
      <c r="I32" s="3769"/>
      <c r="J32" s="3748"/>
      <c r="K32" s="3699"/>
      <c r="L32" s="3700"/>
      <c r="M32" s="1183" t="str">
        <f>IF(M29=$S$16,$T$12,IF(ROUNDDOWN(M29,0)=$S$12,$U$12,$T$12))</f>
        <v>　レベル　3</v>
      </c>
      <c r="N32" s="3405" t="s">
        <v>3374</v>
      </c>
      <c r="O32" s="3759"/>
    </row>
    <row r="33" spans="1:23" ht="44.25" customHeight="1">
      <c r="B33" s="1443"/>
      <c r="C33" s="1" t="s">
        <v>945</v>
      </c>
      <c r="D33" s="954"/>
      <c r="E33" s="964"/>
      <c r="F33" s="990" t="str">
        <f>IF(F29=$S$16,$T$13,IF(ROUNDDOWN(F29,0)=$S$13,$U$13,$T$13))</f>
        <v>　レベル　4</v>
      </c>
      <c r="G33" s="3420" t="s">
        <v>3319</v>
      </c>
      <c r="H33" s="3769"/>
      <c r="I33" s="3769"/>
      <c r="J33" s="3748"/>
      <c r="K33" s="3699"/>
      <c r="L33" s="3700"/>
      <c r="M33" s="1183" t="str">
        <f>IF(M29=$S$16,$T$13,IF(ROUNDDOWN(M29,0)=$S$13,$U$13,$T$13))</f>
        <v>　レベル　4</v>
      </c>
      <c r="N33" s="1474" t="s">
        <v>666</v>
      </c>
      <c r="O33" s="1475"/>
    </row>
    <row r="34" spans="1:23" ht="43.5" customHeight="1">
      <c r="B34" s="1443"/>
      <c r="C34" s="1">
        <v>5</v>
      </c>
      <c r="D34" s="954"/>
      <c r="E34" s="964"/>
      <c r="F34" s="1001" t="str">
        <f>IF(F29=$S$16,$T$14,IF(ROUNDDOWN(F29,0)=$S$14,$U$14,$T$14))</f>
        <v>　レベル　5</v>
      </c>
      <c r="G34" s="3552" t="s">
        <v>3320</v>
      </c>
      <c r="H34" s="3789"/>
      <c r="I34" s="3789"/>
      <c r="J34" s="3790"/>
      <c r="K34" s="3701"/>
      <c r="L34" s="3702"/>
      <c r="M34" s="1184" t="str">
        <f>IF(M29=$S$16,$T$14,IF(ROUNDDOWN(M29,0)=$S$14,$U$14,$T$14))</f>
        <v>　レベル　5</v>
      </c>
      <c r="N34" s="3435" t="s">
        <v>3206</v>
      </c>
      <c r="O34" s="3760"/>
    </row>
    <row r="35" spans="1:23">
      <c r="B35" s="2149"/>
      <c r="C35" s="1008">
        <v>0</v>
      </c>
      <c r="D35" s="1476"/>
      <c r="E35" s="550"/>
      <c r="F35" s="960"/>
      <c r="G35" s="1350" t="s">
        <v>3282</v>
      </c>
      <c r="H35" s="550"/>
      <c r="I35" s="550"/>
      <c r="J35" s="550"/>
      <c r="K35" s="550"/>
      <c r="L35" s="1455"/>
      <c r="M35" s="550"/>
      <c r="N35" s="550"/>
      <c r="O35" s="550"/>
    </row>
    <row r="36" spans="1:23" ht="16.5" thickBot="1">
      <c r="D36" s="954"/>
      <c r="E36" s="550"/>
      <c r="F36" s="1337"/>
      <c r="G36" s="1352" t="s">
        <v>177</v>
      </c>
      <c r="H36" s="3595" t="s">
        <v>1419</v>
      </c>
      <c r="I36" s="3596"/>
      <c r="J36" s="3597"/>
      <c r="K36" s="1477" t="s">
        <v>1415</v>
      </c>
      <c r="L36" s="1478"/>
      <c r="M36" s="1479"/>
      <c r="N36" s="1479"/>
      <c r="O36" s="1244" t="s">
        <v>1420</v>
      </c>
    </row>
    <row r="37" spans="1:23" ht="31.5" customHeight="1" thickBot="1">
      <c r="D37" s="954"/>
      <c r="E37" s="550"/>
      <c r="F37" s="1337"/>
      <c r="G37" s="978"/>
      <c r="H37" s="1230" t="s">
        <v>1913</v>
      </c>
      <c r="I37" s="1231"/>
      <c r="J37" s="1231"/>
      <c r="K37" s="1231"/>
      <c r="L37" s="1231"/>
      <c r="M37" s="1231"/>
      <c r="N37" s="1231"/>
      <c r="O37" s="1232"/>
    </row>
    <row r="38" spans="1:23" ht="15.75">
      <c r="B38">
        <v>0</v>
      </c>
      <c r="C38">
        <v>0</v>
      </c>
      <c r="D38" s="954"/>
      <c r="E38" s="550"/>
      <c r="F38" s="1337"/>
      <c r="G38" s="3784">
        <v>1</v>
      </c>
      <c r="H38" s="3533" t="s">
        <v>946</v>
      </c>
      <c r="I38" s="3770"/>
      <c r="J38" s="3771"/>
      <c r="K38" s="1219" t="s">
        <v>441</v>
      </c>
      <c r="L38" s="1480"/>
      <c r="M38" s="1299"/>
      <c r="N38" s="1299"/>
      <c r="O38" s="2112">
        <v>1</v>
      </c>
    </row>
    <row r="39" spans="1:23" ht="15.75">
      <c r="B39">
        <v>1</v>
      </c>
      <c r="C39">
        <v>1</v>
      </c>
      <c r="D39" s="954"/>
      <c r="E39" s="550"/>
      <c r="F39" s="1337"/>
      <c r="G39" s="3785"/>
      <c r="H39" s="3649"/>
      <c r="I39" s="3628"/>
      <c r="J39" s="3629"/>
      <c r="K39" s="1222" t="s">
        <v>667</v>
      </c>
      <c r="L39" s="2113"/>
      <c r="M39" s="2114"/>
      <c r="N39" s="2114"/>
      <c r="O39" s="2115">
        <v>3</v>
      </c>
    </row>
    <row r="40" spans="1:23" ht="15.75">
      <c r="B40">
        <v>3</v>
      </c>
      <c r="C40">
        <v>2</v>
      </c>
      <c r="D40" s="954"/>
      <c r="E40" s="550"/>
      <c r="F40" s="1337"/>
      <c r="G40" s="3786"/>
      <c r="H40" s="3772"/>
      <c r="I40" s="3616"/>
      <c r="J40" s="3617"/>
      <c r="K40" s="1221" t="s">
        <v>668</v>
      </c>
      <c r="L40" s="1481"/>
      <c r="M40" s="1355"/>
      <c r="N40" s="1355"/>
      <c r="O40" s="2115">
        <v>4</v>
      </c>
    </row>
    <row r="41" spans="1:23" ht="15.75">
      <c r="B41">
        <v>4</v>
      </c>
      <c r="C41">
        <v>3</v>
      </c>
      <c r="D41" s="954"/>
      <c r="E41" s="550"/>
      <c r="F41" s="1337"/>
      <c r="G41" s="3773">
        <v>0</v>
      </c>
      <c r="H41" s="1482"/>
      <c r="I41" s="1359"/>
      <c r="J41" s="1360"/>
      <c r="K41" s="1221" t="s">
        <v>442</v>
      </c>
      <c r="L41" s="1481"/>
      <c r="M41" s="1355"/>
      <c r="N41" s="1355"/>
      <c r="O41" s="2115">
        <v>1</v>
      </c>
    </row>
    <row r="42" spans="1:23" ht="15.75">
      <c r="C42">
        <v>4</v>
      </c>
      <c r="D42" s="954"/>
      <c r="E42" s="550"/>
      <c r="F42" s="1337"/>
      <c r="G42" s="3774"/>
      <c r="H42" s="1483" t="s">
        <v>443</v>
      </c>
      <c r="I42" s="1361"/>
      <c r="J42" s="1362"/>
      <c r="K42" s="1222" t="s">
        <v>669</v>
      </c>
      <c r="L42" s="2113"/>
      <c r="M42" s="2114"/>
      <c r="N42" s="2114"/>
      <c r="O42" s="2115">
        <v>3</v>
      </c>
    </row>
    <row r="43" spans="1:23" ht="15.75">
      <c r="C43">
        <v>5</v>
      </c>
      <c r="D43" s="954"/>
      <c r="E43" s="550"/>
      <c r="F43" s="1337"/>
      <c r="G43" s="3775"/>
      <c r="H43" s="1484"/>
      <c r="I43" s="1361"/>
      <c r="J43" s="1362"/>
      <c r="K43" s="1367" t="s">
        <v>670</v>
      </c>
      <c r="L43" s="1485"/>
      <c r="M43" s="1359"/>
      <c r="N43" s="1359"/>
      <c r="O43" s="2116">
        <v>4</v>
      </c>
    </row>
    <row r="44" spans="1:23" ht="30.75" customHeight="1">
      <c r="C44">
        <v>6</v>
      </c>
      <c r="D44" s="954"/>
      <c r="E44" s="550"/>
      <c r="F44" s="1337"/>
      <c r="G44" s="3776">
        <v>0</v>
      </c>
      <c r="H44" s="3647" t="s">
        <v>671</v>
      </c>
      <c r="I44" s="3603"/>
      <c r="J44" s="3604"/>
      <c r="K44" s="3528" t="s">
        <v>3207</v>
      </c>
      <c r="L44" s="3630"/>
      <c r="M44" s="3630"/>
      <c r="N44" s="3631"/>
      <c r="O44" s="2117">
        <v>1</v>
      </c>
    </row>
    <row r="45" spans="1:23" ht="23.25" thickBot="1">
      <c r="C45">
        <v>7</v>
      </c>
      <c r="D45" s="954"/>
      <c r="E45" s="1337"/>
      <c r="F45" s="1338"/>
      <c r="G45" s="3777"/>
      <c r="H45" s="3523"/>
      <c r="I45" s="3778"/>
      <c r="J45" s="3779"/>
      <c r="K45" s="1225" t="s">
        <v>444</v>
      </c>
      <c r="L45" s="2118"/>
      <c r="M45" s="2119"/>
      <c r="N45" s="2119"/>
      <c r="O45" s="2151" t="s">
        <v>3321</v>
      </c>
    </row>
    <row r="46" spans="1:23" s="2822" customFormat="1" ht="15.95" customHeight="1" thickBot="1">
      <c r="A46" s="2820"/>
      <c r="B46" s="2820">
        <v>0</v>
      </c>
      <c r="C46" s="2820">
        <v>8</v>
      </c>
      <c r="D46" s="954"/>
      <c r="E46" s="1337"/>
      <c r="F46" s="1338"/>
      <c r="G46" s="1380">
        <v>0</v>
      </c>
      <c r="H46" s="3520" t="s">
        <v>3488</v>
      </c>
      <c r="I46" s="3787"/>
      <c r="J46" s="3787"/>
      <c r="K46" s="3787"/>
      <c r="L46" s="3787"/>
      <c r="M46" s="3787"/>
      <c r="N46" s="3788"/>
      <c r="O46" s="2894">
        <v>5</v>
      </c>
      <c r="Q46" s="2895"/>
      <c r="R46" s="2895"/>
      <c r="S46" s="2895"/>
      <c r="T46" s="2895"/>
      <c r="U46" s="2895"/>
      <c r="V46" s="2895"/>
      <c r="W46" s="2895"/>
    </row>
    <row r="47" spans="1:23" ht="15.75">
      <c r="B47">
        <v>5</v>
      </c>
      <c r="C47">
        <v>9</v>
      </c>
      <c r="D47" s="954"/>
      <c r="E47" s="1337"/>
      <c r="F47" s="1338"/>
      <c r="G47" s="1239" t="s">
        <v>1436</v>
      </c>
      <c r="H47" s="3519">
        <f>IF(G37=$R3,G46,SUM(G38:G45))</f>
        <v>1</v>
      </c>
      <c r="I47" s="3519"/>
      <c r="J47" s="3519"/>
      <c r="K47" s="1241"/>
      <c r="L47" s="1486"/>
      <c r="M47" s="1241"/>
      <c r="N47" s="1242"/>
      <c r="O47" s="1251"/>
    </row>
    <row r="48" spans="1:23" s="2814" customFormat="1" ht="15.95" customHeight="1">
      <c r="A48" s="2807"/>
      <c r="B48" s="2807"/>
      <c r="C48" s="2807"/>
      <c r="D48" s="2886"/>
      <c r="E48" s="2811"/>
      <c r="F48" s="2810"/>
      <c r="G48" s="2886" t="s">
        <v>3489</v>
      </c>
      <c r="H48" s="2810"/>
      <c r="I48" s="2810"/>
      <c r="J48" s="2810"/>
      <c r="K48" s="2810"/>
      <c r="L48" s="2810"/>
      <c r="M48" s="2810"/>
      <c r="N48" s="2810"/>
      <c r="O48" s="2810"/>
      <c r="Q48" s="2849"/>
      <c r="R48" s="2849"/>
      <c r="S48" s="2849"/>
      <c r="T48" s="2849"/>
      <c r="U48" s="2849"/>
      <c r="V48" s="2849"/>
      <c r="W48" s="2849"/>
    </row>
    <row r="49" spans="1:23" s="2814" customFormat="1" ht="15.95" customHeight="1" thickBot="1">
      <c r="A49" s="2807"/>
      <c r="B49" s="2807"/>
      <c r="C49" s="2807"/>
      <c r="D49" s="2886"/>
      <c r="E49" s="2811"/>
      <c r="F49" s="2810"/>
      <c r="G49" s="2896" t="s">
        <v>3490</v>
      </c>
      <c r="H49" s="2897"/>
      <c r="I49" s="2897"/>
      <c r="J49" s="2897"/>
      <c r="K49" s="2897"/>
      <c r="L49" s="2897"/>
      <c r="M49" s="2897"/>
      <c r="N49" s="2897"/>
      <c r="O49" s="2898"/>
      <c r="Q49" s="2849"/>
      <c r="R49" s="2849"/>
      <c r="S49" s="2849"/>
      <c r="T49" s="2849"/>
      <c r="U49" s="2849"/>
      <c r="V49" s="2849"/>
      <c r="W49" s="2849"/>
    </row>
    <row r="50" spans="1:23" s="2814" customFormat="1" ht="15.95" customHeight="1" thickBot="1">
      <c r="A50" s="2807"/>
      <c r="B50" s="2807"/>
      <c r="C50" s="2807"/>
      <c r="D50" s="2886"/>
      <c r="E50" s="2811"/>
      <c r="F50" s="2810"/>
      <c r="G50" s="2890"/>
      <c r="H50" s="3459" t="s">
        <v>3762</v>
      </c>
      <c r="I50" s="3459"/>
      <c r="J50" s="3459"/>
      <c r="K50" s="3459"/>
      <c r="L50" s="3459"/>
      <c r="M50" s="3459"/>
      <c r="N50" s="3459"/>
      <c r="O50" s="3460"/>
      <c r="Q50" s="2849"/>
      <c r="R50" s="2849"/>
      <c r="S50" s="2849"/>
      <c r="T50" s="2849"/>
      <c r="U50" s="2849"/>
      <c r="V50" s="2849"/>
      <c r="W50" s="2849"/>
    </row>
    <row r="51" spans="1:23" ht="6.75" customHeight="1">
      <c r="D51" s="1386"/>
      <c r="E51" s="961"/>
      <c r="F51" s="962"/>
      <c r="G51" s="962"/>
      <c r="H51" s="962"/>
      <c r="I51" s="962"/>
      <c r="J51" s="962"/>
      <c r="K51" s="962"/>
      <c r="L51" s="1456"/>
      <c r="M51" s="962"/>
      <c r="N51" s="962"/>
      <c r="O51" s="962"/>
    </row>
    <row r="52" spans="1:23" ht="15.75">
      <c r="D52" s="1386"/>
      <c r="E52" s="961"/>
      <c r="F52" s="962"/>
      <c r="G52" s="962"/>
      <c r="H52" s="962"/>
      <c r="I52" s="962"/>
      <c r="J52" s="962"/>
      <c r="K52" s="962"/>
      <c r="L52" s="1456"/>
      <c r="M52" s="962"/>
      <c r="N52" s="962"/>
      <c r="O52" s="962"/>
    </row>
    <row r="53" spans="1:23" ht="14.25" customHeight="1">
      <c r="D53" s="1386">
        <v>2.2000000000000002</v>
      </c>
      <c r="E53" s="961" t="s">
        <v>445</v>
      </c>
      <c r="F53" s="961"/>
      <c r="G53" s="1487"/>
      <c r="H53" s="1488"/>
      <c r="I53" s="1488"/>
      <c r="J53" s="1489"/>
      <c r="K53" s="1489"/>
      <c r="L53" s="1490"/>
      <c r="M53" s="958"/>
      <c r="N53" s="958"/>
      <c r="O53" s="958"/>
    </row>
    <row r="54" spans="1:23" ht="14.25" customHeight="1" thickBot="1">
      <c r="D54" s="1457"/>
      <c r="E54" s="1457"/>
      <c r="F54" s="1114"/>
      <c r="G54" s="972"/>
      <c r="H54" s="973"/>
      <c r="I54" s="974" t="s">
        <v>1125</v>
      </c>
      <c r="J54" s="975" t="e">
        <f>重み!M148</f>
        <v>#DIV/0!</v>
      </c>
      <c r="K54" s="1115"/>
      <c r="L54" s="1115"/>
      <c r="M54" s="1115"/>
      <c r="N54" s="1115"/>
      <c r="O54" s="984"/>
    </row>
    <row r="55" spans="1:23" ht="21.75" customHeight="1" thickBot="1">
      <c r="D55" s="954"/>
      <c r="E55" s="1110"/>
      <c r="F55" s="978">
        <v>3</v>
      </c>
      <c r="G55" s="982" t="s">
        <v>384</v>
      </c>
      <c r="H55" s="983"/>
      <c r="I55" s="983"/>
      <c r="J55" s="983"/>
      <c r="K55" s="983"/>
      <c r="L55" s="1316"/>
      <c r="M55" s="983"/>
      <c r="N55" s="983"/>
      <c r="O55" s="984"/>
    </row>
    <row r="56" spans="1:23" ht="15.75">
      <c r="B56" s="1" t="s">
        <v>175</v>
      </c>
      <c r="C56" s="1">
        <v>1</v>
      </c>
      <c r="D56" s="954"/>
      <c r="E56" s="1110"/>
      <c r="F56" s="985" t="str">
        <f>IF(F55=$S$16,$T$10,IF(ROUNDDOWN(F55,0)=$S$10,$U$10,$T$10))</f>
        <v>　レベル　1</v>
      </c>
      <c r="G56" s="2645" t="s">
        <v>1795</v>
      </c>
      <c r="H56" s="988"/>
      <c r="I56" s="988"/>
      <c r="J56" s="988"/>
      <c r="K56" s="988"/>
      <c r="L56" s="1317"/>
      <c r="M56" s="988"/>
      <c r="N56" s="988"/>
      <c r="O56" s="989"/>
    </row>
    <row r="57" spans="1:23" ht="15.75">
      <c r="B57" s="1" t="s">
        <v>175</v>
      </c>
      <c r="C57" s="1">
        <v>2</v>
      </c>
      <c r="D57" s="954"/>
      <c r="E57" s="1110"/>
      <c r="F57" s="990" t="str">
        <f>IF(F55=$S$16,$T$11,IF(ROUNDDOWN(F55,0)=$S$11,$U$11,$T$11))</f>
        <v>　レベル　2</v>
      </c>
      <c r="G57" s="2649" t="s">
        <v>1795</v>
      </c>
      <c r="H57" s="995"/>
      <c r="I57" s="995"/>
      <c r="J57" s="995"/>
      <c r="K57" s="995"/>
      <c r="L57" s="1318"/>
      <c r="M57" s="995"/>
      <c r="N57" s="995"/>
      <c r="O57" s="996"/>
    </row>
    <row r="58" spans="1:23" ht="15.75">
      <c r="B58" s="1">
        <v>3</v>
      </c>
      <c r="C58" s="1">
        <v>3</v>
      </c>
      <c r="D58" s="954"/>
      <c r="E58" s="1110"/>
      <c r="F58" s="990" t="str">
        <f>IF(F55=$S$16,$T$12,IF(ROUNDDOWN(F55,0)=$S$12,$U$12,$T$12))</f>
        <v>■レベル　3</v>
      </c>
      <c r="G58" s="2649" t="s">
        <v>2721</v>
      </c>
      <c r="H58" s="995"/>
      <c r="I58" s="995"/>
      <c r="J58" s="995"/>
      <c r="K58" s="995"/>
      <c r="L58" s="1318"/>
      <c r="M58" s="995"/>
      <c r="N58" s="995"/>
      <c r="O58" s="996"/>
    </row>
    <row r="59" spans="1:23" ht="15.75">
      <c r="B59" s="1" t="s">
        <v>175</v>
      </c>
      <c r="C59" s="1">
        <v>4</v>
      </c>
      <c r="D59" s="954"/>
      <c r="E59" s="1110"/>
      <c r="F59" s="990" t="str">
        <f>IF(F55=$S$16,$T$13,IF(ROUNDDOWN(F55,0)=$S$13,$U$13,$T$13))</f>
        <v>　レベル　4</v>
      </c>
      <c r="G59" s="2649" t="s">
        <v>1795</v>
      </c>
      <c r="H59" s="995"/>
      <c r="I59" s="995"/>
      <c r="J59" s="995"/>
      <c r="K59" s="995"/>
      <c r="L59" s="1318"/>
      <c r="M59" s="995"/>
      <c r="N59" s="995"/>
      <c r="O59" s="996"/>
    </row>
    <row r="60" spans="1:23" ht="15.75">
      <c r="B60" s="1">
        <v>5</v>
      </c>
      <c r="C60" s="1">
        <v>5</v>
      </c>
      <c r="D60" s="954"/>
      <c r="E60" s="1110"/>
      <c r="F60" s="1001" t="str">
        <f>IF(F55=$S$16,$T$14,IF(ROUNDDOWN(F55,0)=$S$14,$U$14,$T$14))</f>
        <v>　レベル　5</v>
      </c>
      <c r="G60" s="2642" t="s">
        <v>2722</v>
      </c>
      <c r="H60" s="1006"/>
      <c r="I60" s="1006"/>
      <c r="J60" s="1006"/>
      <c r="K60" s="1006"/>
      <c r="L60" s="1319"/>
      <c r="M60" s="1006"/>
      <c r="N60" s="1006"/>
      <c r="O60" s="1007"/>
    </row>
    <row r="61" spans="1:23" ht="13.5" customHeight="1">
      <c r="B61" s="1008">
        <v>0</v>
      </c>
      <c r="C61" s="1008">
        <v>0</v>
      </c>
      <c r="D61" s="1386"/>
      <c r="E61" s="961"/>
      <c r="F61" s="962"/>
      <c r="G61" s="962"/>
      <c r="H61" s="962"/>
      <c r="I61" s="962"/>
      <c r="J61" s="962"/>
      <c r="K61" s="962"/>
      <c r="L61" s="1456"/>
      <c r="M61" s="962"/>
      <c r="N61" s="962"/>
      <c r="O61" s="962"/>
    </row>
    <row r="62" spans="1:23" ht="14.25" customHeight="1">
      <c r="D62" s="1386">
        <v>2.2999999999999998</v>
      </c>
      <c r="E62" s="961" t="s">
        <v>1064</v>
      </c>
      <c r="F62" s="962"/>
      <c r="G62" s="1193"/>
      <c r="H62" s="962"/>
      <c r="I62" s="962"/>
      <c r="J62" s="962"/>
      <c r="K62" s="962"/>
      <c r="L62" s="1464"/>
      <c r="M62" s="962"/>
      <c r="N62" s="962"/>
    </row>
    <row r="63" spans="1:23" ht="14.25" customHeight="1" thickBot="1">
      <c r="D63" s="954"/>
      <c r="E63" s="1091"/>
      <c r="F63" s="1114"/>
      <c r="G63" s="972"/>
      <c r="H63" s="973"/>
      <c r="I63" s="974" t="s">
        <v>1125</v>
      </c>
      <c r="J63" s="975" t="e">
        <f>重み!M149</f>
        <v>#DIV/0!</v>
      </c>
      <c r="K63" s="1115"/>
      <c r="L63" s="1115"/>
      <c r="M63" s="1115"/>
      <c r="N63" s="1115"/>
      <c r="O63" s="984"/>
    </row>
    <row r="64" spans="1:23" ht="24" customHeight="1" thickBot="1">
      <c r="D64" s="954"/>
      <c r="E64" s="1091"/>
      <c r="F64" s="978">
        <v>3</v>
      </c>
      <c r="G64" s="982" t="s">
        <v>384</v>
      </c>
      <c r="H64" s="983"/>
      <c r="I64" s="983"/>
      <c r="J64" s="983"/>
      <c r="K64" s="983"/>
      <c r="L64" s="1316"/>
      <c r="M64" s="983"/>
      <c r="N64" s="1095" t="s">
        <v>1087</v>
      </c>
      <c r="O64" s="984"/>
    </row>
    <row r="65" spans="2:15" ht="15.75">
      <c r="B65" s="1" t="s">
        <v>2385</v>
      </c>
      <c r="C65" s="1">
        <v>1</v>
      </c>
      <c r="D65" s="954"/>
      <c r="E65" s="1091"/>
      <c r="F65" s="985" t="str">
        <f>IF(F64=$S$16,$T$10,IF(ROUNDDOWN(F64,0)=$S$10,$U$10,$T$10))</f>
        <v>　レベル　1</v>
      </c>
      <c r="G65" s="987" t="s">
        <v>1795</v>
      </c>
      <c r="H65" s="988"/>
      <c r="I65" s="988"/>
      <c r="J65" s="988"/>
      <c r="K65" s="988"/>
      <c r="L65" s="1317"/>
      <c r="M65" s="988"/>
      <c r="N65" s="3439" t="s">
        <v>3208</v>
      </c>
      <c r="O65" s="3698"/>
    </row>
    <row r="66" spans="2:15" ht="15.75">
      <c r="B66" s="1" t="s">
        <v>175</v>
      </c>
      <c r="C66" s="1">
        <v>2</v>
      </c>
      <c r="D66" s="954"/>
      <c r="E66" s="1091"/>
      <c r="F66" s="990" t="str">
        <f>IF(F64=$S$16,$T$11,IF(ROUNDDOWN(F64,0)=$S$11,$U$11,$T$11))</f>
        <v>　レベル　2</v>
      </c>
      <c r="G66" s="994" t="s">
        <v>1795</v>
      </c>
      <c r="H66" s="995"/>
      <c r="I66" s="995"/>
      <c r="J66" s="995"/>
      <c r="K66" s="995"/>
      <c r="L66" s="1318"/>
      <c r="M66" s="995"/>
      <c r="N66" s="3699"/>
      <c r="O66" s="3700"/>
    </row>
    <row r="67" spans="2:15" ht="15.75">
      <c r="B67" s="1">
        <v>3</v>
      </c>
      <c r="C67" s="1">
        <v>3</v>
      </c>
      <c r="D67" s="954"/>
      <c r="E67" s="1091"/>
      <c r="F67" s="990" t="str">
        <f>IF(F64=$S$16,$T$12,IF(ROUNDDOWN(F64,0)=$S$12,$U$12,$T$12))</f>
        <v>■レベル　3</v>
      </c>
      <c r="G67" s="994" t="s">
        <v>36</v>
      </c>
      <c r="H67" s="995"/>
      <c r="I67" s="995"/>
      <c r="J67" s="995"/>
      <c r="K67" s="995"/>
      <c r="L67" s="1318"/>
      <c r="M67" s="995"/>
      <c r="N67" s="3699"/>
      <c r="O67" s="3700"/>
    </row>
    <row r="68" spans="2:15" ht="15.75">
      <c r="B68" s="1" t="s">
        <v>944</v>
      </c>
      <c r="C68" s="1">
        <v>4</v>
      </c>
      <c r="D68" s="954"/>
      <c r="E68" s="1091"/>
      <c r="F68" s="990" t="str">
        <f>IF(F64=$S$16,$T$13,IF(ROUNDDOWN(F64,0)=$S$13,$U$13,$T$13))</f>
        <v>　レベル　4</v>
      </c>
      <c r="G68" s="994" t="s">
        <v>1795</v>
      </c>
      <c r="H68" s="995"/>
      <c r="I68" s="995"/>
      <c r="J68" s="995"/>
      <c r="K68" s="995"/>
      <c r="L68" s="1318"/>
      <c r="M68" s="995"/>
      <c r="N68" s="3699"/>
      <c r="O68" s="3700"/>
    </row>
    <row r="69" spans="2:15" ht="15.75">
      <c r="B69" s="1">
        <v>5</v>
      </c>
      <c r="C69" s="1">
        <v>5</v>
      </c>
      <c r="D69" s="954"/>
      <c r="E69" s="1091"/>
      <c r="F69" s="1001" t="str">
        <f>IF(F64=$S$16,$T$14,IF(ROUNDDOWN(F64,0)=$S$14,$U$14,$T$14))</f>
        <v>　レベル　5</v>
      </c>
      <c r="G69" s="1005" t="s">
        <v>37</v>
      </c>
      <c r="H69" s="1006"/>
      <c r="I69" s="1006"/>
      <c r="J69" s="1006"/>
      <c r="K69" s="1006"/>
      <c r="L69" s="1319"/>
      <c r="M69" s="1006"/>
      <c r="N69" s="3701"/>
      <c r="O69" s="3702"/>
    </row>
    <row r="70" spans="2:15" ht="15" customHeight="1">
      <c r="B70" s="1008">
        <v>0</v>
      </c>
      <c r="C70" s="1008">
        <v>0</v>
      </c>
      <c r="G70" s="1491" t="s">
        <v>3209</v>
      </c>
      <c r="L70" s="2120"/>
    </row>
    <row r="71" spans="2:15" ht="21" customHeight="1">
      <c r="G71" s="1448" t="s">
        <v>446</v>
      </c>
      <c r="H71" s="2121"/>
      <c r="I71" s="2121"/>
      <c r="J71" s="2121"/>
      <c r="K71" s="3761"/>
      <c r="L71" s="3762"/>
      <c r="M71" s="3762"/>
      <c r="N71" s="3762"/>
      <c r="O71" s="3763"/>
    </row>
    <row r="72" spans="2:15" ht="8.25" customHeight="1">
      <c r="D72" s="954"/>
      <c r="E72" s="955"/>
      <c r="F72" s="955"/>
      <c r="G72" s="1491"/>
      <c r="L72" s="2120"/>
    </row>
    <row r="73" spans="2:15" ht="15" customHeight="1">
      <c r="D73" s="954"/>
      <c r="E73" s="955"/>
      <c r="F73" s="955"/>
      <c r="G73" s="1447" t="s">
        <v>447</v>
      </c>
      <c r="H73" s="136"/>
      <c r="I73" s="136"/>
      <c r="J73" s="136"/>
      <c r="K73" s="136"/>
      <c r="L73" s="2331"/>
      <c r="M73" s="136"/>
    </row>
    <row r="74" spans="2:15" ht="13.5" customHeight="1" thickBot="1">
      <c r="D74" s="954"/>
      <c r="E74" s="955"/>
      <c r="F74" s="955"/>
      <c r="G74" s="1492" t="s">
        <v>448</v>
      </c>
      <c r="H74" s="1493"/>
      <c r="I74" s="1493"/>
      <c r="J74" s="1493"/>
      <c r="K74" s="1493"/>
      <c r="L74" s="1494"/>
      <c r="M74" s="1494"/>
    </row>
    <row r="75" spans="2:15" ht="13.5" customHeight="1" thickTop="1">
      <c r="D75" s="954"/>
      <c r="E75" s="955"/>
      <c r="F75" s="955"/>
      <c r="G75" s="1495" t="s">
        <v>449</v>
      </c>
      <c r="H75" s="1496"/>
      <c r="I75" s="1496"/>
      <c r="J75" s="1497"/>
      <c r="K75" s="1496"/>
      <c r="L75" s="1498"/>
      <c r="M75" s="1499"/>
    </row>
    <row r="76" spans="2:15" ht="13.5" customHeight="1">
      <c r="D76" s="954"/>
      <c r="E76" s="955"/>
      <c r="F76" s="955"/>
      <c r="G76" s="1500"/>
      <c r="H76" s="1257" t="s">
        <v>450</v>
      </c>
      <c r="I76" s="1501"/>
      <c r="J76" s="1502"/>
      <c r="K76" s="1257" t="s">
        <v>65</v>
      </c>
      <c r="L76" s="1257"/>
      <c r="M76" s="1503"/>
    </row>
    <row r="77" spans="2:15" ht="13.5" customHeight="1">
      <c r="D77" s="954"/>
      <c r="E77" s="955"/>
      <c r="F77" s="955"/>
      <c r="G77" s="1500"/>
      <c r="H77" s="1257" t="s">
        <v>293</v>
      </c>
      <c r="I77" s="1501"/>
      <c r="J77" s="1502"/>
      <c r="K77" s="1502" t="s">
        <v>66</v>
      </c>
      <c r="L77" s="1257"/>
      <c r="M77" s="1503"/>
    </row>
    <row r="78" spans="2:15" ht="13.5" customHeight="1">
      <c r="D78" s="954"/>
      <c r="E78" s="955"/>
      <c r="F78" s="955"/>
      <c r="G78" s="1500"/>
      <c r="H78" s="1257" t="s">
        <v>294</v>
      </c>
      <c r="I78" s="1501"/>
      <c r="J78" s="1502"/>
      <c r="K78" s="1502" t="s">
        <v>1651</v>
      </c>
      <c r="L78" s="1257"/>
      <c r="M78" s="1503"/>
    </row>
    <row r="79" spans="2:15" ht="13.5" customHeight="1">
      <c r="D79" s="954"/>
      <c r="E79" s="955"/>
      <c r="F79" s="955"/>
      <c r="G79" s="1500"/>
      <c r="H79" s="1257" t="s">
        <v>295</v>
      </c>
      <c r="I79" s="1501"/>
      <c r="J79" s="1502"/>
      <c r="K79" s="1502"/>
      <c r="L79" s="1504"/>
      <c r="M79" s="1505"/>
    </row>
    <row r="80" spans="2:15" ht="13.5" customHeight="1">
      <c r="D80" s="954"/>
      <c r="E80" s="955"/>
      <c r="F80" s="955"/>
      <c r="G80" s="1506"/>
      <c r="H80" s="1257" t="s">
        <v>67</v>
      </c>
      <c r="I80" s="1507"/>
      <c r="J80" s="1508"/>
      <c r="K80" s="1509"/>
      <c r="L80" s="1510"/>
      <c r="M80" s="1505"/>
    </row>
    <row r="81" spans="1:23" ht="13.5" customHeight="1">
      <c r="D81" s="954"/>
      <c r="E81" s="955"/>
      <c r="F81" s="955"/>
      <c r="G81" s="1511" t="s">
        <v>296</v>
      </c>
      <c r="H81" s="1257"/>
      <c r="I81" s="1507"/>
      <c r="J81" s="1508"/>
      <c r="K81" s="1509"/>
      <c r="L81" s="1510"/>
      <c r="M81" s="1505"/>
    </row>
    <row r="82" spans="1:23" ht="13.5" customHeight="1">
      <c r="D82" s="954"/>
      <c r="E82" s="955"/>
      <c r="F82" s="955"/>
      <c r="G82" s="1512" t="s">
        <v>3210</v>
      </c>
      <c r="H82" s="1513"/>
      <c r="I82" s="2209"/>
      <c r="J82" s="1514"/>
      <c r="K82" s="1513"/>
      <c r="L82" s="1515"/>
      <c r="M82" s="1516"/>
    </row>
    <row r="83" spans="1:23" ht="13.5" customHeight="1">
      <c r="D83" s="954"/>
      <c r="E83" s="955"/>
      <c r="F83" s="955"/>
      <c r="G83" s="1517" t="s">
        <v>3211</v>
      </c>
      <c r="H83" s="136"/>
      <c r="I83" s="136"/>
      <c r="J83" s="136"/>
      <c r="K83" s="136"/>
      <c r="L83" s="136"/>
      <c r="M83" s="136"/>
      <c r="N83" s="1518"/>
      <c r="O83" s="1518"/>
    </row>
    <row r="84" spans="1:23" ht="9.75" customHeight="1">
      <c r="D84" s="954"/>
      <c r="E84" s="955"/>
      <c r="F84" s="955"/>
      <c r="G84" s="1517" t="s">
        <v>68</v>
      </c>
      <c r="H84" s="136"/>
      <c r="I84" s="136"/>
      <c r="J84" s="136"/>
      <c r="K84" s="136"/>
      <c r="L84" s="136"/>
      <c r="M84" s="136"/>
      <c r="N84" s="1519"/>
      <c r="O84" s="1519"/>
    </row>
    <row r="85" spans="1:23" ht="9.75" customHeight="1">
      <c r="D85" s="954"/>
      <c r="E85" s="955"/>
      <c r="F85" s="955"/>
      <c r="G85" s="1517" t="s">
        <v>69</v>
      </c>
      <c r="H85" s="136"/>
      <c r="I85" s="136"/>
      <c r="J85" s="136"/>
      <c r="K85" s="136"/>
      <c r="L85" s="136"/>
      <c r="M85" s="136"/>
      <c r="N85" s="1518"/>
      <c r="O85" s="1518"/>
    </row>
    <row r="86" spans="1:23" ht="15" customHeight="1">
      <c r="G86" s="1520"/>
      <c r="L86" s="2120"/>
    </row>
    <row r="87" spans="1:23" s="2814" customFormat="1" ht="15.95" customHeight="1">
      <c r="A87" s="2807"/>
      <c r="B87" s="2807"/>
      <c r="C87" s="2807"/>
      <c r="D87" s="2886"/>
      <c r="E87" s="2811"/>
      <c r="F87" s="2810"/>
      <c r="G87" s="2886" t="s">
        <v>3489</v>
      </c>
      <c r="H87" s="2810"/>
      <c r="I87" s="2810"/>
      <c r="J87" s="2810"/>
      <c r="K87" s="2810"/>
      <c r="L87" s="2810"/>
      <c r="M87" s="2810"/>
      <c r="N87" s="2810"/>
      <c r="O87" s="2810"/>
      <c r="Q87" s="2849"/>
      <c r="R87" s="2849"/>
      <c r="S87" s="2849"/>
      <c r="T87" s="2849"/>
      <c r="U87" s="2849"/>
      <c r="V87" s="2849"/>
      <c r="W87" s="2849"/>
    </row>
    <row r="88" spans="1:23" s="2814" customFormat="1" ht="15.95" customHeight="1" thickBot="1">
      <c r="A88" s="2807"/>
      <c r="B88" s="2807"/>
      <c r="C88" s="2807"/>
      <c r="D88" s="2886"/>
      <c r="E88" s="2811"/>
      <c r="F88" s="2810"/>
      <c r="G88" s="2896" t="s">
        <v>3490</v>
      </c>
      <c r="H88" s="2897"/>
      <c r="I88" s="2897"/>
      <c r="J88" s="2897"/>
      <c r="K88" s="2897"/>
      <c r="L88" s="2897"/>
      <c r="M88" s="2897"/>
      <c r="N88" s="2897"/>
      <c r="O88" s="2898"/>
      <c r="Q88" s="2849"/>
      <c r="R88" s="2849"/>
      <c r="S88" s="2849"/>
      <c r="T88" s="2849"/>
      <c r="U88" s="2849"/>
      <c r="V88" s="2849"/>
      <c r="W88" s="2849"/>
    </row>
    <row r="89" spans="1:23" s="2814" customFormat="1" ht="15.95" customHeight="1" thickBot="1">
      <c r="A89" s="2807"/>
      <c r="B89" s="2807"/>
      <c r="C89" s="2807"/>
      <c r="D89" s="2886"/>
      <c r="E89" s="2811"/>
      <c r="F89" s="2810"/>
      <c r="G89" s="3219" t="s">
        <v>2239</v>
      </c>
      <c r="H89" s="3458" t="s">
        <v>3764</v>
      </c>
      <c r="I89" s="3459"/>
      <c r="J89" s="3459"/>
      <c r="K89" s="3459"/>
      <c r="L89" s="3459"/>
      <c r="M89" s="3459"/>
      <c r="N89" s="3459"/>
      <c r="O89" s="3460"/>
      <c r="Q89" s="2849"/>
      <c r="R89" s="2849"/>
      <c r="S89" s="2849"/>
      <c r="T89" s="2849"/>
      <c r="U89" s="2849"/>
      <c r="V89" s="2849"/>
      <c r="W89" s="2849"/>
    </row>
    <row r="90" spans="1:23" s="2814" customFormat="1" ht="15.95" customHeight="1">
      <c r="A90" s="2807"/>
      <c r="B90" s="2807"/>
      <c r="C90" s="2807"/>
      <c r="D90" s="2886"/>
      <c r="E90" s="2811"/>
      <c r="F90" s="2810"/>
      <c r="G90"/>
      <c r="H90"/>
      <c r="I90"/>
      <c r="J90"/>
      <c r="K90"/>
      <c r="L90"/>
      <c r="M90"/>
      <c r="N90"/>
      <c r="O90"/>
      <c r="Q90" s="2849"/>
      <c r="R90" s="2849"/>
      <c r="S90" s="2849"/>
      <c r="T90" s="2849"/>
      <c r="U90" s="2849"/>
      <c r="V90" s="2849"/>
      <c r="W90" s="2849"/>
    </row>
    <row r="91" spans="1:23" ht="14.25" customHeight="1">
      <c r="D91" s="1386">
        <v>2.4</v>
      </c>
      <c r="E91" s="961" t="s">
        <v>38</v>
      </c>
      <c r="F91" s="954"/>
      <c r="G91" s="954"/>
      <c r="H91" s="954"/>
      <c r="I91" s="954"/>
      <c r="J91" s="954"/>
      <c r="K91" s="954"/>
      <c r="L91" s="1521"/>
      <c r="M91" s="954"/>
      <c r="N91" s="954"/>
    </row>
    <row r="92" spans="1:23" ht="14.25" customHeight="1" thickBot="1">
      <c r="D92" s="954"/>
      <c r="E92" s="954"/>
      <c r="F92" s="1114"/>
      <c r="G92" s="972"/>
      <c r="H92" s="973"/>
      <c r="I92" s="974" t="s">
        <v>1125</v>
      </c>
      <c r="J92" s="975" t="e">
        <f>重み!M150</f>
        <v>#DIV/0!</v>
      </c>
      <c r="K92" s="1115"/>
      <c r="L92" s="1115"/>
      <c r="M92" s="1115"/>
      <c r="N92" s="1115"/>
      <c r="O92" s="984"/>
    </row>
    <row r="93" spans="1:23" ht="22.5" customHeight="1" thickBot="1">
      <c r="D93" s="954"/>
      <c r="E93" s="954"/>
      <c r="F93" s="978">
        <v>3</v>
      </c>
      <c r="G93" s="982" t="s">
        <v>384</v>
      </c>
      <c r="H93" s="983"/>
      <c r="I93" s="983"/>
      <c r="J93" s="983"/>
      <c r="K93" s="983"/>
      <c r="L93" s="1316"/>
      <c r="M93" s="983"/>
      <c r="N93" s="1095" t="s">
        <v>1087</v>
      </c>
      <c r="O93" s="984"/>
    </row>
    <row r="94" spans="1:23" ht="17.25" customHeight="1">
      <c r="B94" s="1">
        <v>1</v>
      </c>
      <c r="C94" s="1">
        <v>1</v>
      </c>
      <c r="D94" s="954"/>
      <c r="E94" s="954"/>
      <c r="F94" s="985" t="str">
        <f>IF(F93=$S$16,$T$10,IF(ROUNDDOWN(F93,0)=$S$10,$U$10,$T$10))</f>
        <v>　レベル　1</v>
      </c>
      <c r="G94" s="987" t="s">
        <v>4</v>
      </c>
      <c r="H94" s="988"/>
      <c r="I94" s="988"/>
      <c r="J94" s="988"/>
      <c r="K94" s="988"/>
      <c r="L94" s="1317"/>
      <c r="M94" s="988"/>
      <c r="N94" s="3439" t="s">
        <v>3212</v>
      </c>
      <c r="O94" s="3698"/>
    </row>
    <row r="95" spans="1:23" ht="17.25" customHeight="1">
      <c r="B95" s="1" t="s">
        <v>947</v>
      </c>
      <c r="C95" s="1">
        <v>2</v>
      </c>
      <c r="D95" s="954"/>
      <c r="E95" s="954"/>
      <c r="F95" s="990" t="str">
        <f>IF(F93=$S$16,$T$11,IF(ROUNDDOWN(F93,0)=$S$11,$U$11,$T$11))</f>
        <v>　レベル　2</v>
      </c>
      <c r="G95" s="994" t="s">
        <v>1795</v>
      </c>
      <c r="H95" s="995"/>
      <c r="I95" s="995"/>
      <c r="J95" s="995"/>
      <c r="K95" s="995"/>
      <c r="L95" s="1318"/>
      <c r="M95" s="995"/>
      <c r="N95" s="3699"/>
      <c r="O95" s="3700"/>
    </row>
    <row r="96" spans="1:23" ht="17.25" customHeight="1">
      <c r="B96" s="1">
        <v>3</v>
      </c>
      <c r="C96" s="1">
        <v>3</v>
      </c>
      <c r="D96" s="954"/>
      <c r="E96" s="954"/>
      <c r="F96" s="990" t="str">
        <f>IF(F93=$S$16,$T$12,IF(ROUNDDOWN(F93,0)=$S$12,$U$12,$T$12))</f>
        <v>■レベル　3</v>
      </c>
      <c r="G96" s="994" t="s">
        <v>5</v>
      </c>
      <c r="H96" s="995"/>
      <c r="I96" s="995"/>
      <c r="J96" s="995"/>
      <c r="K96" s="995"/>
      <c r="L96" s="1318"/>
      <c r="M96" s="995"/>
      <c r="N96" s="3699"/>
      <c r="O96" s="3700"/>
    </row>
    <row r="97" spans="2:15" ht="17.25" customHeight="1">
      <c r="B97" s="1">
        <v>4</v>
      </c>
      <c r="C97" s="1">
        <v>4</v>
      </c>
      <c r="D97" s="954"/>
      <c r="E97" s="954"/>
      <c r="F97" s="990" t="str">
        <f>IF(F93=$S$16,$T$13,IF(ROUNDDOWN(F93,0)=$S$13,$U$13,$T$13))</f>
        <v>　レベル　4</v>
      </c>
      <c r="G97" s="994" t="s">
        <v>6</v>
      </c>
      <c r="H97" s="995"/>
      <c r="I97" s="995"/>
      <c r="J97" s="995"/>
      <c r="K97" s="995"/>
      <c r="L97" s="1318"/>
      <c r="M97" s="995"/>
      <c r="N97" s="3699"/>
      <c r="O97" s="3700"/>
    </row>
    <row r="98" spans="2:15" ht="17.25" customHeight="1">
      <c r="B98" s="1">
        <v>5</v>
      </c>
      <c r="C98" s="1">
        <v>5</v>
      </c>
      <c r="D98" s="954"/>
      <c r="E98" s="954"/>
      <c r="F98" s="1001" t="str">
        <f>IF(F93=$S$16,$T$14,IF(ROUNDDOWN(F93,0)=$S$14,$U$14,$T$14))</f>
        <v>　レベル　5</v>
      </c>
      <c r="G98" s="1005" t="s">
        <v>7</v>
      </c>
      <c r="H98" s="1006"/>
      <c r="I98" s="1006"/>
      <c r="J98" s="1006"/>
      <c r="K98" s="1006"/>
      <c r="L98" s="1319"/>
      <c r="M98" s="1006"/>
      <c r="N98" s="3701"/>
      <c r="O98" s="3702"/>
    </row>
    <row r="99" spans="2:15" ht="14.25" customHeight="1">
      <c r="B99" s="1008">
        <v>0</v>
      </c>
      <c r="C99" s="1008">
        <v>0</v>
      </c>
      <c r="D99" s="954"/>
      <c r="E99" s="1108"/>
      <c r="G99" s="1491" t="s">
        <v>3209</v>
      </c>
      <c r="L99" s="2120"/>
    </row>
    <row r="100" spans="2:15" ht="21" customHeight="1">
      <c r="G100" s="1448" t="s">
        <v>446</v>
      </c>
      <c r="H100" s="2121"/>
      <c r="I100" s="2121"/>
      <c r="J100" s="2121"/>
      <c r="K100" s="3761"/>
      <c r="L100" s="3762"/>
      <c r="M100" s="3762"/>
      <c r="N100" s="3762"/>
      <c r="O100" s="3763"/>
    </row>
    <row r="101" spans="2:15" ht="14.25" customHeight="1">
      <c r="D101" s="954"/>
      <c r="E101" s="1108"/>
      <c r="G101" s="1491"/>
      <c r="L101" s="2120"/>
    </row>
    <row r="102" spans="2:15" ht="14.25" customHeight="1">
      <c r="D102" s="954"/>
      <c r="E102" s="955"/>
      <c r="F102" s="955"/>
      <c r="G102" s="1447" t="s">
        <v>447</v>
      </c>
      <c r="H102" s="136"/>
      <c r="I102" s="136"/>
      <c r="J102" s="136"/>
      <c r="K102" s="136"/>
      <c r="L102" s="2331"/>
      <c r="M102" s="136"/>
      <c r="N102" s="136"/>
      <c r="O102" s="136"/>
    </row>
    <row r="103" spans="2:15" ht="13.5" customHeight="1" thickBot="1">
      <c r="D103" s="954"/>
      <c r="E103" s="955"/>
      <c r="F103" s="955"/>
      <c r="G103" s="1522" t="s">
        <v>448</v>
      </c>
      <c r="H103" s="1523"/>
      <c r="I103" s="1523"/>
      <c r="J103" s="1523"/>
      <c r="K103" s="1523"/>
      <c r="L103" s="1523"/>
      <c r="M103" s="1523"/>
      <c r="N103" s="1523"/>
      <c r="O103" s="1524"/>
    </row>
    <row r="104" spans="2:15" ht="13.5" customHeight="1" thickTop="1">
      <c r="D104" s="954"/>
      <c r="E104" s="955"/>
      <c r="F104" s="955"/>
      <c r="G104" s="1103" t="s">
        <v>8</v>
      </c>
      <c r="H104" s="1104"/>
      <c r="I104" s="1104"/>
      <c r="J104" s="1104"/>
      <c r="K104" s="1104"/>
      <c r="L104" s="1104"/>
      <c r="M104" s="1104"/>
      <c r="N104" s="1104"/>
      <c r="O104" s="1525"/>
    </row>
    <row r="105" spans="2:15" ht="13.5" customHeight="1">
      <c r="D105" s="954"/>
      <c r="E105" s="955"/>
      <c r="F105" s="955"/>
      <c r="G105" s="994"/>
      <c r="H105" s="995" t="s">
        <v>9</v>
      </c>
      <c r="I105" s="995"/>
      <c r="J105" s="995"/>
      <c r="K105" s="995"/>
      <c r="L105" s="995" t="s">
        <v>254</v>
      </c>
      <c r="M105" s="995"/>
      <c r="N105" s="995"/>
      <c r="O105" s="996"/>
    </row>
    <row r="106" spans="2:15" ht="13.5" customHeight="1">
      <c r="D106" s="954"/>
      <c r="E106" s="955"/>
      <c r="F106" s="955"/>
      <c r="G106" s="994"/>
      <c r="H106" s="995" t="s">
        <v>10</v>
      </c>
      <c r="I106" s="995"/>
      <c r="J106" s="995"/>
      <c r="K106" s="995"/>
      <c r="L106" s="995" t="s">
        <v>1650</v>
      </c>
      <c r="M106" s="995"/>
      <c r="N106" s="995"/>
      <c r="O106" s="996"/>
    </row>
    <row r="107" spans="2:15" ht="13.5" customHeight="1">
      <c r="D107" s="954"/>
      <c r="E107" s="955"/>
      <c r="F107" s="955"/>
      <c r="G107" s="994"/>
      <c r="H107" s="995" t="s">
        <v>11</v>
      </c>
      <c r="I107" s="995"/>
      <c r="J107" s="995"/>
      <c r="K107" s="995"/>
      <c r="L107" s="995" t="s">
        <v>70</v>
      </c>
      <c r="M107" s="995"/>
      <c r="N107" s="995"/>
      <c r="O107" s="996"/>
    </row>
    <row r="108" spans="2:15" ht="13.5" customHeight="1">
      <c r="D108" s="954"/>
      <c r="E108" s="955"/>
      <c r="F108" s="955"/>
      <c r="G108" s="994"/>
      <c r="H108" s="995" t="s">
        <v>1446</v>
      </c>
      <c r="I108" s="995"/>
      <c r="J108" s="995"/>
      <c r="K108" s="995"/>
      <c r="L108" s="995" t="s">
        <v>1651</v>
      </c>
      <c r="M108" s="995"/>
      <c r="N108" s="995"/>
      <c r="O108" s="996"/>
    </row>
    <row r="109" spans="2:15" ht="13.5" customHeight="1">
      <c r="D109" s="954"/>
      <c r="E109" s="955"/>
      <c r="F109" s="955"/>
      <c r="G109" s="994"/>
      <c r="H109" s="995" t="s">
        <v>1447</v>
      </c>
      <c r="I109" s="995"/>
      <c r="J109" s="995"/>
      <c r="K109" s="995"/>
      <c r="L109" s="995" t="s">
        <v>1203</v>
      </c>
      <c r="M109" s="995"/>
      <c r="N109" s="995"/>
      <c r="O109" s="996"/>
    </row>
    <row r="110" spans="2:15" ht="13.5" customHeight="1">
      <c r="D110" s="954"/>
      <c r="E110" s="955"/>
      <c r="F110" s="955"/>
      <c r="G110" s="994"/>
      <c r="H110" s="995" t="s">
        <v>71</v>
      </c>
      <c r="I110" s="995"/>
      <c r="J110" s="995"/>
      <c r="K110" s="995"/>
      <c r="L110" s="995" t="s">
        <v>72</v>
      </c>
      <c r="M110" s="995"/>
      <c r="N110" s="995"/>
      <c r="O110" s="996"/>
    </row>
    <row r="111" spans="2:15" ht="13.5" customHeight="1">
      <c r="D111" s="954"/>
      <c r="E111" s="955"/>
      <c r="F111" s="955"/>
      <c r="G111" s="994"/>
      <c r="H111" s="995" t="s">
        <v>73</v>
      </c>
      <c r="I111" s="995"/>
      <c r="J111" s="995"/>
      <c r="K111" s="995"/>
      <c r="L111" s="995" t="s">
        <v>74</v>
      </c>
      <c r="M111" s="995"/>
      <c r="N111" s="995"/>
      <c r="O111" s="996"/>
    </row>
    <row r="112" spans="2:15" ht="13.5" customHeight="1">
      <c r="D112" s="954"/>
      <c r="E112" s="955"/>
      <c r="F112" s="955"/>
      <c r="G112" s="994"/>
      <c r="H112" s="2403" t="s">
        <v>1204</v>
      </c>
      <c r="I112" s="995"/>
      <c r="J112" s="995"/>
      <c r="K112" s="995"/>
      <c r="L112" s="995" t="s">
        <v>75</v>
      </c>
      <c r="M112" s="995"/>
      <c r="N112" s="995"/>
      <c r="O112" s="996"/>
    </row>
    <row r="113" spans="4:15" ht="13.5" customHeight="1">
      <c r="D113" s="954"/>
      <c r="E113" s="955"/>
      <c r="F113" s="955"/>
      <c r="G113" s="994"/>
      <c r="H113" s="2403" t="s">
        <v>77</v>
      </c>
      <c r="I113" s="995"/>
      <c r="J113" s="995"/>
      <c r="K113" s="995"/>
      <c r="L113" s="995" t="s">
        <v>76</v>
      </c>
      <c r="M113" s="995"/>
      <c r="N113" s="995"/>
      <c r="O113" s="996"/>
    </row>
    <row r="114" spans="4:15" ht="13.5" customHeight="1">
      <c r="D114" s="954"/>
      <c r="E114" s="955"/>
      <c r="F114" s="955"/>
      <c r="G114" s="994"/>
      <c r="H114" s="2403" t="s">
        <v>78</v>
      </c>
      <c r="I114" s="995"/>
      <c r="J114" s="995"/>
      <c r="K114" s="995"/>
      <c r="L114" s="2403" t="s">
        <v>1205</v>
      </c>
      <c r="M114" s="995"/>
      <c r="N114" s="995"/>
      <c r="O114" s="996"/>
    </row>
    <row r="115" spans="4:15" ht="13.5" hidden="1" customHeight="1">
      <c r="D115" s="954"/>
      <c r="E115" s="955"/>
      <c r="F115" s="955"/>
      <c r="G115" s="994"/>
      <c r="H115" s="995"/>
      <c r="I115" s="995"/>
      <c r="J115" s="995"/>
      <c r="K115" s="995"/>
      <c r="L115" s="995"/>
      <c r="M115" s="995"/>
      <c r="N115" s="995"/>
      <c r="O115" s="996"/>
    </row>
    <row r="116" spans="4:15" ht="13.5" customHeight="1">
      <c r="D116" s="954"/>
      <c r="E116" s="955"/>
      <c r="F116" s="955"/>
      <c r="G116" s="1005"/>
      <c r="H116" s="1006"/>
      <c r="I116" s="1006"/>
      <c r="J116" s="1006"/>
      <c r="K116" s="1006"/>
      <c r="L116" s="1006" t="s">
        <v>79</v>
      </c>
      <c r="M116" s="1006"/>
      <c r="N116" s="1006"/>
      <c r="O116" s="1007"/>
    </row>
    <row r="117" spans="4:15" ht="13.5" customHeight="1">
      <c r="D117" s="954"/>
      <c r="E117" s="955"/>
      <c r="F117" s="955"/>
      <c r="G117" s="1103" t="s">
        <v>80</v>
      </c>
      <c r="H117" s="1104"/>
      <c r="I117" s="1104"/>
      <c r="J117" s="1104"/>
      <c r="K117" s="1104"/>
      <c r="L117" s="1104"/>
      <c r="M117" s="1104"/>
      <c r="N117" s="1104"/>
      <c r="O117" s="1525"/>
    </row>
    <row r="118" spans="4:15" ht="13.5" customHeight="1">
      <c r="D118" s="954"/>
      <c r="E118" s="955"/>
      <c r="F118" s="955"/>
      <c r="G118" s="994"/>
      <c r="H118" s="995" t="s">
        <v>1206</v>
      </c>
      <c r="I118" s="995"/>
      <c r="J118" s="995"/>
      <c r="K118" s="995"/>
      <c r="L118" s="995" t="s">
        <v>1207</v>
      </c>
      <c r="M118" s="995"/>
      <c r="N118" s="995"/>
      <c r="O118" s="996"/>
    </row>
    <row r="119" spans="4:15" ht="13.5" customHeight="1">
      <c r="D119" s="954"/>
      <c r="E119" s="955"/>
      <c r="F119" s="955"/>
      <c r="G119" s="1005"/>
      <c r="H119" s="1006" t="s">
        <v>1208</v>
      </c>
      <c r="I119" s="1006"/>
      <c r="J119" s="1006"/>
      <c r="K119" s="1006"/>
      <c r="L119" s="1006"/>
      <c r="M119" s="1006"/>
      <c r="N119" s="1006"/>
      <c r="O119" s="1007"/>
    </row>
    <row r="120" spans="4:15" ht="13.5" customHeight="1">
      <c r="D120" s="954"/>
      <c r="E120" s="955"/>
      <c r="F120" s="955"/>
      <c r="G120" s="1103" t="s">
        <v>1209</v>
      </c>
      <c r="H120" s="1104"/>
      <c r="I120" s="1104"/>
      <c r="J120" s="1104"/>
      <c r="K120" s="1104"/>
      <c r="L120" s="1104"/>
      <c r="M120" s="1104"/>
      <c r="N120" s="1104"/>
      <c r="O120" s="1525"/>
    </row>
    <row r="121" spans="4:15" ht="13.5" customHeight="1">
      <c r="D121" s="954"/>
      <c r="E121" s="955"/>
      <c r="F121" s="955"/>
      <c r="G121" s="1005"/>
      <c r="H121" s="1006" t="s">
        <v>81</v>
      </c>
      <c r="I121" s="1006"/>
      <c r="J121" s="1006"/>
      <c r="K121" s="1006"/>
      <c r="L121" s="1006"/>
      <c r="M121" s="1006"/>
      <c r="N121" s="1006"/>
      <c r="O121" s="1007"/>
    </row>
    <row r="122" spans="4:15" ht="13.5" customHeight="1">
      <c r="D122" s="954"/>
      <c r="E122" s="955"/>
      <c r="F122" s="955"/>
      <c r="G122" s="1103" t="s">
        <v>3213</v>
      </c>
      <c r="H122" s="1104"/>
      <c r="I122" s="1104"/>
      <c r="J122" s="1104"/>
      <c r="K122" s="1104"/>
      <c r="L122" s="1104"/>
      <c r="M122" s="1104"/>
      <c r="N122" s="1104"/>
      <c r="O122" s="1525"/>
    </row>
    <row r="123" spans="4:15" ht="13.5" customHeight="1">
      <c r="D123" s="954"/>
      <c r="E123" s="955"/>
      <c r="F123" s="955"/>
      <c r="G123" s="994"/>
      <c r="H123" s="995" t="s">
        <v>1210</v>
      </c>
      <c r="I123" s="995"/>
      <c r="J123" s="995"/>
      <c r="K123" s="995"/>
      <c r="L123" s="995" t="s">
        <v>1211</v>
      </c>
      <c r="M123" s="995"/>
      <c r="N123" s="995"/>
      <c r="O123" s="996"/>
    </row>
    <row r="124" spans="4:15" ht="13.5" customHeight="1">
      <c r="D124" s="954"/>
      <c r="E124" s="955"/>
      <c r="F124" s="955"/>
      <c r="G124" s="994"/>
      <c r="H124" s="995" t="s">
        <v>1212</v>
      </c>
      <c r="I124" s="995"/>
      <c r="J124" s="995"/>
      <c r="K124" s="995"/>
      <c r="L124" s="995" t="s">
        <v>1213</v>
      </c>
      <c r="M124" s="995"/>
      <c r="N124" s="995"/>
      <c r="O124" s="996"/>
    </row>
    <row r="125" spans="4:15" ht="13.5" customHeight="1">
      <c r="D125" s="954"/>
      <c r="E125" s="955"/>
      <c r="F125" s="955"/>
      <c r="G125" s="994"/>
      <c r="H125" s="995" t="s">
        <v>1214</v>
      </c>
      <c r="I125" s="995"/>
      <c r="J125" s="995"/>
      <c r="K125" s="995"/>
      <c r="L125" s="995" t="s">
        <v>1215</v>
      </c>
      <c r="M125" s="995"/>
      <c r="N125" s="995"/>
      <c r="O125" s="996"/>
    </row>
    <row r="126" spans="4:15" ht="13.5" customHeight="1">
      <c r="D126" s="954"/>
      <c r="E126" s="955"/>
      <c r="F126" s="955"/>
      <c r="G126" s="994"/>
      <c r="H126" s="995" t="s">
        <v>1216</v>
      </c>
      <c r="I126" s="995"/>
      <c r="J126" s="995"/>
      <c r="K126" s="995"/>
      <c r="L126" s="995" t="s">
        <v>1217</v>
      </c>
      <c r="M126" s="995"/>
      <c r="N126" s="995"/>
      <c r="O126" s="996"/>
    </row>
    <row r="127" spans="4:15" ht="13.5" customHeight="1">
      <c r="D127" s="954"/>
      <c r="E127" s="955"/>
      <c r="F127" s="955"/>
      <c r="G127" s="994"/>
      <c r="H127" s="995" t="s">
        <v>1218</v>
      </c>
      <c r="I127" s="995"/>
      <c r="J127" s="995"/>
      <c r="K127" s="995"/>
      <c r="L127" s="995" t="s">
        <v>1219</v>
      </c>
      <c r="M127" s="995"/>
      <c r="N127" s="995"/>
      <c r="O127" s="996"/>
    </row>
    <row r="128" spans="4:15" ht="13.5" customHeight="1">
      <c r="D128" s="954"/>
      <c r="E128" s="955"/>
      <c r="F128" s="955"/>
      <c r="G128" s="994"/>
      <c r="H128" s="995" t="s">
        <v>82</v>
      </c>
      <c r="I128" s="995"/>
      <c r="J128" s="995"/>
      <c r="K128" s="995"/>
      <c r="L128" s="995" t="s">
        <v>2449</v>
      </c>
      <c r="M128" s="995"/>
      <c r="N128" s="995"/>
      <c r="O128" s="996"/>
    </row>
    <row r="129" spans="4:15" ht="13.5" customHeight="1">
      <c r="D129" s="954"/>
      <c r="E129" s="955"/>
      <c r="F129" s="955"/>
      <c r="G129" s="1005"/>
      <c r="H129" s="1006" t="s">
        <v>1220</v>
      </c>
      <c r="I129" s="1006"/>
      <c r="J129" s="1006"/>
      <c r="K129" s="1006"/>
      <c r="L129" s="1006"/>
      <c r="M129" s="1006"/>
      <c r="N129" s="1006"/>
      <c r="O129" s="1007"/>
    </row>
    <row r="130" spans="4:15" ht="13.5" customHeight="1">
      <c r="D130" s="954"/>
      <c r="E130" s="955"/>
      <c r="F130" s="955"/>
      <c r="G130" s="1103" t="s">
        <v>1221</v>
      </c>
      <c r="H130" s="1104"/>
      <c r="I130" s="1104"/>
      <c r="J130" s="1104"/>
      <c r="K130" s="1104"/>
      <c r="L130" s="1104"/>
      <c r="M130" s="1104"/>
      <c r="N130" s="1104"/>
      <c r="O130" s="1525"/>
    </row>
    <row r="131" spans="4:15" ht="13.5" customHeight="1">
      <c r="D131" s="954"/>
      <c r="E131" s="955"/>
      <c r="F131" s="955"/>
      <c r="G131" s="994"/>
      <c r="H131" s="995" t="s">
        <v>1222</v>
      </c>
      <c r="I131" s="995"/>
      <c r="J131" s="995"/>
      <c r="K131" s="995"/>
      <c r="L131" s="995" t="s">
        <v>1223</v>
      </c>
      <c r="M131" s="995"/>
      <c r="N131" s="995"/>
      <c r="O131" s="996"/>
    </row>
    <row r="132" spans="4:15" ht="13.5" customHeight="1">
      <c r="D132" s="954"/>
      <c r="E132" s="955"/>
      <c r="F132" s="955"/>
      <c r="G132" s="994"/>
      <c r="H132" s="995" t="s">
        <v>1224</v>
      </c>
      <c r="I132" s="995"/>
      <c r="J132" s="995"/>
      <c r="K132" s="995"/>
      <c r="L132" s="995" t="s">
        <v>1225</v>
      </c>
      <c r="M132" s="995"/>
      <c r="N132" s="995"/>
      <c r="O132" s="996"/>
    </row>
    <row r="133" spans="4:15" ht="13.5" customHeight="1">
      <c r="D133" s="954"/>
      <c r="E133" s="955"/>
      <c r="F133" s="955"/>
      <c r="G133" s="994"/>
      <c r="H133" s="995" t="s">
        <v>1226</v>
      </c>
      <c r="I133" s="995"/>
      <c r="J133" s="995"/>
      <c r="K133" s="995"/>
      <c r="L133" s="995" t="s">
        <v>1227</v>
      </c>
      <c r="M133" s="995"/>
      <c r="N133" s="995"/>
      <c r="O133" s="996"/>
    </row>
    <row r="134" spans="4:15" ht="13.5" customHeight="1">
      <c r="D134" s="954"/>
      <c r="E134" s="955"/>
      <c r="F134" s="955"/>
      <c r="G134" s="994"/>
      <c r="H134" s="995" t="s">
        <v>1228</v>
      </c>
      <c r="I134" s="995"/>
      <c r="J134" s="995"/>
      <c r="K134" s="995"/>
      <c r="L134" s="995" t="s">
        <v>1229</v>
      </c>
      <c r="M134" s="995"/>
      <c r="N134" s="995"/>
      <c r="O134" s="996"/>
    </row>
    <row r="135" spans="4:15" ht="13.5" customHeight="1">
      <c r="D135" s="954"/>
      <c r="E135" s="955"/>
      <c r="F135" s="955"/>
      <c r="G135" s="994"/>
      <c r="H135" s="995" t="s">
        <v>1230</v>
      </c>
      <c r="I135" s="995"/>
      <c r="J135" s="995"/>
      <c r="K135" s="995"/>
      <c r="L135" s="995" t="s">
        <v>1231</v>
      </c>
      <c r="M135" s="995"/>
      <c r="N135" s="995"/>
      <c r="O135" s="996"/>
    </row>
    <row r="136" spans="4:15" ht="13.5" customHeight="1">
      <c r="D136" s="954"/>
      <c r="E136" s="955"/>
      <c r="F136" s="955"/>
      <c r="G136" s="1145"/>
      <c r="H136" s="1146" t="s">
        <v>83</v>
      </c>
      <c r="I136" s="1146"/>
      <c r="J136" s="1146"/>
      <c r="K136" s="1146"/>
      <c r="L136" s="995" t="s">
        <v>84</v>
      </c>
      <c r="M136" s="1146"/>
      <c r="N136" s="1146"/>
      <c r="O136" s="1147"/>
    </row>
    <row r="137" spans="4:15" ht="13.5" customHeight="1">
      <c r="D137" s="954"/>
      <c r="E137" s="955"/>
      <c r="F137" s="955"/>
      <c r="G137" s="1005"/>
      <c r="H137" s="1006"/>
      <c r="I137" s="1006"/>
      <c r="J137" s="1006"/>
      <c r="K137" s="1006"/>
      <c r="L137" s="1006" t="s">
        <v>1232</v>
      </c>
      <c r="M137" s="1006"/>
      <c r="N137" s="1006"/>
      <c r="O137" s="1007"/>
    </row>
    <row r="138" spans="4:15" ht="13.5" customHeight="1">
      <c r="D138" s="954"/>
      <c r="E138" s="955"/>
      <c r="F138" s="955"/>
      <c r="G138" s="1103" t="s">
        <v>3214</v>
      </c>
      <c r="H138" s="1104"/>
      <c r="I138" s="1104"/>
      <c r="J138" s="1104"/>
      <c r="K138" s="1104"/>
      <c r="L138" s="1104"/>
      <c r="M138" s="1104"/>
      <c r="N138" s="1104"/>
      <c r="O138" s="1525"/>
    </row>
    <row r="139" spans="4:15" ht="13.5" customHeight="1">
      <c r="D139" s="954"/>
      <c r="E139" s="955"/>
      <c r="F139" s="955"/>
      <c r="G139" s="994"/>
      <c r="H139" s="995" t="s">
        <v>1233</v>
      </c>
      <c r="I139" s="995"/>
      <c r="J139" s="995"/>
      <c r="K139" s="995"/>
      <c r="L139" s="995" t="s">
        <v>1234</v>
      </c>
      <c r="M139" s="995"/>
      <c r="N139" s="995"/>
      <c r="O139" s="996"/>
    </row>
    <row r="140" spans="4:15" ht="13.5" customHeight="1">
      <c r="D140" s="954"/>
      <c r="E140" s="955"/>
      <c r="F140" s="955"/>
      <c r="G140" s="994"/>
      <c r="H140" s="995" t="s">
        <v>1235</v>
      </c>
      <c r="I140" s="995"/>
      <c r="J140" s="995"/>
      <c r="K140" s="995"/>
      <c r="L140" s="995" t="s">
        <v>1236</v>
      </c>
      <c r="M140" s="995"/>
      <c r="N140" s="995"/>
      <c r="O140" s="996"/>
    </row>
    <row r="141" spans="4:15" ht="13.5" customHeight="1">
      <c r="D141" s="954"/>
      <c r="E141" s="955"/>
      <c r="F141" s="955"/>
      <c r="G141" s="1005"/>
      <c r="H141" s="1006" t="s">
        <v>1237</v>
      </c>
      <c r="I141" s="1006"/>
      <c r="J141" s="1006"/>
      <c r="K141" s="1006"/>
      <c r="L141" s="1006"/>
      <c r="M141" s="1006"/>
      <c r="N141" s="1006"/>
      <c r="O141" s="1007"/>
    </row>
    <row r="142" spans="4:15" ht="13.5" customHeight="1">
      <c r="D142" s="954"/>
      <c r="E142" s="955"/>
      <c r="F142" s="955"/>
      <c r="G142" s="1103" t="s">
        <v>1238</v>
      </c>
      <c r="H142" s="1104"/>
      <c r="I142" s="1104"/>
      <c r="J142" s="1104"/>
      <c r="K142" s="1104"/>
      <c r="L142" s="1104"/>
      <c r="M142" s="1104"/>
      <c r="N142" s="1104"/>
      <c r="O142" s="1525"/>
    </row>
    <row r="143" spans="4:15" ht="13.5" customHeight="1">
      <c r="D143" s="954"/>
      <c r="E143" s="955"/>
      <c r="F143" s="955"/>
      <c r="G143" s="994"/>
      <c r="H143" s="995" t="s">
        <v>1239</v>
      </c>
      <c r="I143" s="995"/>
      <c r="J143" s="995"/>
      <c r="K143" s="995"/>
      <c r="L143" s="995" t="s">
        <v>1240</v>
      </c>
      <c r="M143" s="995"/>
      <c r="N143" s="995"/>
      <c r="O143" s="996"/>
    </row>
    <row r="144" spans="4:15" ht="13.5" customHeight="1">
      <c r="D144" s="954"/>
      <c r="E144" s="955"/>
      <c r="F144" s="955"/>
      <c r="G144" s="1005"/>
      <c r="H144" s="1006" t="s">
        <v>1241</v>
      </c>
      <c r="I144" s="1006"/>
      <c r="J144" s="1006"/>
      <c r="K144" s="1006"/>
      <c r="L144" s="1006"/>
      <c r="M144" s="1006"/>
      <c r="N144" s="1006"/>
      <c r="O144" s="1007"/>
    </row>
    <row r="145" spans="1:23" ht="13.5" customHeight="1">
      <c r="D145" s="954"/>
      <c r="E145" s="955"/>
      <c r="F145" s="955"/>
      <c r="G145" s="1517" t="s">
        <v>3211</v>
      </c>
      <c r="H145" s="136"/>
      <c r="I145" s="136"/>
      <c r="J145" s="136"/>
      <c r="K145" s="136"/>
      <c r="L145" s="136"/>
      <c r="M145" s="136"/>
      <c r="N145" s="136"/>
      <c r="O145" s="136"/>
    </row>
    <row r="146" spans="1:23" ht="13.5" customHeight="1">
      <c r="D146" s="954"/>
      <c r="E146" s="955"/>
      <c r="F146" s="955"/>
      <c r="G146" s="1517" t="s">
        <v>85</v>
      </c>
      <c r="H146" s="136"/>
      <c r="I146" s="136"/>
      <c r="J146" s="136"/>
      <c r="K146" s="136"/>
      <c r="L146" s="136"/>
      <c r="M146" s="136"/>
      <c r="N146" s="136"/>
      <c r="O146" s="136"/>
    </row>
    <row r="147" spans="1:23" ht="13.5" customHeight="1">
      <c r="D147" s="954"/>
      <c r="E147" s="955"/>
      <c r="F147" s="955"/>
      <c r="G147" s="1517" t="s">
        <v>69</v>
      </c>
      <c r="H147" s="136"/>
      <c r="I147" s="136"/>
      <c r="J147" s="136"/>
      <c r="K147" s="136"/>
      <c r="L147" s="136"/>
      <c r="M147" s="136"/>
      <c r="N147" s="136"/>
      <c r="O147" s="136"/>
    </row>
    <row r="148" spans="1:23" ht="14.25" customHeight="1">
      <c r="D148" s="954"/>
      <c r="E148" s="1108"/>
      <c r="L148" s="2120"/>
    </row>
    <row r="149" spans="1:23" s="2814" customFormat="1" ht="15.95" customHeight="1">
      <c r="A149" s="2807"/>
      <c r="B149" s="2807"/>
      <c r="C149" s="2807"/>
      <c r="D149" s="2886"/>
      <c r="E149" s="2811"/>
      <c r="F149" s="2810"/>
      <c r="G149" s="2886" t="s">
        <v>3489</v>
      </c>
      <c r="H149" s="2810"/>
      <c r="I149" s="2810"/>
      <c r="J149" s="2810"/>
      <c r="K149" s="2810"/>
      <c r="L149" s="2810"/>
      <c r="M149" s="2810"/>
      <c r="N149" s="2810"/>
      <c r="O149" s="2810"/>
      <c r="Q149" s="2849"/>
      <c r="R149" s="2849"/>
      <c r="S149" s="2849"/>
      <c r="T149" s="2849"/>
      <c r="U149" s="2849"/>
      <c r="V149" s="2849"/>
      <c r="W149" s="2849"/>
    </row>
    <row r="150" spans="1:23" s="2814" customFormat="1" ht="15.95" customHeight="1" thickBot="1">
      <c r="A150" s="2807"/>
      <c r="B150" s="2807"/>
      <c r="C150" s="2807"/>
      <c r="D150" s="2886"/>
      <c r="E150" s="2811"/>
      <c r="F150" s="2810"/>
      <c r="G150" s="2896" t="s">
        <v>3491</v>
      </c>
      <c r="H150" s="2897"/>
      <c r="I150" s="2897"/>
      <c r="J150" s="2897"/>
      <c r="K150" s="2897"/>
      <c r="L150" s="2897"/>
      <c r="M150" s="2897"/>
      <c r="N150" s="2897"/>
      <c r="O150" s="2898"/>
      <c r="Q150" s="2849"/>
      <c r="R150" s="2849"/>
      <c r="S150" s="2849"/>
      <c r="T150" s="2849"/>
      <c r="U150" s="2849"/>
      <c r="V150" s="2849"/>
      <c r="W150" s="2849"/>
    </row>
    <row r="151" spans="1:23" s="2814" customFormat="1" ht="15.95" customHeight="1" thickBot="1">
      <c r="A151" s="2807"/>
      <c r="B151" s="2807"/>
      <c r="C151" s="2807"/>
      <c r="D151" s="2886"/>
      <c r="E151" s="2811"/>
      <c r="F151" s="2810"/>
      <c r="G151" s="3219" t="s">
        <v>2239</v>
      </c>
      <c r="H151" s="3458" t="s">
        <v>3492</v>
      </c>
      <c r="I151" s="3459"/>
      <c r="J151" s="3459"/>
      <c r="K151" s="3459"/>
      <c r="L151" s="3459"/>
      <c r="M151" s="3459"/>
      <c r="N151" s="3459"/>
      <c r="O151" s="3460"/>
      <c r="Q151" s="2849"/>
      <c r="R151" s="2849"/>
      <c r="S151" s="2849"/>
      <c r="T151" s="2849"/>
      <c r="U151" s="2849"/>
      <c r="V151" s="2849"/>
      <c r="W151" s="2849"/>
    </row>
    <row r="152" spans="1:23" s="2814" customFormat="1" ht="15.95" customHeight="1">
      <c r="A152" s="2807"/>
      <c r="B152" s="2807"/>
      <c r="C152" s="2807"/>
      <c r="D152" s="2886"/>
      <c r="E152" s="2811"/>
      <c r="F152" s="2810"/>
      <c r="G152" s="2899"/>
      <c r="H152"/>
      <c r="I152"/>
      <c r="J152"/>
      <c r="K152"/>
      <c r="L152"/>
      <c r="M152"/>
      <c r="N152"/>
      <c r="O152"/>
      <c r="Q152" s="2849"/>
      <c r="R152" s="2849"/>
      <c r="S152" s="2849"/>
      <c r="T152" s="2849"/>
      <c r="U152" s="2849"/>
      <c r="V152" s="2849"/>
      <c r="W152" s="2849"/>
    </row>
    <row r="153" spans="1:23" ht="23.25" customHeight="1">
      <c r="D153" s="1386">
        <v>2.5</v>
      </c>
      <c r="E153" s="961" t="s">
        <v>1242</v>
      </c>
      <c r="F153" s="961"/>
      <c r="G153" s="1526"/>
      <c r="H153" s="1279"/>
      <c r="I153" s="1279"/>
      <c r="J153" s="1279"/>
      <c r="K153" s="1279"/>
      <c r="L153" s="1527"/>
      <c r="M153" s="1527"/>
      <c r="N153" s="1527"/>
      <c r="O153" s="1527"/>
    </row>
    <row r="154" spans="1:23" s="2822" customFormat="1" ht="15.95" customHeight="1" thickBot="1">
      <c r="A154" s="2820"/>
      <c r="B154" s="2820"/>
      <c r="C154" s="2820"/>
      <c r="D154" s="1457"/>
      <c r="E154" s="1457"/>
      <c r="F154" s="1114"/>
      <c r="G154" s="972"/>
      <c r="H154" s="973"/>
      <c r="I154" s="974" t="s">
        <v>1125</v>
      </c>
      <c r="J154" s="975" t="e">
        <f>重み!M151</f>
        <v>#DIV/0!</v>
      </c>
      <c r="K154" s="1115"/>
      <c r="L154" s="1115"/>
      <c r="M154" s="1115"/>
      <c r="N154" s="1115"/>
      <c r="O154" s="984"/>
      <c r="Q154" s="2895"/>
      <c r="R154" s="2895"/>
      <c r="S154" s="2895"/>
      <c r="T154" s="2895"/>
      <c r="U154" s="2895"/>
      <c r="V154" s="2895"/>
      <c r="W154" s="2895"/>
    </row>
    <row r="155" spans="1:23" s="2822" customFormat="1" ht="15.95" customHeight="1" thickBot="1">
      <c r="A155" s="2820"/>
      <c r="B155" s="2820" t="s">
        <v>440</v>
      </c>
      <c r="C155" s="2820"/>
      <c r="D155" s="954"/>
      <c r="E155" s="1110"/>
      <c r="F155" s="978">
        <v>3</v>
      </c>
      <c r="G155" s="1095" t="s">
        <v>384</v>
      </c>
      <c r="H155" s="983"/>
      <c r="I155" s="983"/>
      <c r="J155" s="983"/>
      <c r="K155" s="983"/>
      <c r="L155" s="1316"/>
      <c r="M155" s="983"/>
      <c r="N155" s="1095"/>
      <c r="O155" s="984"/>
      <c r="Q155" s="2895"/>
      <c r="R155" s="2895"/>
      <c r="S155" s="2895"/>
      <c r="T155" s="2895"/>
      <c r="U155" s="2895"/>
      <c r="V155" s="2895"/>
      <c r="W155" s="2895"/>
    </row>
    <row r="156" spans="1:23" s="2822" customFormat="1" ht="15.95" customHeight="1">
      <c r="A156" s="2820"/>
      <c r="B156" s="2820">
        <v>1</v>
      </c>
      <c r="C156" s="2820">
        <v>1</v>
      </c>
      <c r="D156" s="954"/>
      <c r="E156" s="1110"/>
      <c r="F156" s="985" t="str">
        <f>IF(F155=$S$16,$T$10,IF(ROUNDDOWN(F155,0)=$S$10,$U$10,$T$10))</f>
        <v>　レベル　1</v>
      </c>
      <c r="G156" s="2758" t="s">
        <v>3493</v>
      </c>
      <c r="H156" s="2757"/>
      <c r="I156" s="2757"/>
      <c r="J156" s="2757"/>
      <c r="K156" s="2757"/>
      <c r="L156" s="1317"/>
      <c r="M156" s="2757"/>
      <c r="N156" s="2900"/>
      <c r="O156" s="2901"/>
      <c r="Q156" s="2895"/>
      <c r="R156" s="2895"/>
      <c r="S156" s="2895"/>
      <c r="T156" s="2895"/>
      <c r="U156" s="2895"/>
      <c r="V156" s="2895"/>
      <c r="W156" s="2895"/>
    </row>
    <row r="157" spans="1:23" s="2822" customFormat="1" ht="15.95" customHeight="1">
      <c r="A157" s="2820"/>
      <c r="B157" s="2820">
        <v>2</v>
      </c>
      <c r="C157" s="2820">
        <v>2</v>
      </c>
      <c r="D157" s="954"/>
      <c r="E157" s="1110"/>
      <c r="F157" s="990" t="str">
        <f>IF(F155=$S$16,$T$11,IF(ROUNDDOWN(F155,0)=$S$11,$U$11,$T$11))</f>
        <v>　レベル　2</v>
      </c>
      <c r="G157" s="2760" t="s">
        <v>3494</v>
      </c>
      <c r="H157" s="2759"/>
      <c r="I157" s="2759"/>
      <c r="J157" s="2759"/>
      <c r="K157" s="2759"/>
      <c r="L157" s="1318"/>
      <c r="M157" s="2759"/>
      <c r="N157" s="2902"/>
      <c r="O157" s="2903"/>
      <c r="Q157" s="2895"/>
      <c r="R157" s="2895"/>
      <c r="S157" s="2895"/>
      <c r="T157" s="2895"/>
      <c r="U157" s="2895"/>
      <c r="V157" s="2895"/>
      <c r="W157" s="2895"/>
    </row>
    <row r="158" spans="1:23" s="2822" customFormat="1" ht="32.1" customHeight="1">
      <c r="A158" s="2820"/>
      <c r="B158" s="2820">
        <v>3</v>
      </c>
      <c r="C158" s="2820">
        <v>3</v>
      </c>
      <c r="D158" s="954"/>
      <c r="E158" s="1110"/>
      <c r="F158" s="990" t="str">
        <f>IF(F155=$S$16,$T$12,IF(ROUNDDOWN(F155,0)=$S$12,$U$12,$T$12))</f>
        <v>■レベル　3</v>
      </c>
      <c r="G158" s="3397" t="s">
        <v>3495</v>
      </c>
      <c r="H158" s="3758"/>
      <c r="I158" s="3758"/>
      <c r="J158" s="3758"/>
      <c r="K158" s="3758"/>
      <c r="L158" s="3758"/>
      <c r="M158" s="3758"/>
      <c r="N158" s="2902"/>
      <c r="O158" s="2903"/>
      <c r="Q158" s="2895"/>
      <c r="R158" s="2895"/>
      <c r="S158" s="2895"/>
      <c r="T158" s="2895"/>
      <c r="U158" s="2895"/>
      <c r="V158" s="2895"/>
      <c r="W158" s="2895"/>
    </row>
    <row r="159" spans="1:23" s="2822" customFormat="1" ht="15.95" customHeight="1">
      <c r="A159" s="2820"/>
      <c r="B159" s="2820">
        <v>4</v>
      </c>
      <c r="C159" s="2820">
        <v>4</v>
      </c>
      <c r="D159" s="954"/>
      <c r="E159" s="1110"/>
      <c r="F159" s="990" t="str">
        <f>IF(F155=$S$16,$T$13,IF(ROUNDDOWN(F155,0)=$S$13,$U$13,$T$13))</f>
        <v>　レベル　4</v>
      </c>
      <c r="G159" s="2760" t="s">
        <v>3496</v>
      </c>
      <c r="H159" s="2759"/>
      <c r="I159" s="2759"/>
      <c r="J159" s="2759"/>
      <c r="K159" s="2759"/>
      <c r="L159" s="1318"/>
      <c r="M159" s="2759"/>
      <c r="N159" s="2902"/>
      <c r="O159" s="2903"/>
      <c r="Q159" s="2895"/>
      <c r="R159" s="2895"/>
      <c r="S159" s="2895"/>
      <c r="T159" s="2895"/>
      <c r="U159" s="2895"/>
      <c r="V159" s="2895"/>
      <c r="W159" s="2895"/>
    </row>
    <row r="160" spans="1:23" s="2822" customFormat="1" ht="15.95" customHeight="1">
      <c r="A160" s="2820"/>
      <c r="B160" s="2820">
        <v>5</v>
      </c>
      <c r="C160" s="2820">
        <v>5</v>
      </c>
      <c r="D160" s="954"/>
      <c r="E160" s="1110"/>
      <c r="F160" s="1001" t="str">
        <f>IF(F155=$S$16,$T$14,IF(ROUNDDOWN(F155,0)=$S$14,$U$14,$T$14))</f>
        <v>　レベル　5</v>
      </c>
      <c r="G160" s="2755" t="s">
        <v>3497</v>
      </c>
      <c r="H160" s="2756"/>
      <c r="I160" s="2756"/>
      <c r="J160" s="2756"/>
      <c r="K160" s="2756"/>
      <c r="L160" s="1319"/>
      <c r="M160" s="2756"/>
      <c r="N160" s="2904"/>
      <c r="O160" s="2905"/>
      <c r="Q160" s="2895"/>
      <c r="R160" s="2895"/>
      <c r="S160" s="2895"/>
      <c r="T160" s="2895"/>
      <c r="U160" s="2895"/>
      <c r="V160" s="2895"/>
      <c r="W160" s="2895"/>
    </row>
    <row r="161" spans="1:23" s="2814" customFormat="1" ht="15.95" customHeight="1">
      <c r="A161" s="2807"/>
      <c r="B161" s="2808">
        <v>0</v>
      </c>
      <c r="C161" s="2808">
        <v>0</v>
      </c>
      <c r="D161" s="2811"/>
      <c r="E161" s="2810"/>
      <c r="F161" s="2810"/>
      <c r="Q161" s="2849"/>
      <c r="R161" s="2849"/>
      <c r="S161" s="2849"/>
      <c r="T161" s="2849"/>
      <c r="U161" s="2849"/>
      <c r="V161" s="2849"/>
      <c r="W161" s="2849"/>
    </row>
    <row r="162" spans="1:23" s="2814" customFormat="1" ht="15.95" customHeight="1">
      <c r="A162" s="2807"/>
      <c r="B162" s="2807"/>
      <c r="C162" s="2807"/>
      <c r="D162" s="2886"/>
      <c r="E162" s="2811"/>
      <c r="F162" s="2810"/>
      <c r="G162" s="2886" t="s">
        <v>3489</v>
      </c>
      <c r="H162" s="2810"/>
      <c r="I162" s="2810"/>
      <c r="J162" s="2810"/>
      <c r="K162" s="2810"/>
      <c r="L162" s="2810"/>
      <c r="M162" s="2810"/>
      <c r="N162" s="2810"/>
      <c r="O162" s="2810"/>
      <c r="Q162" s="2849"/>
      <c r="R162" s="2849"/>
      <c r="S162" s="2849"/>
      <c r="T162" s="2849"/>
      <c r="U162" s="2849"/>
      <c r="V162" s="2849"/>
      <c r="W162" s="2849"/>
    </row>
    <row r="163" spans="1:23" s="2814" customFormat="1" ht="15.95" customHeight="1" thickBot="1">
      <c r="A163" s="2807"/>
      <c r="B163" s="2807"/>
      <c r="C163" s="2807"/>
      <c r="D163" s="2886"/>
      <c r="E163" s="2811"/>
      <c r="F163" s="2810"/>
      <c r="G163" s="2896" t="s">
        <v>27</v>
      </c>
      <c r="H163" s="2897"/>
      <c r="I163" s="2897"/>
      <c r="J163" s="2897"/>
      <c r="K163" s="2897"/>
      <c r="L163" s="2897"/>
      <c r="M163" s="2897"/>
      <c r="N163" s="2897"/>
      <c r="O163" s="2898"/>
      <c r="Q163" s="2849"/>
      <c r="R163" s="2849"/>
      <c r="S163" s="2849"/>
      <c r="T163" s="2849"/>
      <c r="U163" s="2849"/>
      <c r="V163" s="2849"/>
      <c r="W163" s="2849"/>
    </row>
    <row r="164" spans="1:23" s="2814" customFormat="1" ht="15.95" customHeight="1" thickBot="1">
      <c r="A164" s="2807"/>
      <c r="B164" s="2807"/>
      <c r="C164" s="2807"/>
      <c r="D164" s="2886"/>
      <c r="E164" s="2811"/>
      <c r="F164" s="2810"/>
      <c r="G164" s="3219" t="s">
        <v>2239</v>
      </c>
      <c r="H164" s="3458" t="s">
        <v>3492</v>
      </c>
      <c r="I164" s="3459"/>
      <c r="J164" s="3459"/>
      <c r="K164" s="3459"/>
      <c r="L164" s="3459"/>
      <c r="M164" s="3459"/>
      <c r="N164" s="3459"/>
      <c r="O164" s="3460"/>
      <c r="Q164" s="2849"/>
      <c r="R164" s="2849"/>
      <c r="S164" s="2849"/>
      <c r="T164" s="2849"/>
      <c r="U164" s="2849"/>
      <c r="V164" s="2849"/>
      <c r="W164" s="2849"/>
    </row>
    <row r="165" spans="1:23" s="2814" customFormat="1" ht="15.95" customHeight="1">
      <c r="A165" s="2807"/>
      <c r="B165" s="2807"/>
      <c r="C165" s="2807"/>
      <c r="D165" s="2886"/>
      <c r="E165" s="2811"/>
      <c r="F165" s="2810"/>
      <c r="G165" s="2899"/>
      <c r="H165"/>
      <c r="I165"/>
      <c r="J165"/>
      <c r="K165"/>
      <c r="L165"/>
      <c r="M165"/>
      <c r="N165"/>
      <c r="O165"/>
      <c r="Q165" s="2849"/>
      <c r="R165" s="2849"/>
      <c r="S165" s="2849"/>
      <c r="T165" s="2849"/>
      <c r="U165" s="2849"/>
      <c r="V165" s="2849"/>
      <c r="W165" s="2849"/>
    </row>
    <row r="166" spans="1:23" ht="14.25" customHeight="1">
      <c r="D166" s="1386">
        <v>2.6</v>
      </c>
      <c r="E166" s="961" t="s">
        <v>3322</v>
      </c>
      <c r="F166" s="961"/>
      <c r="G166" s="1279"/>
      <c r="H166" s="1279"/>
      <c r="I166" s="1279"/>
      <c r="J166" s="1279"/>
      <c r="K166" s="1279"/>
      <c r="L166" s="1527"/>
      <c r="M166" s="1527"/>
      <c r="N166" s="1527"/>
      <c r="O166" s="1527"/>
    </row>
    <row r="167" spans="1:23" ht="15" thickBot="1">
      <c r="D167" s="1528"/>
      <c r="E167" s="1528"/>
      <c r="F167" s="1114"/>
      <c r="G167" s="972"/>
      <c r="H167" s="973"/>
      <c r="I167" s="974" t="s">
        <v>1125</v>
      </c>
      <c r="J167" s="975" t="e">
        <f>重み!M152</f>
        <v>#DIV/0!</v>
      </c>
      <c r="K167" s="1115"/>
      <c r="L167" s="1115"/>
      <c r="M167" s="1115"/>
      <c r="N167" s="1115"/>
      <c r="O167" s="984"/>
    </row>
    <row r="168" spans="1:23" ht="16.5" thickBot="1">
      <c r="D168" s="954"/>
      <c r="E168" s="1110"/>
      <c r="F168" s="1348">
        <f>IF(COUNTIF(G176:G179,"○")&lt;1,3,IF(COUNTIF(G176:G179,"○")=1,4,IF(COUNTIF(G176:G179,"○")&gt;=2,5)))</f>
        <v>3</v>
      </c>
      <c r="G168" s="982" t="s">
        <v>384</v>
      </c>
      <c r="H168" s="983"/>
      <c r="I168" s="983"/>
      <c r="J168" s="983"/>
      <c r="K168" s="983"/>
      <c r="L168" s="1316"/>
      <c r="M168" s="983"/>
      <c r="N168" s="983"/>
      <c r="O168" s="984"/>
    </row>
    <row r="169" spans="1:23" ht="19.5" customHeight="1">
      <c r="D169" s="954"/>
      <c r="E169" s="1110"/>
      <c r="F169" s="985" t="str">
        <f>IF(F168=$S$16,$T$10,IF(ROUNDDOWN(F168,0)=$S$10,$U$10,$T$10))</f>
        <v>　レベル　1</v>
      </c>
      <c r="G169" s="987" t="s">
        <v>1795</v>
      </c>
      <c r="H169" s="988"/>
      <c r="I169" s="988"/>
      <c r="J169" s="988"/>
      <c r="K169" s="988"/>
      <c r="L169" s="1317"/>
      <c r="M169" s="988"/>
      <c r="N169" s="988"/>
      <c r="O169" s="989"/>
    </row>
    <row r="170" spans="1:23" ht="19.5" customHeight="1">
      <c r="D170" s="954"/>
      <c r="E170" s="1110"/>
      <c r="F170" s="990" t="str">
        <f>IF(F168=$S$16,$T$11,IF(ROUNDDOWN(F168,0)=$S$11,$U$11,$T$11))</f>
        <v>　レベル　2</v>
      </c>
      <c r="G170" s="994" t="s">
        <v>1795</v>
      </c>
      <c r="H170" s="995"/>
      <c r="I170" s="995"/>
      <c r="J170" s="995"/>
      <c r="K170" s="995"/>
      <c r="L170" s="1318"/>
      <c r="M170" s="995"/>
      <c r="N170" s="995"/>
      <c r="O170" s="996"/>
    </row>
    <row r="171" spans="1:23" ht="19.5" customHeight="1">
      <c r="D171" s="954"/>
      <c r="E171" s="1110"/>
      <c r="F171" s="990" t="str">
        <f>IF(F168=$S$16,$T$12,IF(ROUNDDOWN(F168,0)=$S$12,$U$12,$T$12))</f>
        <v>■レベル　3</v>
      </c>
      <c r="G171" s="994" t="s">
        <v>3323</v>
      </c>
      <c r="H171" s="995"/>
      <c r="I171" s="995"/>
      <c r="J171" s="995"/>
      <c r="K171" s="995"/>
      <c r="L171" s="1318"/>
      <c r="M171" s="995"/>
      <c r="N171" s="995"/>
      <c r="O171" s="996"/>
    </row>
    <row r="172" spans="1:23" ht="19.5" customHeight="1">
      <c r="D172" s="954"/>
      <c r="E172" s="1110"/>
      <c r="F172" s="990" t="str">
        <f>IF(F168=$S$16,$T$13,IF(ROUNDDOWN(F168,0)=$S$13,$U$13,$T$13))</f>
        <v>　レベル　4</v>
      </c>
      <c r="G172" s="994" t="s">
        <v>3324</v>
      </c>
      <c r="H172" s="995"/>
      <c r="I172" s="995"/>
      <c r="J172" s="995"/>
      <c r="K172" s="995"/>
      <c r="L172" s="1318"/>
      <c r="M172" s="995"/>
      <c r="N172" s="995"/>
      <c r="O172" s="996"/>
    </row>
    <row r="173" spans="1:23" ht="19.5" customHeight="1" thickBot="1">
      <c r="D173" s="954"/>
      <c r="E173" s="1110"/>
      <c r="F173" s="1001" t="str">
        <f>IF(F168=$S$16,$T$14,IF(ROUNDDOWN(F168,0)=$S$14,$U$14,$T$14))</f>
        <v>　レベル　5</v>
      </c>
      <c r="G173" s="1005" t="s">
        <v>3325</v>
      </c>
      <c r="H173" s="1006"/>
      <c r="I173" s="1006"/>
      <c r="J173" s="1006"/>
      <c r="K173" s="1006"/>
      <c r="L173" s="1319"/>
      <c r="M173" s="1006"/>
      <c r="N173" s="1006"/>
      <c r="O173" s="1007"/>
    </row>
    <row r="174" spans="1:23" ht="17.25" customHeight="1" thickBot="1">
      <c r="D174" s="954"/>
      <c r="E174" s="1108"/>
      <c r="F174" s="1279"/>
      <c r="G174" s="1350" t="s">
        <v>3282</v>
      </c>
      <c r="H174" s="959"/>
      <c r="I174" s="959"/>
      <c r="J174" s="1529" t="s">
        <v>366</v>
      </c>
      <c r="K174" s="1530">
        <f>COUNTIF(G176:G179,"○")</f>
        <v>0</v>
      </c>
      <c r="L174" s="1340" t="s">
        <v>1781</v>
      </c>
      <c r="M174" s="959"/>
      <c r="N174" s="962"/>
      <c r="O174" s="962"/>
    </row>
    <row r="175" spans="1:23" ht="12.75" customHeight="1" thickBot="1">
      <c r="D175" s="954"/>
      <c r="E175" s="1108"/>
      <c r="F175" s="1279"/>
      <c r="G175" s="1411" t="s">
        <v>957</v>
      </c>
      <c r="H175" s="1401" t="s">
        <v>1415</v>
      </c>
      <c r="I175" s="2122"/>
      <c r="J175" s="2122"/>
      <c r="K175" s="2123"/>
      <c r="L175" s="2124"/>
      <c r="M175" s="2122"/>
      <c r="N175" s="2122"/>
      <c r="O175" s="1531"/>
    </row>
    <row r="176" spans="1:23" ht="15.75">
      <c r="D176" s="954"/>
      <c r="E176" s="1108"/>
      <c r="F176" s="1279"/>
      <c r="G176" s="1298" t="s">
        <v>2239</v>
      </c>
      <c r="H176" s="1314" t="s">
        <v>1243</v>
      </c>
      <c r="I176" s="2122"/>
      <c r="J176" s="2122"/>
      <c r="K176" s="2122"/>
      <c r="L176" s="2124"/>
      <c r="M176" s="2122"/>
      <c r="N176" s="2122"/>
      <c r="O176" s="2125"/>
    </row>
    <row r="177" spans="4:15" ht="15.75">
      <c r="D177" s="954"/>
      <c r="E177" s="1108"/>
      <c r="F177" s="1279"/>
      <c r="G177" s="1301" t="s">
        <v>2239</v>
      </c>
      <c r="H177" s="1256" t="s">
        <v>3215</v>
      </c>
      <c r="I177" s="2126"/>
      <c r="J177" s="2126"/>
      <c r="K177" s="2126"/>
      <c r="L177" s="2127"/>
      <c r="M177" s="2126"/>
      <c r="N177" s="2126"/>
      <c r="O177" s="2128"/>
    </row>
    <row r="178" spans="4:15" ht="15.75">
      <c r="D178" s="954"/>
      <c r="E178" s="1108"/>
      <c r="F178" s="1279"/>
      <c r="G178" s="2198"/>
      <c r="H178" s="2205" t="s">
        <v>39</v>
      </c>
      <c r="I178" s="2206"/>
      <c r="J178" s="2206"/>
      <c r="K178" s="2206"/>
      <c r="L178" s="2207"/>
      <c r="M178" s="2206"/>
      <c r="N178" s="2206"/>
      <c r="O178" s="2208"/>
    </row>
    <row r="179" spans="4:15" ht="16.5" thickBot="1">
      <c r="D179" s="954"/>
      <c r="E179" s="1108"/>
      <c r="F179" s="1279"/>
      <c r="G179" s="1418" t="s">
        <v>2239</v>
      </c>
      <c r="H179" s="1225" t="s">
        <v>3216</v>
      </c>
      <c r="I179" s="2129"/>
      <c r="J179" s="2129"/>
      <c r="K179" s="2129"/>
      <c r="L179" s="2130"/>
      <c r="M179" s="2129"/>
      <c r="N179" s="2129"/>
      <c r="O179" s="2131"/>
    </row>
    <row r="180" spans="4:15" ht="15.75">
      <c r="D180" s="954"/>
      <c r="E180" s="954"/>
      <c r="F180" s="954"/>
      <c r="G180" s="954"/>
      <c r="H180" s="954"/>
      <c r="I180" s="954"/>
      <c r="J180" s="954"/>
      <c r="K180" s="954"/>
      <c r="L180" s="1521"/>
      <c r="M180" s="954"/>
      <c r="N180" s="954"/>
      <c r="O180" s="954"/>
    </row>
    <row r="181" spans="4:15" ht="15.75">
      <c r="D181" s="954">
        <v>3</v>
      </c>
      <c r="E181" s="1091" t="s">
        <v>1066</v>
      </c>
      <c r="F181" s="954"/>
      <c r="G181" s="954"/>
      <c r="H181" s="954"/>
      <c r="I181" s="954"/>
      <c r="J181" s="954"/>
      <c r="K181" s="954"/>
      <c r="L181" s="1521"/>
      <c r="M181" s="954"/>
      <c r="N181" s="954"/>
      <c r="O181" s="954"/>
    </row>
    <row r="182" spans="4:15" ht="15.75">
      <c r="D182" s="1386">
        <v>3.1</v>
      </c>
      <c r="E182" s="961" t="s">
        <v>1067</v>
      </c>
      <c r="F182" s="961"/>
      <c r="G182" s="954"/>
      <c r="H182" s="954"/>
      <c r="I182" s="954"/>
      <c r="J182" s="954"/>
      <c r="K182" s="954"/>
      <c r="L182" s="1521"/>
      <c r="M182" s="954"/>
      <c r="N182" s="954"/>
      <c r="O182" s="954"/>
    </row>
    <row r="183" spans="4:15" ht="13.5" customHeight="1" thickBot="1">
      <c r="D183" s="1457"/>
      <c r="E183" s="1457"/>
      <c r="F183" s="1114"/>
      <c r="G183" s="972"/>
      <c r="H183" s="973"/>
      <c r="I183" s="974" t="s">
        <v>1125</v>
      </c>
      <c r="J183" s="975" t="e">
        <f>重み!M154</f>
        <v>#DIV/0!</v>
      </c>
      <c r="K183" s="1115"/>
      <c r="L183" s="1115"/>
      <c r="M183" s="1115"/>
      <c r="N183" s="1115"/>
      <c r="O183" s="984"/>
    </row>
    <row r="184" spans="4:15" ht="27.75" customHeight="1" thickBot="1">
      <c r="D184" s="954"/>
      <c r="E184" s="1110"/>
      <c r="F184" s="1348">
        <f>IF(K190=0,3,IF(K190=1,4,IF(K190=2,4,IF(K190=3,4,IF(K190&gt;=4,5)))))</f>
        <v>3</v>
      </c>
      <c r="G184" s="982" t="s">
        <v>384</v>
      </c>
      <c r="H184" s="983"/>
      <c r="I184" s="983"/>
      <c r="J184" s="983"/>
      <c r="K184" s="983"/>
      <c r="L184" s="1316"/>
      <c r="M184" s="983"/>
      <c r="N184" s="983"/>
      <c r="O184" s="984"/>
    </row>
    <row r="185" spans="4:15" ht="19.5" customHeight="1">
      <c r="D185" s="954"/>
      <c r="E185" s="1110"/>
      <c r="F185" s="985" t="str">
        <f>IF(F184=$S$16,$T$10,IF(ROUNDDOWN(F184,0)=$S$10,$U$10,$T$10))</f>
        <v>　レベル　1</v>
      </c>
      <c r="G185" s="987" t="s">
        <v>1795</v>
      </c>
      <c r="H185" s="988"/>
      <c r="I185" s="988"/>
      <c r="J185" s="988"/>
      <c r="K185" s="988"/>
      <c r="L185" s="1317"/>
      <c r="M185" s="988"/>
      <c r="N185" s="988"/>
      <c r="O185" s="989"/>
    </row>
    <row r="186" spans="4:15" ht="19.5" customHeight="1">
      <c r="D186" s="954"/>
      <c r="E186" s="1110"/>
      <c r="F186" s="990" t="str">
        <f>IF(F184=$S$16,$T$11,IF(ROUNDDOWN(F184,0)=$S$11,$U$11,$T$11))</f>
        <v>　レベル　2</v>
      </c>
      <c r="G186" s="994" t="s">
        <v>1795</v>
      </c>
      <c r="H186" s="995"/>
      <c r="I186" s="995"/>
      <c r="J186" s="995"/>
      <c r="K186" s="995"/>
      <c r="L186" s="1318"/>
      <c r="M186" s="995"/>
      <c r="N186" s="995"/>
      <c r="O186" s="996"/>
    </row>
    <row r="187" spans="4:15" ht="19.5" customHeight="1">
      <c r="D187" s="954"/>
      <c r="E187" s="1110"/>
      <c r="F187" s="990" t="str">
        <f>IF(F184=$S$16,$T$12,IF(ROUNDDOWN(F184,0)=$S$12,$U$12,$T$12))</f>
        <v>■レベル　3</v>
      </c>
      <c r="G187" s="994" t="s">
        <v>162</v>
      </c>
      <c r="H187" s="995"/>
      <c r="I187" s="995"/>
      <c r="J187" s="995"/>
      <c r="K187" s="995"/>
      <c r="L187" s="1318"/>
      <c r="M187" s="995"/>
      <c r="N187" s="995"/>
      <c r="O187" s="996"/>
    </row>
    <row r="188" spans="4:15" ht="19.5" customHeight="1">
      <c r="D188" s="954"/>
      <c r="E188" s="1110"/>
      <c r="F188" s="990" t="str">
        <f>IF(F184=$S$16,$T$13,IF(ROUNDDOWN(F184,0)=$S$13,$U$13,$T$13))</f>
        <v>　レベル　4</v>
      </c>
      <c r="G188" s="994" t="s">
        <v>163</v>
      </c>
      <c r="H188" s="995"/>
      <c r="I188" s="995"/>
      <c r="J188" s="995"/>
      <c r="K188" s="995"/>
      <c r="L188" s="1318"/>
      <c r="M188" s="995"/>
      <c r="N188" s="995"/>
      <c r="O188" s="996"/>
    </row>
    <row r="189" spans="4:15" ht="19.5" customHeight="1" thickBot="1">
      <c r="D189" s="954"/>
      <c r="E189" s="1110"/>
      <c r="F189" s="1001" t="str">
        <f>IF(F184=$S$16,$T$14,IF(ROUNDDOWN(F184,0)=$S$14,$U$14,$T$14))</f>
        <v>　レベル　5</v>
      </c>
      <c r="G189" s="1005" t="s">
        <v>164</v>
      </c>
      <c r="H189" s="1006"/>
      <c r="I189" s="1006"/>
      <c r="J189" s="1006"/>
      <c r="K189" s="1006"/>
      <c r="L189" s="1319"/>
      <c r="M189" s="1006"/>
      <c r="N189" s="1006"/>
      <c r="O189" s="1007"/>
    </row>
    <row r="190" spans="4:15" ht="21" customHeight="1" thickBot="1">
      <c r="D190" s="954"/>
      <c r="E190" s="955"/>
      <c r="F190" s="1338"/>
      <c r="G190" s="1532" t="s">
        <v>165</v>
      </c>
      <c r="H190" s="463"/>
      <c r="I190" s="463"/>
      <c r="J190" s="1529" t="s">
        <v>366</v>
      </c>
      <c r="K190" s="1530">
        <f>COUNTIF(G193:G212,"無")</f>
        <v>0</v>
      </c>
      <c r="L190" s="1533" t="s">
        <v>1781</v>
      </c>
      <c r="M190" s="955"/>
      <c r="N190" s="955"/>
      <c r="O190" s="955"/>
    </row>
    <row r="191" spans="4:15" ht="15.75">
      <c r="D191" s="954"/>
      <c r="E191" s="955"/>
      <c r="F191" s="1534"/>
      <c r="G191" s="3782" t="s">
        <v>166</v>
      </c>
      <c r="H191" s="1477" t="s">
        <v>167</v>
      </c>
      <c r="I191" s="1535"/>
      <c r="J191" s="1477" t="s">
        <v>2317</v>
      </c>
      <c r="K191" s="1536"/>
      <c r="L191" s="1537"/>
      <c r="M191" s="952"/>
      <c r="N191" s="1283"/>
      <c r="O191" s="1283"/>
    </row>
    <row r="192" spans="4:15" ht="11.25" customHeight="1">
      <c r="D192" s="954"/>
      <c r="E192" s="955"/>
      <c r="F192" s="1538"/>
      <c r="G192" s="3783"/>
      <c r="H192" s="1419"/>
      <c r="I192" s="1539"/>
      <c r="J192" s="1540"/>
      <c r="K192" s="1541"/>
      <c r="L192" s="1542"/>
      <c r="M192" s="952"/>
      <c r="N192" s="1519"/>
      <c r="O192" s="1519"/>
    </row>
    <row r="193" spans="4:15" ht="15" customHeight="1">
      <c r="D193" s="954"/>
      <c r="E193" s="955"/>
      <c r="F193" s="1543"/>
      <c r="G193" s="1544"/>
      <c r="H193" s="1545" t="s">
        <v>2318</v>
      </c>
      <c r="I193" s="1546"/>
      <c r="J193" s="1545" t="s">
        <v>2319</v>
      </c>
      <c r="K193" s="1547"/>
      <c r="L193" s="1548"/>
      <c r="M193" s="952"/>
      <c r="N193" s="1150"/>
      <c r="O193" s="1150"/>
    </row>
    <row r="194" spans="4:15" ht="15" customHeight="1">
      <c r="D194" s="954"/>
      <c r="E194" s="955"/>
      <c r="F194" s="1549"/>
      <c r="G194" s="1550"/>
      <c r="H194" s="1551"/>
      <c r="I194" s="1552"/>
      <c r="J194" s="1553" t="s">
        <v>2320</v>
      </c>
      <c r="K194" s="1554"/>
      <c r="L194" s="1552"/>
      <c r="M194" s="952"/>
      <c r="N194" s="156"/>
      <c r="O194" s="156"/>
    </row>
    <row r="195" spans="4:15" ht="15" customHeight="1">
      <c r="D195" s="954"/>
      <c r="E195" s="955"/>
      <c r="F195" s="1555"/>
      <c r="G195" s="1550"/>
      <c r="H195" s="1551"/>
      <c r="I195" s="1552"/>
      <c r="J195" s="1553" t="s">
        <v>2321</v>
      </c>
      <c r="K195" s="1554"/>
      <c r="L195" s="1552"/>
      <c r="M195" s="952"/>
      <c r="N195" s="1556"/>
      <c r="O195" s="1556"/>
    </row>
    <row r="196" spans="4:15" ht="15" customHeight="1">
      <c r="D196" s="954"/>
      <c r="E196" s="955"/>
      <c r="F196" s="1549"/>
      <c r="G196" s="1557"/>
      <c r="H196" s="1558"/>
      <c r="I196" s="1559"/>
      <c r="J196" s="1558" t="s">
        <v>2322</v>
      </c>
      <c r="K196" s="1560"/>
      <c r="L196" s="1561"/>
      <c r="M196" s="952"/>
      <c r="N196" s="156"/>
      <c r="O196" s="156"/>
    </row>
    <row r="197" spans="4:15" ht="15" customHeight="1">
      <c r="D197" s="954"/>
      <c r="E197" s="955"/>
      <c r="F197" s="1549"/>
      <c r="G197" s="1544" t="s">
        <v>2239</v>
      </c>
      <c r="H197" s="1545" t="s">
        <v>2323</v>
      </c>
      <c r="I197" s="1546"/>
      <c r="J197" s="1545" t="s">
        <v>2324</v>
      </c>
      <c r="K197" s="1547"/>
      <c r="L197" s="1548"/>
      <c r="M197" s="952"/>
      <c r="N197" s="156"/>
      <c r="O197" s="156"/>
    </row>
    <row r="198" spans="4:15" ht="15" customHeight="1">
      <c r="D198" s="954"/>
      <c r="E198" s="955"/>
      <c r="F198" s="1549"/>
      <c r="G198" s="1550" t="s">
        <v>2239</v>
      </c>
      <c r="H198" s="1551"/>
      <c r="I198" s="1149"/>
      <c r="J198" s="1551" t="s">
        <v>2325</v>
      </c>
      <c r="K198" s="1562"/>
      <c r="L198" s="1552"/>
      <c r="M198" s="952"/>
      <c r="N198" s="156"/>
      <c r="O198" s="156"/>
    </row>
    <row r="199" spans="4:15" ht="15" customHeight="1">
      <c r="D199" s="954"/>
      <c r="E199" s="955"/>
      <c r="F199" s="1549"/>
      <c r="G199" s="1550" t="s">
        <v>2239</v>
      </c>
      <c r="H199" s="1551"/>
      <c r="I199" s="1149"/>
      <c r="J199" s="1551" t="s">
        <v>2326</v>
      </c>
      <c r="K199" s="1562"/>
      <c r="L199" s="1552"/>
      <c r="M199" s="952"/>
      <c r="N199" s="156"/>
      <c r="O199" s="156"/>
    </row>
    <row r="200" spans="4:15" ht="15" customHeight="1">
      <c r="D200" s="954"/>
      <c r="E200" s="955"/>
      <c r="F200" s="1549"/>
      <c r="G200" s="1557" t="s">
        <v>2239</v>
      </c>
      <c r="H200" s="1558"/>
      <c r="I200" s="1559"/>
      <c r="J200" s="1558" t="s">
        <v>2327</v>
      </c>
      <c r="K200" s="1560"/>
      <c r="L200" s="1561"/>
      <c r="M200" s="952"/>
      <c r="N200" s="156"/>
      <c r="O200" s="156"/>
    </row>
    <row r="201" spans="4:15" ht="15" customHeight="1">
      <c r="D201" s="954"/>
      <c r="E201" s="955"/>
      <c r="F201" s="1563"/>
      <c r="G201" s="1544" t="s">
        <v>2239</v>
      </c>
      <c r="H201" s="1545" t="s">
        <v>2328</v>
      </c>
      <c r="I201" s="1546"/>
      <c r="J201" s="1545" t="s">
        <v>2329</v>
      </c>
      <c r="K201" s="1547"/>
      <c r="L201" s="1548"/>
      <c r="M201" s="952"/>
      <c r="N201" s="1564"/>
      <c r="O201" s="1564"/>
    </row>
    <row r="202" spans="4:15" ht="15" customHeight="1">
      <c r="D202" s="954"/>
      <c r="E202" s="955"/>
      <c r="F202" s="1555"/>
      <c r="G202" s="1557" t="s">
        <v>2239</v>
      </c>
      <c r="H202" s="1558"/>
      <c r="I202" s="1559"/>
      <c r="J202" s="1558" t="s">
        <v>1992</v>
      </c>
      <c r="K202" s="1560"/>
      <c r="L202" s="1561"/>
      <c r="M202" s="952"/>
      <c r="N202" s="1556"/>
      <c r="O202" s="1556"/>
    </row>
    <row r="203" spans="4:15" ht="15" customHeight="1">
      <c r="D203" s="954"/>
      <c r="E203" s="955"/>
      <c r="F203" s="1549"/>
      <c r="G203" s="1544" t="s">
        <v>2239</v>
      </c>
      <c r="H203" s="1545" t="s">
        <v>1993</v>
      </c>
      <c r="I203" s="1546"/>
      <c r="J203" s="1545" t="s">
        <v>1994</v>
      </c>
      <c r="K203" s="1547"/>
      <c r="L203" s="1548"/>
      <c r="M203" s="952"/>
      <c r="N203" s="156"/>
      <c r="O203" s="156"/>
    </row>
    <row r="204" spans="4:15" ht="15" customHeight="1">
      <c r="D204" s="954"/>
      <c r="E204" s="955"/>
      <c r="F204" s="1549"/>
      <c r="G204" s="1550" t="s">
        <v>2239</v>
      </c>
      <c r="H204" s="1551"/>
      <c r="I204" s="1149"/>
      <c r="J204" s="1551" t="s">
        <v>1995</v>
      </c>
      <c r="K204" s="1562"/>
      <c r="L204" s="1552"/>
      <c r="M204" s="952"/>
      <c r="N204" s="156"/>
      <c r="O204" s="156"/>
    </row>
    <row r="205" spans="4:15" ht="15" customHeight="1">
      <c r="D205" s="954"/>
      <c r="E205" s="955"/>
      <c r="F205" s="1549"/>
      <c r="G205" s="1550" t="s">
        <v>2239</v>
      </c>
      <c r="H205" s="1551"/>
      <c r="I205" s="1149"/>
      <c r="J205" s="1551" t="s">
        <v>1996</v>
      </c>
      <c r="K205" s="1562"/>
      <c r="L205" s="1552"/>
      <c r="M205" s="952"/>
      <c r="N205" s="156"/>
      <c r="O205" s="156"/>
    </row>
    <row r="206" spans="4:15" ht="15" customHeight="1">
      <c r="D206" s="954"/>
      <c r="E206" s="955"/>
      <c r="F206" s="1549"/>
      <c r="G206" s="1557" t="s">
        <v>2239</v>
      </c>
      <c r="H206" s="1558"/>
      <c r="I206" s="1559"/>
      <c r="J206" s="1558" t="s">
        <v>1997</v>
      </c>
      <c r="K206" s="1560"/>
      <c r="L206" s="1561"/>
      <c r="M206" s="952"/>
      <c r="N206" s="156"/>
      <c r="O206" s="156"/>
    </row>
    <row r="207" spans="4:15" ht="15" customHeight="1">
      <c r="D207" s="954"/>
      <c r="E207" s="955"/>
      <c r="F207" s="1549"/>
      <c r="G207" s="1544" t="s">
        <v>2239</v>
      </c>
      <c r="H207" s="1545" t="s">
        <v>2312</v>
      </c>
      <c r="I207" s="1546"/>
      <c r="J207" s="1545" t="s">
        <v>2313</v>
      </c>
      <c r="K207" s="1547"/>
      <c r="L207" s="1548"/>
      <c r="M207" s="952"/>
      <c r="N207" s="156"/>
      <c r="O207" s="156"/>
    </row>
    <row r="208" spans="4:15" ht="15" customHeight="1">
      <c r="D208" s="954"/>
      <c r="E208" s="955"/>
      <c r="F208" s="1555"/>
      <c r="G208" s="1557" t="s">
        <v>2239</v>
      </c>
      <c r="H208" s="1558"/>
      <c r="I208" s="1559"/>
      <c r="J208" s="1558" t="s">
        <v>2314</v>
      </c>
      <c r="K208" s="1560"/>
      <c r="L208" s="1561"/>
      <c r="M208" s="952"/>
      <c r="N208" s="1556"/>
      <c r="O208" s="1556"/>
    </row>
    <row r="209" spans="2:15" ht="15" customHeight="1">
      <c r="D209" s="954"/>
      <c r="E209" s="955"/>
      <c r="F209" s="1549"/>
      <c r="G209" s="1544"/>
      <c r="H209" s="1565" t="s">
        <v>2315</v>
      </c>
      <c r="I209" s="1566"/>
      <c r="J209" s="1565" t="s">
        <v>1485</v>
      </c>
      <c r="K209" s="1567"/>
      <c r="L209" s="1566"/>
      <c r="M209" s="952"/>
      <c r="N209" s="156"/>
      <c r="O209" s="156"/>
    </row>
    <row r="210" spans="2:15" ht="15" customHeight="1">
      <c r="D210" s="954"/>
      <c r="E210" s="955"/>
      <c r="F210" s="1549"/>
      <c r="G210" s="1550"/>
      <c r="H210" s="1551" t="s">
        <v>1486</v>
      </c>
      <c r="I210" s="1149"/>
      <c r="J210" s="1551" t="s">
        <v>1487</v>
      </c>
      <c r="K210" s="1562"/>
      <c r="L210" s="1149"/>
      <c r="M210" s="952"/>
      <c r="N210" s="156"/>
      <c r="O210" s="156"/>
    </row>
    <row r="211" spans="2:15" ht="15.75">
      <c r="D211" s="954"/>
      <c r="E211" s="955"/>
      <c r="F211" s="1549"/>
      <c r="G211" s="1550"/>
      <c r="H211" s="1551" t="s">
        <v>1488</v>
      </c>
      <c r="I211" s="1149"/>
      <c r="J211" s="1551" t="s">
        <v>2307</v>
      </c>
      <c r="K211" s="1568"/>
      <c r="L211" s="1569"/>
      <c r="M211" s="952"/>
      <c r="N211" s="156"/>
      <c r="O211" s="156"/>
    </row>
    <row r="212" spans="2:15" ht="15.75">
      <c r="D212" s="954"/>
      <c r="E212" s="955"/>
      <c r="F212" s="1555"/>
      <c r="G212" s="1570"/>
      <c r="H212" s="1571" t="s">
        <v>2723</v>
      </c>
      <c r="I212" s="1572"/>
      <c r="J212" s="1571" t="s">
        <v>2724</v>
      </c>
      <c r="K212" s="1560"/>
      <c r="L212" s="1559"/>
      <c r="M212" s="952"/>
      <c r="N212" s="1556"/>
      <c r="O212" s="1556"/>
    </row>
    <row r="213" spans="2:15">
      <c r="D213" s="1188"/>
      <c r="E213" s="1188"/>
      <c r="F213" s="1188"/>
      <c r="G213" s="1573"/>
      <c r="H213" s="1573"/>
      <c r="I213" s="1573"/>
      <c r="J213" s="1573"/>
      <c r="K213" s="1573"/>
      <c r="L213" s="1574"/>
      <c r="M213" s="1188"/>
      <c r="N213" s="1188"/>
      <c r="O213" s="1188"/>
    </row>
    <row r="214" spans="2:15" ht="13.5" customHeight="1">
      <c r="D214" s="1386">
        <v>3.2</v>
      </c>
      <c r="E214" s="961" t="s">
        <v>1068</v>
      </c>
      <c r="F214" s="961"/>
      <c r="G214" s="1193"/>
      <c r="H214" s="962"/>
      <c r="I214" s="962"/>
      <c r="J214" s="962"/>
      <c r="K214" s="1193"/>
      <c r="L214" s="1456"/>
      <c r="M214" s="962"/>
      <c r="N214" s="1193"/>
      <c r="O214" s="962"/>
    </row>
    <row r="215" spans="2:15" ht="13.5" customHeight="1">
      <c r="D215" s="1386"/>
      <c r="E215" s="961"/>
      <c r="F215" s="1113" t="s">
        <v>2308</v>
      </c>
      <c r="G215" s="1193"/>
      <c r="H215" s="962"/>
      <c r="I215" s="962"/>
      <c r="J215" s="962"/>
      <c r="K215" s="1113" t="s">
        <v>2309</v>
      </c>
      <c r="L215" s="1456"/>
      <c r="M215" s="962"/>
      <c r="N215" s="1193"/>
      <c r="O215" s="962"/>
    </row>
    <row r="216" spans="2:15" ht="13.5" customHeight="1" thickBot="1">
      <c r="D216" s="954"/>
      <c r="E216" s="1110"/>
      <c r="F216" s="971"/>
      <c r="G216" s="972"/>
      <c r="H216" s="973"/>
      <c r="I216" s="974" t="s">
        <v>1125</v>
      </c>
      <c r="J216" s="977" t="e">
        <f>重み!M156</f>
        <v>#DIV/0!</v>
      </c>
      <c r="K216" s="971"/>
      <c r="L216" s="972"/>
      <c r="M216" s="973"/>
      <c r="N216" s="974" t="s">
        <v>1125</v>
      </c>
      <c r="O216" s="977" t="e">
        <f>重み!M157</f>
        <v>#DIV/0!</v>
      </c>
    </row>
    <row r="217" spans="2:15" ht="27" customHeight="1" thickBot="1">
      <c r="D217" s="954"/>
      <c r="E217" s="1110"/>
      <c r="F217" s="978">
        <v>4</v>
      </c>
      <c r="G217" s="982" t="s">
        <v>384</v>
      </c>
      <c r="H217" s="983"/>
      <c r="I217" s="983"/>
      <c r="J217" s="1095" t="s">
        <v>1087</v>
      </c>
      <c r="K217" s="978">
        <v>3</v>
      </c>
      <c r="L217" s="1575" t="s">
        <v>384</v>
      </c>
      <c r="M217" s="983"/>
      <c r="N217" s="983"/>
      <c r="O217" s="984"/>
    </row>
    <row r="218" spans="2:15" ht="33" customHeight="1">
      <c r="B218" s="1">
        <v>1</v>
      </c>
      <c r="C218" s="1576" t="s">
        <v>2725</v>
      </c>
      <c r="D218" s="954"/>
      <c r="E218" s="1110"/>
      <c r="F218" s="985" t="str">
        <f>IF(F217=$S$16,$T$10,IF(ROUNDDOWN(F217,0)=$S$10,$U$10,$T$10))</f>
        <v>　レベル　1</v>
      </c>
      <c r="G218" s="3401" t="s">
        <v>2310</v>
      </c>
      <c r="H218" s="3427"/>
      <c r="I218" s="3402"/>
      <c r="J218" s="3764" t="s">
        <v>3217</v>
      </c>
      <c r="K218" s="985" t="str">
        <f>IF(K217=$S$16,$T$10,IF(ROUNDDOWN(K217,0)=$S$10,$U$10,$T$10))</f>
        <v>　レベル　1</v>
      </c>
      <c r="L218" s="2649" t="s">
        <v>1795</v>
      </c>
      <c r="M218" s="988"/>
      <c r="N218" s="988"/>
      <c r="O218" s="989"/>
    </row>
    <row r="219" spans="2:15" ht="18.75" customHeight="1">
      <c r="B219" s="1">
        <v>2</v>
      </c>
      <c r="C219" s="1576" t="s">
        <v>2725</v>
      </c>
      <c r="D219" s="954"/>
      <c r="E219" s="1110"/>
      <c r="F219" s="990" t="str">
        <f>IF(F217=$S$16,$T$11,IF(ROUNDDOWN(F217,0)=$S$11,$U$11,$T$11))</f>
        <v>　レベル　2</v>
      </c>
      <c r="G219" s="994" t="s">
        <v>2311</v>
      </c>
      <c r="H219" s="995"/>
      <c r="I219" s="995"/>
      <c r="J219" s="3765"/>
      <c r="K219" s="990" t="str">
        <f>IF(K217=$S$16,$T$11,IF(ROUNDDOWN(K217,0)=$S$11,$U$11,$T$11))</f>
        <v>　レベル　2</v>
      </c>
      <c r="L219" s="2649" t="s">
        <v>1795</v>
      </c>
      <c r="M219" s="995"/>
      <c r="N219" s="995"/>
      <c r="O219" s="996"/>
    </row>
    <row r="220" spans="2:15" ht="33" customHeight="1">
      <c r="B220" s="1" t="s">
        <v>948</v>
      </c>
      <c r="C220" s="1">
        <v>3</v>
      </c>
      <c r="D220" s="954"/>
      <c r="E220" s="1110"/>
      <c r="F220" s="990" t="str">
        <f>IF(F217=$S$16,$T$12,IF(ROUNDDOWN(F217,0)=$S$12,$U$12,$T$12))</f>
        <v>　レベル　3</v>
      </c>
      <c r="G220" s="994" t="s">
        <v>1795</v>
      </c>
      <c r="H220" s="995"/>
      <c r="I220" s="995"/>
      <c r="J220" s="3765"/>
      <c r="K220" s="990" t="str">
        <f>IF(K217=$S$16,$T$12,IF(ROUNDDOWN(K217,0)=$S$12,$U$12,$T$12))</f>
        <v>■レベル　3</v>
      </c>
      <c r="L220" s="3397" t="s">
        <v>2727</v>
      </c>
      <c r="M220" s="3398"/>
      <c r="N220" s="3398"/>
      <c r="O220" s="3399"/>
    </row>
    <row r="221" spans="2:15" ht="33" customHeight="1">
      <c r="B221" s="1">
        <v>4</v>
      </c>
      <c r="C221" s="1">
        <v>4</v>
      </c>
      <c r="D221" s="954"/>
      <c r="E221" s="1110"/>
      <c r="F221" s="990" t="str">
        <f>IF(F217=$S$16,$T$13,IF(ROUNDDOWN(F217,0)=$S$13,$U$13,$T$13))</f>
        <v>■レベル　4</v>
      </c>
      <c r="G221" s="3397" t="s">
        <v>3218</v>
      </c>
      <c r="H221" s="3398"/>
      <c r="I221" s="3399"/>
      <c r="J221" s="3765"/>
      <c r="K221" s="990" t="str">
        <f>IF(K217=$S$16,$T$13,IF(ROUNDDOWN(K217,0)=$S$13,$U$13,$T$13))</f>
        <v>　レベル　4</v>
      </c>
      <c r="L221" s="3397" t="s">
        <v>2726</v>
      </c>
      <c r="M221" s="3398"/>
      <c r="N221" s="3398"/>
      <c r="O221" s="3399"/>
    </row>
    <row r="222" spans="2:15" ht="45.75" customHeight="1">
      <c r="B222" s="1" t="s">
        <v>949</v>
      </c>
      <c r="C222" s="1">
        <v>5</v>
      </c>
      <c r="D222" s="954"/>
      <c r="E222" s="1108"/>
      <c r="F222" s="1001" t="str">
        <f>IF(F217=$S$16,$T$14,IF(ROUNDDOWN(F217,0)=$S$14,$U$14,$T$14))</f>
        <v>　レベル　5</v>
      </c>
      <c r="G222" s="1005" t="s">
        <v>1795</v>
      </c>
      <c r="H222" s="1006"/>
      <c r="I222" s="1006"/>
      <c r="J222" s="3766"/>
      <c r="K222" s="1001" t="str">
        <f>IF(K217=$S$16,$T$14,IF(ROUNDDOWN(K217,0)=$S$14,$U$14,$T$14))</f>
        <v>　レベル　5</v>
      </c>
      <c r="L222" s="3394" t="s">
        <v>3219</v>
      </c>
      <c r="M222" s="3449"/>
      <c r="N222" s="3449"/>
      <c r="O222" s="3400"/>
    </row>
    <row r="223" spans="2:15" ht="13.5" customHeight="1">
      <c r="B223" s="1008">
        <v>0</v>
      </c>
      <c r="C223" s="1008">
        <v>0</v>
      </c>
      <c r="D223" s="954"/>
      <c r="E223" s="1108"/>
      <c r="F223" s="1279"/>
      <c r="G223" s="1279"/>
      <c r="H223" s="1279"/>
      <c r="I223" s="1279"/>
      <c r="J223" s="1279"/>
      <c r="K223" s="1279"/>
      <c r="L223" s="1527"/>
      <c r="M223" s="1527"/>
      <c r="N223" s="1527"/>
      <c r="O223" s="1527"/>
    </row>
    <row r="224" spans="2:15" ht="13.5" customHeight="1">
      <c r="D224" s="954"/>
      <c r="E224" s="1108"/>
      <c r="F224" s="1113" t="s">
        <v>1759</v>
      </c>
      <c r="G224" s="1279"/>
      <c r="H224" s="1279"/>
      <c r="I224" s="1279"/>
      <c r="J224" s="1279"/>
      <c r="K224" s="1279"/>
      <c r="L224" s="1527"/>
      <c r="M224" s="1527"/>
      <c r="N224" s="1527"/>
      <c r="O224" s="1527"/>
    </row>
    <row r="225" spans="2:15" ht="13.5" customHeight="1" thickBot="1">
      <c r="D225" s="954"/>
      <c r="E225" s="1108"/>
      <c r="F225" s="971"/>
      <c r="G225" s="972"/>
      <c r="H225" s="973"/>
      <c r="I225" s="974" t="s">
        <v>1125</v>
      </c>
      <c r="J225" s="977" t="e">
        <f>重み!M158</f>
        <v>#DIV/0!</v>
      </c>
      <c r="K225" s="1279"/>
      <c r="L225" s="1527"/>
      <c r="M225" s="1527"/>
      <c r="N225" s="1527"/>
      <c r="O225" s="1527"/>
    </row>
    <row r="226" spans="2:15" ht="27.75" customHeight="1" thickBot="1">
      <c r="D226" s="954"/>
      <c r="E226" s="1108"/>
      <c r="F226" s="978">
        <v>3</v>
      </c>
      <c r="G226" s="982" t="s">
        <v>384</v>
      </c>
      <c r="H226" s="983"/>
      <c r="I226" s="983"/>
      <c r="J226" s="984"/>
      <c r="K226" s="1121" t="s">
        <v>1087</v>
      </c>
      <c r="L226" s="1527"/>
      <c r="M226" s="1527"/>
      <c r="N226" s="1527"/>
      <c r="O226" s="1527"/>
    </row>
    <row r="227" spans="2:15" ht="24.75" customHeight="1">
      <c r="B227" s="1" t="s">
        <v>2385</v>
      </c>
      <c r="C227" s="1">
        <v>1</v>
      </c>
      <c r="D227" s="954"/>
      <c r="E227" s="1108"/>
      <c r="F227" s="985" t="str">
        <f>IF(F226=$S$16,$T$10,IF(ROUNDDOWN(F226,0)=$S$10,$U$10,$T$10))</f>
        <v>　レベル　1</v>
      </c>
      <c r="G227" s="3401" t="s">
        <v>1795</v>
      </c>
      <c r="H227" s="3780"/>
      <c r="I227" s="3780"/>
      <c r="J227" s="3781"/>
      <c r="K227" s="3764" t="s">
        <v>3220</v>
      </c>
      <c r="L227" s="1527"/>
      <c r="M227" s="1527"/>
      <c r="N227" s="1527"/>
      <c r="O227" s="1527"/>
    </row>
    <row r="228" spans="2:15" ht="24.75" customHeight="1">
      <c r="B228" s="1">
        <v>2</v>
      </c>
      <c r="C228" s="1">
        <v>2</v>
      </c>
      <c r="D228" s="954"/>
      <c r="E228" s="1108"/>
      <c r="F228" s="990" t="str">
        <f>IF(F226=$S$16,$T$11,IF(ROUNDDOWN(F226,0)=$S$11,$U$11,$T$11))</f>
        <v>　レベル　2</v>
      </c>
      <c r="G228" s="3397" t="s">
        <v>1760</v>
      </c>
      <c r="H228" s="3476"/>
      <c r="I228" s="3476"/>
      <c r="J228" s="3477"/>
      <c r="K228" s="3765"/>
      <c r="L228" s="1527"/>
      <c r="M228" s="1527"/>
      <c r="N228" s="1527"/>
      <c r="O228" s="1527"/>
    </row>
    <row r="229" spans="2:15" ht="24.75" customHeight="1">
      <c r="B229" s="1">
        <v>3</v>
      </c>
      <c r="C229" s="1">
        <v>3</v>
      </c>
      <c r="D229" s="954"/>
      <c r="E229" s="1108"/>
      <c r="F229" s="990" t="str">
        <f>IF(F226=$S$16,$T$12,IF(ROUNDDOWN(F226,0)=$S$12,$U$12,$T$12))</f>
        <v>■レベル　3</v>
      </c>
      <c r="G229" s="3397" t="s">
        <v>1761</v>
      </c>
      <c r="H229" s="3476"/>
      <c r="I229" s="3476"/>
      <c r="J229" s="3477"/>
      <c r="K229" s="3765"/>
      <c r="L229" s="1527"/>
      <c r="M229" s="1527"/>
      <c r="N229" s="1527"/>
      <c r="O229" s="1527"/>
    </row>
    <row r="230" spans="2:15" ht="40.5" customHeight="1">
      <c r="B230" s="1">
        <v>4</v>
      </c>
      <c r="C230" s="1">
        <v>4</v>
      </c>
      <c r="D230" s="954"/>
      <c r="E230" s="1108"/>
      <c r="F230" s="990" t="str">
        <f>IF(F226=$S$16,$T$13,IF(ROUNDDOWN(F226,0)=$S$13,$U$13,$T$13))</f>
        <v>　レベル　4</v>
      </c>
      <c r="G230" s="3397" t="s">
        <v>3221</v>
      </c>
      <c r="H230" s="3476"/>
      <c r="I230" s="3476"/>
      <c r="J230" s="3477"/>
      <c r="K230" s="3765"/>
      <c r="L230" s="1527"/>
      <c r="M230" s="1527"/>
      <c r="N230" s="1527"/>
      <c r="O230" s="1527"/>
    </row>
    <row r="231" spans="2:15" ht="24.75" customHeight="1">
      <c r="B231" s="1" t="s">
        <v>2385</v>
      </c>
      <c r="C231" s="1">
        <v>5</v>
      </c>
      <c r="D231" s="954"/>
      <c r="E231" s="1108"/>
      <c r="F231" s="1001" t="str">
        <f>IF(F226=$S$16,$T$14,IF(ROUNDDOWN(F226,0)=$S$14,$U$14,$T$14))</f>
        <v>　レベル　5</v>
      </c>
      <c r="G231" s="3394" t="s">
        <v>1795</v>
      </c>
      <c r="H231" s="3474"/>
      <c r="I231" s="3474"/>
      <c r="J231" s="3475"/>
      <c r="K231" s="3766"/>
      <c r="L231" s="1527"/>
      <c r="M231" s="1527"/>
      <c r="N231" s="1527"/>
      <c r="O231" s="1527"/>
    </row>
    <row r="232" spans="2:15" ht="13.5" customHeight="1">
      <c r="B232" s="1008">
        <v>0</v>
      </c>
      <c r="C232" s="1008">
        <v>0</v>
      </c>
      <c r="D232" s="954"/>
      <c r="E232" s="955"/>
      <c r="F232" s="1577" t="s">
        <v>1762</v>
      </c>
      <c r="G232" s="1578"/>
      <c r="H232" s="1578"/>
      <c r="I232" s="1578"/>
      <c r="J232" s="1578"/>
      <c r="K232" s="1578"/>
      <c r="L232" s="1579"/>
      <c r="M232" s="1527"/>
      <c r="N232" s="1527"/>
      <c r="O232" s="1527"/>
    </row>
    <row r="233" spans="2:15" ht="13.5" customHeight="1">
      <c r="D233" s="954"/>
      <c r="E233" s="955"/>
      <c r="F233" s="1580" t="s">
        <v>1763</v>
      </c>
      <c r="G233" s="1581"/>
      <c r="H233" s="1582"/>
      <c r="I233" s="1583" t="s">
        <v>1764</v>
      </c>
      <c r="J233" s="1584"/>
      <c r="K233" s="1584"/>
      <c r="L233" s="1585"/>
      <c r="M233" s="1584"/>
      <c r="N233" s="1584"/>
      <c r="O233" s="1586"/>
    </row>
    <row r="234" spans="2:15" ht="13.5" customHeight="1">
      <c r="D234" s="954"/>
      <c r="E234" s="955"/>
      <c r="F234" s="1097" t="s">
        <v>559</v>
      </c>
      <c r="G234" s="1580" t="s">
        <v>835</v>
      </c>
      <c r="H234" s="1582"/>
      <c r="I234" s="1587" t="s">
        <v>3222</v>
      </c>
      <c r="J234" s="1588"/>
      <c r="K234" s="1588"/>
      <c r="L234" s="1589"/>
      <c r="M234" s="1588"/>
      <c r="N234" s="1588"/>
      <c r="O234" s="1590"/>
    </row>
    <row r="235" spans="2:15" ht="13.5" customHeight="1">
      <c r="D235" s="954"/>
      <c r="E235" s="955"/>
      <c r="F235" s="1591"/>
      <c r="G235" s="1580" t="s">
        <v>560</v>
      </c>
      <c r="H235" s="1582"/>
      <c r="I235" s="1580" t="s">
        <v>3223</v>
      </c>
      <c r="J235" s="1581"/>
      <c r="K235" s="1581"/>
      <c r="L235" s="1592"/>
      <c r="M235" s="1581"/>
      <c r="N235" s="1581"/>
      <c r="O235" s="1582"/>
    </row>
    <row r="236" spans="2:15" ht="13.5" customHeight="1">
      <c r="D236" s="954"/>
      <c r="E236" s="955"/>
      <c r="F236" s="1591"/>
      <c r="G236" s="1580" t="s">
        <v>561</v>
      </c>
      <c r="H236" s="1582"/>
      <c r="I236" s="1580" t="s">
        <v>3224</v>
      </c>
      <c r="J236" s="1581"/>
      <c r="K236" s="1581"/>
      <c r="L236" s="1592"/>
      <c r="M236" s="1581"/>
      <c r="N236" s="1581"/>
      <c r="O236" s="1582"/>
    </row>
    <row r="237" spans="2:15" ht="13.5" customHeight="1">
      <c r="D237" s="954"/>
      <c r="E237" s="955"/>
      <c r="F237" s="1591"/>
      <c r="G237" s="1580" t="s">
        <v>562</v>
      </c>
      <c r="H237" s="1582"/>
      <c r="I237" s="1580" t="s">
        <v>3225</v>
      </c>
      <c r="J237" s="1581"/>
      <c r="K237" s="1581"/>
      <c r="L237" s="1592"/>
      <c r="M237" s="1581"/>
      <c r="N237" s="1581"/>
      <c r="O237" s="1582"/>
    </row>
    <row r="238" spans="2:15" ht="13.5" customHeight="1">
      <c r="D238" s="954"/>
      <c r="E238" s="955"/>
      <c r="F238" s="1440"/>
      <c r="G238" s="1580" t="s">
        <v>563</v>
      </c>
      <c r="H238" s="1582"/>
      <c r="I238" s="1580" t="s">
        <v>836</v>
      </c>
      <c r="J238" s="1581"/>
      <c r="K238" s="1581"/>
      <c r="L238" s="1592"/>
      <c r="M238" s="1581"/>
      <c r="N238" s="1581"/>
      <c r="O238" s="1582"/>
    </row>
    <row r="239" spans="2:15" ht="13.5" customHeight="1">
      <c r="D239" s="954"/>
      <c r="E239" s="955"/>
      <c r="F239" s="1593" t="s">
        <v>1822</v>
      </c>
      <c r="G239" s="1580" t="s">
        <v>837</v>
      </c>
      <c r="H239" s="1582"/>
      <c r="I239" s="1580" t="s">
        <v>3226</v>
      </c>
      <c r="J239" s="1581"/>
      <c r="K239" s="1581"/>
      <c r="L239" s="1592"/>
      <c r="M239" s="1581"/>
      <c r="N239" s="1581"/>
      <c r="O239" s="1582"/>
    </row>
    <row r="240" spans="2:15" ht="13.5" customHeight="1">
      <c r="D240" s="954"/>
      <c r="E240" s="955"/>
      <c r="F240" s="1593" t="s">
        <v>1823</v>
      </c>
      <c r="G240" s="1580" t="s">
        <v>838</v>
      </c>
      <c r="H240" s="1582"/>
      <c r="I240" s="1580" t="s">
        <v>839</v>
      </c>
      <c r="J240" s="1581"/>
      <c r="K240" s="1581"/>
      <c r="L240" s="1592"/>
      <c r="M240" s="1581"/>
      <c r="N240" s="1581"/>
      <c r="O240" s="1582"/>
    </row>
    <row r="241" spans="4:15" ht="13.5" customHeight="1">
      <c r="D241" s="954"/>
      <c r="E241" s="955"/>
      <c r="F241" s="1593" t="s">
        <v>840</v>
      </c>
      <c r="G241" s="1580" t="s">
        <v>536</v>
      </c>
      <c r="H241" s="1582"/>
      <c r="I241" s="1580" t="s">
        <v>3227</v>
      </c>
      <c r="J241" s="1581"/>
      <c r="K241" s="1581"/>
      <c r="L241" s="1592"/>
      <c r="M241" s="1581"/>
      <c r="N241" s="1581"/>
      <c r="O241" s="1582"/>
    </row>
    <row r="242" spans="4:15" ht="13.5" customHeight="1">
      <c r="D242" s="954"/>
      <c r="E242" s="955"/>
      <c r="F242" s="1594" t="s">
        <v>1824</v>
      </c>
      <c r="G242" s="1279"/>
      <c r="H242" s="1279"/>
      <c r="I242" s="1279"/>
      <c r="J242" s="1279"/>
      <c r="K242" s="1279"/>
      <c r="L242" s="1595"/>
      <c r="M242" s="1527"/>
      <c r="N242" s="1527"/>
      <c r="O242" s="1527"/>
    </row>
    <row r="243" spans="4:15" ht="13.5" customHeight="1">
      <c r="D243" s="954"/>
      <c r="E243" s="955"/>
      <c r="F243" s="1596" t="s">
        <v>1139</v>
      </c>
      <c r="G243" s="1597"/>
      <c r="H243" s="1598"/>
      <c r="I243" s="1599" t="s">
        <v>1140</v>
      </c>
      <c r="J243" s="1600" t="s">
        <v>1141</v>
      </c>
      <c r="K243" s="1601"/>
      <c r="L243" s="1602" t="s">
        <v>1825</v>
      </c>
      <c r="M243" s="1603" t="s">
        <v>1142</v>
      </c>
      <c r="O243" s="1527"/>
    </row>
    <row r="244" spans="4:15" ht="13.5" customHeight="1">
      <c r="D244" s="954"/>
      <c r="E244" s="955"/>
      <c r="F244" s="1604" t="s">
        <v>1143</v>
      </c>
      <c r="G244" s="1605"/>
      <c r="H244" s="1606"/>
      <c r="I244" s="1599" t="s">
        <v>1144</v>
      </c>
      <c r="J244" s="1596" t="s">
        <v>1826</v>
      </c>
      <c r="K244" s="1598"/>
      <c r="L244" s="1607">
        <v>1</v>
      </c>
      <c r="M244" s="1608">
        <v>4750</v>
      </c>
      <c r="O244" s="1527"/>
    </row>
    <row r="245" spans="4:15" ht="13.5" customHeight="1">
      <c r="D245" s="954"/>
      <c r="E245" s="955"/>
      <c r="F245" s="1609"/>
      <c r="G245" s="1610"/>
      <c r="H245" s="1611"/>
      <c r="I245" s="1599" t="s">
        <v>310</v>
      </c>
      <c r="J245" s="1596" t="s">
        <v>1827</v>
      </c>
      <c r="K245" s="1598"/>
      <c r="L245" s="1607">
        <v>0.11</v>
      </c>
      <c r="M245" s="1612">
        <v>725</v>
      </c>
      <c r="O245" s="1527"/>
    </row>
    <row r="246" spans="4:15" ht="13.5" customHeight="1">
      <c r="D246" s="954"/>
      <c r="E246" s="955"/>
      <c r="F246" s="1613" t="s">
        <v>311</v>
      </c>
      <c r="G246" s="1614"/>
      <c r="H246" s="1615"/>
      <c r="I246" s="1596" t="s">
        <v>312</v>
      </c>
      <c r="J246" s="1596" t="s">
        <v>1828</v>
      </c>
      <c r="K246" s="1598"/>
      <c r="L246" s="1607">
        <v>0</v>
      </c>
      <c r="M246" s="1616">
        <v>1430</v>
      </c>
      <c r="O246" s="1527"/>
    </row>
    <row r="247" spans="4:15" ht="13.5" customHeight="1">
      <c r="D247" s="954"/>
      <c r="E247" s="955"/>
      <c r="F247" s="1617"/>
      <c r="G247" s="1618"/>
      <c r="H247" s="1619"/>
      <c r="I247" s="1596"/>
      <c r="J247" s="1596" t="s">
        <v>1829</v>
      </c>
      <c r="K247" s="1598"/>
      <c r="L247" s="1607">
        <v>0</v>
      </c>
      <c r="M247" s="1612">
        <v>560</v>
      </c>
      <c r="O247" s="1527"/>
    </row>
    <row r="248" spans="4:15" ht="13.5" customHeight="1">
      <c r="D248" s="954"/>
      <c r="E248" s="955"/>
      <c r="F248" s="1620"/>
      <c r="G248" s="1621"/>
      <c r="H248" s="1622"/>
      <c r="I248" s="1596"/>
      <c r="J248" s="1596" t="s">
        <v>649</v>
      </c>
      <c r="K248" s="1598"/>
      <c r="L248" s="1607">
        <v>0</v>
      </c>
      <c r="M248" s="1612">
        <v>3</v>
      </c>
      <c r="O248" s="1527"/>
    </row>
    <row r="249" spans="4:15" ht="13.5" customHeight="1">
      <c r="D249" s="954"/>
      <c r="E249" s="955"/>
      <c r="F249" s="1604" t="s">
        <v>313</v>
      </c>
      <c r="G249" s="1605"/>
      <c r="H249" s="1606"/>
      <c r="I249" s="1599" t="s">
        <v>1144</v>
      </c>
      <c r="J249" s="1596" t="s">
        <v>650</v>
      </c>
      <c r="K249" s="1598"/>
      <c r="L249" s="1607">
        <v>1</v>
      </c>
      <c r="M249" s="1616">
        <v>10900</v>
      </c>
      <c r="O249" s="1527"/>
    </row>
    <row r="250" spans="4:15" ht="13.5" customHeight="1">
      <c r="D250" s="954"/>
      <c r="E250" s="955"/>
      <c r="F250" s="1623"/>
      <c r="G250" s="1624"/>
      <c r="H250" s="1625"/>
      <c r="I250" s="1599" t="s">
        <v>310</v>
      </c>
      <c r="J250" s="1596" t="s">
        <v>651</v>
      </c>
      <c r="K250" s="1598"/>
      <c r="L250" s="1607">
        <v>6.5000000000000002E-2</v>
      </c>
      <c r="M250" s="1616">
        <v>2310</v>
      </c>
      <c r="O250" s="1527"/>
    </row>
    <row r="251" spans="4:15" ht="13.5" customHeight="1">
      <c r="D251" s="954"/>
      <c r="E251" s="955"/>
      <c r="F251" s="1609"/>
      <c r="G251" s="1610"/>
      <c r="H251" s="1611"/>
      <c r="I251" s="1599" t="s">
        <v>312</v>
      </c>
      <c r="J251" s="1596" t="s">
        <v>1828</v>
      </c>
      <c r="K251" s="1598"/>
      <c r="L251" s="1607">
        <v>0</v>
      </c>
      <c r="M251" s="1616">
        <v>1430</v>
      </c>
      <c r="O251" s="1527"/>
    </row>
    <row r="252" spans="4:15" ht="13.5" customHeight="1">
      <c r="D252" s="954"/>
      <c r="E252" s="955"/>
      <c r="F252" s="1604" t="s">
        <v>652</v>
      </c>
      <c r="G252" s="1605"/>
      <c r="H252" s="1606"/>
      <c r="I252" s="1599" t="s">
        <v>1144</v>
      </c>
      <c r="J252" s="1596" t="s">
        <v>653</v>
      </c>
      <c r="K252" s="1598"/>
      <c r="L252" s="1607">
        <v>0.8</v>
      </c>
      <c r="M252" s="1616">
        <v>6130</v>
      </c>
      <c r="O252" s="1527"/>
    </row>
    <row r="253" spans="4:15" ht="15.75">
      <c r="D253" s="954"/>
      <c r="E253" s="955"/>
      <c r="F253" s="1609"/>
      <c r="G253" s="1610"/>
      <c r="H253" s="1611"/>
      <c r="I253" s="1599" t="s">
        <v>314</v>
      </c>
      <c r="J253" s="1596" t="s">
        <v>654</v>
      </c>
      <c r="K253" s="1598"/>
      <c r="L253" s="1607">
        <v>0</v>
      </c>
      <c r="M253" s="1612"/>
      <c r="O253" s="1527"/>
    </row>
    <row r="254" spans="4:15">
      <c r="F254" s="1626" t="s">
        <v>852</v>
      </c>
      <c r="G254" s="1627"/>
      <c r="H254" s="1627"/>
      <c r="I254" s="1628"/>
    </row>
    <row r="255" spans="4:15">
      <c r="F255" s="1629" t="s">
        <v>853</v>
      </c>
      <c r="G255" s="1630" t="s">
        <v>854</v>
      </c>
      <c r="H255" s="1631" t="s">
        <v>655</v>
      </c>
      <c r="I255" s="1632" t="s">
        <v>855</v>
      </c>
      <c r="J255" s="1431" t="s">
        <v>1087</v>
      </c>
      <c r="K255" s="1433"/>
    </row>
    <row r="256" spans="4:15">
      <c r="F256" s="1629" t="s">
        <v>856</v>
      </c>
      <c r="G256" s="1631">
        <v>50</v>
      </c>
      <c r="H256" s="1631">
        <v>1</v>
      </c>
      <c r="I256" s="1633">
        <v>4750</v>
      </c>
      <c r="J256" s="1629" t="s">
        <v>656</v>
      </c>
      <c r="K256" s="1634"/>
    </row>
    <row r="257" spans="6:11">
      <c r="F257" s="1451" t="s">
        <v>857</v>
      </c>
      <c r="G257" s="1635">
        <v>120</v>
      </c>
      <c r="H257" s="1635">
        <v>1</v>
      </c>
      <c r="I257" s="1636">
        <v>10900</v>
      </c>
      <c r="J257" s="1451"/>
      <c r="K257" s="1637"/>
    </row>
    <row r="258" spans="6:11">
      <c r="F258" s="1451" t="s">
        <v>858</v>
      </c>
      <c r="G258" s="1635">
        <v>85</v>
      </c>
      <c r="H258" s="1635">
        <v>0.8</v>
      </c>
      <c r="I258" s="1636">
        <v>6130</v>
      </c>
      <c r="J258" s="1451"/>
      <c r="K258" s="1637"/>
    </row>
    <row r="259" spans="6:11">
      <c r="F259" s="1451" t="s">
        <v>859</v>
      </c>
      <c r="G259" s="1635">
        <v>300</v>
      </c>
      <c r="H259" s="1635">
        <v>1</v>
      </c>
      <c r="I259" s="1636">
        <v>10000</v>
      </c>
      <c r="J259" s="1451"/>
      <c r="K259" s="1637"/>
    </row>
    <row r="260" spans="6:11">
      <c r="F260" s="1638" t="s">
        <v>860</v>
      </c>
      <c r="G260" s="1639">
        <v>1700</v>
      </c>
      <c r="H260" s="1639">
        <v>0.6</v>
      </c>
      <c r="I260" s="1640">
        <v>7370</v>
      </c>
      <c r="J260" s="1638"/>
      <c r="K260" s="1641"/>
    </row>
    <row r="261" spans="6:11">
      <c r="F261" s="1629" t="s">
        <v>861</v>
      </c>
      <c r="G261" s="1631">
        <v>13.3</v>
      </c>
      <c r="H261" s="1631">
        <v>5.5E-2</v>
      </c>
      <c r="I261" s="1633">
        <v>1810</v>
      </c>
      <c r="J261" s="1629" t="s">
        <v>657</v>
      </c>
      <c r="K261" s="1634"/>
    </row>
    <row r="262" spans="6:11">
      <c r="F262" s="1451" t="s">
        <v>862</v>
      </c>
      <c r="G262" s="1635">
        <v>1.4</v>
      </c>
      <c r="H262" s="1635" t="s">
        <v>658</v>
      </c>
      <c r="I262" s="1636">
        <v>77</v>
      </c>
      <c r="J262" s="1451"/>
      <c r="K262" s="1637"/>
    </row>
    <row r="263" spans="6:11">
      <c r="F263" s="1451" t="s">
        <v>1507</v>
      </c>
      <c r="G263" s="1635">
        <v>5.9</v>
      </c>
      <c r="H263" s="1635">
        <v>2.1999999999999999E-2</v>
      </c>
      <c r="I263" s="1636">
        <v>609</v>
      </c>
      <c r="J263" s="1451"/>
      <c r="K263" s="1637"/>
    </row>
    <row r="264" spans="6:11">
      <c r="F264" s="1451" t="s">
        <v>1508</v>
      </c>
      <c r="G264" s="1635">
        <v>9.4</v>
      </c>
      <c r="H264" s="1635">
        <v>0.11</v>
      </c>
      <c r="I264" s="1636">
        <v>725</v>
      </c>
      <c r="J264" s="1451"/>
      <c r="K264" s="1637"/>
    </row>
    <row r="265" spans="6:11">
      <c r="F265" s="1451" t="s">
        <v>1509</v>
      </c>
      <c r="G265" s="1635">
        <v>19.5</v>
      </c>
      <c r="H265" s="1635">
        <v>6.5000000000000002E-2</v>
      </c>
      <c r="I265" s="1636">
        <v>2310</v>
      </c>
      <c r="J265" s="1451"/>
      <c r="K265" s="1637"/>
    </row>
    <row r="266" spans="6:11">
      <c r="F266" s="1451" t="s">
        <v>1510</v>
      </c>
      <c r="G266" s="1635">
        <v>2.5</v>
      </c>
      <c r="H266" s="1635">
        <v>0.25</v>
      </c>
      <c r="I266" s="1636">
        <v>122</v>
      </c>
      <c r="J266" s="1451"/>
      <c r="K266" s="1637"/>
    </row>
    <row r="267" spans="6:11">
      <c r="F267" s="1638" t="s">
        <v>1511</v>
      </c>
      <c r="G267" s="1639">
        <v>2.6</v>
      </c>
      <c r="H267" s="1639">
        <v>3.3000000000000002E-2</v>
      </c>
      <c r="I267" s="1640">
        <v>595</v>
      </c>
      <c r="J267" s="1638"/>
      <c r="K267" s="1641"/>
    </row>
    <row r="268" spans="6:11">
      <c r="F268" s="1629" t="s">
        <v>1512</v>
      </c>
      <c r="G268" s="1631">
        <v>264</v>
      </c>
      <c r="H268" s="1631">
        <v>0</v>
      </c>
      <c r="I268" s="1633">
        <v>14800</v>
      </c>
      <c r="J268" s="1629" t="s">
        <v>1513</v>
      </c>
      <c r="K268" s="1634"/>
    </row>
    <row r="269" spans="6:11">
      <c r="F269" s="1451" t="s">
        <v>1514</v>
      </c>
      <c r="G269" s="1635">
        <v>5.6</v>
      </c>
      <c r="H269" s="1635"/>
      <c r="I269" s="1636">
        <v>675</v>
      </c>
      <c r="J269" s="1451"/>
      <c r="K269" s="1637"/>
    </row>
    <row r="270" spans="6:11">
      <c r="F270" s="1451" t="s">
        <v>1515</v>
      </c>
      <c r="G270" s="1635">
        <v>32.6</v>
      </c>
      <c r="H270" s="1635"/>
      <c r="I270" s="1636">
        <v>3500</v>
      </c>
      <c r="J270" s="1451"/>
      <c r="K270" s="1637"/>
    </row>
    <row r="271" spans="6:11">
      <c r="F271" s="1451" t="s">
        <v>1516</v>
      </c>
      <c r="G271" s="1635">
        <v>14.6</v>
      </c>
      <c r="H271" s="1635"/>
      <c r="I271" s="1636">
        <v>1430</v>
      </c>
      <c r="J271" s="1451"/>
      <c r="K271" s="1637"/>
    </row>
    <row r="272" spans="6:11">
      <c r="F272" s="1451" t="s">
        <v>1517</v>
      </c>
      <c r="G272" s="1635">
        <v>48.3</v>
      </c>
      <c r="H272" s="1635"/>
      <c r="I272" s="1636">
        <v>4470</v>
      </c>
      <c r="J272" s="1451"/>
      <c r="K272" s="1637"/>
    </row>
    <row r="273" spans="6:11">
      <c r="F273" s="1451" t="s">
        <v>1518</v>
      </c>
      <c r="G273" s="1635">
        <v>1.5</v>
      </c>
      <c r="H273" s="1635"/>
      <c r="I273" s="1636">
        <v>124</v>
      </c>
      <c r="J273" s="1451"/>
      <c r="K273" s="1637"/>
    </row>
    <row r="274" spans="6:11">
      <c r="F274" s="1451" t="s">
        <v>1519</v>
      </c>
      <c r="G274" s="1635">
        <v>36.5</v>
      </c>
      <c r="H274" s="1635"/>
      <c r="I274" s="1636">
        <v>3220</v>
      </c>
      <c r="J274" s="1451"/>
      <c r="K274" s="1637"/>
    </row>
    <row r="275" spans="6:11">
      <c r="F275" s="1451" t="s">
        <v>1520</v>
      </c>
      <c r="G275" s="1635">
        <v>209</v>
      </c>
      <c r="H275" s="1635"/>
      <c r="I275" s="1636">
        <v>9810</v>
      </c>
      <c r="J275" s="1451"/>
      <c r="K275" s="1637"/>
    </row>
    <row r="276" spans="6:11">
      <c r="F276" s="1638" t="s">
        <v>1133</v>
      </c>
      <c r="G276" s="1639">
        <v>6.6</v>
      </c>
      <c r="H276" s="1639"/>
      <c r="I276" s="1640">
        <v>560</v>
      </c>
      <c r="J276" s="1638"/>
      <c r="K276" s="1641"/>
    </row>
    <row r="277" spans="6:11">
      <c r="F277" s="1629" t="s">
        <v>1134</v>
      </c>
      <c r="G277" s="1633">
        <v>50000</v>
      </c>
      <c r="H277" s="1631">
        <v>0</v>
      </c>
      <c r="I277" s="1633">
        <v>6500</v>
      </c>
      <c r="J277" s="1629" t="s">
        <v>659</v>
      </c>
      <c r="K277" s="1634"/>
    </row>
    <row r="278" spans="6:11">
      <c r="F278" s="1451" t="s">
        <v>1135</v>
      </c>
      <c r="G278" s="1636">
        <v>10000</v>
      </c>
      <c r="H278" s="1635"/>
      <c r="I278" s="1636">
        <v>9200</v>
      </c>
      <c r="J278" s="1451"/>
      <c r="K278" s="1637"/>
    </row>
    <row r="279" spans="6:11">
      <c r="F279" s="1451" t="s">
        <v>1136</v>
      </c>
      <c r="G279" s="1636">
        <v>2600</v>
      </c>
      <c r="H279" s="1635"/>
      <c r="I279" s="1636">
        <v>7000</v>
      </c>
      <c r="J279" s="1451"/>
      <c r="K279" s="1637"/>
    </row>
    <row r="280" spans="6:11">
      <c r="F280" s="1638" t="s">
        <v>1137</v>
      </c>
      <c r="G280" s="1640">
        <v>3200</v>
      </c>
      <c r="H280" s="1639"/>
      <c r="I280" s="1640">
        <v>8700</v>
      </c>
      <c r="J280" s="1638"/>
      <c r="K280" s="1641"/>
    </row>
    <row r="281" spans="6:11"/>
    <row r="282" spans="6:11"/>
    <row r="283" spans="6:11"/>
    <row r="284" spans="6:11"/>
  </sheetData>
  <sheetProtection password="CC47" sheet="1" objects="1" scenarios="1"/>
  <mergeCells count="43">
    <mergeCell ref="M1:O1"/>
    <mergeCell ref="G227:J227"/>
    <mergeCell ref="K227:K231"/>
    <mergeCell ref="G228:J228"/>
    <mergeCell ref="G229:J229"/>
    <mergeCell ref="G230:J230"/>
    <mergeCell ref="G231:J231"/>
    <mergeCell ref="G221:I221"/>
    <mergeCell ref="L221:O221"/>
    <mergeCell ref="N94:O98"/>
    <mergeCell ref="G191:G192"/>
    <mergeCell ref="G38:G40"/>
    <mergeCell ref="H46:N46"/>
    <mergeCell ref="L220:O220"/>
    <mergeCell ref="G34:J34"/>
    <mergeCell ref="H36:J36"/>
    <mergeCell ref="G218:I218"/>
    <mergeCell ref="J218:J222"/>
    <mergeCell ref="L222:O222"/>
    <mergeCell ref="G30:J30"/>
    <mergeCell ref="G31:J31"/>
    <mergeCell ref="G32:J32"/>
    <mergeCell ref="G33:J33"/>
    <mergeCell ref="H38:J40"/>
    <mergeCell ref="H164:O164"/>
    <mergeCell ref="G41:G43"/>
    <mergeCell ref="G44:G45"/>
    <mergeCell ref="H44:J45"/>
    <mergeCell ref="K44:N44"/>
    <mergeCell ref="L21:O21"/>
    <mergeCell ref="G21:J21"/>
    <mergeCell ref="G22:J22"/>
    <mergeCell ref="G158:M158"/>
    <mergeCell ref="N32:O32"/>
    <mergeCell ref="N34:O34"/>
    <mergeCell ref="K100:O100"/>
    <mergeCell ref="H47:J47"/>
    <mergeCell ref="N65:O69"/>
    <mergeCell ref="K71:O71"/>
    <mergeCell ref="K30:L34"/>
    <mergeCell ref="H50:O50"/>
    <mergeCell ref="H89:O89"/>
    <mergeCell ref="H151:O151"/>
  </mergeCells>
  <phoneticPr fontId="21"/>
  <conditionalFormatting sqref="L71 L100">
    <cfRule type="expression" dxfId="44" priority="8" stopIfTrue="1">
      <formula>P63&gt;0</formula>
    </cfRule>
  </conditionalFormatting>
  <conditionalFormatting sqref="O71 O100">
    <cfRule type="expression" dxfId="43" priority="9" stopIfTrue="1">
      <formula>Q63&gt;0</formula>
    </cfRule>
  </conditionalFormatting>
  <conditionalFormatting sqref="K18 K217">
    <cfRule type="expression" dxfId="42" priority="10" stopIfTrue="1">
      <formula>AND(OR(K18&lt;1,K18&gt;5),K18&lt;&gt;0)</formula>
    </cfRule>
    <cfRule type="expression" dxfId="41" priority="11" stopIfTrue="1">
      <formula>$O17&gt;0</formula>
    </cfRule>
  </conditionalFormatting>
  <conditionalFormatting sqref="K71 K100">
    <cfRule type="expression" dxfId="40" priority="12" stopIfTrue="1">
      <formula>J63&gt;0</formula>
    </cfRule>
  </conditionalFormatting>
  <conditionalFormatting sqref="G176:G179">
    <cfRule type="expression" dxfId="39" priority="13" stopIfTrue="1">
      <formula>$J$167&gt;0.001</formula>
    </cfRule>
  </conditionalFormatting>
  <conditionalFormatting sqref="G193:G212">
    <cfRule type="expression" dxfId="38" priority="14" stopIfTrue="1">
      <formula>$J$183&gt;0</formula>
    </cfRule>
  </conditionalFormatting>
  <conditionalFormatting sqref="F8 F18 F55 F64 F93 F217 F226">
    <cfRule type="expression" dxfId="37" priority="15" stopIfTrue="1">
      <formula>AND(OR(F8&lt;1,F8&gt;5),F8&lt;&gt;0)</formula>
    </cfRule>
    <cfRule type="expression" dxfId="36" priority="16" stopIfTrue="1">
      <formula>$J7&gt;0</formula>
    </cfRule>
  </conditionalFormatting>
  <conditionalFormatting sqref="M100:N100 M71:N71">
    <cfRule type="expression" dxfId="35" priority="17" stopIfTrue="1">
      <formula>#REF!&gt;0</formula>
    </cfRule>
  </conditionalFormatting>
  <conditionalFormatting sqref="G37">
    <cfRule type="expression" dxfId="34" priority="18" stopIfTrue="1">
      <formula>$G$37&lt;&gt;""</formula>
    </cfRule>
  </conditionalFormatting>
  <conditionalFormatting sqref="G38:G45">
    <cfRule type="expression" dxfId="33" priority="19" stopIfTrue="1">
      <formula>$G$37=$R$3</formula>
    </cfRule>
    <cfRule type="expression" dxfId="32" priority="20" stopIfTrue="1">
      <formula>$O$28&gt;0.001</formula>
    </cfRule>
  </conditionalFormatting>
  <conditionalFormatting sqref="G46">
    <cfRule type="expression" dxfId="31" priority="7" stopIfTrue="1">
      <formula>AND($O$28&gt;0,$G$37="○")</formula>
    </cfRule>
  </conditionalFormatting>
  <conditionalFormatting sqref="G50">
    <cfRule type="expression" dxfId="30" priority="6" stopIfTrue="1">
      <formula>O28&gt;0</formula>
    </cfRule>
  </conditionalFormatting>
  <conditionalFormatting sqref="G89">
    <cfRule type="expression" dxfId="29" priority="5" stopIfTrue="1">
      <formula>J62&gt;0</formula>
    </cfRule>
  </conditionalFormatting>
  <conditionalFormatting sqref="G151:G152">
    <cfRule type="expression" dxfId="28" priority="4" stopIfTrue="1">
      <formula>J90&gt;0</formula>
    </cfRule>
  </conditionalFormatting>
  <conditionalFormatting sqref="F155">
    <cfRule type="expression" dxfId="27" priority="2" stopIfTrue="1">
      <formula>AND(OR(F155&lt;1,F155&gt;5),F155&lt;&gt;0)</formula>
    </cfRule>
    <cfRule type="expression" dxfId="26" priority="3" stopIfTrue="1">
      <formula>$J154&gt;0</formula>
    </cfRule>
  </conditionalFormatting>
  <conditionalFormatting sqref="G164:G165">
    <cfRule type="expression" dxfId="25" priority="1" stopIfTrue="1">
      <formula>J103+$J$157&gt;0</formula>
    </cfRule>
  </conditionalFormatting>
  <dataValidations count="8">
    <dataValidation type="list" allowBlank="1" showInputMessage="1" sqref="K18 K217 M29">
      <formula1>$C19:$C24</formula1>
    </dataValidation>
    <dataValidation type="list" allowBlank="1" showInputMessage="1" showErrorMessage="1" sqref="G176:G179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WVO89:WVO90 JC89:JC90 SY89:SY90 ACU89:ACU90 AMQ89:AMQ90 AWM89:AWM90 BGI89:BGI90 BQE89:BQE90 CAA89:CAA90 CJW89:CJW90 CTS89:CTS90 DDO89:DDO90 DNK89:DNK90 DXG89:DXG90 EHC89:EHC90 EQY89:EQY90 FAU89:FAU90 FKQ89:FKQ90 FUM89:FUM90 GEI89:GEI90 GOE89:GOE90 GYA89:GYA90 HHW89:HHW90 HRS89:HRS90 IBO89:IBO90 ILK89:ILK90 IVG89:IVG90 JFC89:JFC90 JOY89:JOY90 JYU89:JYU90 KIQ89:KIQ90 KSM89:KSM90 LCI89:LCI90 LME89:LME90 LWA89:LWA90 MFW89:MFW90 MPS89:MPS90 MZO89:MZO90 NJK89:NJK90 NTG89:NTG90 ODC89:ODC90 OMY89:OMY90 OWU89:OWU90 PGQ89:PGQ90 PQM89:PQM90 QAI89:QAI90 QKE89:QKE90 QUA89:QUA90 RDW89:RDW90 RNS89:RNS90 RXO89:RXO90 SHK89:SHK90 SRG89:SRG90 TBC89:TBC90 TKY89:TKY90 TUU89:TUU90 UEQ89:UEQ90 UOM89:UOM90 UYI89:UYI90 VIE89:VIE90 VSA89:VSA90 WBW89:WBW90 WLS89:WLS90 G89 WVO151:WVO152 JC151:JC152 SY151:SY152 ACU151:ACU152 AMQ151:AMQ152 AWM151:AWM152 BGI151:BGI152 BQE151:BQE152 CAA151:CAA152 CJW151:CJW152 CTS151:CTS152 DDO151:DDO152 DNK151:DNK152 DXG151:DXG152 EHC151:EHC152 EQY151:EQY152 FAU151:FAU152 FKQ151:FKQ152 FUM151:FUM152 GEI151:GEI152 GOE151:GOE152 GYA151:GYA152 HHW151:HHW152 HRS151:HRS152 IBO151:IBO152 ILK151:ILK152 IVG151:IVG152 JFC151:JFC152 JOY151:JOY152 JYU151:JYU152 KIQ151:KIQ152 KSM151:KSM152 LCI151:LCI152 LME151:LME152 LWA151:LWA152 MFW151:MFW152 MPS151:MPS152 MZO151:MZO152 NJK151:NJK152 NTG151:NTG152 ODC151:ODC152 OMY151:OMY152 OWU151:OWU152 PGQ151:PGQ152 PQM151:PQM152 QAI151:QAI152 QKE151:QKE152 QUA151:QUA152 RDW151:RDW152 RNS151:RNS152 RXO151:RXO152 SHK151:SHK152 SRG151:SRG152 TBC151:TBC152 TKY151:TKY152 TUU151:TUU152 UEQ151:UEQ152 UOM151:UOM152 UYI151:UYI152 VIE151:VIE152 VSA151:VSA152 WBW151:WBW152 WLS151:WLS152 G151 WVO164:WVO165 JC164:JC165 SY164:SY165 ACU164:ACU165 AMQ164:AMQ165 AWM164:AWM165 BGI164:BGI165 BQE164:BQE165 CAA164:CAA165 CJW164:CJW165 CTS164:CTS165 DDO164:DDO165 DNK164:DNK165 DXG164:DXG165 EHC164:EHC165 EQY164:EQY165 FAU164:FAU165 FKQ164:FKQ165 FUM164:FUM165 GEI164:GEI165 GOE164:GOE165 GYA164:GYA165 HHW164:HHW165 HRS164:HRS165 IBO164:IBO165 ILK164:ILK165 IVG164:IVG165 JFC164:JFC165 JOY164:JOY165 JYU164:JYU165 KIQ164:KIQ165 KSM164:KSM165 LCI164:LCI165 LME164:LME165 LWA164:LWA165 MFW164:MFW165 MPS164:MPS165 MZO164:MZO165 NJK164:NJK165 NTG164:NTG165 ODC164:ODC165 OMY164:OMY165 OWU164:OWU165 PGQ164:PGQ165 PQM164:PQM165 QAI164:QAI165 QKE164:QKE165 QUA164:QUA165 RDW164:RDW165 RNS164:RNS165 RXO164:RXO165 SHK164:SHK165 SRG164:SRG165 TBC164:TBC165 TKY164:TKY165 TUU164:TUU165 UEQ164:UEQ165 UOM164:UOM165 UYI164:UYI165 VIE164:VIE165 VSA164:VSA165 WBW164:WBW165 WLS164:WLS165 G164">
      <formula1>"○,　"</formula1>
    </dataValidation>
    <dataValidation type="list" allowBlank="1" showInputMessage="1" showErrorMessage="1" sqref="G193:G212">
      <formula1>"　,無"</formula1>
    </dataValidation>
    <dataValidation type="list" allowBlank="1" showInputMessage="1" sqref="F8 F18 F55 F64 F93 F226 F217 F155 JB155 SX155 ACT155 AMP155 AWL155 BGH155 BQD155 BZZ155 CJV155 CTR155 DDN155 DNJ155 DXF155 EHB155 EQX155 FAT155 FKP155 FUL155 GEH155 GOD155 GXZ155 HHV155 HRR155 IBN155 ILJ155 IVF155 JFB155 JOX155 JYT155 KIP155 KSL155 LCH155 LMD155 LVZ155 MFV155 MPR155 MZN155 NJJ155 NTF155 ODB155 OMX155 OWT155 PGP155 PQL155 QAH155 QKD155 QTZ155 RDV155 RNR155 RXN155 SHJ155 SRF155 TBB155 TKX155 TUT155 UEP155 UOL155 UYH155 VID155 VRZ155 WBV155 WLR155 WVN155">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$R$2:$R$3</formula1>
    </dataValidation>
    <dataValidation type="list" allowBlank="1" showInputMessage="1" sqref="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formula1>$B$46:$B$47</formula1>
    </dataValidation>
  </dataValidations>
  <printOptions horizontalCentered="1"/>
  <pageMargins left="0.59055118110236227" right="0.59055118110236227" top="0.78740157480314965" bottom="0.59055118110236227" header="0.51181102362204722" footer="0.51181102362204722"/>
  <pageSetup paperSize="9" scale="63" fitToHeight="9" orientation="portrait" verticalDpi="4294967293" r:id="rId1"/>
  <headerFooter alignWithMargins="0">
    <oddHeader>&amp;L&amp;F&amp;R&amp;A</oddHeader>
    <oddFooter>&amp;C&amp;P/&amp;N</oddFooter>
  </headerFooter>
  <rowBreaks count="3" manualBreakCount="3">
    <brk id="61" min="2" max="15" man="1"/>
    <brk id="152" min="2" max="15" man="1"/>
    <brk id="213" min="2" max="15" man="1"/>
  </rowBreaks>
</worksheet>
</file>

<file path=xl/worksheets/sheet13.xml><?xml version="1.0" encoding="utf-8"?>
<worksheet xmlns="http://schemas.openxmlformats.org/spreadsheetml/2006/main" xmlns:r="http://schemas.openxmlformats.org/officeDocument/2006/relationships">
  <sheetPr codeName="Sheet14">
    <pageSetUpPr autoPageBreaks="0"/>
  </sheetPr>
  <dimension ref="A1:Y263"/>
  <sheetViews>
    <sheetView showGridLines="0" zoomScaleNormal="100" zoomScaleSheetLayoutView="100" workbookViewId="0">
      <selection activeCell="I18" sqref="I18"/>
    </sheetView>
  </sheetViews>
  <sheetFormatPr defaultColWidth="0" defaultRowHeight="13.5" zeroHeight="1"/>
  <cols>
    <col min="1" max="1" width="1.875" customWidth="1"/>
    <col min="2" max="2" width="18.625" hidden="1" customWidth="1"/>
    <col min="3" max="3" width="6" hidden="1" customWidth="1"/>
    <col min="4" max="4" width="4.875" style="2108" customWidth="1"/>
    <col min="5" max="5" width="1.875" style="2108" customWidth="1"/>
    <col min="6" max="6" width="11.5" style="2108" customWidth="1"/>
    <col min="7" max="15" width="11.625" style="2108" customWidth="1"/>
    <col min="16" max="16" width="2.25" customWidth="1"/>
    <col min="17" max="17" width="2" customWidth="1"/>
    <col min="18" max="18" width="16.25" hidden="1" customWidth="1"/>
    <col min="19" max="19" width="2.5" hidden="1" customWidth="1"/>
    <col min="20" max="20" width="6.375" hidden="1" customWidth="1"/>
    <col min="21" max="21" width="9.125" hidden="1" customWidth="1"/>
    <col min="22" max="22" width="9.625" hidden="1" customWidth="1"/>
    <col min="23" max="23" width="3.5" hidden="1" customWidth="1"/>
    <col min="24" max="24" width="9" hidden="1" customWidth="1"/>
    <col min="25" max="25" width="10.5" hidden="1" customWidth="1"/>
    <col min="26" max="16384" width="9" hidden="1"/>
  </cols>
  <sheetData>
    <row r="1" spans="4:21" ht="14.25">
      <c r="D1" s="1660"/>
      <c r="E1" s="952"/>
      <c r="F1" s="952"/>
      <c r="G1" s="952"/>
      <c r="H1" s="952"/>
      <c r="I1" s="952"/>
      <c r="J1" s="952"/>
      <c r="K1" s="952"/>
      <c r="M1" s="1642" t="s">
        <v>2253</v>
      </c>
      <c r="N1" s="3487" t="str">
        <f>メイン!C11</f>
        <v>○○ビル</v>
      </c>
      <c r="O1" s="3487"/>
    </row>
    <row r="2" spans="4:21" ht="6" customHeight="1" thickBot="1">
      <c r="D2" s="951"/>
      <c r="E2" s="1110"/>
      <c r="F2" s="1110"/>
      <c r="G2" s="1110"/>
      <c r="H2" s="1110"/>
      <c r="I2" s="1110"/>
      <c r="J2" s="1110"/>
      <c r="K2" s="1110"/>
      <c r="L2" s="1110"/>
      <c r="O2" s="1110"/>
    </row>
    <row r="3" spans="4:21" ht="18.75" thickBot="1">
      <c r="D3" s="1454" t="s">
        <v>950</v>
      </c>
      <c r="E3" s="1351"/>
      <c r="F3" s="2132"/>
      <c r="G3" s="955"/>
      <c r="H3" s="2132"/>
      <c r="I3" s="957"/>
      <c r="J3" s="958" t="s">
        <v>2813</v>
      </c>
      <c r="K3" s="958"/>
      <c r="L3" s="2133"/>
      <c r="O3" s="1385" t="str">
        <f>IF(メイン!E39=0,"",メイン!E39)</f>
        <v/>
      </c>
      <c r="R3" t="s">
        <v>1094</v>
      </c>
      <c r="U3" t="str">
        <f>メイン!I39</f>
        <v>基本設計段階</v>
      </c>
    </row>
    <row r="4" spans="4:21" ht="6" customHeight="1">
      <c r="D4" s="954"/>
      <c r="E4" s="1351"/>
      <c r="F4" s="2132"/>
      <c r="G4" s="955"/>
      <c r="H4" s="2132"/>
      <c r="I4" s="2132"/>
      <c r="J4" s="2132"/>
      <c r="K4" s="2132"/>
      <c r="L4" s="2132"/>
      <c r="M4" s="2132"/>
      <c r="N4" s="2132"/>
      <c r="O4" s="2132"/>
      <c r="R4">
        <v>0</v>
      </c>
      <c r="T4" t="s">
        <v>1130</v>
      </c>
      <c r="U4" t="str">
        <f>メイン!I40</f>
        <v>実施設計段階</v>
      </c>
    </row>
    <row r="5" spans="4:21" ht="22.5" customHeight="1">
      <c r="D5" s="1386">
        <v>1</v>
      </c>
      <c r="E5" s="961" t="s">
        <v>2213</v>
      </c>
      <c r="F5" s="2111"/>
      <c r="G5" s="1189"/>
      <c r="H5" s="1189"/>
      <c r="I5" s="1189"/>
      <c r="J5" s="1189"/>
      <c r="K5" s="1189"/>
      <c r="L5" s="1189"/>
      <c r="M5" s="1189"/>
      <c r="N5" s="1189"/>
      <c r="O5" s="2133"/>
      <c r="R5">
        <v>1</v>
      </c>
      <c r="U5" t="str">
        <f>メイン!I41</f>
        <v>竣工段階</v>
      </c>
    </row>
    <row r="6" spans="4:21" ht="18.75" customHeight="1" thickBot="1">
      <c r="D6" s="1643"/>
      <c r="E6" s="1189"/>
      <c r="F6" s="1114"/>
      <c r="G6" s="972"/>
      <c r="H6" s="973" t="s">
        <v>1125</v>
      </c>
      <c r="I6" s="974"/>
      <c r="J6" s="975" t="e">
        <f>重み!M160</f>
        <v>#DIV/0!</v>
      </c>
      <c r="K6" s="1115"/>
      <c r="L6" s="1115"/>
      <c r="M6" s="1115"/>
      <c r="N6" s="1115"/>
      <c r="O6" s="984"/>
      <c r="R6">
        <v>2</v>
      </c>
    </row>
    <row r="7" spans="4:21" ht="16.5" thickBot="1">
      <c r="D7" s="2134"/>
      <c r="E7" s="954"/>
      <c r="F7" s="2145" t="e">
        <f>O15</f>
        <v>#DIV/0!</v>
      </c>
      <c r="G7" s="2434" t="s">
        <v>664</v>
      </c>
      <c r="H7" s="1402"/>
      <c r="I7" s="1402"/>
      <c r="J7" s="1402"/>
      <c r="K7" s="1402"/>
      <c r="L7" s="2435"/>
      <c r="M7" s="1402"/>
      <c r="N7" s="1402"/>
      <c r="O7" s="1215"/>
      <c r="R7" t="s">
        <v>1138</v>
      </c>
    </row>
    <row r="8" spans="4:21" ht="17.25" customHeight="1">
      <c r="D8" s="2134"/>
      <c r="E8" s="954"/>
      <c r="F8" s="1198" t="e">
        <f>IF(F7=$S$15,$T$10,IF(ROUNDDOWN(F7,0)=$S$10,$U$10,$T$10))</f>
        <v>#DIV/0!</v>
      </c>
      <c r="G8" s="2431" t="s">
        <v>3228</v>
      </c>
      <c r="H8" s="2432"/>
      <c r="I8" s="2432"/>
      <c r="J8" s="2432"/>
      <c r="K8" s="2432"/>
      <c r="L8" s="2436"/>
      <c r="M8" s="2432"/>
      <c r="N8" s="1605"/>
      <c r="O8" s="1606"/>
      <c r="R8" t="s">
        <v>1070</v>
      </c>
    </row>
    <row r="9" spans="4:21" ht="17.25" customHeight="1">
      <c r="D9" s="2134"/>
      <c r="E9" s="954"/>
      <c r="F9" s="1198" t="e">
        <f>IF(F7=$S$15,$T$11,IF(ROUNDDOWN(F7,0)=$S$11,$U$11,$T$11))</f>
        <v>#DIV/0!</v>
      </c>
      <c r="G9" s="2437"/>
      <c r="H9" s="2430"/>
      <c r="I9" s="2430"/>
      <c r="J9" s="2430"/>
      <c r="K9" s="2430"/>
      <c r="L9" s="2438"/>
      <c r="M9" s="2430"/>
      <c r="N9" s="1624" t="s">
        <v>841</v>
      </c>
      <c r="O9" s="1625"/>
    </row>
    <row r="10" spans="4:21" ht="17.25" customHeight="1">
      <c r="D10" s="2134"/>
      <c r="E10" s="954"/>
      <c r="F10" s="1198" t="e">
        <f>IF(F7=$S$15,$T$12,IF(ROUNDDOWN(F7,0)=$S$12,$U$12,$T$12))</f>
        <v>#DIV/0!</v>
      </c>
      <c r="G10" s="2437" t="s">
        <v>3229</v>
      </c>
      <c r="H10" s="2430"/>
      <c r="I10" s="2430"/>
      <c r="J10" s="2430"/>
      <c r="K10" s="2430"/>
      <c r="L10" s="2438"/>
      <c r="M10" s="2430"/>
      <c r="N10" s="1624" t="s">
        <v>842</v>
      </c>
      <c r="O10" s="1625"/>
      <c r="S10">
        <v>1</v>
      </c>
      <c r="T10" t="s">
        <v>2184</v>
      </c>
      <c r="U10" t="s">
        <v>2185</v>
      </c>
    </row>
    <row r="11" spans="4:21" ht="17.25" customHeight="1">
      <c r="D11" s="2134"/>
      <c r="E11" s="954"/>
      <c r="F11" s="1198" t="e">
        <f>IF(F7=$S$15,$T$13,IF(ROUNDDOWN(F7,0)=$S$13,$U$13,$T$13))</f>
        <v>#DIV/0!</v>
      </c>
      <c r="G11" s="2437"/>
      <c r="H11" s="2430"/>
      <c r="I11" s="2430"/>
      <c r="J11" s="2430"/>
      <c r="K11" s="2430"/>
      <c r="L11" s="2438"/>
      <c r="M11" s="2430"/>
      <c r="N11" s="1624" t="s">
        <v>843</v>
      </c>
      <c r="O11" s="1625"/>
      <c r="S11">
        <v>2</v>
      </c>
      <c r="T11" t="s">
        <v>1095</v>
      </c>
      <c r="U11" t="s">
        <v>1096</v>
      </c>
    </row>
    <row r="12" spans="4:21" ht="17.25" customHeight="1">
      <c r="D12" s="2134"/>
      <c r="E12" s="954"/>
      <c r="F12" s="1199" t="e">
        <f>IF(F7=$S$15,$T$14,IF(ROUNDDOWN(F7,0)=$S$14,$U$14,$T$14))</f>
        <v>#DIV/0!</v>
      </c>
      <c r="G12" s="2439" t="s">
        <v>3230</v>
      </c>
      <c r="H12" s="2433"/>
      <c r="I12" s="2433"/>
      <c r="J12" s="2433"/>
      <c r="K12" s="2433"/>
      <c r="L12" s="2440"/>
      <c r="M12" s="2433"/>
      <c r="N12" s="1610"/>
      <c r="O12" s="1611"/>
      <c r="S12">
        <v>3</v>
      </c>
      <c r="T12" t="s">
        <v>1100</v>
      </c>
      <c r="U12" t="s">
        <v>1101</v>
      </c>
    </row>
    <row r="13" spans="4:21" ht="15.75">
      <c r="D13" s="2134"/>
      <c r="E13" s="2134"/>
      <c r="F13" s="2134"/>
      <c r="G13" s="1646" t="s">
        <v>1131</v>
      </c>
      <c r="H13" s="1337"/>
      <c r="I13" s="1337"/>
      <c r="J13" s="1110"/>
      <c r="K13" s="1647" t="s">
        <v>1132</v>
      </c>
      <c r="L13" s="1110"/>
      <c r="M13" s="1648"/>
      <c r="N13" s="2134"/>
      <c r="O13" s="2134"/>
      <c r="S13">
        <v>4</v>
      </c>
      <c r="T13" t="s">
        <v>1001</v>
      </c>
      <c r="U13" t="s">
        <v>1002</v>
      </c>
    </row>
    <row r="14" spans="4:21" ht="16.5" thickBot="1">
      <c r="D14" s="2134"/>
      <c r="E14" s="954"/>
      <c r="F14" s="952"/>
      <c r="G14" s="1649"/>
      <c r="H14" s="1650" t="s">
        <v>571</v>
      </c>
      <c r="I14" s="1651" t="s">
        <v>1790</v>
      </c>
      <c r="J14" s="1652" t="s">
        <v>573</v>
      </c>
      <c r="K14" s="1650" t="s">
        <v>366</v>
      </c>
      <c r="L14" s="1649" t="s">
        <v>847</v>
      </c>
      <c r="M14" s="952"/>
      <c r="N14" s="952"/>
      <c r="O14" s="1653" t="s">
        <v>996</v>
      </c>
      <c r="S14">
        <v>5</v>
      </c>
      <c r="T14" t="s">
        <v>1008</v>
      </c>
      <c r="U14" t="s">
        <v>1009</v>
      </c>
    </row>
    <row r="15" spans="4:21" ht="16.5" thickBot="1">
      <c r="D15" s="2134"/>
      <c r="E15" s="954"/>
      <c r="F15" s="952"/>
      <c r="G15" s="1654" t="s">
        <v>2008</v>
      </c>
      <c r="H15" s="1655" t="e">
        <f>CO2計算!O133</f>
        <v>#DIV/0!</v>
      </c>
      <c r="I15" s="1655" t="e">
        <f>CO2計算!O134</f>
        <v>#DIV/0!</v>
      </c>
      <c r="J15" s="1655">
        <f>CO2計算!O135</f>
        <v>0</v>
      </c>
      <c r="K15" s="1656" t="e">
        <f>CO2計算!O136</f>
        <v>#DIV/0!</v>
      </c>
      <c r="L15" s="1657">
        <v>1</v>
      </c>
      <c r="M15" s="952"/>
      <c r="N15" s="1653" t="s">
        <v>848</v>
      </c>
      <c r="O15" s="1658" t="e">
        <f>ROUNDDOWN(IF(L16=R16,0,IF(L16&lt;0.5,5,IF(L16&gt;1.25,1,IF(L16&gt;1,-8*L16+11,3+(1-L16)*4)))),1)</f>
        <v>#DIV/0!</v>
      </c>
      <c r="S15">
        <v>0</v>
      </c>
      <c r="T15" t="s">
        <v>997</v>
      </c>
      <c r="U15" t="s">
        <v>997</v>
      </c>
    </row>
    <row r="16" spans="4:21" ht="14.25">
      <c r="D16" s="1660"/>
      <c r="E16" s="952"/>
      <c r="F16" s="952"/>
      <c r="G16" s="1654" t="s">
        <v>2007</v>
      </c>
      <c r="H16" s="1655" t="e">
        <f>CO2計算!L133</f>
        <v>#DIV/0!</v>
      </c>
      <c r="I16" s="1655" t="e">
        <f>CO2計算!L134</f>
        <v>#DIV/0!</v>
      </c>
      <c r="J16" s="1655">
        <f>CO2計算!L135</f>
        <v>0</v>
      </c>
      <c r="K16" s="1656" t="e">
        <f>CO2計算!L136</f>
        <v>#DIV/0!</v>
      </c>
      <c r="L16" s="1659" t="e">
        <f>IF(K15=R16,R16,K16/K15)</f>
        <v>#DIV/0!</v>
      </c>
      <c r="M16" s="952"/>
      <c r="N16" s="952"/>
      <c r="O16" s="952"/>
      <c r="R16" t="s">
        <v>998</v>
      </c>
    </row>
    <row r="17" spans="2:15" ht="13.5" customHeight="1">
      <c r="D17" s="550"/>
      <c r="E17" s="550"/>
      <c r="F17" s="550"/>
      <c r="G17" s="550"/>
      <c r="H17" s="550"/>
      <c r="I17" s="550"/>
      <c r="J17" s="550"/>
      <c r="K17" s="550"/>
      <c r="L17" s="550"/>
      <c r="M17" s="550"/>
      <c r="N17" s="550"/>
      <c r="O17" s="550"/>
    </row>
    <row r="18" spans="2:15" ht="18.75" customHeight="1">
      <c r="D18" s="1660">
        <v>2</v>
      </c>
      <c r="E18" s="961" t="s">
        <v>2216</v>
      </c>
      <c r="F18" s="952"/>
      <c r="G18" s="952"/>
      <c r="H18" s="952"/>
      <c r="I18" s="952"/>
      <c r="J18" s="952"/>
      <c r="K18" s="952"/>
      <c r="L18" s="952"/>
      <c r="M18" s="952"/>
      <c r="N18" s="952"/>
      <c r="O18" s="952"/>
    </row>
    <row r="19" spans="2:15" ht="18.75" customHeight="1">
      <c r="D19" s="1661">
        <v>2.1</v>
      </c>
      <c r="E19" s="1351" t="s">
        <v>849</v>
      </c>
      <c r="F19" s="2111"/>
      <c r="G19" s="952"/>
      <c r="H19" s="952"/>
      <c r="I19" s="952"/>
      <c r="J19" s="952"/>
      <c r="K19" s="952"/>
      <c r="L19" s="952"/>
      <c r="M19" s="952"/>
      <c r="N19" s="952"/>
      <c r="O19" s="952"/>
    </row>
    <row r="20" spans="2:15" ht="18.75" customHeight="1" thickBot="1">
      <c r="F20" s="1114"/>
      <c r="G20" s="972"/>
      <c r="H20" s="973" t="s">
        <v>1125</v>
      </c>
      <c r="I20" s="974"/>
      <c r="J20" s="975" t="e">
        <f>重み!M162</f>
        <v>#DIV/0!</v>
      </c>
      <c r="K20" s="1115"/>
      <c r="L20" s="1115"/>
      <c r="M20" s="1115"/>
      <c r="N20" s="1115"/>
      <c r="O20" s="984"/>
    </row>
    <row r="21" spans="2:15" ht="26.25" customHeight="1" thickBot="1">
      <c r="D21" s="954"/>
      <c r="E21" s="954"/>
      <c r="F21" s="978">
        <v>3</v>
      </c>
      <c r="G21" s="982" t="s">
        <v>384</v>
      </c>
      <c r="H21" s="983"/>
      <c r="I21" s="983"/>
      <c r="J21" s="983"/>
      <c r="K21" s="983"/>
      <c r="L21" s="1316"/>
      <c r="M21" s="983"/>
      <c r="N21" s="983"/>
      <c r="O21" s="984"/>
    </row>
    <row r="22" spans="2:15" ht="33" customHeight="1">
      <c r="B22" s="1">
        <v>1</v>
      </c>
      <c r="C22" s="1">
        <v>1</v>
      </c>
      <c r="D22" s="954"/>
      <c r="E22" s="954"/>
      <c r="F22" s="990" t="str">
        <f>IF(F21=$S$15,$T$10,IF(ROUNDDOWN(F21,0)=$S$10,$U$10,$T$10))</f>
        <v>　レベル　1</v>
      </c>
      <c r="G22" s="3539" t="s">
        <v>3231</v>
      </c>
      <c r="H22" s="3780"/>
      <c r="I22" s="3780"/>
      <c r="J22" s="3780"/>
      <c r="K22" s="3780"/>
      <c r="L22" s="3780"/>
      <c r="M22" s="3780"/>
      <c r="N22" s="3780"/>
      <c r="O22" s="3781"/>
    </row>
    <row r="23" spans="2:15" ht="18.75" customHeight="1">
      <c r="B23" s="1" t="s">
        <v>175</v>
      </c>
      <c r="C23" s="1">
        <v>2</v>
      </c>
      <c r="D23" s="954"/>
      <c r="E23" s="954"/>
      <c r="F23" s="990" t="str">
        <f>IF(F21=$S$15,$T$11,IF(ROUNDDOWN(F21,0)=$S$11,$U$11,$T$11))</f>
        <v>　レベル　2</v>
      </c>
      <c r="G23" s="1644" t="s">
        <v>1795</v>
      </c>
      <c r="H23" s="2399"/>
      <c r="I23" s="2399"/>
      <c r="J23" s="2399"/>
      <c r="K23" s="2399"/>
      <c r="L23" s="2399"/>
      <c r="M23" s="2399"/>
      <c r="N23" s="995"/>
      <c r="O23" s="996"/>
    </row>
    <row r="24" spans="2:15" ht="28.5" customHeight="1">
      <c r="B24" s="1">
        <v>3</v>
      </c>
      <c r="C24" s="1">
        <v>3</v>
      </c>
      <c r="D24" s="954"/>
      <c r="E24" s="954"/>
      <c r="F24" s="990" t="str">
        <f>IF(F21=$S$15,$T$12,IF(ROUNDDOWN(F21,0)=$S$12,$U$12,$T$12))</f>
        <v>■レベル　3</v>
      </c>
      <c r="G24" s="3804" t="s">
        <v>3232</v>
      </c>
      <c r="H24" s="3476"/>
      <c r="I24" s="3476"/>
      <c r="J24" s="3476"/>
      <c r="K24" s="3476"/>
      <c r="L24" s="3476"/>
      <c r="M24" s="3476"/>
      <c r="N24" s="3476"/>
      <c r="O24" s="3477"/>
    </row>
    <row r="25" spans="2:15" ht="27" customHeight="1">
      <c r="B25" s="1">
        <v>4</v>
      </c>
      <c r="C25" s="1">
        <v>4</v>
      </c>
      <c r="D25" s="954"/>
      <c r="E25" s="954"/>
      <c r="F25" s="990" t="str">
        <f>IF(F21=$S$15,$T$13,IF(ROUNDDOWN(F21,0)=$S$13,$U$13,$T$13))</f>
        <v>　レベル　4</v>
      </c>
      <c r="G25" s="3804" t="s">
        <v>3233</v>
      </c>
      <c r="H25" s="3476"/>
      <c r="I25" s="3476"/>
      <c r="J25" s="3476"/>
      <c r="K25" s="3476"/>
      <c r="L25" s="3476"/>
      <c r="M25" s="3476"/>
      <c r="N25" s="3476"/>
      <c r="O25" s="3477"/>
    </row>
    <row r="26" spans="2:15" ht="22.5" customHeight="1">
      <c r="B26" s="1">
        <v>5</v>
      </c>
      <c r="C26" s="1">
        <v>5</v>
      </c>
      <c r="D26" s="954"/>
      <c r="E26" s="954"/>
      <c r="F26" s="1001" t="str">
        <f>IF(F21=$S$15,$T$14,IF(ROUNDDOWN(F21,0)=$S$14,$U$14,$T$14))</f>
        <v>　レベル　5</v>
      </c>
      <c r="G26" s="1645" t="s">
        <v>3234</v>
      </c>
      <c r="H26" s="2400"/>
      <c r="I26" s="2400"/>
      <c r="J26" s="2400"/>
      <c r="K26" s="2400"/>
      <c r="L26" s="2400"/>
      <c r="M26" s="2400"/>
      <c r="N26" s="1006"/>
      <c r="O26" s="1007"/>
    </row>
    <row r="27" spans="2:15" ht="15.75">
      <c r="B27" s="1008">
        <v>0</v>
      </c>
      <c r="C27" s="1008">
        <v>0</v>
      </c>
      <c r="D27" s="954"/>
      <c r="E27" s="954"/>
      <c r="F27" s="1662"/>
      <c r="G27" s="1662"/>
      <c r="H27" s="1662"/>
      <c r="I27" s="1662"/>
      <c r="J27" s="1662"/>
      <c r="K27" s="1662"/>
      <c r="L27" s="1662"/>
      <c r="M27" s="1662"/>
      <c r="N27" s="1662"/>
      <c r="O27" s="1662"/>
    </row>
    <row r="28" spans="2:15" ht="24" customHeight="1">
      <c r="D28" s="1661">
        <v>2.2000000000000002</v>
      </c>
      <c r="E28" s="1399" t="s">
        <v>850</v>
      </c>
      <c r="F28" s="1663"/>
      <c r="G28" s="1663"/>
      <c r="H28" s="1663"/>
      <c r="I28" s="1663"/>
      <c r="J28" s="1663"/>
      <c r="K28" s="1663"/>
      <c r="L28" s="1663"/>
      <c r="M28" s="1663"/>
      <c r="N28" s="1663"/>
      <c r="O28" s="1663"/>
    </row>
    <row r="29" spans="2:15" ht="19.5" customHeight="1" thickBot="1">
      <c r="F29" s="1114"/>
      <c r="G29" s="972"/>
      <c r="H29" s="973" t="s">
        <v>1125</v>
      </c>
      <c r="I29" s="974"/>
      <c r="J29" s="975" t="e">
        <f>重み!M163</f>
        <v>#DIV/0!</v>
      </c>
      <c r="K29" s="1115"/>
      <c r="L29" s="1115"/>
      <c r="M29" s="1115"/>
      <c r="N29" s="1115"/>
      <c r="O29" s="984"/>
    </row>
    <row r="30" spans="2:15" ht="21.75" customHeight="1" thickBot="1">
      <c r="D30" s="954"/>
      <c r="E30" s="952"/>
      <c r="F30" s="1348">
        <f>IF(H58&lt;=0,1,IF(H58&lt;=5,2,IF(H58&lt;=12,3,IF(H58&lt;=19,4,IF(H58&gt;=20,5)))))</f>
        <v>3</v>
      </c>
      <c r="G30" s="982" t="s">
        <v>384</v>
      </c>
      <c r="H30" s="983"/>
      <c r="I30" s="983"/>
      <c r="J30" s="983"/>
      <c r="K30" s="983"/>
      <c r="L30" s="1316"/>
      <c r="M30" s="983"/>
      <c r="N30" s="983"/>
      <c r="O30" s="984"/>
    </row>
    <row r="31" spans="2:15" ht="19.5" customHeight="1">
      <c r="D31" s="954"/>
      <c r="E31" s="952"/>
      <c r="F31" s="990" t="str">
        <f>IF(F30=$S$15,$T$10,IF(ROUNDDOWN(F30,0)=$S$10,$U$10,$T$10))</f>
        <v>　レベル　1</v>
      </c>
      <c r="G31" s="1218" t="s">
        <v>3306</v>
      </c>
      <c r="H31" s="1219"/>
      <c r="I31" s="1219"/>
      <c r="J31" s="1219"/>
      <c r="K31" s="1219"/>
      <c r="L31" s="1219"/>
      <c r="M31" s="1219"/>
      <c r="N31" s="988"/>
      <c r="O31" s="989"/>
    </row>
    <row r="32" spans="2:15" ht="19.5" customHeight="1">
      <c r="D32" s="954"/>
      <c r="E32" s="952"/>
      <c r="F32" s="990" t="str">
        <f>IF(F30=$S$15,$T$11,IF(ROUNDDOWN(F30,0)=$S$11,$U$11,$T$11))</f>
        <v>　レベル　2</v>
      </c>
      <c r="G32" s="1644" t="s">
        <v>3307</v>
      </c>
      <c r="H32" s="2135"/>
      <c r="I32" s="2135"/>
      <c r="J32" s="2135"/>
      <c r="K32" s="2135"/>
      <c r="L32" s="2135"/>
      <c r="M32" s="2135"/>
      <c r="N32" s="995"/>
      <c r="O32" s="996"/>
    </row>
    <row r="33" spans="2:18" ht="19.5" customHeight="1">
      <c r="D33" s="954"/>
      <c r="E33" s="952"/>
      <c r="F33" s="990" t="str">
        <f>IF(F30=$S$15,$T$12,IF(ROUNDDOWN(F30,0)=$S$12,$U$12,$T$12))</f>
        <v>■レベル　3</v>
      </c>
      <c r="G33" s="1644" t="s">
        <v>3326</v>
      </c>
      <c r="H33" s="2135"/>
      <c r="I33" s="2135"/>
      <c r="J33" s="2135"/>
      <c r="K33" s="2135"/>
      <c r="L33" s="2135"/>
      <c r="M33" s="2135"/>
      <c r="N33" s="995"/>
      <c r="O33" s="996"/>
    </row>
    <row r="34" spans="2:18" ht="19.5" customHeight="1">
      <c r="D34" s="954"/>
      <c r="E34" s="952"/>
      <c r="F34" s="990" t="str">
        <f>IF(F30=$S$15,$T$13,IF(ROUNDDOWN(F30,0)=$S$13,$U$13,$T$13))</f>
        <v>　レベル　4</v>
      </c>
      <c r="G34" s="1644" t="s">
        <v>3327</v>
      </c>
      <c r="H34" s="2135"/>
      <c r="I34" s="2135"/>
      <c r="J34" s="2135"/>
      <c r="K34" s="2135"/>
      <c r="L34" s="2135"/>
      <c r="M34" s="2135"/>
      <c r="N34" s="995"/>
      <c r="O34" s="996"/>
    </row>
    <row r="35" spans="2:18" ht="19.5" customHeight="1">
      <c r="D35" s="954"/>
      <c r="E35" s="952"/>
      <c r="F35" s="1001" t="str">
        <f>IF(F30=$S$15,$T$14,IF(ROUNDDOWN(F30,0)=$S$14,$U$14,$T$14))</f>
        <v>　レベル　5</v>
      </c>
      <c r="G35" s="1645" t="s">
        <v>3328</v>
      </c>
      <c r="H35" s="2136"/>
      <c r="I35" s="2136"/>
      <c r="J35" s="2136"/>
      <c r="K35" s="2136"/>
      <c r="L35" s="2136"/>
      <c r="M35" s="2136"/>
      <c r="N35" s="1006"/>
      <c r="O35" s="1007"/>
    </row>
    <row r="36" spans="2:18" ht="21" customHeight="1">
      <c r="D36" s="1189"/>
      <c r="E36" s="1189"/>
      <c r="F36" s="1189"/>
      <c r="G36" s="1350" t="s">
        <v>3282</v>
      </c>
      <c r="H36" s="1189"/>
      <c r="I36" s="2137"/>
      <c r="J36" s="2137"/>
      <c r="K36" s="2110"/>
      <c r="L36" s="2110"/>
      <c r="M36" s="2110"/>
      <c r="N36" s="2110"/>
      <c r="O36" s="955"/>
    </row>
    <row r="37" spans="2:18" ht="16.5" thickBot="1">
      <c r="D37" s="954"/>
      <c r="E37" s="955"/>
      <c r="F37" s="954"/>
      <c r="G37" s="1352" t="s">
        <v>177</v>
      </c>
      <c r="H37" s="3595" t="s">
        <v>2104</v>
      </c>
      <c r="I37" s="3596"/>
      <c r="J37" s="3597"/>
      <c r="K37" s="3805" t="s">
        <v>851</v>
      </c>
      <c r="L37" s="3806"/>
      <c r="M37" s="3806"/>
      <c r="N37" s="3807"/>
      <c r="O37" s="1137" t="s">
        <v>2105</v>
      </c>
      <c r="P37" s="136"/>
      <c r="Q37" s="136"/>
      <c r="R37" s="136"/>
    </row>
    <row r="38" spans="2:18" ht="30.75" customHeight="1">
      <c r="D38" s="954"/>
      <c r="E38" s="955"/>
      <c r="F38" s="954"/>
      <c r="G38" s="3818">
        <v>2</v>
      </c>
      <c r="H38" s="3819" t="s">
        <v>2729</v>
      </c>
      <c r="I38" s="3811" t="s">
        <v>2728</v>
      </c>
      <c r="J38" s="3812"/>
      <c r="K38" s="3808" t="s">
        <v>3235</v>
      </c>
      <c r="L38" s="3809"/>
      <c r="M38" s="3809"/>
      <c r="N38" s="3810"/>
      <c r="O38" s="3706">
        <v>2</v>
      </c>
      <c r="P38" s="136"/>
      <c r="Q38" s="136"/>
      <c r="R38" s="136"/>
    </row>
    <row r="39" spans="2:18" ht="42" hidden="1" customHeight="1">
      <c r="B39" s="1163" t="s">
        <v>1847</v>
      </c>
      <c r="D39" s="954"/>
      <c r="E39" s="955"/>
      <c r="F39" s="954"/>
      <c r="G39" s="3615"/>
      <c r="H39" s="3802"/>
      <c r="I39" s="3813"/>
      <c r="J39" s="3814"/>
      <c r="K39" s="3794" t="s">
        <v>1848</v>
      </c>
      <c r="L39" s="3710"/>
      <c r="M39" s="3710"/>
      <c r="N39" s="3711"/>
      <c r="O39" s="3796"/>
      <c r="P39" s="136"/>
      <c r="Q39" s="136"/>
      <c r="R39" s="136"/>
    </row>
    <row r="40" spans="2:18" ht="30.75" customHeight="1">
      <c r="D40" s="954"/>
      <c r="E40" s="955"/>
      <c r="F40" s="954"/>
      <c r="G40" s="3614">
        <v>2</v>
      </c>
      <c r="H40" s="3800" t="s">
        <v>1849</v>
      </c>
      <c r="I40" s="3791" t="s">
        <v>675</v>
      </c>
      <c r="J40" s="3793"/>
      <c r="K40" s="3791" t="s">
        <v>676</v>
      </c>
      <c r="L40" s="3792"/>
      <c r="M40" s="3792"/>
      <c r="N40" s="3793"/>
      <c r="O40" s="3795" t="s">
        <v>2106</v>
      </c>
      <c r="P40" s="136"/>
      <c r="Q40" s="136"/>
      <c r="R40" s="136"/>
    </row>
    <row r="41" spans="2:18" ht="36" customHeight="1">
      <c r="D41" s="954"/>
      <c r="E41" s="955"/>
      <c r="F41" s="954"/>
      <c r="G41" s="3799"/>
      <c r="H41" s="3801"/>
      <c r="I41" s="3815"/>
      <c r="J41" s="3816"/>
      <c r="K41" s="3797" t="s">
        <v>1021</v>
      </c>
      <c r="L41" s="3798"/>
      <c r="M41" s="3798"/>
      <c r="N41" s="3746"/>
      <c r="O41" s="3884"/>
      <c r="P41" s="136"/>
      <c r="Q41" s="136"/>
      <c r="R41" s="136"/>
    </row>
    <row r="42" spans="2:18" ht="20.25" customHeight="1">
      <c r="D42" s="954"/>
      <c r="E42" s="955"/>
      <c r="F42" s="954"/>
      <c r="G42" s="3614">
        <v>2</v>
      </c>
      <c r="H42" s="3801"/>
      <c r="I42" s="3815"/>
      <c r="J42" s="3816"/>
      <c r="K42" s="3791" t="s">
        <v>677</v>
      </c>
      <c r="L42" s="3792"/>
      <c r="M42" s="3792"/>
      <c r="N42" s="3793"/>
      <c r="O42" s="3795" t="s">
        <v>179</v>
      </c>
      <c r="P42" s="136"/>
      <c r="Q42" s="136"/>
      <c r="R42" s="136"/>
    </row>
    <row r="43" spans="2:18" ht="55.5" customHeight="1">
      <c r="D43" s="954"/>
      <c r="E43" s="955"/>
      <c r="F43" s="954"/>
      <c r="G43" s="3615"/>
      <c r="H43" s="3801"/>
      <c r="I43" s="3815"/>
      <c r="J43" s="3816"/>
      <c r="K43" s="3797" t="s">
        <v>1022</v>
      </c>
      <c r="L43" s="3798"/>
      <c r="M43" s="3798"/>
      <c r="N43" s="3746"/>
      <c r="O43" s="3796"/>
      <c r="P43" s="136"/>
      <c r="Q43" s="136"/>
      <c r="R43" s="136"/>
    </row>
    <row r="44" spans="2:18" ht="20.25" customHeight="1">
      <c r="D44" s="954"/>
      <c r="E44" s="955"/>
      <c r="F44" s="954"/>
      <c r="G44" s="3614">
        <v>0</v>
      </c>
      <c r="H44" s="3801"/>
      <c r="I44" s="3815"/>
      <c r="J44" s="3816"/>
      <c r="K44" s="3791" t="s">
        <v>678</v>
      </c>
      <c r="L44" s="3792"/>
      <c r="M44" s="3792"/>
      <c r="N44" s="3793"/>
      <c r="O44" s="3795" t="s">
        <v>179</v>
      </c>
      <c r="P44" s="136"/>
      <c r="Q44" s="136"/>
      <c r="R44" s="136"/>
    </row>
    <row r="45" spans="2:18" ht="57.75" customHeight="1">
      <c r="D45" s="954"/>
      <c r="E45" s="955"/>
      <c r="F45" s="954"/>
      <c r="G45" s="3615"/>
      <c r="H45" s="3801"/>
      <c r="I45" s="3817"/>
      <c r="J45" s="3746"/>
      <c r="K45" s="3797" t="s">
        <v>2116</v>
      </c>
      <c r="L45" s="3798"/>
      <c r="M45" s="3798"/>
      <c r="N45" s="3746"/>
      <c r="O45" s="3707"/>
      <c r="P45" s="136"/>
      <c r="Q45" s="136"/>
      <c r="R45" s="136"/>
    </row>
    <row r="46" spans="2:18" ht="20.25" customHeight="1">
      <c r="D46" s="954"/>
      <c r="E46" s="955"/>
      <c r="F46" s="954"/>
      <c r="G46" s="3614">
        <v>0</v>
      </c>
      <c r="H46" s="3801"/>
      <c r="I46" s="3791" t="s">
        <v>679</v>
      </c>
      <c r="J46" s="3793"/>
      <c r="K46" s="3791" t="s">
        <v>680</v>
      </c>
      <c r="L46" s="3792"/>
      <c r="M46" s="3792"/>
      <c r="N46" s="3793"/>
      <c r="O46" s="3795" t="s">
        <v>179</v>
      </c>
      <c r="P46" s="136"/>
      <c r="Q46" s="136"/>
      <c r="R46" s="136"/>
    </row>
    <row r="47" spans="2:18" ht="55.5" customHeight="1">
      <c r="D47" s="954"/>
      <c r="E47" s="955"/>
      <c r="F47" s="954"/>
      <c r="G47" s="3615"/>
      <c r="H47" s="3801"/>
      <c r="I47" s="3817"/>
      <c r="J47" s="3746"/>
      <c r="K47" s="3797" t="s">
        <v>2117</v>
      </c>
      <c r="L47" s="3798"/>
      <c r="M47" s="3798"/>
      <c r="N47" s="3746"/>
      <c r="O47" s="3803"/>
      <c r="P47" s="136"/>
      <c r="Q47" s="136"/>
      <c r="R47" s="136"/>
    </row>
    <row r="48" spans="2:18" ht="20.25" customHeight="1">
      <c r="D48" s="954"/>
      <c r="E48" s="955"/>
      <c r="F48" s="954"/>
      <c r="G48" s="3614">
        <v>0</v>
      </c>
      <c r="H48" s="3801"/>
      <c r="I48" s="3791" t="s">
        <v>681</v>
      </c>
      <c r="J48" s="3793"/>
      <c r="K48" s="3791" t="s">
        <v>682</v>
      </c>
      <c r="L48" s="3792"/>
      <c r="M48" s="3792"/>
      <c r="N48" s="3793"/>
      <c r="O48" s="3795" t="s">
        <v>179</v>
      </c>
      <c r="P48" s="136"/>
      <c r="Q48" s="136"/>
      <c r="R48" s="136"/>
    </row>
    <row r="49" spans="2:18" ht="55.5" customHeight="1">
      <c r="D49" s="954"/>
      <c r="E49" s="955"/>
      <c r="F49" s="954"/>
      <c r="G49" s="3615"/>
      <c r="H49" s="3801"/>
      <c r="I49" s="3815"/>
      <c r="J49" s="3816"/>
      <c r="K49" s="3797" t="s">
        <v>2118</v>
      </c>
      <c r="L49" s="3798"/>
      <c r="M49" s="3798"/>
      <c r="N49" s="3746"/>
      <c r="O49" s="3796"/>
      <c r="P49" s="136"/>
      <c r="Q49" s="136"/>
      <c r="R49" s="136"/>
    </row>
    <row r="50" spans="2:18" ht="20.25" customHeight="1">
      <c r="D50" s="954"/>
      <c r="E50" s="955"/>
      <c r="F50" s="954"/>
      <c r="G50" s="3614">
        <v>0</v>
      </c>
      <c r="H50" s="3801"/>
      <c r="I50" s="3815"/>
      <c r="J50" s="3816"/>
      <c r="K50" s="3791" t="s">
        <v>683</v>
      </c>
      <c r="L50" s="3792"/>
      <c r="M50" s="3792"/>
      <c r="N50" s="3793"/>
      <c r="O50" s="3795" t="s">
        <v>179</v>
      </c>
      <c r="P50" s="136"/>
      <c r="Q50" s="136"/>
      <c r="R50" s="136"/>
    </row>
    <row r="51" spans="2:18" ht="58.5" customHeight="1">
      <c r="D51" s="954"/>
      <c r="E51" s="955"/>
      <c r="F51" s="954"/>
      <c r="G51" s="3615"/>
      <c r="H51" s="3801"/>
      <c r="I51" s="3817"/>
      <c r="J51" s="3746"/>
      <c r="K51" s="3797" t="s">
        <v>2119</v>
      </c>
      <c r="L51" s="3798"/>
      <c r="M51" s="3798"/>
      <c r="N51" s="3746"/>
      <c r="O51" s="3796"/>
      <c r="P51" s="136"/>
      <c r="Q51" s="136"/>
      <c r="R51" s="136"/>
    </row>
    <row r="52" spans="2:18" ht="30.75" customHeight="1">
      <c r="D52" s="954"/>
      <c r="E52" s="955"/>
      <c r="F52" s="954"/>
      <c r="G52" s="3614">
        <v>0</v>
      </c>
      <c r="H52" s="3801"/>
      <c r="I52" s="3791" t="s">
        <v>684</v>
      </c>
      <c r="J52" s="3793"/>
      <c r="K52" s="3791" t="s">
        <v>685</v>
      </c>
      <c r="L52" s="3792"/>
      <c r="M52" s="3792"/>
      <c r="N52" s="3793"/>
      <c r="O52" s="3795" t="s">
        <v>179</v>
      </c>
      <c r="P52" s="136"/>
      <c r="Q52" s="136"/>
      <c r="R52" s="136"/>
    </row>
    <row r="53" spans="2:18" ht="56.25" customHeight="1">
      <c r="D53" s="954"/>
      <c r="E53" s="955"/>
      <c r="F53" s="954"/>
      <c r="G53" s="3615"/>
      <c r="H53" s="3801"/>
      <c r="I53" s="3815"/>
      <c r="J53" s="3816"/>
      <c r="K53" s="3797" t="s">
        <v>2120</v>
      </c>
      <c r="L53" s="3798"/>
      <c r="M53" s="3798"/>
      <c r="N53" s="3746"/>
      <c r="O53" s="3803"/>
      <c r="P53" s="136"/>
      <c r="Q53" s="136"/>
      <c r="R53" s="136"/>
    </row>
    <row r="54" spans="2:18" ht="27" customHeight="1">
      <c r="D54" s="954"/>
      <c r="E54" s="955"/>
      <c r="F54" s="954"/>
      <c r="G54" s="3614">
        <v>0</v>
      </c>
      <c r="H54" s="3801"/>
      <c r="I54" s="3815"/>
      <c r="J54" s="3816"/>
      <c r="K54" s="3791" t="s">
        <v>686</v>
      </c>
      <c r="L54" s="3792"/>
      <c r="M54" s="3792"/>
      <c r="N54" s="3793"/>
      <c r="O54" s="3795" t="s">
        <v>179</v>
      </c>
      <c r="P54" s="136"/>
      <c r="Q54" s="136"/>
      <c r="R54" s="136"/>
    </row>
    <row r="55" spans="2:18" ht="56.25" customHeight="1" thickBot="1">
      <c r="D55" s="954"/>
      <c r="E55" s="955"/>
      <c r="F55" s="954"/>
      <c r="G55" s="3615"/>
      <c r="H55" s="3802"/>
      <c r="I55" s="3817"/>
      <c r="J55" s="3746"/>
      <c r="K55" s="3797" t="s">
        <v>988</v>
      </c>
      <c r="L55" s="3798"/>
      <c r="M55" s="3798"/>
      <c r="N55" s="3746"/>
      <c r="O55" s="3796"/>
      <c r="P55" s="136"/>
      <c r="Q55" s="136"/>
      <c r="R55" s="136"/>
    </row>
    <row r="56" spans="2:18" ht="32.25" hidden="1" customHeight="1">
      <c r="D56" s="954"/>
      <c r="E56" s="955"/>
      <c r="F56" s="954"/>
      <c r="G56" s="3614">
        <v>0</v>
      </c>
      <c r="H56" s="3800" t="s">
        <v>687</v>
      </c>
      <c r="I56" s="3791" t="s">
        <v>688</v>
      </c>
      <c r="J56" s="3793"/>
      <c r="K56" s="3791" t="s">
        <v>989</v>
      </c>
      <c r="L56" s="3792"/>
      <c r="M56" s="3792"/>
      <c r="N56" s="3793"/>
      <c r="O56" s="3795" t="s">
        <v>180</v>
      </c>
      <c r="P56" s="136"/>
      <c r="Q56" s="136"/>
      <c r="R56" s="136"/>
    </row>
    <row r="57" spans="2:18" ht="30.75" hidden="1" customHeight="1" thickBot="1">
      <c r="D57" s="954"/>
      <c r="E57" s="955"/>
      <c r="F57" s="954"/>
      <c r="G57" s="3682"/>
      <c r="H57" s="3830"/>
      <c r="I57" s="3831"/>
      <c r="J57" s="3832"/>
      <c r="K57" s="3794" t="s">
        <v>689</v>
      </c>
      <c r="L57" s="3710"/>
      <c r="M57" s="3710"/>
      <c r="N57" s="3711"/>
      <c r="O57" s="3844"/>
      <c r="P57" s="136"/>
      <c r="Q57" s="136"/>
      <c r="R57" s="136"/>
    </row>
    <row r="58" spans="2:18" ht="15.75">
      <c r="D58" s="954"/>
      <c r="E58" s="955"/>
      <c r="F58" s="954"/>
      <c r="G58" s="2683" t="s">
        <v>1436</v>
      </c>
      <c r="H58" s="3820">
        <f>SUM(G38:G57)</f>
        <v>6</v>
      </c>
      <c r="I58" s="3820"/>
      <c r="J58" s="3820"/>
      <c r="K58" s="1241"/>
      <c r="L58" s="1242"/>
      <c r="M58" s="1241"/>
      <c r="N58" s="1242"/>
      <c r="O58" s="1353"/>
      <c r="P58" s="136"/>
      <c r="Q58" s="136"/>
      <c r="R58" s="136"/>
    </row>
    <row r="59" spans="2:18" ht="15" customHeight="1">
      <c r="D59" s="954"/>
      <c r="E59" s="954"/>
      <c r="F59" s="954"/>
      <c r="G59" s="1664"/>
      <c r="H59" s="1664"/>
      <c r="I59" s="1665"/>
      <c r="J59" s="1666"/>
      <c r="K59" s="1666"/>
      <c r="L59" s="2138"/>
      <c r="M59" s="955"/>
      <c r="N59" s="955"/>
      <c r="O59" s="955"/>
    </row>
    <row r="60" spans="2:18" ht="14.25" customHeight="1">
      <c r="D60" s="1661">
        <v>2.2999999999999998</v>
      </c>
      <c r="E60" s="961" t="s">
        <v>534</v>
      </c>
      <c r="F60" s="962"/>
      <c r="G60" s="955"/>
      <c r="H60" s="962"/>
      <c r="I60" s="961"/>
      <c r="J60" s="961"/>
      <c r="K60" s="961"/>
      <c r="L60" s="961"/>
      <c r="M60" s="961"/>
      <c r="N60" s="1457"/>
      <c r="O60" s="962"/>
    </row>
    <row r="61" spans="2:18" ht="14.25" customHeight="1">
      <c r="D61" s="1661"/>
      <c r="E61" s="961"/>
      <c r="F61" s="1520" t="s">
        <v>990</v>
      </c>
      <c r="G61" s="955"/>
      <c r="H61" s="962"/>
      <c r="I61" s="961"/>
      <c r="J61" s="961"/>
      <c r="K61" s="961"/>
      <c r="L61" s="961"/>
      <c r="M61" s="961"/>
      <c r="N61" s="1457"/>
      <c r="O61" s="962"/>
    </row>
    <row r="62" spans="2:18" ht="18" customHeight="1" thickBot="1">
      <c r="D62" s="1661"/>
      <c r="E62" s="1457"/>
      <c r="F62" s="1114"/>
      <c r="G62" s="972"/>
      <c r="H62" s="973" t="s">
        <v>1125</v>
      </c>
      <c r="I62" s="974"/>
      <c r="J62" s="975" t="e">
        <f>重み!M165</f>
        <v>#DIV/0!</v>
      </c>
      <c r="K62" s="1115"/>
      <c r="L62" s="1115"/>
      <c r="M62" s="1115"/>
      <c r="N62" s="1115"/>
      <c r="O62" s="984"/>
    </row>
    <row r="63" spans="2:18" ht="17.25" customHeight="1" thickBot="1">
      <c r="F63" s="978">
        <v>3</v>
      </c>
      <c r="G63" s="982" t="s">
        <v>991</v>
      </c>
      <c r="H63" s="983"/>
      <c r="I63" s="983"/>
      <c r="J63" s="983"/>
      <c r="K63" s="983"/>
      <c r="L63" s="1316"/>
      <c r="M63" s="1316"/>
      <c r="N63" s="3821" t="s">
        <v>992</v>
      </c>
      <c r="O63" s="3463"/>
    </row>
    <row r="64" spans="2:18" ht="17.25" customHeight="1">
      <c r="B64" s="1576">
        <v>1</v>
      </c>
      <c r="C64" s="1">
        <v>1</v>
      </c>
      <c r="F64" s="990" t="str">
        <f>IF(F63=$S$15,$T$10,IF(ROUNDDOWN(F63,0)=$S$10,$U$10,$T$10))</f>
        <v>　レベル　1</v>
      </c>
      <c r="G64" s="2645" t="s">
        <v>2730</v>
      </c>
      <c r="H64" s="1219"/>
      <c r="I64" s="1219"/>
      <c r="J64" s="1219"/>
      <c r="K64" s="1219"/>
      <c r="L64" s="1219"/>
      <c r="M64" s="1219"/>
      <c r="N64" s="3833" t="s">
        <v>993</v>
      </c>
      <c r="O64" s="3834"/>
    </row>
    <row r="65" spans="2:15" ht="24.75" customHeight="1">
      <c r="B65" s="1" t="s">
        <v>1249</v>
      </c>
      <c r="C65" s="1">
        <v>2</v>
      </c>
      <c r="F65" s="990" t="str">
        <f>IF(F63=$S$15,$T$11,IF(ROUNDDOWN(F63,0)=$S$11,$U$11,$T$11))</f>
        <v>　レベル　2</v>
      </c>
      <c r="G65" s="1644" t="s">
        <v>1795</v>
      </c>
      <c r="H65" s="2135"/>
      <c r="I65" s="2135"/>
      <c r="J65" s="2135"/>
      <c r="K65" s="2135"/>
      <c r="L65" s="2135"/>
      <c r="M65" s="2135"/>
      <c r="N65" s="3835"/>
      <c r="O65" s="3836"/>
    </row>
    <row r="66" spans="2:15" ht="24.75" customHeight="1">
      <c r="B66" s="1">
        <v>3</v>
      </c>
      <c r="C66" s="1">
        <v>3</v>
      </c>
      <c r="F66" s="990" t="str">
        <f>IF(F63=$S$15,$T$12,IF(ROUNDDOWN(F63,0)=$S$12,$U$12,$T$12))</f>
        <v>■レベル　3</v>
      </c>
      <c r="G66" s="1644" t="s">
        <v>2731</v>
      </c>
      <c r="H66" s="2135"/>
      <c r="I66" s="2135"/>
      <c r="J66" s="2135"/>
      <c r="K66" s="2135"/>
      <c r="L66" s="2135"/>
      <c r="M66" s="2135"/>
      <c r="N66" s="3835"/>
      <c r="O66" s="3836"/>
    </row>
    <row r="67" spans="2:15" ht="24.75" customHeight="1">
      <c r="B67" s="1">
        <v>4</v>
      </c>
      <c r="C67" s="1">
        <v>4</v>
      </c>
      <c r="F67" s="990" t="str">
        <f>IF(F63=$S$15,$T$13,IF(ROUNDDOWN(F63,0)=$S$13,$U$13,$T$13))</f>
        <v>　レベル　4</v>
      </c>
      <c r="G67" s="1644" t="s">
        <v>3236</v>
      </c>
      <c r="H67" s="2135"/>
      <c r="I67" s="2135"/>
      <c r="J67" s="2135"/>
      <c r="K67" s="2135"/>
      <c r="L67" s="2135"/>
      <c r="M67" s="2135"/>
      <c r="N67" s="3835"/>
      <c r="O67" s="3836"/>
    </row>
    <row r="68" spans="2:15" ht="24.75" customHeight="1">
      <c r="B68" s="1" t="s">
        <v>999</v>
      </c>
      <c r="C68" s="1">
        <v>5</v>
      </c>
      <c r="F68" s="1001" t="str">
        <f>IF(F63=$S$15,$T$14,IF(ROUNDDOWN(F63,0)=$S$14,$U$14,$T$14))</f>
        <v>　レベル　5</v>
      </c>
      <c r="G68" s="1645" t="s">
        <v>1795</v>
      </c>
      <c r="H68" s="2136"/>
      <c r="I68" s="2136"/>
      <c r="J68" s="2136"/>
      <c r="K68" s="2136"/>
      <c r="L68" s="2136"/>
      <c r="M68" s="2136"/>
      <c r="N68" s="3837"/>
      <c r="O68" s="3838"/>
    </row>
    <row r="69" spans="2:15">
      <c r="B69" s="1008">
        <v>0</v>
      </c>
      <c r="C69" s="1008">
        <v>0</v>
      </c>
    </row>
    <row r="70" spans="2:15" ht="16.5" customHeight="1">
      <c r="F70" s="1520" t="s">
        <v>994</v>
      </c>
    </row>
    <row r="71" spans="2:15" ht="19.5" customHeight="1" thickBot="1">
      <c r="D71" s="1661"/>
      <c r="E71" s="550"/>
      <c r="F71" s="1114"/>
      <c r="G71" s="972"/>
      <c r="H71" s="973" t="s">
        <v>1125</v>
      </c>
      <c r="I71" s="974"/>
      <c r="J71" s="975" t="e">
        <f>重み!M166</f>
        <v>#DIV/0!</v>
      </c>
      <c r="K71" s="1115"/>
      <c r="L71" s="1115"/>
      <c r="M71" s="1115"/>
      <c r="N71" s="1115"/>
      <c r="O71" s="984"/>
    </row>
    <row r="72" spans="2:15" ht="19.5" customHeight="1" thickBot="1">
      <c r="F72" s="978">
        <v>3</v>
      </c>
      <c r="G72" s="982" t="s">
        <v>1843</v>
      </c>
      <c r="H72" s="983"/>
      <c r="I72" s="983"/>
      <c r="J72" s="983"/>
      <c r="K72" s="983"/>
      <c r="L72" s="1316"/>
      <c r="M72" s="983"/>
      <c r="N72" s="983"/>
      <c r="O72" s="984"/>
    </row>
    <row r="73" spans="2:15" ht="19.5" customHeight="1">
      <c r="B73" s="1576">
        <v>1</v>
      </c>
      <c r="C73" s="1">
        <v>1</v>
      </c>
      <c r="F73" s="990" t="str">
        <f>IF(F72=$S$15,$T$10,IF(ROUNDDOWN(F72,0)=$S$10,$U$10,$T$10))</f>
        <v>　レベル　1</v>
      </c>
      <c r="G73" s="2645" t="s">
        <v>3237</v>
      </c>
      <c r="H73" s="1219"/>
      <c r="I73" s="1219"/>
      <c r="J73" s="1219"/>
      <c r="K73" s="1219"/>
      <c r="L73" s="1219"/>
      <c r="M73" s="1219"/>
      <c r="N73" s="988"/>
      <c r="O73" s="989"/>
    </row>
    <row r="74" spans="2:15" ht="19.5" customHeight="1">
      <c r="B74" s="1" t="s">
        <v>1249</v>
      </c>
      <c r="C74" s="1">
        <v>2</v>
      </c>
      <c r="F74" s="990" t="str">
        <f>IF(F72=$S$15,$T$11,IF(ROUNDDOWN(F72,0)=$S$11,$U$11,$T$11))</f>
        <v>　レベル　2</v>
      </c>
      <c r="G74" s="1644" t="s">
        <v>1795</v>
      </c>
      <c r="H74" s="2135"/>
      <c r="I74" s="2135"/>
      <c r="J74" s="2135"/>
      <c r="K74" s="2135"/>
      <c r="L74" s="2135"/>
      <c r="M74" s="2135"/>
      <c r="N74" s="995"/>
      <c r="O74" s="996"/>
    </row>
    <row r="75" spans="2:15" ht="19.5" customHeight="1">
      <c r="B75" s="1">
        <v>3</v>
      </c>
      <c r="C75" s="1">
        <v>3</v>
      </c>
      <c r="F75" s="990" t="str">
        <f>IF(F72=$S$15,$T$12,IF(ROUNDDOWN(F72,0)=$S$12,$U$12,$T$12))</f>
        <v>■レベル　3</v>
      </c>
      <c r="G75" s="1644" t="s">
        <v>3238</v>
      </c>
      <c r="H75" s="2135"/>
      <c r="I75" s="2135"/>
      <c r="J75" s="2135"/>
      <c r="K75" s="2135"/>
      <c r="L75" s="2135"/>
      <c r="M75" s="2135"/>
      <c r="N75" s="995"/>
      <c r="O75" s="996"/>
    </row>
    <row r="76" spans="2:15" ht="19.5" customHeight="1">
      <c r="B76" s="1">
        <v>4</v>
      </c>
      <c r="C76" s="1">
        <v>4</v>
      </c>
      <c r="F76" s="990" t="str">
        <f>IF(F72=$S$15,$T$13,IF(ROUNDDOWN(F72,0)=$S$13,$U$13,$T$13))</f>
        <v>　レベル　4</v>
      </c>
      <c r="G76" s="1644" t="s">
        <v>3239</v>
      </c>
      <c r="H76" s="2135"/>
      <c r="I76" s="2135"/>
      <c r="J76" s="2135"/>
      <c r="K76" s="2135"/>
      <c r="L76" s="2135"/>
      <c r="M76" s="2135"/>
      <c r="N76" s="995"/>
      <c r="O76" s="996"/>
    </row>
    <row r="77" spans="2:15" ht="19.5" customHeight="1">
      <c r="B77" s="1" t="s">
        <v>1794</v>
      </c>
      <c r="C77" s="1">
        <v>5</v>
      </c>
      <c r="F77" s="1001" t="str">
        <f>IF(F72=$S$15,$T$14,IF(ROUNDDOWN(F72,0)=$S$14,$U$14,$T$14))</f>
        <v>　レベル　5</v>
      </c>
      <c r="G77" s="1645" t="s">
        <v>1795</v>
      </c>
      <c r="H77" s="2136"/>
      <c r="I77" s="2136"/>
      <c r="J77" s="2136"/>
      <c r="K77" s="2136"/>
      <c r="L77" s="2136"/>
      <c r="M77" s="2136"/>
      <c r="N77" s="1006"/>
      <c r="O77" s="1007"/>
    </row>
    <row r="78" spans="2:15" ht="13.5" customHeight="1">
      <c r="B78" s="1008">
        <v>0</v>
      </c>
      <c r="C78" s="1008">
        <v>0</v>
      </c>
    </row>
    <row r="79" spans="2:15" ht="13.5" customHeight="1">
      <c r="F79" s="1520" t="s">
        <v>995</v>
      </c>
    </row>
    <row r="80" spans="2:15" ht="14.25" customHeight="1" thickBot="1">
      <c r="D80" s="1661"/>
      <c r="E80" s="550"/>
      <c r="F80" s="1114"/>
      <c r="G80" s="972"/>
      <c r="H80" s="973" t="s">
        <v>1125</v>
      </c>
      <c r="I80" s="974"/>
      <c r="J80" s="975" t="e">
        <f>重み!M167</f>
        <v>#DIV/0!</v>
      </c>
      <c r="K80" s="1115"/>
      <c r="L80" s="1115"/>
      <c r="M80" s="1115"/>
      <c r="N80" s="1115"/>
      <c r="O80" s="984"/>
    </row>
    <row r="81" spans="4:15" ht="22.5" customHeight="1" thickBot="1">
      <c r="F81" s="1348">
        <f>IF(H97=0,1,IF(H97=1,2,IF(H97=2,3,IF(H97=3,4,IF(H97&gt;=4,5)))))</f>
        <v>3</v>
      </c>
      <c r="G81" s="982" t="s">
        <v>384</v>
      </c>
      <c r="H81" s="983"/>
      <c r="I81" s="983"/>
      <c r="J81" s="983"/>
      <c r="K81" s="983"/>
      <c r="L81" s="1316"/>
      <c r="M81" s="983"/>
      <c r="N81" s="983"/>
      <c r="O81" s="984"/>
    </row>
    <row r="82" spans="4:15" ht="22.5" customHeight="1">
      <c r="F82" s="990" t="str">
        <f>IF(F81=$S$15,$T$10,IF(ROUNDDOWN(F81,0)=$S$10,$U$10,$T$10))</f>
        <v>　レベル　1</v>
      </c>
      <c r="G82" s="1218" t="s">
        <v>3306</v>
      </c>
      <c r="H82" s="1219"/>
      <c r="I82" s="1219"/>
      <c r="J82" s="1219"/>
      <c r="K82" s="1219"/>
      <c r="L82" s="1219"/>
      <c r="M82" s="1219"/>
      <c r="N82" s="988"/>
      <c r="O82" s="989"/>
    </row>
    <row r="83" spans="4:15" ht="22.5" customHeight="1">
      <c r="F83" s="990" t="str">
        <f>IF(F81=$S$15,$T$11,IF(ROUNDDOWN(F81,0)=$S$11,$U$11,$T$11))</f>
        <v>　レベル　2</v>
      </c>
      <c r="G83" s="1644" t="s">
        <v>3329</v>
      </c>
      <c r="H83" s="2135"/>
      <c r="I83" s="2135"/>
      <c r="J83" s="2135"/>
      <c r="K83" s="2135"/>
      <c r="L83" s="2135"/>
      <c r="M83" s="2135"/>
      <c r="N83" s="995"/>
      <c r="O83" s="996"/>
    </row>
    <row r="84" spans="4:15" ht="22.5" customHeight="1">
      <c r="F84" s="990" t="str">
        <f>IF(F81=$S$15,$T$12,IF(ROUNDDOWN(F81,0)=$S$12,$U$12,$T$12))</f>
        <v>■レベル　3</v>
      </c>
      <c r="G84" s="1644" t="s">
        <v>3330</v>
      </c>
      <c r="H84" s="2135"/>
      <c r="I84" s="2135"/>
      <c r="J84" s="2135"/>
      <c r="K84" s="2135"/>
      <c r="L84" s="2135"/>
      <c r="M84" s="2135"/>
      <c r="N84" s="995"/>
      <c r="O84" s="996"/>
    </row>
    <row r="85" spans="4:15" ht="22.5" customHeight="1">
      <c r="F85" s="990" t="str">
        <f>IF(F81=$S$15,$T$13,IF(ROUNDDOWN(F81,0)=$S$13,$U$13,$T$13))</f>
        <v>　レベル　4</v>
      </c>
      <c r="G85" s="1644" t="s">
        <v>3331</v>
      </c>
      <c r="H85" s="2135"/>
      <c r="I85" s="2135"/>
      <c r="J85" s="2135"/>
      <c r="K85" s="2135"/>
      <c r="L85" s="2135"/>
      <c r="M85" s="2135"/>
      <c r="N85" s="995"/>
      <c r="O85" s="996"/>
    </row>
    <row r="86" spans="4:15" ht="22.5" customHeight="1">
      <c r="F86" s="1001" t="str">
        <f>IF(F81=$S$15,$T$14,IF(ROUNDDOWN(F81,0)=$S$14,$U$14,$T$14))</f>
        <v>　レベル　5</v>
      </c>
      <c r="G86" s="1645" t="s">
        <v>3332</v>
      </c>
      <c r="H86" s="2136"/>
      <c r="I86" s="2136"/>
      <c r="J86" s="2136"/>
      <c r="K86" s="2136"/>
      <c r="L86" s="2136"/>
      <c r="M86" s="2136"/>
      <c r="N86" s="1006"/>
      <c r="O86" s="1007"/>
    </row>
    <row r="87" spans="4:15" ht="21" customHeight="1">
      <c r="F87" s="1189"/>
      <c r="G87" s="1350" t="s">
        <v>3282</v>
      </c>
      <c r="H87" s="1189"/>
      <c r="I87" s="2137"/>
      <c r="J87" s="2137"/>
      <c r="K87" s="2110"/>
      <c r="L87" s="2110"/>
      <c r="M87" s="2110"/>
      <c r="N87" s="2110"/>
      <c r="O87" s="952"/>
    </row>
    <row r="88" spans="4:15" ht="24.75" customHeight="1" thickBot="1">
      <c r="F88" s="954"/>
      <c r="G88" s="1352" t="s">
        <v>177</v>
      </c>
      <c r="H88" s="3595" t="s">
        <v>1419</v>
      </c>
      <c r="I88" s="3596"/>
      <c r="J88" s="3597"/>
      <c r="K88" s="3595" t="s">
        <v>1415</v>
      </c>
      <c r="L88" s="3596"/>
      <c r="M88" s="3596"/>
      <c r="N88" s="3596"/>
      <c r="O88" s="1137" t="s">
        <v>1420</v>
      </c>
    </row>
    <row r="89" spans="4:15" ht="41.25" customHeight="1">
      <c r="D89" s="1660"/>
      <c r="E89" s="952"/>
      <c r="F89" s="952"/>
      <c r="G89" s="1371">
        <v>1</v>
      </c>
      <c r="H89" s="3858" t="s">
        <v>3333</v>
      </c>
      <c r="I89" s="3858"/>
      <c r="J89" s="3879"/>
      <c r="K89" s="3418" t="s">
        <v>3240</v>
      </c>
      <c r="L89" s="3839"/>
      <c r="M89" s="3839"/>
      <c r="N89" s="3839"/>
      <c r="O89" s="2139">
        <v>1</v>
      </c>
    </row>
    <row r="90" spans="4:15" ht="20.25" customHeight="1">
      <c r="D90" s="1660"/>
      <c r="E90" s="952"/>
      <c r="F90" s="952"/>
      <c r="G90" s="3614">
        <v>0</v>
      </c>
      <c r="H90" s="3824"/>
      <c r="I90" s="3824"/>
      <c r="J90" s="3825"/>
      <c r="K90" s="3828" t="s">
        <v>1344</v>
      </c>
      <c r="L90" s="3824"/>
      <c r="M90" s="3824"/>
      <c r="N90" s="3824"/>
      <c r="O90" s="3840">
        <v>1</v>
      </c>
    </row>
    <row r="91" spans="4:15" ht="25.5" customHeight="1">
      <c r="D91" s="1660"/>
      <c r="E91" s="952"/>
      <c r="F91" s="952"/>
      <c r="G91" s="3615"/>
      <c r="H91" s="3880"/>
      <c r="I91" s="3880"/>
      <c r="J91" s="3881"/>
      <c r="K91" s="3842"/>
      <c r="L91" s="3843"/>
      <c r="M91" s="3843"/>
      <c r="N91" s="3843"/>
      <c r="O91" s="3840"/>
    </row>
    <row r="92" spans="4:15" ht="30.75" customHeight="1">
      <c r="D92" s="1660"/>
      <c r="E92" s="952"/>
      <c r="F92" s="952"/>
      <c r="G92" s="1373">
        <v>1</v>
      </c>
      <c r="H92" s="3822" t="s">
        <v>3334</v>
      </c>
      <c r="I92" s="3822"/>
      <c r="J92" s="3823"/>
      <c r="K92" s="3828" t="s">
        <v>1345</v>
      </c>
      <c r="L92" s="3824"/>
      <c r="M92" s="3824"/>
      <c r="N92" s="3824"/>
      <c r="O92" s="2140">
        <v>1</v>
      </c>
    </row>
    <row r="93" spans="4:15" ht="22.5" customHeight="1">
      <c r="D93" s="1660"/>
      <c r="E93" s="952"/>
      <c r="F93" s="952"/>
      <c r="G93" s="1373">
        <v>0</v>
      </c>
      <c r="H93" s="3824"/>
      <c r="I93" s="3824"/>
      <c r="J93" s="3825"/>
      <c r="K93" s="3420" t="s">
        <v>1346</v>
      </c>
      <c r="L93" s="3829"/>
      <c r="M93" s="3829"/>
      <c r="N93" s="3829"/>
      <c r="O93" s="2140">
        <v>1</v>
      </c>
    </row>
    <row r="94" spans="4:15" ht="33" customHeight="1">
      <c r="D94" s="1660"/>
      <c r="E94" s="952"/>
      <c r="F94" s="952"/>
      <c r="G94" s="1373">
        <v>0</v>
      </c>
      <c r="H94" s="3824"/>
      <c r="I94" s="3824"/>
      <c r="J94" s="3825"/>
      <c r="K94" s="3420" t="s">
        <v>1347</v>
      </c>
      <c r="L94" s="3829"/>
      <c r="M94" s="3829"/>
      <c r="N94" s="3829"/>
      <c r="O94" s="2140">
        <v>1</v>
      </c>
    </row>
    <row r="95" spans="4:15" ht="21.75" customHeight="1">
      <c r="D95" s="1660"/>
      <c r="E95" s="952"/>
      <c r="F95" s="952"/>
      <c r="G95" s="3614" t="s">
        <v>690</v>
      </c>
      <c r="H95" s="3824"/>
      <c r="I95" s="3824"/>
      <c r="J95" s="3825"/>
      <c r="K95" s="3828" t="s">
        <v>1348</v>
      </c>
      <c r="L95" s="3824"/>
      <c r="M95" s="3824"/>
      <c r="N95" s="3824"/>
      <c r="O95" s="3840">
        <v>1</v>
      </c>
    </row>
    <row r="96" spans="4:15" ht="25.5" customHeight="1" thickBot="1">
      <c r="D96" s="1660"/>
      <c r="E96" s="952"/>
      <c r="F96" s="952"/>
      <c r="G96" s="3682"/>
      <c r="H96" s="3826"/>
      <c r="I96" s="3826"/>
      <c r="J96" s="3827"/>
      <c r="K96" s="3687"/>
      <c r="L96" s="3688"/>
      <c r="M96" s="3688"/>
      <c r="N96" s="3688"/>
      <c r="O96" s="3841"/>
    </row>
    <row r="97" spans="2:15" ht="14.25">
      <c r="D97" s="1660"/>
      <c r="E97" s="952"/>
      <c r="F97" s="952"/>
      <c r="G97" s="1239" t="s">
        <v>1436</v>
      </c>
      <c r="H97" s="3820">
        <f>SUM(G89:G96)</f>
        <v>2</v>
      </c>
      <c r="I97" s="3820"/>
      <c r="J97" s="3820"/>
      <c r="K97" s="1241"/>
      <c r="L97" s="1242"/>
      <c r="M97" s="1241"/>
      <c r="N97" s="1242"/>
      <c r="O97" s="1353"/>
    </row>
    <row r="98" spans="2:15" ht="14.25">
      <c r="D98" s="1660"/>
      <c r="E98" s="952"/>
      <c r="F98" s="952"/>
      <c r="G98" s="952"/>
      <c r="H98" s="952"/>
      <c r="I98" s="952"/>
      <c r="J98" s="952"/>
      <c r="K98" s="952"/>
      <c r="L98" s="952"/>
      <c r="M98" s="952"/>
      <c r="N98" s="952"/>
      <c r="O98" s="952"/>
    </row>
    <row r="99" spans="2:15" ht="14.25">
      <c r="D99" s="1660"/>
      <c r="E99" s="952"/>
      <c r="F99" s="1520" t="s">
        <v>691</v>
      </c>
      <c r="G99" s="952"/>
      <c r="H99" s="952"/>
      <c r="I99" s="952"/>
      <c r="J99" s="952"/>
      <c r="K99" s="952"/>
      <c r="L99" s="952"/>
      <c r="M99" s="952"/>
      <c r="N99" s="952"/>
      <c r="O99" s="952"/>
    </row>
    <row r="100" spans="2:15" ht="15" thickBot="1">
      <c r="B100" s="1667" t="s">
        <v>692</v>
      </c>
      <c r="D100" s="1661"/>
      <c r="E100" s="1189"/>
      <c r="F100" s="1114"/>
      <c r="G100" s="972"/>
      <c r="H100" s="973" t="s">
        <v>1125</v>
      </c>
      <c r="I100" s="974"/>
      <c r="J100" s="975" t="e">
        <f>重み!M168</f>
        <v>#DIV/0!</v>
      </c>
      <c r="K100" s="1115"/>
      <c r="L100" s="1115"/>
      <c r="M100" s="1115"/>
      <c r="N100" s="1115"/>
      <c r="O100" s="984"/>
    </row>
    <row r="101" spans="2:15" ht="14.25" thickBot="1">
      <c r="F101" s="1348">
        <f>IF(メイン!I54=メイン!I56,IF(H116=0,1,IF(H116=1,2,IF(H116=2,3,IF(H116=3,4,IF(H116&gt;=4,5))))),IF(H116&lt;=1,1,IF(H116=2,2,IF(H116=3,3,IF(H116=4,4,IF(H116&gt;=5,5))))))</f>
        <v>3</v>
      </c>
      <c r="G101" s="982" t="s">
        <v>2732</v>
      </c>
      <c r="H101" s="983"/>
      <c r="I101" s="983"/>
      <c r="J101" s="983"/>
      <c r="K101" s="1095" t="s">
        <v>1553</v>
      </c>
      <c r="L101" s="983"/>
      <c r="M101" s="983"/>
      <c r="N101" s="983"/>
      <c r="O101" s="984"/>
    </row>
    <row r="102" spans="2:15" ht="23.25" customHeight="1">
      <c r="F102" s="990" t="str">
        <f>IF(F101=$S$15,$T$10,IF(ROUNDDOWN(F101,0)=$S$10,$U$10,$T$10))</f>
        <v>　レベル　1</v>
      </c>
      <c r="G102" s="1218" t="s">
        <v>3335</v>
      </c>
      <c r="H102" s="1299"/>
      <c r="I102" s="1299"/>
      <c r="J102" s="1299"/>
      <c r="K102" s="2645" t="s">
        <v>3306</v>
      </c>
      <c r="L102" s="2648"/>
      <c r="M102" s="2648"/>
      <c r="N102" s="2644"/>
      <c r="O102" s="989"/>
    </row>
    <row r="103" spans="2:15" ht="23.25" customHeight="1">
      <c r="F103" s="990" t="str">
        <f>IF(F101=$S$15,$T$11,IF(ROUNDDOWN(F101,0)=$S$11,$U$11,$T$11))</f>
        <v>　レベル　2</v>
      </c>
      <c r="G103" s="1221" t="s">
        <v>3330</v>
      </c>
      <c r="H103" s="1355"/>
      <c r="I103" s="1355"/>
      <c r="J103" s="1355"/>
      <c r="K103" s="2649" t="s">
        <v>3329</v>
      </c>
      <c r="L103" s="2684"/>
      <c r="M103" s="2654"/>
      <c r="N103" s="2647"/>
      <c r="O103" s="996"/>
    </row>
    <row r="104" spans="2:15" ht="23.25" customHeight="1">
      <c r="F104" s="990" t="str">
        <f>IF(F101=$S$15,$T$12,IF(ROUNDDOWN(F101,0)=$S$12,$U$12,$T$12))</f>
        <v>■レベル　3</v>
      </c>
      <c r="G104" s="1221" t="s">
        <v>3331</v>
      </c>
      <c r="H104" s="1355"/>
      <c r="I104" s="1355"/>
      <c r="J104" s="1355"/>
      <c r="K104" s="2649" t="s">
        <v>3330</v>
      </c>
      <c r="L104" s="2684"/>
      <c r="M104" s="2654"/>
      <c r="N104" s="2647"/>
      <c r="O104" s="996"/>
    </row>
    <row r="105" spans="2:15" ht="23.25" customHeight="1">
      <c r="F105" s="990" t="str">
        <f>IF(F101=$S$15,$T$13,IF(ROUNDDOWN(F101,0)=$S$13,$U$13,$T$13))</f>
        <v>　レベル　4</v>
      </c>
      <c r="G105" s="1221" t="s">
        <v>3336</v>
      </c>
      <c r="H105" s="1355"/>
      <c r="I105" s="1355"/>
      <c r="J105" s="1355"/>
      <c r="K105" s="2649" t="s">
        <v>3331</v>
      </c>
      <c r="L105" s="2684"/>
      <c r="M105" s="2654"/>
      <c r="N105" s="2647"/>
      <c r="O105" s="996"/>
    </row>
    <row r="106" spans="2:15" ht="23.25" customHeight="1">
      <c r="F106" s="1001" t="str">
        <f>IF(F101=$S$15,$T$14,IF(ROUNDDOWN(F101,0)=$S$14,$U$14,$T$14))</f>
        <v>　レベル　5</v>
      </c>
      <c r="G106" s="1224" t="s">
        <v>3337</v>
      </c>
      <c r="H106" s="1365"/>
      <c r="I106" s="1365"/>
      <c r="J106" s="1365"/>
      <c r="K106" s="2642" t="s">
        <v>3338</v>
      </c>
      <c r="L106" s="2685"/>
      <c r="M106" s="2657"/>
      <c r="N106" s="2643"/>
      <c r="O106" s="1007"/>
    </row>
    <row r="107" spans="2:15">
      <c r="F107" s="1189"/>
      <c r="G107" s="1350" t="s">
        <v>3282</v>
      </c>
      <c r="H107" s="1189"/>
      <c r="I107" s="2137"/>
      <c r="J107" s="2137"/>
      <c r="K107" s="2110"/>
      <c r="L107" s="2110"/>
      <c r="M107" s="2110"/>
      <c r="N107" s="2110"/>
      <c r="O107" s="952"/>
    </row>
    <row r="108" spans="2:15" ht="22.5" customHeight="1" thickBot="1">
      <c r="F108" s="954"/>
      <c r="G108" s="1352" t="s">
        <v>177</v>
      </c>
      <c r="H108" s="3595" t="s">
        <v>1419</v>
      </c>
      <c r="I108" s="3596"/>
      <c r="J108" s="3597"/>
      <c r="K108" s="3595" t="s">
        <v>1415</v>
      </c>
      <c r="L108" s="3596"/>
      <c r="M108" s="3596"/>
      <c r="N108" s="3596"/>
      <c r="O108" s="1137" t="s">
        <v>1420</v>
      </c>
    </row>
    <row r="109" spans="2:15" ht="30.75" customHeight="1">
      <c r="D109" s="1660"/>
      <c r="E109" s="952"/>
      <c r="F109" s="952"/>
      <c r="G109" s="1371">
        <v>1</v>
      </c>
      <c r="H109" s="3882" t="s">
        <v>2735</v>
      </c>
      <c r="I109" s="3839"/>
      <c r="J109" s="3419"/>
      <c r="K109" s="3418" t="s">
        <v>3241</v>
      </c>
      <c r="L109" s="3839"/>
      <c r="M109" s="3839"/>
      <c r="N109" s="3419"/>
      <c r="O109" s="2686">
        <v>1</v>
      </c>
    </row>
    <row r="110" spans="2:15" ht="32.25" customHeight="1">
      <c r="D110" s="1660"/>
      <c r="E110" s="952"/>
      <c r="F110" s="952"/>
      <c r="G110" s="2652">
        <v>1</v>
      </c>
      <c r="H110" s="3877" t="s">
        <v>2736</v>
      </c>
      <c r="I110" s="3822"/>
      <c r="J110" s="3823"/>
      <c r="K110" s="3420" t="s">
        <v>2733</v>
      </c>
      <c r="L110" s="3829"/>
      <c r="M110" s="3829"/>
      <c r="N110" s="3876"/>
      <c r="O110" s="2653">
        <v>1</v>
      </c>
    </row>
    <row r="111" spans="2:15" ht="27" customHeight="1">
      <c r="D111" s="1660"/>
      <c r="E111" s="952"/>
      <c r="F111" s="952"/>
      <c r="G111" s="1373">
        <v>1</v>
      </c>
      <c r="H111" s="3883"/>
      <c r="I111" s="3824"/>
      <c r="J111" s="3825"/>
      <c r="K111" s="3420" t="s">
        <v>2737</v>
      </c>
      <c r="L111" s="3829"/>
      <c r="M111" s="3829"/>
      <c r="N111" s="3876"/>
      <c r="O111" s="2653">
        <v>1</v>
      </c>
    </row>
    <row r="112" spans="2:15" ht="24" customHeight="1">
      <c r="D112" s="1660"/>
      <c r="E112" s="952"/>
      <c r="F112" s="952"/>
      <c r="G112" s="1373">
        <v>0</v>
      </c>
      <c r="H112" s="3883"/>
      <c r="I112" s="3824"/>
      <c r="J112" s="3825"/>
      <c r="K112" s="3420" t="s">
        <v>2734</v>
      </c>
      <c r="L112" s="3829"/>
      <c r="M112" s="3829"/>
      <c r="N112" s="3876"/>
      <c r="O112" s="2653">
        <v>1</v>
      </c>
    </row>
    <row r="113" spans="2:15" ht="57" hidden="1" customHeight="1">
      <c r="B113" s="1163" t="s">
        <v>693</v>
      </c>
      <c r="D113" s="1660"/>
      <c r="E113" s="952"/>
      <c r="F113" s="952"/>
      <c r="G113" s="1373">
        <v>0</v>
      </c>
      <c r="H113" s="2659"/>
      <c r="I113" s="2660"/>
      <c r="J113" s="2660"/>
      <c r="K113" s="3420" t="s">
        <v>694</v>
      </c>
      <c r="L113" s="3829"/>
      <c r="M113" s="3829"/>
      <c r="N113" s="3876"/>
      <c r="O113" s="2653" t="s">
        <v>2738</v>
      </c>
    </row>
    <row r="114" spans="2:15" ht="31.5" customHeight="1">
      <c r="D114" s="1660"/>
      <c r="E114" s="952"/>
      <c r="F114" s="952"/>
      <c r="G114" s="1373">
        <v>0</v>
      </c>
      <c r="H114" s="3877" t="s">
        <v>3242</v>
      </c>
      <c r="I114" s="3822"/>
      <c r="J114" s="3823"/>
      <c r="K114" s="3420" t="s">
        <v>3243</v>
      </c>
      <c r="L114" s="3829"/>
      <c r="M114" s="3829"/>
      <c r="N114" s="3876"/>
      <c r="O114" s="2653">
        <v>1</v>
      </c>
    </row>
    <row r="115" spans="2:15" ht="27" customHeight="1" thickBot="1">
      <c r="D115" s="1660"/>
      <c r="E115" s="952"/>
      <c r="F115" s="952"/>
      <c r="G115" s="1380">
        <v>0</v>
      </c>
      <c r="H115" s="3878"/>
      <c r="I115" s="3826"/>
      <c r="J115" s="3827"/>
      <c r="K115" s="3552" t="s">
        <v>2739</v>
      </c>
      <c r="L115" s="3898"/>
      <c r="M115" s="3898"/>
      <c r="N115" s="3899"/>
      <c r="O115" s="1381">
        <v>1</v>
      </c>
    </row>
    <row r="116" spans="2:15" ht="14.25">
      <c r="D116" s="1660"/>
      <c r="E116" s="952"/>
      <c r="F116" s="952"/>
      <c r="G116" s="1239" t="s">
        <v>2689</v>
      </c>
      <c r="H116" s="3820">
        <f>SUM(G109:G115)</f>
        <v>3</v>
      </c>
      <c r="I116" s="3820"/>
      <c r="J116" s="3820"/>
      <c r="K116" s="2655"/>
      <c r="L116" s="1242"/>
      <c r="M116" s="2655"/>
      <c r="N116" s="1242"/>
      <c r="O116" s="2656"/>
    </row>
    <row r="117" spans="2:15" ht="16.5" customHeight="1">
      <c r="D117" s="1660"/>
      <c r="E117" s="952"/>
      <c r="F117" s="952"/>
      <c r="G117" s="952"/>
      <c r="H117" s="952"/>
      <c r="I117" s="952"/>
      <c r="J117" s="952"/>
      <c r="K117" s="952"/>
      <c r="L117" s="952"/>
      <c r="M117" s="952"/>
      <c r="N117" s="952"/>
      <c r="O117" s="952"/>
    </row>
    <row r="118" spans="2:15" ht="19.5" customHeight="1">
      <c r="D118" s="1661">
        <v>3</v>
      </c>
      <c r="E118" s="961" t="s">
        <v>2219</v>
      </c>
      <c r="F118" s="961"/>
      <c r="G118" s="952"/>
      <c r="H118" s="952"/>
      <c r="I118" s="952"/>
      <c r="J118" s="952"/>
      <c r="K118" s="952"/>
      <c r="L118" s="952"/>
      <c r="M118" s="952"/>
      <c r="N118" s="952"/>
      <c r="O118" s="952"/>
    </row>
    <row r="119" spans="2:15" ht="14.25">
      <c r="D119" s="1661">
        <v>3.1</v>
      </c>
      <c r="E119" s="961" t="s">
        <v>695</v>
      </c>
      <c r="F119" s="961"/>
      <c r="G119" s="960"/>
      <c r="H119" s="961"/>
      <c r="I119" s="961"/>
      <c r="J119" s="961"/>
      <c r="K119" s="961"/>
      <c r="L119" s="961"/>
      <c r="M119" s="961"/>
      <c r="N119" s="961"/>
      <c r="O119" s="2133"/>
    </row>
    <row r="120" spans="2:15" ht="14.25">
      <c r="D120" s="1661"/>
      <c r="E120" s="961"/>
      <c r="F120" s="1668" t="s">
        <v>696</v>
      </c>
      <c r="G120" s="960"/>
      <c r="H120" s="961"/>
      <c r="I120" s="961"/>
      <c r="J120" s="961"/>
      <c r="K120" s="961"/>
      <c r="L120" s="961"/>
      <c r="M120" s="961"/>
      <c r="N120" s="961"/>
      <c r="O120" s="2133"/>
    </row>
    <row r="121" spans="2:15" ht="15" thickBot="1">
      <c r="D121" s="1661"/>
      <c r="E121" s="1189"/>
      <c r="F121" s="1114"/>
      <c r="G121" s="972"/>
      <c r="H121" s="973" t="s">
        <v>1125</v>
      </c>
      <c r="I121" s="974"/>
      <c r="J121" s="975" t="e">
        <f>重み!M171</f>
        <v>#DIV/0!</v>
      </c>
      <c r="K121" s="1115"/>
      <c r="L121" s="1115"/>
      <c r="M121" s="1115"/>
      <c r="N121" s="1115"/>
      <c r="O121" s="984"/>
    </row>
    <row r="122" spans="2:15" ht="16.5" thickBot="1">
      <c r="D122" s="954"/>
      <c r="E122" s="954"/>
      <c r="F122" s="978">
        <v>3</v>
      </c>
      <c r="G122" s="982" t="s">
        <v>1843</v>
      </c>
      <c r="H122" s="983"/>
      <c r="I122" s="983"/>
      <c r="J122" s="983"/>
      <c r="K122" s="983"/>
      <c r="L122" s="1316"/>
      <c r="M122" s="983"/>
      <c r="N122" s="1095" t="s">
        <v>697</v>
      </c>
      <c r="O122" s="984"/>
    </row>
    <row r="123" spans="2:15" ht="20.25" customHeight="1">
      <c r="B123" s="1">
        <v>1</v>
      </c>
      <c r="C123" s="1">
        <v>1</v>
      </c>
      <c r="D123" s="954"/>
      <c r="E123" s="954"/>
      <c r="F123" s="990" t="str">
        <f>IF(F122=$S$15,$T$10,IF(ROUNDDOWN(F122,0)=$S$10,$U$10,$T$10))</f>
        <v>　レベル　1</v>
      </c>
      <c r="G123" s="1218" t="s">
        <v>1998</v>
      </c>
      <c r="H123" s="1299"/>
      <c r="I123" s="1299"/>
      <c r="J123" s="1299"/>
      <c r="K123" s="1299"/>
      <c r="L123" s="1480"/>
      <c r="M123" s="1299"/>
      <c r="N123" s="3870" t="s">
        <v>1999</v>
      </c>
      <c r="O123" s="3871"/>
    </row>
    <row r="124" spans="2:15" ht="20.25" customHeight="1">
      <c r="B124" s="1" t="s">
        <v>949</v>
      </c>
      <c r="C124" s="1">
        <v>2</v>
      </c>
      <c r="D124" s="954"/>
      <c r="E124" s="954"/>
      <c r="F124" s="990" t="str">
        <f>IF(F122=$S$15,$T$11,IF(ROUNDDOWN(F122,0)=$S$11,$U$11,$T$11))</f>
        <v>　レベル　2</v>
      </c>
      <c r="G124" s="1221" t="s">
        <v>1795</v>
      </c>
      <c r="H124" s="1355"/>
      <c r="I124" s="1355"/>
      <c r="J124" s="1355"/>
      <c r="K124" s="1355"/>
      <c r="L124" s="1481"/>
      <c r="M124" s="1355"/>
      <c r="N124" s="3872"/>
      <c r="O124" s="3873"/>
    </row>
    <row r="125" spans="2:15" ht="20.25" customHeight="1">
      <c r="B125" s="1">
        <v>3</v>
      </c>
      <c r="C125" s="1">
        <v>3</v>
      </c>
      <c r="D125" s="954"/>
      <c r="E125" s="954"/>
      <c r="F125" s="990" t="str">
        <f>IF(F122=$S$15,$T$12,IF(ROUNDDOWN(F122,0)=$S$12,$U$12,$T$12))</f>
        <v>■レベル　3</v>
      </c>
      <c r="G125" s="1221" t="s">
        <v>2000</v>
      </c>
      <c r="H125" s="1355"/>
      <c r="I125" s="1355"/>
      <c r="J125" s="1355"/>
      <c r="K125" s="1355"/>
      <c r="L125" s="1481"/>
      <c r="M125" s="1355"/>
      <c r="N125" s="3872"/>
      <c r="O125" s="3873"/>
    </row>
    <row r="126" spans="2:15" ht="20.25" customHeight="1">
      <c r="B126" s="1" t="s">
        <v>949</v>
      </c>
      <c r="C126" s="1">
        <v>4</v>
      </c>
      <c r="D126" s="954"/>
      <c r="E126" s="954"/>
      <c r="F126" s="990" t="str">
        <f>IF(F122=$S$15,$T$13,IF(ROUNDDOWN(F122,0)=$S$13,$U$13,$T$13))</f>
        <v>　レベル　4</v>
      </c>
      <c r="G126" s="1221" t="s">
        <v>1795</v>
      </c>
      <c r="H126" s="1355"/>
      <c r="I126" s="1355"/>
      <c r="J126" s="1355"/>
      <c r="K126" s="1355"/>
      <c r="L126" s="1481"/>
      <c r="M126" s="1355"/>
      <c r="N126" s="3872"/>
      <c r="O126" s="3873"/>
    </row>
    <row r="127" spans="2:15" ht="20.25" customHeight="1">
      <c r="B127" s="1">
        <v>5</v>
      </c>
      <c r="C127" s="1">
        <v>5</v>
      </c>
      <c r="D127" s="954"/>
      <c r="E127" s="954"/>
      <c r="F127" s="1001" t="str">
        <f>IF(F122=$S$15,$T$14,IF(ROUNDDOWN(F122,0)=$S$14,$U$14,$T$14))</f>
        <v>　レベル　5</v>
      </c>
      <c r="G127" s="1224" t="s">
        <v>395</v>
      </c>
      <c r="H127" s="1365"/>
      <c r="I127" s="1365"/>
      <c r="J127" s="1365"/>
      <c r="K127" s="1365"/>
      <c r="L127" s="1669"/>
      <c r="M127" s="1365"/>
      <c r="N127" s="3874"/>
      <c r="O127" s="3875"/>
    </row>
    <row r="128" spans="2:15" ht="25.5" customHeight="1">
      <c r="B128" s="1008">
        <v>0</v>
      </c>
      <c r="C128" s="1008">
        <v>0</v>
      </c>
      <c r="F128" s="3868" t="s">
        <v>3244</v>
      </c>
      <c r="G128" s="3868"/>
      <c r="H128" s="3868"/>
      <c r="I128" s="3868"/>
      <c r="J128" s="3868"/>
      <c r="K128" s="3868"/>
      <c r="L128" s="3868"/>
      <c r="M128" s="3868"/>
      <c r="N128" s="3868"/>
      <c r="O128" s="3868"/>
    </row>
    <row r="129" spans="6:12" ht="15.75">
      <c r="F129" s="1400" t="s">
        <v>698</v>
      </c>
      <c r="G129" s="1400"/>
      <c r="H129" s="954"/>
      <c r="I129" s="954"/>
      <c r="J129" s="954"/>
      <c r="K129" s="961"/>
      <c r="L129" s="961"/>
    </row>
    <row r="130" spans="6:12">
      <c r="F130" s="1517" t="s">
        <v>3245</v>
      </c>
    </row>
    <row r="131" spans="6:12">
      <c r="F131" s="1670"/>
      <c r="G131" s="3851" t="s">
        <v>699</v>
      </c>
      <c r="H131" s="3852"/>
      <c r="I131" s="3853"/>
      <c r="J131" s="3851" t="s">
        <v>700</v>
      </c>
      <c r="K131" s="3852"/>
      <c r="L131" s="3853"/>
    </row>
    <row r="132" spans="6:12" ht="14.25">
      <c r="F132" s="1671"/>
      <c r="G132" s="1672" t="s">
        <v>1270</v>
      </c>
      <c r="H132" s="1673" t="s">
        <v>1271</v>
      </c>
      <c r="I132" s="1674" t="s">
        <v>1272</v>
      </c>
      <c r="J132" s="1672" t="s">
        <v>1270</v>
      </c>
      <c r="K132" s="1673" t="s">
        <v>1271</v>
      </c>
      <c r="L132" s="1674" t="s">
        <v>1272</v>
      </c>
    </row>
    <row r="133" spans="6:12" ht="29.25" customHeight="1">
      <c r="F133" s="990" t="s">
        <v>701</v>
      </c>
      <c r="G133" s="1675" t="s">
        <v>702</v>
      </c>
      <c r="H133" s="1676" t="s">
        <v>702</v>
      </c>
      <c r="I133" s="1677" t="s">
        <v>702</v>
      </c>
      <c r="J133" s="1675" t="s">
        <v>702</v>
      </c>
      <c r="K133" s="1676" t="s">
        <v>702</v>
      </c>
      <c r="L133" s="1677" t="s">
        <v>702</v>
      </c>
    </row>
    <row r="134" spans="6:12">
      <c r="F134" s="990" t="s">
        <v>2377</v>
      </c>
      <c r="G134" s="1678"/>
      <c r="H134" s="1673"/>
      <c r="I134" s="1679"/>
      <c r="J134" s="1678"/>
      <c r="K134" s="1673"/>
      <c r="L134" s="1679"/>
    </row>
    <row r="135" spans="6:12">
      <c r="F135" s="990" t="s">
        <v>2378</v>
      </c>
      <c r="G135" s="1678" t="s">
        <v>703</v>
      </c>
      <c r="H135" s="1673" t="s">
        <v>704</v>
      </c>
      <c r="I135" s="1679" t="s">
        <v>704</v>
      </c>
      <c r="J135" s="1678" t="s">
        <v>1273</v>
      </c>
      <c r="K135" s="1673" t="s">
        <v>703</v>
      </c>
      <c r="L135" s="1679" t="s">
        <v>703</v>
      </c>
    </row>
    <row r="136" spans="6:12">
      <c r="F136" s="990" t="s">
        <v>2379</v>
      </c>
      <c r="G136" s="1678"/>
      <c r="H136" s="1673"/>
      <c r="I136" s="1679"/>
      <c r="J136" s="1678"/>
      <c r="K136" s="1673"/>
      <c r="L136" s="1679"/>
    </row>
    <row r="137" spans="6:12">
      <c r="F137" s="1001" t="s">
        <v>2380</v>
      </c>
      <c r="G137" s="1680" t="s">
        <v>1274</v>
      </c>
      <c r="H137" s="1681" t="s">
        <v>1275</v>
      </c>
      <c r="I137" s="1682" t="s">
        <v>1275</v>
      </c>
      <c r="J137" s="1680" t="s">
        <v>704</v>
      </c>
      <c r="K137" s="1681" t="s">
        <v>705</v>
      </c>
      <c r="L137" s="1682" t="s">
        <v>705</v>
      </c>
    </row>
    <row r="138" spans="6:12">
      <c r="F138" s="1670"/>
      <c r="G138" s="3851" t="s">
        <v>706</v>
      </c>
      <c r="H138" s="3852"/>
      <c r="I138" s="3853"/>
      <c r="J138" s="3851" t="s">
        <v>707</v>
      </c>
      <c r="K138" s="3852"/>
      <c r="L138" s="3853"/>
    </row>
    <row r="139" spans="6:12">
      <c r="F139" s="1422"/>
      <c r="G139" s="1672" t="s">
        <v>1276</v>
      </c>
      <c r="H139" s="1673" t="s">
        <v>1277</v>
      </c>
      <c r="I139" s="1674" t="s">
        <v>1278</v>
      </c>
      <c r="J139" s="1672" t="s">
        <v>1276</v>
      </c>
      <c r="K139" s="1673" t="s">
        <v>1277</v>
      </c>
      <c r="L139" s="1674" t="s">
        <v>1278</v>
      </c>
    </row>
    <row r="140" spans="6:12" ht="29.25" customHeight="1">
      <c r="F140" s="990" t="s">
        <v>701</v>
      </c>
      <c r="G140" s="1675" t="s">
        <v>702</v>
      </c>
      <c r="H140" s="1676" t="s">
        <v>702</v>
      </c>
      <c r="I140" s="1677" t="s">
        <v>702</v>
      </c>
      <c r="J140" s="1675" t="s">
        <v>702</v>
      </c>
      <c r="K140" s="1676" t="s">
        <v>702</v>
      </c>
      <c r="L140" s="1677" t="s">
        <v>702</v>
      </c>
    </row>
    <row r="141" spans="6:12">
      <c r="F141" s="990" t="s">
        <v>2377</v>
      </c>
      <c r="G141" s="1678"/>
      <c r="H141" s="1673"/>
      <c r="I141" s="1679"/>
      <c r="J141" s="1678"/>
      <c r="K141" s="1673"/>
      <c r="L141" s="1679"/>
    </row>
    <row r="142" spans="6:12">
      <c r="F142" s="990" t="s">
        <v>2378</v>
      </c>
      <c r="G142" s="1678" t="s">
        <v>708</v>
      </c>
      <c r="H142" s="1673" t="s">
        <v>709</v>
      </c>
      <c r="I142" s="1679" t="s">
        <v>710</v>
      </c>
      <c r="J142" s="1678" t="s">
        <v>711</v>
      </c>
      <c r="K142" s="1673" t="s">
        <v>708</v>
      </c>
      <c r="L142" s="1679" t="s">
        <v>709</v>
      </c>
    </row>
    <row r="143" spans="6:12">
      <c r="F143" s="990" t="s">
        <v>2379</v>
      </c>
      <c r="G143" s="1678"/>
      <c r="H143" s="1673"/>
      <c r="I143" s="1679"/>
      <c r="J143" s="1678"/>
      <c r="K143" s="1673"/>
      <c r="L143" s="1679"/>
    </row>
    <row r="144" spans="6:12">
      <c r="F144" s="1001" t="s">
        <v>2380</v>
      </c>
      <c r="G144" s="1680" t="s">
        <v>710</v>
      </c>
      <c r="H144" s="1681" t="s">
        <v>703</v>
      </c>
      <c r="I144" s="1682" t="s">
        <v>704</v>
      </c>
      <c r="J144" s="1680" t="s">
        <v>708</v>
      </c>
      <c r="K144" s="1681" t="s">
        <v>710</v>
      </c>
      <c r="L144" s="1682" t="s">
        <v>703</v>
      </c>
    </row>
    <row r="145" spans="2:15" ht="15.75">
      <c r="D145" s="954"/>
      <c r="E145" s="954"/>
      <c r="F145" s="954"/>
      <c r="G145" s="954"/>
      <c r="H145" s="954"/>
      <c r="I145" s="954"/>
      <c r="J145" s="954"/>
      <c r="K145" s="954"/>
      <c r="L145" s="954"/>
      <c r="M145" s="954"/>
      <c r="N145" s="954"/>
      <c r="O145" s="2133"/>
    </row>
    <row r="146" spans="2:15" ht="15.75">
      <c r="D146" s="954"/>
      <c r="E146" s="954"/>
      <c r="F146" s="1668" t="s">
        <v>1279</v>
      </c>
      <c r="G146" s="954"/>
      <c r="H146" s="954"/>
      <c r="I146" s="954"/>
      <c r="J146" s="954"/>
      <c r="K146" s="954"/>
      <c r="L146" s="954"/>
      <c r="M146" s="954"/>
      <c r="N146" s="954"/>
      <c r="O146" s="2133"/>
    </row>
    <row r="147" spans="2:15" ht="15" thickBot="1">
      <c r="D147" s="1661"/>
      <c r="E147" s="1189"/>
      <c r="F147" s="1114"/>
      <c r="G147" s="972"/>
      <c r="H147" s="973" t="s">
        <v>1125</v>
      </c>
      <c r="I147" s="974"/>
      <c r="J147" s="975" t="e">
        <f>重み!M172</f>
        <v>#DIV/0!</v>
      </c>
      <c r="K147" s="1115"/>
      <c r="L147" s="1115"/>
      <c r="M147" s="1115"/>
      <c r="N147" s="1115"/>
      <c r="O147" s="984"/>
    </row>
    <row r="148" spans="2:15" ht="15" thickBot="1">
      <c r="D148" s="1661"/>
      <c r="E148" s="961"/>
      <c r="F148" s="978">
        <v>3</v>
      </c>
      <c r="G148" s="982" t="s">
        <v>1843</v>
      </c>
      <c r="H148" s="983"/>
      <c r="I148" s="983"/>
      <c r="J148" s="983"/>
      <c r="K148" s="983"/>
      <c r="L148" s="1316"/>
      <c r="M148" s="983"/>
      <c r="N148" s="1095" t="s">
        <v>697</v>
      </c>
      <c r="O148" s="984"/>
    </row>
    <row r="149" spans="2:15" ht="20.25" customHeight="1">
      <c r="B149" s="1">
        <v>1</v>
      </c>
      <c r="C149" s="1">
        <v>1</v>
      </c>
      <c r="D149" s="1661"/>
      <c r="E149" s="961"/>
      <c r="F149" s="990" t="str">
        <f>IF(F148=$S$15,$T$10,IF(ROUNDDOWN(F148,0)=$S$10,$U$10,$T$10))</f>
        <v>　レベル　1</v>
      </c>
      <c r="G149" s="1218" t="s">
        <v>60</v>
      </c>
      <c r="H149" s="1299"/>
      <c r="I149" s="1299"/>
      <c r="J149" s="1299"/>
      <c r="K149" s="1299"/>
      <c r="L149" s="1480"/>
      <c r="M149" s="1299"/>
      <c r="N149" s="3377" t="s">
        <v>61</v>
      </c>
      <c r="O149" s="3854"/>
    </row>
    <row r="150" spans="2:15" ht="20.25" customHeight="1">
      <c r="B150" s="1" t="s">
        <v>396</v>
      </c>
      <c r="C150" s="1">
        <v>2</v>
      </c>
      <c r="D150" s="1661"/>
      <c r="E150" s="961"/>
      <c r="F150" s="990" t="str">
        <f>IF(F148=$S$15,$T$11,IF(ROUNDDOWN(F148,0)=$S$11,$U$11,$T$11))</f>
        <v>　レベル　2</v>
      </c>
      <c r="G150" s="1221" t="s">
        <v>1795</v>
      </c>
      <c r="H150" s="1355"/>
      <c r="I150" s="1355"/>
      <c r="J150" s="1355"/>
      <c r="K150" s="1355"/>
      <c r="L150" s="1481"/>
      <c r="M150" s="1355"/>
      <c r="N150" s="3855"/>
      <c r="O150" s="3637"/>
    </row>
    <row r="151" spans="2:15" ht="20.25" customHeight="1">
      <c r="B151" s="1">
        <v>3</v>
      </c>
      <c r="C151" s="1">
        <v>3</v>
      </c>
      <c r="D151" s="1661"/>
      <c r="E151" s="961"/>
      <c r="F151" s="990" t="str">
        <f>IF(F148=$S$15,$T$12,IF(ROUNDDOWN(F148,0)=$S$12,$U$12,$T$12))</f>
        <v>■レベル　3</v>
      </c>
      <c r="G151" s="1221" t="s">
        <v>62</v>
      </c>
      <c r="H151" s="1355"/>
      <c r="I151" s="1355"/>
      <c r="J151" s="1355"/>
      <c r="K151" s="1355"/>
      <c r="L151" s="1481"/>
      <c r="M151" s="1355"/>
      <c r="N151" s="3855"/>
      <c r="O151" s="3637"/>
    </row>
    <row r="152" spans="2:15" ht="20.25" customHeight="1">
      <c r="B152" s="1" t="s">
        <v>175</v>
      </c>
      <c r="C152" s="1">
        <v>4</v>
      </c>
      <c r="D152" s="1661"/>
      <c r="E152" s="961"/>
      <c r="F152" s="990" t="str">
        <f>IF(F148=$S$15,$T$13,IF(ROUNDDOWN(F148,0)=$S$13,$U$13,$T$13))</f>
        <v>　レベル　4</v>
      </c>
      <c r="G152" s="1221" t="s">
        <v>1795</v>
      </c>
      <c r="H152" s="1355"/>
      <c r="I152" s="1355"/>
      <c r="J152" s="1355"/>
      <c r="K152" s="1355"/>
      <c r="L152" s="1481"/>
      <c r="M152" s="1355"/>
      <c r="N152" s="3855"/>
      <c r="O152" s="3637"/>
    </row>
    <row r="153" spans="2:15" ht="20.25" customHeight="1">
      <c r="B153" s="1">
        <v>5</v>
      </c>
      <c r="C153" s="1">
        <v>5</v>
      </c>
      <c r="D153" s="1661"/>
      <c r="E153" s="961"/>
      <c r="F153" s="1001" t="str">
        <f>IF(F148=$S$15,$T$14,IF(ROUNDDOWN(F148,0)=$S$14,$U$14,$T$14))</f>
        <v>　レベル　5</v>
      </c>
      <c r="G153" s="1224" t="s">
        <v>63</v>
      </c>
      <c r="H153" s="1365"/>
      <c r="I153" s="1365"/>
      <c r="J153" s="1365"/>
      <c r="K153" s="1365"/>
      <c r="L153" s="1669"/>
      <c r="M153" s="1365"/>
      <c r="N153" s="3856"/>
      <c r="O153" s="3857"/>
    </row>
    <row r="154" spans="2:15" ht="21" customHeight="1">
      <c r="B154" s="1008">
        <v>0</v>
      </c>
      <c r="C154" s="1008">
        <v>0</v>
      </c>
      <c r="D154" s="1661"/>
      <c r="E154" s="961"/>
      <c r="F154" s="3868" t="s">
        <v>3246</v>
      </c>
      <c r="G154" s="3869"/>
      <c r="H154" s="3869"/>
      <c r="I154" s="3869"/>
      <c r="J154" s="3869"/>
      <c r="K154" s="3869"/>
      <c r="L154" s="3869"/>
      <c r="M154" s="3869"/>
      <c r="N154" s="3869"/>
      <c r="O154" s="952"/>
    </row>
    <row r="155" spans="2:15" ht="15.75">
      <c r="D155" s="1661"/>
      <c r="E155" s="961"/>
      <c r="F155" s="1400" t="s">
        <v>1633</v>
      </c>
      <c r="G155" s="1400"/>
      <c r="H155" s="954"/>
      <c r="I155" s="954"/>
      <c r="J155" s="954"/>
      <c r="K155" s="961"/>
      <c r="L155" s="961"/>
    </row>
    <row r="156" spans="2:15" ht="14.25">
      <c r="D156" s="1661"/>
      <c r="E156" s="961"/>
      <c r="F156" s="1517" t="s">
        <v>3247</v>
      </c>
    </row>
    <row r="157" spans="2:15" ht="14.25">
      <c r="D157" s="1661"/>
      <c r="E157" s="961"/>
      <c r="F157" s="1683"/>
      <c r="G157" s="3851" t="s">
        <v>699</v>
      </c>
      <c r="H157" s="3852"/>
      <c r="I157" s="3853"/>
      <c r="J157" s="3851" t="s">
        <v>700</v>
      </c>
      <c r="K157" s="3852"/>
      <c r="L157" s="3853"/>
    </row>
    <row r="158" spans="2:15" ht="14.25">
      <c r="D158" s="1661"/>
      <c r="E158" s="961"/>
      <c r="F158" s="1671"/>
      <c r="G158" s="1672" t="s">
        <v>1270</v>
      </c>
      <c r="H158" s="1673" t="s">
        <v>1272</v>
      </c>
      <c r="I158" s="1674"/>
      <c r="J158" s="1672" t="s">
        <v>1270</v>
      </c>
      <c r="K158" s="1673" t="s">
        <v>1272</v>
      </c>
      <c r="L158" s="1674"/>
    </row>
    <row r="159" spans="2:15" ht="29.25" customHeight="1">
      <c r="D159" s="1661"/>
      <c r="E159" s="961"/>
      <c r="F159" s="990" t="s">
        <v>701</v>
      </c>
      <c r="G159" s="1675" t="s">
        <v>702</v>
      </c>
      <c r="H159" s="1676" t="s">
        <v>702</v>
      </c>
      <c r="I159" s="1684"/>
      <c r="J159" s="1675" t="s">
        <v>702</v>
      </c>
      <c r="K159" s="1676" t="s">
        <v>702</v>
      </c>
      <c r="L159" s="1684"/>
    </row>
    <row r="160" spans="2:15" ht="14.25">
      <c r="D160" s="1661"/>
      <c r="E160" s="961"/>
      <c r="F160" s="990" t="s">
        <v>2377</v>
      </c>
      <c r="G160" s="1678"/>
      <c r="H160" s="1673"/>
      <c r="I160" s="1679"/>
      <c r="J160" s="1678"/>
      <c r="K160" s="1673"/>
      <c r="L160" s="1679"/>
    </row>
    <row r="161" spans="2:15" ht="14.25">
      <c r="D161" s="1661"/>
      <c r="E161" s="961"/>
      <c r="F161" s="990" t="s">
        <v>2378</v>
      </c>
      <c r="G161" s="1678" t="s">
        <v>708</v>
      </c>
      <c r="H161" s="1673" t="s">
        <v>709</v>
      </c>
      <c r="I161" s="1679"/>
      <c r="J161" s="1678" t="s">
        <v>1634</v>
      </c>
      <c r="K161" s="1673" t="s">
        <v>708</v>
      </c>
      <c r="L161" s="1679"/>
    </row>
    <row r="162" spans="2:15" ht="14.25">
      <c r="D162" s="1661"/>
      <c r="E162" s="961"/>
      <c r="F162" s="990" t="s">
        <v>2379</v>
      </c>
      <c r="G162" s="1678"/>
      <c r="H162" s="1673"/>
      <c r="I162" s="1679"/>
      <c r="J162" s="1678"/>
      <c r="K162" s="1673"/>
      <c r="L162" s="1679"/>
    </row>
    <row r="163" spans="2:15" ht="14.25">
      <c r="D163" s="1661"/>
      <c r="E163" s="961"/>
      <c r="F163" s="1001" t="s">
        <v>2380</v>
      </c>
      <c r="G163" s="1680" t="s">
        <v>709</v>
      </c>
      <c r="H163" s="1681" t="s">
        <v>710</v>
      </c>
      <c r="I163" s="1682"/>
      <c r="J163" s="1680" t="s">
        <v>708</v>
      </c>
      <c r="K163" s="1681" t="s">
        <v>709</v>
      </c>
      <c r="L163" s="1682"/>
    </row>
    <row r="164" spans="2:15" ht="14.25">
      <c r="D164" s="1661"/>
      <c r="E164" s="961"/>
      <c r="F164" s="2111"/>
      <c r="G164" s="2111"/>
      <c r="H164" s="1528"/>
      <c r="I164" s="1528"/>
      <c r="J164" s="1528"/>
      <c r="K164" s="1528"/>
      <c r="L164" s="1528"/>
    </row>
    <row r="165" spans="2:15" ht="14.25">
      <c r="D165" s="1661"/>
      <c r="E165" s="961"/>
      <c r="F165" s="1668" t="s">
        <v>923</v>
      </c>
      <c r="G165" s="2111"/>
      <c r="H165" s="1528"/>
      <c r="I165" s="1528"/>
      <c r="J165" s="1528"/>
      <c r="K165" s="1528"/>
      <c r="L165" s="1528"/>
      <c r="M165" s="1528"/>
      <c r="N165" s="1528"/>
      <c r="O165" s="2133"/>
    </row>
    <row r="166" spans="2:15" ht="15" thickBot="1">
      <c r="D166" s="1661"/>
      <c r="E166" s="1189"/>
      <c r="F166" s="1114"/>
      <c r="G166" s="972"/>
      <c r="H166" s="973" t="s">
        <v>1125</v>
      </c>
      <c r="I166" s="974"/>
      <c r="J166" s="975" t="e">
        <f>重み!M173</f>
        <v>#DIV/0!</v>
      </c>
      <c r="K166" s="1115"/>
      <c r="L166" s="1115"/>
      <c r="M166" s="1115"/>
      <c r="N166" s="1115"/>
      <c r="O166" s="984"/>
    </row>
    <row r="167" spans="2:15" ht="16.5" thickBot="1">
      <c r="D167" s="954"/>
      <c r="E167" s="954"/>
      <c r="F167" s="978">
        <v>3</v>
      </c>
      <c r="G167" s="982" t="s">
        <v>1843</v>
      </c>
      <c r="H167" s="983"/>
      <c r="I167" s="983"/>
      <c r="J167" s="983"/>
      <c r="K167" s="983"/>
      <c r="L167" s="1316"/>
      <c r="M167" s="983"/>
      <c r="N167" s="1095" t="s">
        <v>697</v>
      </c>
      <c r="O167" s="984"/>
    </row>
    <row r="168" spans="2:15" ht="15.75">
      <c r="B168" s="1">
        <v>1</v>
      </c>
      <c r="C168" s="1">
        <v>1</v>
      </c>
      <c r="D168" s="954"/>
      <c r="E168" s="954"/>
      <c r="F168" s="990" t="str">
        <f>IF(F167=$S$15,$T$10,IF(ROUNDDOWN(F167,0)=$S$10,$U$10,$T$10))</f>
        <v>　レベル　1</v>
      </c>
      <c r="G168" s="1218" t="s">
        <v>924</v>
      </c>
      <c r="H168" s="1299"/>
      <c r="I168" s="1299"/>
      <c r="J168" s="1299"/>
      <c r="K168" s="1299"/>
      <c r="L168" s="1480"/>
      <c r="M168" s="1299"/>
      <c r="N168" s="3870" t="s">
        <v>1359</v>
      </c>
      <c r="O168" s="3871"/>
    </row>
    <row r="169" spans="2:15" ht="15.75">
      <c r="B169" s="1" t="s">
        <v>396</v>
      </c>
      <c r="C169" s="1">
        <v>2</v>
      </c>
      <c r="D169" s="954"/>
      <c r="E169" s="954"/>
      <c r="F169" s="990" t="str">
        <f>IF(F167=$S$15,$T$11,IF(ROUNDDOWN(F167,0)=$S$11,$U$11,$T$11))</f>
        <v>　レベル　2</v>
      </c>
      <c r="G169" s="1221" t="s">
        <v>1795</v>
      </c>
      <c r="H169" s="1355"/>
      <c r="I169" s="1355"/>
      <c r="J169" s="1355"/>
      <c r="K169" s="1355"/>
      <c r="L169" s="1481"/>
      <c r="M169" s="1355"/>
      <c r="N169" s="3872"/>
      <c r="O169" s="3873"/>
    </row>
    <row r="170" spans="2:15" ht="15.75">
      <c r="B170" s="1">
        <v>3</v>
      </c>
      <c r="C170" s="1">
        <v>3</v>
      </c>
      <c r="D170" s="954"/>
      <c r="E170" s="954"/>
      <c r="F170" s="990" t="str">
        <f>IF(F167=$S$15,$T$12,IF(ROUNDDOWN(F167,0)=$S$12,$U$12,$T$12))</f>
        <v>■レベル　3</v>
      </c>
      <c r="G170" s="1221" t="s">
        <v>925</v>
      </c>
      <c r="H170" s="1355"/>
      <c r="I170" s="1355"/>
      <c r="J170" s="1355"/>
      <c r="K170" s="1355"/>
      <c r="L170" s="1481"/>
      <c r="M170" s="1355"/>
      <c r="N170" s="3872"/>
      <c r="O170" s="3873"/>
    </row>
    <row r="171" spans="2:15" ht="15.75">
      <c r="B171" s="1" t="s">
        <v>396</v>
      </c>
      <c r="C171" s="1">
        <v>4</v>
      </c>
      <c r="D171" s="954"/>
      <c r="E171" s="954"/>
      <c r="F171" s="990" t="str">
        <f>IF(F167=$S$15,$T$13,IF(ROUNDDOWN(F167,0)=$S$13,$U$13,$T$13))</f>
        <v>　レベル　4</v>
      </c>
      <c r="G171" s="1221" t="s">
        <v>1795</v>
      </c>
      <c r="H171" s="1355"/>
      <c r="I171" s="1355"/>
      <c r="J171" s="1355"/>
      <c r="K171" s="1355"/>
      <c r="L171" s="1481"/>
      <c r="M171" s="1355"/>
      <c r="N171" s="3872"/>
      <c r="O171" s="3873"/>
    </row>
    <row r="172" spans="2:15" ht="15.75">
      <c r="B172" s="1" t="s">
        <v>396</v>
      </c>
      <c r="C172" s="1">
        <v>5</v>
      </c>
      <c r="D172" s="954"/>
      <c r="E172" s="2142"/>
      <c r="F172" s="1001" t="str">
        <f>IF(F167=$S$15,$T$14,IF(ROUNDDOWN(F167,0)=$S$14,$U$14,$T$14))</f>
        <v>　レベル　5</v>
      </c>
      <c r="G172" s="1224" t="s">
        <v>1795</v>
      </c>
      <c r="H172" s="1365"/>
      <c r="I172" s="1365"/>
      <c r="J172" s="1365"/>
      <c r="K172" s="1365"/>
      <c r="L172" s="1669"/>
      <c r="M172" s="1365"/>
      <c r="N172" s="3874"/>
      <c r="O172" s="3875"/>
    </row>
    <row r="173" spans="2:15" ht="15.75">
      <c r="B173" s="1008">
        <v>0</v>
      </c>
      <c r="C173" s="1008">
        <v>0</v>
      </c>
      <c r="D173" s="954"/>
      <c r="E173" s="954"/>
      <c r="F173" s="1685"/>
      <c r="G173" s="1685"/>
      <c r="H173" s="1685"/>
      <c r="I173" s="1685"/>
      <c r="J173" s="1685"/>
      <c r="K173" s="1685"/>
      <c r="L173" s="1685"/>
      <c r="M173" s="1685"/>
      <c r="N173" s="1685"/>
      <c r="O173" s="2133"/>
    </row>
    <row r="174" spans="2:15" ht="13.5" customHeight="1">
      <c r="D174" s="1661">
        <v>3.2</v>
      </c>
      <c r="E174" s="1091" t="s">
        <v>3248</v>
      </c>
      <c r="F174" s="1686"/>
      <c r="G174" s="1686"/>
      <c r="H174" s="1686"/>
      <c r="I174" s="1686"/>
      <c r="J174" s="1686"/>
      <c r="K174" s="1686"/>
      <c r="L174" s="1686"/>
      <c r="M174" s="1686"/>
      <c r="N174" s="1686"/>
      <c r="O174" s="2133"/>
    </row>
    <row r="175" spans="2:15" ht="13.5" customHeight="1">
      <c r="D175" s="1661"/>
      <c r="E175" s="1091"/>
      <c r="F175" s="1520" t="s">
        <v>926</v>
      </c>
      <c r="G175" s="1686"/>
      <c r="H175" s="1686"/>
      <c r="I175" s="1686"/>
      <c r="J175" s="1686"/>
      <c r="K175" s="1686"/>
      <c r="L175" s="1686"/>
      <c r="M175" s="1686"/>
      <c r="N175" s="1686"/>
      <c r="O175" s="2133"/>
    </row>
    <row r="176" spans="2:15" ht="15" thickBot="1">
      <c r="D176" s="1661"/>
      <c r="E176" s="1189"/>
      <c r="F176" s="1114"/>
      <c r="G176" s="972"/>
      <c r="H176" s="973" t="s">
        <v>1125</v>
      </c>
      <c r="I176" s="974"/>
      <c r="J176" s="975" t="e">
        <f>重み!M175</f>
        <v>#DIV/0!</v>
      </c>
      <c r="K176" s="1115"/>
      <c r="L176" s="1115"/>
      <c r="M176" s="1115"/>
      <c r="N176" s="1115"/>
      <c r="O176" s="984"/>
    </row>
    <row r="177" spans="2:15" ht="24" customHeight="1" thickBot="1">
      <c r="D177" s="1661"/>
      <c r="E177" s="954"/>
      <c r="F177" s="978">
        <v>3</v>
      </c>
      <c r="G177" s="982" t="s">
        <v>1843</v>
      </c>
      <c r="H177" s="983"/>
      <c r="I177" s="983"/>
      <c r="J177" s="983"/>
      <c r="K177" s="983"/>
      <c r="L177" s="1316"/>
      <c r="M177" s="983"/>
      <c r="N177" s="1095" t="s">
        <v>1087</v>
      </c>
      <c r="O177" s="984"/>
    </row>
    <row r="178" spans="2:15" ht="28.5" customHeight="1">
      <c r="B178" s="1576">
        <v>1</v>
      </c>
      <c r="C178" s="1">
        <v>1</v>
      </c>
      <c r="D178" s="954"/>
      <c r="E178" s="954"/>
      <c r="F178" s="990" t="str">
        <f>IF(F177=$S$15,$T$10,IF(ROUNDDOWN(F177,0)=$S$10,$U$10,$T$10))</f>
        <v>　レベル　1</v>
      </c>
      <c r="G178" s="987" t="s">
        <v>712</v>
      </c>
      <c r="H178" s="1299"/>
      <c r="I178" s="1299"/>
      <c r="J178" s="1299"/>
      <c r="K178" s="1299"/>
      <c r="L178" s="1480"/>
      <c r="M178" s="1299"/>
      <c r="N178" s="3885" t="s">
        <v>3249</v>
      </c>
      <c r="O178" s="3771"/>
    </row>
    <row r="179" spans="2:15" ht="28.5" customHeight="1">
      <c r="B179" s="1">
        <v>2</v>
      </c>
      <c r="C179" s="1">
        <v>2</v>
      </c>
      <c r="D179" s="954"/>
      <c r="E179" s="954"/>
      <c r="F179" s="990" t="str">
        <f>IF(F177=$S$15,$T$11,IF(ROUNDDOWN(F177,0)=$S$11,$U$11,$T$11))</f>
        <v>　レベル　2</v>
      </c>
      <c r="G179" s="3397" t="s">
        <v>3250</v>
      </c>
      <c r="H179" s="3739"/>
      <c r="I179" s="3739"/>
      <c r="J179" s="3739"/>
      <c r="K179" s="3739"/>
      <c r="L179" s="3739"/>
      <c r="M179" s="3740"/>
      <c r="N179" s="3627"/>
      <c r="O179" s="3629"/>
    </row>
    <row r="180" spans="2:15" ht="28.5" customHeight="1">
      <c r="B180" s="1">
        <v>3</v>
      </c>
      <c r="C180" s="1">
        <v>3</v>
      </c>
      <c r="D180" s="954"/>
      <c r="E180" s="954"/>
      <c r="F180" s="990" t="str">
        <f>IF(F177=$S$15,$T$12,IF(ROUNDDOWN(F177,0)=$S$12,$U$12,$T$12))</f>
        <v>■レベル　3</v>
      </c>
      <c r="G180" s="3397" t="s">
        <v>3251</v>
      </c>
      <c r="H180" s="3739"/>
      <c r="I180" s="3739"/>
      <c r="J180" s="3739"/>
      <c r="K180" s="3739"/>
      <c r="L180" s="3739"/>
      <c r="M180" s="3740"/>
      <c r="N180" s="3627"/>
      <c r="O180" s="3629"/>
    </row>
    <row r="181" spans="2:15" ht="28.5" customHeight="1">
      <c r="B181" s="1">
        <v>4</v>
      </c>
      <c r="C181" s="1">
        <v>4</v>
      </c>
      <c r="D181" s="954"/>
      <c r="E181" s="954"/>
      <c r="F181" s="990" t="str">
        <f>IF(F177=$S$15,$T$13,IF(ROUNDDOWN(F177,0)=$S$13,$U$13,$T$13))</f>
        <v>　レベル　4</v>
      </c>
      <c r="G181" s="3397" t="s">
        <v>3252</v>
      </c>
      <c r="H181" s="3739"/>
      <c r="I181" s="3739"/>
      <c r="J181" s="3739"/>
      <c r="K181" s="3739"/>
      <c r="L181" s="3739"/>
      <c r="M181" s="3740"/>
      <c r="N181" s="3627"/>
      <c r="O181" s="3629"/>
    </row>
    <row r="182" spans="2:15" ht="28.5" customHeight="1">
      <c r="B182" s="1">
        <v>5</v>
      </c>
      <c r="C182" s="1">
        <v>5</v>
      </c>
      <c r="D182" s="954"/>
      <c r="E182" s="954"/>
      <c r="F182" s="1001" t="str">
        <f>IF(F177=$S$15,$T$14,IF(ROUNDDOWN(F177,0)=$S$14,$U$14,$T$14))</f>
        <v>　レベル　5</v>
      </c>
      <c r="G182" s="3394" t="s">
        <v>3253</v>
      </c>
      <c r="H182" s="3696"/>
      <c r="I182" s="3696"/>
      <c r="J182" s="3696"/>
      <c r="K182" s="3696"/>
      <c r="L182" s="3696"/>
      <c r="M182" s="3697"/>
      <c r="N182" s="3886"/>
      <c r="O182" s="3779"/>
    </row>
    <row r="183" spans="2:15" ht="15.75">
      <c r="B183" s="1008">
        <v>0</v>
      </c>
      <c r="C183" s="1008">
        <v>0</v>
      </c>
      <c r="D183" s="954"/>
      <c r="E183" s="954"/>
      <c r="F183" s="954"/>
      <c r="G183" s="954"/>
      <c r="H183" s="954"/>
      <c r="I183" s="954"/>
      <c r="J183" s="954"/>
      <c r="K183" s="2143"/>
      <c r="L183" s="2143"/>
      <c r="M183" s="2143"/>
      <c r="N183" s="2143"/>
      <c r="O183" s="2133"/>
    </row>
    <row r="184" spans="2:15" ht="15.75">
      <c r="D184" s="954"/>
      <c r="E184" s="954"/>
      <c r="F184" s="1520" t="s">
        <v>2062</v>
      </c>
      <c r="G184" s="954"/>
      <c r="H184" s="954"/>
      <c r="I184" s="954"/>
      <c r="J184" s="954"/>
      <c r="K184" s="2143"/>
      <c r="L184" s="2143"/>
      <c r="M184" s="2143"/>
      <c r="N184" s="2143"/>
      <c r="O184" s="2133"/>
    </row>
    <row r="185" spans="2:15" ht="15" thickBot="1">
      <c r="D185" s="1661"/>
      <c r="E185" s="1189"/>
      <c r="F185" s="1114"/>
      <c r="G185" s="972"/>
      <c r="H185" s="973" t="s">
        <v>1125</v>
      </c>
      <c r="I185" s="974"/>
      <c r="J185" s="975" t="e">
        <f>重み!M176</f>
        <v>#DIV/0!</v>
      </c>
      <c r="K185" s="1115"/>
      <c r="L185" s="1115"/>
      <c r="M185" s="1115"/>
      <c r="N185" s="1115"/>
      <c r="O185" s="984"/>
    </row>
    <row r="186" spans="2:15" ht="16.5" thickBot="1">
      <c r="D186" s="954"/>
      <c r="E186" s="954"/>
      <c r="F186" s="978">
        <f>IF(H200&gt;=4,5,IF(H200=3,4,IF(H200=2,3,IF(H200=1,2,1))))</f>
        <v>3</v>
      </c>
      <c r="G186" s="982" t="s">
        <v>2063</v>
      </c>
      <c r="H186" s="983"/>
      <c r="I186" s="983"/>
      <c r="J186" s="983"/>
      <c r="K186" s="983"/>
      <c r="L186" s="1316"/>
      <c r="M186" s="983"/>
      <c r="N186" s="983"/>
      <c r="O186" s="984"/>
    </row>
    <row r="187" spans="2:15" ht="15.75">
      <c r="B187" s="1" t="s">
        <v>397</v>
      </c>
      <c r="C187" s="1">
        <v>1</v>
      </c>
      <c r="D187" s="954"/>
      <c r="E187" s="954"/>
      <c r="F187" s="990" t="str">
        <f>IF(F186=$S$15,$T$10,IF(ROUNDDOWN(F186,0)=$S$10,$U$10,$T$10))</f>
        <v>　レベル　1</v>
      </c>
      <c r="G187" s="1218" t="s">
        <v>2064</v>
      </c>
      <c r="H187" s="1299"/>
      <c r="I187" s="1299"/>
      <c r="J187" s="1299"/>
      <c r="K187" s="1299"/>
      <c r="L187" s="1480"/>
      <c r="M187" s="1299"/>
      <c r="N187" s="1299"/>
      <c r="O187" s="1300"/>
    </row>
    <row r="188" spans="2:15" ht="15.75">
      <c r="B188" s="1">
        <v>2</v>
      </c>
      <c r="C188" s="1">
        <v>2</v>
      </c>
      <c r="D188" s="954"/>
      <c r="E188" s="954"/>
      <c r="F188" s="990" t="str">
        <f>IF(F186=$S$15,$T$11,IF(ROUNDDOWN(F186,0)=$S$11,$U$11,$T$11))</f>
        <v>　レベル　2</v>
      </c>
      <c r="G188" s="1221" t="s">
        <v>3339</v>
      </c>
      <c r="H188" s="1355"/>
      <c r="I188" s="1355"/>
      <c r="J188" s="1355"/>
      <c r="K188" s="1355"/>
      <c r="L188" s="1481"/>
      <c r="M188" s="1355"/>
      <c r="N188" s="1355"/>
      <c r="O188" s="1356"/>
    </row>
    <row r="189" spans="2:15" ht="15.75">
      <c r="B189" s="1">
        <v>3</v>
      </c>
      <c r="C189" s="1">
        <v>3</v>
      </c>
      <c r="D189" s="954"/>
      <c r="E189" s="954"/>
      <c r="F189" s="990" t="str">
        <f>IF(F186=$S$15,$T$12,IF(ROUNDDOWN(F186,0)=$S$12,$U$12,$T$12))</f>
        <v>■レベル　3</v>
      </c>
      <c r="G189" s="1221" t="s">
        <v>3340</v>
      </c>
      <c r="H189" s="1355"/>
      <c r="I189" s="1355"/>
      <c r="J189" s="1355"/>
      <c r="K189" s="1355"/>
      <c r="L189" s="1481"/>
      <c r="M189" s="1355"/>
      <c r="N189" s="1355"/>
      <c r="O189" s="1356"/>
    </row>
    <row r="190" spans="2:15" ht="15.75">
      <c r="B190" s="1">
        <v>4</v>
      </c>
      <c r="C190" s="1">
        <v>4</v>
      </c>
      <c r="D190" s="954"/>
      <c r="E190" s="954"/>
      <c r="F190" s="990" t="str">
        <f>IF(F186=$S$15,$T$13,IF(ROUNDDOWN(F186,0)=$S$13,$U$13,$T$13))</f>
        <v>　レベル　4</v>
      </c>
      <c r="G190" s="1221" t="s">
        <v>3341</v>
      </c>
      <c r="H190" s="1355"/>
      <c r="I190" s="1355"/>
      <c r="J190" s="1355"/>
      <c r="K190" s="1355"/>
      <c r="L190" s="1481"/>
      <c r="M190" s="1355"/>
      <c r="N190" s="1355"/>
      <c r="O190" s="1356"/>
    </row>
    <row r="191" spans="2:15" ht="15.75">
      <c r="B191" s="1">
        <v>5</v>
      </c>
      <c r="C191" s="1">
        <v>5</v>
      </c>
      <c r="D191" s="954"/>
      <c r="E191" s="954"/>
      <c r="F191" s="1001" t="str">
        <f>IF(F186=$S$15,$T$14,IF(ROUNDDOWN(F186,0)=$S$14,$U$14,$T$14))</f>
        <v>　レベル　5</v>
      </c>
      <c r="G191" s="1224" t="s">
        <v>3342</v>
      </c>
      <c r="H191" s="1365"/>
      <c r="I191" s="1365"/>
      <c r="J191" s="1365"/>
      <c r="K191" s="1365"/>
      <c r="L191" s="1669"/>
      <c r="M191" s="1365"/>
      <c r="N191" s="1365"/>
      <c r="O191" s="1366"/>
    </row>
    <row r="192" spans="2:15" ht="16.5" thickBot="1">
      <c r="B192" s="1008">
        <v>0</v>
      </c>
      <c r="C192" s="1008">
        <v>0</v>
      </c>
      <c r="D192" s="954"/>
      <c r="E192" s="954"/>
      <c r="F192" s="954"/>
      <c r="G192" s="1350" t="s">
        <v>3282</v>
      </c>
      <c r="H192" s="954"/>
      <c r="I192" s="954"/>
      <c r="J192" s="954"/>
      <c r="K192" s="2143"/>
      <c r="L192" s="2143"/>
      <c r="M192" s="2143"/>
      <c r="N192" s="2143"/>
      <c r="O192" s="2133"/>
    </row>
    <row r="193" spans="1:15" s="2895" customFormat="1" ht="15.95" customHeight="1" thickBot="1">
      <c r="A193" s="2820"/>
      <c r="B193" s="2818"/>
      <c r="C193" s="2818"/>
      <c r="D193" s="954"/>
      <c r="E193" s="954"/>
      <c r="F193" s="954"/>
      <c r="G193" s="2906" t="s">
        <v>3498</v>
      </c>
      <c r="H193" s="978" t="s">
        <v>3499</v>
      </c>
      <c r="I193" s="1063" t="s">
        <v>2237</v>
      </c>
      <c r="J193" s="954"/>
      <c r="K193" s="2907"/>
      <c r="L193" s="2907"/>
      <c r="M193" s="2907"/>
      <c r="N193" s="2907"/>
      <c r="O193" s="2908"/>
    </row>
    <row r="194" spans="1:15" ht="16.5" thickBot="1">
      <c r="B194" s="1687"/>
      <c r="C194" s="1687"/>
      <c r="D194" s="954"/>
      <c r="E194" s="954"/>
      <c r="F194" s="1688"/>
      <c r="G194" s="1352" t="s">
        <v>177</v>
      </c>
      <c r="H194" s="3595" t="s">
        <v>2104</v>
      </c>
      <c r="I194" s="3596"/>
      <c r="J194" s="3597"/>
      <c r="K194" s="3595" t="s">
        <v>927</v>
      </c>
      <c r="L194" s="3596"/>
      <c r="M194" s="3596"/>
      <c r="N194" s="3596"/>
      <c r="O194" s="1137" t="s">
        <v>2105</v>
      </c>
    </row>
    <row r="195" spans="1:15" ht="24.75" customHeight="1">
      <c r="B195" s="1687"/>
      <c r="C195" s="1687"/>
      <c r="D195" s="954"/>
      <c r="E195" s="954"/>
      <c r="F195" s="1688"/>
      <c r="G195" s="3818">
        <v>2</v>
      </c>
      <c r="H195" s="3858" t="s">
        <v>3343</v>
      </c>
      <c r="I195" s="3859"/>
      <c r="J195" s="3860"/>
      <c r="K195" s="3418" t="s">
        <v>3254</v>
      </c>
      <c r="L195" s="3839"/>
      <c r="M195" s="3839"/>
      <c r="N195" s="3839"/>
      <c r="O195" s="2139">
        <v>1</v>
      </c>
    </row>
    <row r="196" spans="1:15" ht="15.75" customHeight="1">
      <c r="B196" s="1687"/>
      <c r="C196" s="1687"/>
      <c r="D196" s="954"/>
      <c r="E196" s="954"/>
      <c r="F196" s="1688"/>
      <c r="G196" s="3887"/>
      <c r="H196" s="3861"/>
      <c r="I196" s="3861"/>
      <c r="J196" s="3862"/>
      <c r="K196" s="3420" t="s">
        <v>3255</v>
      </c>
      <c r="L196" s="3829"/>
      <c r="M196" s="3829"/>
      <c r="N196" s="3829"/>
      <c r="O196" s="2140">
        <v>2</v>
      </c>
    </row>
    <row r="197" spans="1:15" ht="15.75" customHeight="1">
      <c r="B197" s="1687"/>
      <c r="C197" s="1687"/>
      <c r="D197" s="954"/>
      <c r="E197" s="954"/>
      <c r="F197" s="1688"/>
      <c r="G197" s="3614">
        <v>0</v>
      </c>
      <c r="H197" s="3877" t="s">
        <v>928</v>
      </c>
      <c r="I197" s="3890"/>
      <c r="J197" s="3891"/>
      <c r="K197" s="3420" t="s">
        <v>3256</v>
      </c>
      <c r="L197" s="3829"/>
      <c r="M197" s="3829"/>
      <c r="N197" s="3829"/>
      <c r="O197" s="2140">
        <v>1</v>
      </c>
    </row>
    <row r="198" spans="1:15" ht="15.75">
      <c r="B198" s="1687"/>
      <c r="C198" s="1687"/>
      <c r="D198" s="954"/>
      <c r="E198" s="954"/>
      <c r="F198" s="1688"/>
      <c r="G198" s="3888"/>
      <c r="H198" s="3892"/>
      <c r="I198" s="3893"/>
      <c r="J198" s="3894"/>
      <c r="K198" s="3420" t="s">
        <v>929</v>
      </c>
      <c r="L198" s="3829"/>
      <c r="M198" s="3829"/>
      <c r="N198" s="3829"/>
      <c r="O198" s="2140">
        <v>2</v>
      </c>
    </row>
    <row r="199" spans="1:15" ht="16.5" thickBot="1">
      <c r="B199" s="1687"/>
      <c r="C199" s="1687"/>
      <c r="D199" s="954"/>
      <c r="E199" s="954"/>
      <c r="F199" s="1688"/>
      <c r="G199" s="3889"/>
      <c r="H199" s="3895"/>
      <c r="I199" s="3896"/>
      <c r="J199" s="3897"/>
      <c r="K199" s="3828" t="s">
        <v>2065</v>
      </c>
      <c r="L199" s="3824"/>
      <c r="M199" s="3824"/>
      <c r="N199" s="3824"/>
      <c r="O199" s="2141">
        <v>4</v>
      </c>
    </row>
    <row r="200" spans="1:15" ht="15.75">
      <c r="B200" s="1687"/>
      <c r="C200" s="1687"/>
      <c r="D200" s="954"/>
      <c r="E200" s="954"/>
      <c r="F200" s="1688"/>
      <c r="G200" s="1239" t="s">
        <v>1436</v>
      </c>
      <c r="H200" s="3820">
        <f>SUM(G195:G199)</f>
        <v>2</v>
      </c>
      <c r="I200" s="3820"/>
      <c r="J200" s="3820"/>
      <c r="K200" s="1241"/>
      <c r="L200" s="1242"/>
      <c r="M200" s="1241"/>
      <c r="N200" s="1242"/>
      <c r="O200" s="1353"/>
    </row>
    <row r="201" spans="1:15" ht="15.75">
      <c r="B201" s="1687"/>
      <c r="C201" s="1687"/>
      <c r="D201" s="954"/>
      <c r="E201" s="954"/>
      <c r="F201" s="1688"/>
      <c r="G201" s="1688"/>
      <c r="H201" s="1688"/>
      <c r="I201" s="1688"/>
      <c r="J201" s="1688"/>
      <c r="K201" s="1688"/>
      <c r="L201" s="1688"/>
      <c r="M201" s="1688"/>
      <c r="N201" s="1688"/>
      <c r="O201" s="1688"/>
    </row>
    <row r="202" spans="1:15" ht="15.75">
      <c r="B202" s="1687"/>
      <c r="C202" s="1687"/>
      <c r="D202" s="954"/>
      <c r="E202" s="954"/>
      <c r="F202" s="1688"/>
      <c r="G202" s="1688"/>
      <c r="H202" s="1688"/>
      <c r="I202" s="1688"/>
      <c r="J202" s="1688"/>
      <c r="K202" s="1688"/>
      <c r="L202" s="1688"/>
      <c r="M202" s="1688"/>
      <c r="N202" s="1688"/>
      <c r="O202" s="1688"/>
    </row>
    <row r="203" spans="1:15" ht="15.75">
      <c r="D203" s="954"/>
      <c r="E203" s="954"/>
      <c r="F203" s="1520" t="s">
        <v>2066</v>
      </c>
      <c r="G203" s="954"/>
      <c r="H203" s="954"/>
      <c r="I203" s="954"/>
      <c r="J203" s="954"/>
      <c r="K203" s="2143"/>
      <c r="L203" s="2143"/>
      <c r="M203" s="2143"/>
      <c r="N203" s="2143"/>
      <c r="O203" s="2133"/>
    </row>
    <row r="204" spans="1:15" ht="15" thickBot="1">
      <c r="D204" s="1661"/>
      <c r="E204" s="1189"/>
      <c r="F204" s="1114"/>
      <c r="G204" s="972"/>
      <c r="H204" s="973" t="s">
        <v>1125</v>
      </c>
      <c r="I204" s="974"/>
      <c r="J204" s="975" t="e">
        <f>重み!M177</f>
        <v>#DIV/0!</v>
      </c>
      <c r="K204" s="1115"/>
      <c r="L204" s="1115"/>
      <c r="M204" s="1115"/>
      <c r="N204" s="1115"/>
      <c r="O204" s="984"/>
    </row>
    <row r="205" spans="1:15" ht="24" customHeight="1" thickBot="1">
      <c r="D205" s="954"/>
      <c r="E205" s="954"/>
      <c r="F205" s="978">
        <v>3</v>
      </c>
      <c r="G205" s="982" t="s">
        <v>1843</v>
      </c>
      <c r="H205" s="983"/>
      <c r="I205" s="983"/>
      <c r="J205" s="983"/>
      <c r="K205" s="983"/>
      <c r="L205" s="1316"/>
      <c r="M205" s="983"/>
      <c r="N205" s="983"/>
      <c r="O205" s="984"/>
    </row>
    <row r="206" spans="1:15" ht="20.25" customHeight="1">
      <c r="B206" s="1" t="s">
        <v>1249</v>
      </c>
      <c r="C206" s="1">
        <v>1</v>
      </c>
      <c r="D206" s="954"/>
      <c r="E206" s="954"/>
      <c r="F206" s="990" t="str">
        <f>IF(F205=$S$15,$T$10,IF(ROUNDDOWN(F205,0)=$S$10,$U$10,$T$10))</f>
        <v>　レベル　1</v>
      </c>
      <c r="G206" s="1218" t="s">
        <v>1795</v>
      </c>
      <c r="H206" s="1299"/>
      <c r="I206" s="1299"/>
      <c r="J206" s="1299"/>
      <c r="K206" s="1299"/>
      <c r="L206" s="1480"/>
      <c r="M206" s="1299"/>
      <c r="N206" s="1299"/>
      <c r="O206" s="1300"/>
    </row>
    <row r="207" spans="1:15" ht="20.25" customHeight="1">
      <c r="B207" s="1" t="s">
        <v>1249</v>
      </c>
      <c r="C207" s="1">
        <v>2</v>
      </c>
      <c r="D207" s="954"/>
      <c r="E207" s="954"/>
      <c r="F207" s="990" t="str">
        <f>IF(F205=$S$15,$T$11,IF(ROUNDDOWN(F205,0)=$S$11,$U$11,$T$11))</f>
        <v>　レベル　2</v>
      </c>
      <c r="G207" s="1221" t="s">
        <v>1795</v>
      </c>
      <c r="H207" s="1355"/>
      <c r="I207" s="1355"/>
      <c r="J207" s="1355"/>
      <c r="K207" s="1355"/>
      <c r="L207" s="1481"/>
      <c r="M207" s="1355"/>
      <c r="N207" s="1355"/>
      <c r="O207" s="1356"/>
    </row>
    <row r="208" spans="1:15" ht="20.25" customHeight="1">
      <c r="B208" s="1">
        <v>3</v>
      </c>
      <c r="C208" s="1">
        <v>3</v>
      </c>
      <c r="D208" s="954"/>
      <c r="E208" s="954"/>
      <c r="F208" s="990" t="str">
        <f>IF(F205=$S$15,$T$12,IF(ROUNDDOWN(F205,0)=$S$12,$U$12,$T$12))</f>
        <v>■レベル　3</v>
      </c>
      <c r="G208" s="1221" t="s">
        <v>3257</v>
      </c>
      <c r="H208" s="1355"/>
      <c r="I208" s="1355"/>
      <c r="J208" s="1355"/>
      <c r="K208" s="1355"/>
      <c r="L208" s="1481"/>
      <c r="M208" s="1355"/>
      <c r="N208" s="1355"/>
      <c r="O208" s="1356"/>
    </row>
    <row r="209" spans="2:15" ht="20.25" customHeight="1">
      <c r="B209" s="1">
        <v>4</v>
      </c>
      <c r="C209" s="1">
        <v>4</v>
      </c>
      <c r="D209" s="954"/>
      <c r="E209" s="954"/>
      <c r="F209" s="990" t="str">
        <f>IF(F205=$S$15,$T$13,IF(ROUNDDOWN(F205,0)=$S$13,$U$13,$T$13))</f>
        <v>　レベル　4</v>
      </c>
      <c r="G209" s="1221" t="s">
        <v>2424</v>
      </c>
      <c r="H209" s="1355"/>
      <c r="I209" s="1355"/>
      <c r="J209" s="1355"/>
      <c r="K209" s="1355"/>
      <c r="L209" s="1481"/>
      <c r="M209" s="1355"/>
      <c r="N209" s="1355"/>
      <c r="O209" s="1356"/>
    </row>
    <row r="210" spans="2:15" ht="20.25" customHeight="1">
      <c r="B210" s="1" t="s">
        <v>1249</v>
      </c>
      <c r="C210" s="1">
        <v>5</v>
      </c>
      <c r="D210" s="954"/>
      <c r="E210" s="954"/>
      <c r="F210" s="1001" t="str">
        <f>IF(F205=$S$15,$T$14,IF(ROUNDDOWN(F205,0)=$S$14,$U$14,$T$14))</f>
        <v>　レベル　5</v>
      </c>
      <c r="G210" s="1224" t="s">
        <v>1795</v>
      </c>
      <c r="H210" s="1365"/>
      <c r="I210" s="1365"/>
      <c r="J210" s="1365"/>
      <c r="K210" s="1365"/>
      <c r="L210" s="1669"/>
      <c r="M210" s="1365"/>
      <c r="N210" s="1365"/>
      <c r="O210" s="1366"/>
    </row>
    <row r="211" spans="2:15" ht="24" customHeight="1">
      <c r="B211" s="1008">
        <v>0</v>
      </c>
      <c r="C211" s="1008">
        <v>0</v>
      </c>
      <c r="D211" s="954"/>
      <c r="E211" s="954"/>
      <c r="F211" s="3863" t="s">
        <v>3258</v>
      </c>
      <c r="G211" s="3863"/>
      <c r="H211" s="3863"/>
      <c r="I211" s="3863"/>
      <c r="J211" s="3863"/>
      <c r="K211" s="3863"/>
      <c r="L211" s="3863"/>
      <c r="M211" s="3863"/>
      <c r="N211" s="3863"/>
      <c r="O211" s="3863"/>
    </row>
    <row r="212" spans="2:15" ht="15.75">
      <c r="D212" s="954"/>
      <c r="E212" s="954"/>
      <c r="F212" s="1688"/>
      <c r="G212" s="1688"/>
      <c r="H212" s="1688"/>
      <c r="I212" s="1688"/>
      <c r="J212" s="1688"/>
      <c r="K212" s="1688"/>
      <c r="L212" s="1688"/>
      <c r="M212" s="1688"/>
      <c r="N212" s="1688"/>
      <c r="O212" s="1688"/>
    </row>
    <row r="213" spans="2:15" ht="14.25">
      <c r="D213" s="1661">
        <v>3.3</v>
      </c>
      <c r="E213" s="1091" t="s">
        <v>2067</v>
      </c>
      <c r="F213" s="1091"/>
      <c r="G213" s="1688"/>
      <c r="H213" s="1688"/>
      <c r="I213" s="1688"/>
      <c r="J213" s="1688"/>
      <c r="K213" s="1688"/>
      <c r="L213" s="1688"/>
      <c r="M213" s="1688"/>
      <c r="N213" s="1688"/>
      <c r="O213" s="1688"/>
    </row>
    <row r="214" spans="2:15" ht="14.25">
      <c r="D214" s="1661"/>
      <c r="E214" s="1091"/>
      <c r="F214" s="1520" t="s">
        <v>2425</v>
      </c>
      <c r="G214" s="1688"/>
      <c r="H214" s="1688"/>
      <c r="I214" s="1688"/>
      <c r="J214" s="1688"/>
      <c r="K214" s="1688"/>
      <c r="L214" s="1688"/>
      <c r="M214" s="1688"/>
      <c r="N214" s="1688"/>
      <c r="O214" s="1688"/>
    </row>
    <row r="215" spans="2:15" ht="14.25" thickBot="1">
      <c r="D215" s="1189"/>
      <c r="E215" s="1189"/>
      <c r="F215" s="1114"/>
      <c r="G215" s="972"/>
      <c r="H215" s="973" t="s">
        <v>1125</v>
      </c>
      <c r="I215" s="974"/>
      <c r="J215" s="975" t="e">
        <f>重み!M179</f>
        <v>#DIV/0!</v>
      </c>
      <c r="K215" s="1115"/>
      <c r="L215" s="1115"/>
      <c r="M215" s="1115"/>
      <c r="N215" s="1115"/>
      <c r="O215" s="984"/>
    </row>
    <row r="216" spans="2:15" ht="29.25" customHeight="1" thickBot="1">
      <c r="D216" s="954"/>
      <c r="E216" s="952"/>
      <c r="F216" s="1348">
        <f>IF(H230&lt;=0,1,IF(H230&lt;=1,2,IF(H230&lt;=2,3,IF(H230&lt;=3,4,IF(H230&gt;=4,5)))))</f>
        <v>3</v>
      </c>
      <c r="G216" s="982" t="s">
        <v>384</v>
      </c>
      <c r="H216" s="983"/>
      <c r="I216" s="983"/>
      <c r="J216" s="983"/>
      <c r="K216" s="983"/>
      <c r="L216" s="1316"/>
      <c r="M216" s="983"/>
      <c r="N216" s="983"/>
      <c r="O216" s="984"/>
    </row>
    <row r="217" spans="2:15" ht="19.5" customHeight="1">
      <c r="D217" s="954"/>
      <c r="E217" s="952"/>
      <c r="F217" s="990" t="str">
        <f>IF(F216=$S$15,$T$10,IF(ROUNDDOWN(F216,0)=$S$10,$U$10,$T$10))</f>
        <v>　レベル　1</v>
      </c>
      <c r="G217" s="1218" t="s">
        <v>3306</v>
      </c>
      <c r="H217" s="1299"/>
      <c r="I217" s="1299"/>
      <c r="J217" s="1299"/>
      <c r="K217" s="1299"/>
      <c r="L217" s="1480"/>
      <c r="M217" s="1299"/>
      <c r="N217" s="1299"/>
      <c r="O217" s="1300"/>
    </row>
    <row r="218" spans="2:15" ht="19.5" customHeight="1">
      <c r="D218" s="954"/>
      <c r="E218" s="952"/>
      <c r="F218" s="990" t="str">
        <f>IF(F216=$S$15,$T$11,IF(ROUNDDOWN(F216,0)=$S$11,$U$11,$T$11))</f>
        <v>　レベル　2</v>
      </c>
      <c r="G218" s="1221" t="s">
        <v>3329</v>
      </c>
      <c r="H218" s="1355"/>
      <c r="I218" s="1355"/>
      <c r="J218" s="1355"/>
      <c r="K218" s="1355"/>
      <c r="L218" s="1481"/>
      <c r="M218" s="1355"/>
      <c r="N218" s="1355"/>
      <c r="O218" s="1356"/>
    </row>
    <row r="219" spans="2:15" ht="19.5" customHeight="1">
      <c r="D219" s="954"/>
      <c r="E219" s="952"/>
      <c r="F219" s="990" t="str">
        <f>IF(F216=$S$15,$T$12,IF(ROUNDDOWN(F216,0)=$S$12,$U$12,$T$12))</f>
        <v>■レベル　3</v>
      </c>
      <c r="G219" s="1221" t="s">
        <v>3330</v>
      </c>
      <c r="H219" s="1355"/>
      <c r="I219" s="1355"/>
      <c r="J219" s="1355"/>
      <c r="K219" s="1355"/>
      <c r="L219" s="1481"/>
      <c r="M219" s="1355"/>
      <c r="N219" s="1355"/>
      <c r="O219" s="1356"/>
    </row>
    <row r="220" spans="2:15" ht="19.5" customHeight="1">
      <c r="D220" s="954"/>
      <c r="E220" s="952"/>
      <c r="F220" s="990" t="str">
        <f>IF(F216=$S$15,$T$13,IF(ROUNDDOWN(F216,0)=$S$13,$U$13,$T$13))</f>
        <v>　レベル　4</v>
      </c>
      <c r="G220" s="1221" t="s">
        <v>3331</v>
      </c>
      <c r="H220" s="1355"/>
      <c r="I220" s="1355"/>
      <c r="J220" s="1355"/>
      <c r="K220" s="1355"/>
      <c r="L220" s="1481"/>
      <c r="M220" s="1355"/>
      <c r="N220" s="1355"/>
      <c r="O220" s="1356"/>
    </row>
    <row r="221" spans="2:15" ht="19.5" customHeight="1">
      <c r="D221" s="954"/>
      <c r="E221" s="952"/>
      <c r="F221" s="1001" t="str">
        <f>IF(F216=$S$15,$T$14,IF(ROUNDDOWN(F216,0)=$S$14,$U$14,$T$14))</f>
        <v>　レベル　5</v>
      </c>
      <c r="G221" s="1224" t="s">
        <v>3336</v>
      </c>
      <c r="H221" s="1365"/>
      <c r="I221" s="1365"/>
      <c r="J221" s="1365"/>
      <c r="K221" s="1365"/>
      <c r="L221" s="1669"/>
      <c r="M221" s="1365"/>
      <c r="N221" s="1365"/>
      <c r="O221" s="1366"/>
    </row>
    <row r="222" spans="2:15" ht="15.75">
      <c r="D222" s="954"/>
      <c r="E222" s="952"/>
      <c r="F222" s="954"/>
      <c r="G222" s="1350" t="s">
        <v>3282</v>
      </c>
      <c r="H222" s="955"/>
      <c r="I222" s="1351"/>
      <c r="J222" s="1340"/>
      <c r="K222" s="1340"/>
      <c r="L222" s="955"/>
      <c r="M222" s="955"/>
      <c r="N222" s="955"/>
      <c r="O222" s="2143"/>
    </row>
    <row r="223" spans="2:15" ht="16.5" thickBot="1">
      <c r="D223" s="954"/>
      <c r="E223" s="1351"/>
      <c r="F223" s="952"/>
      <c r="G223" s="1244" t="s">
        <v>177</v>
      </c>
      <c r="H223" s="3864" t="s">
        <v>927</v>
      </c>
      <c r="I223" s="3864"/>
      <c r="J223" s="3864"/>
      <c r="K223" s="3864"/>
      <c r="L223" s="3864"/>
      <c r="M223" s="3864"/>
      <c r="N223" s="3864"/>
      <c r="O223" s="1137" t="s">
        <v>1420</v>
      </c>
    </row>
    <row r="224" spans="2:15" ht="15.75">
      <c r="D224" s="954"/>
      <c r="E224" s="955"/>
      <c r="F224" s="952"/>
      <c r="G224" s="3818">
        <v>2</v>
      </c>
      <c r="H224" s="3865" t="s">
        <v>2068</v>
      </c>
      <c r="I224" s="3866"/>
      <c r="J224" s="3866"/>
      <c r="K224" s="3866"/>
      <c r="L224" s="3866"/>
      <c r="M224" s="3866"/>
      <c r="N224" s="3866"/>
      <c r="O224" s="3867" t="s">
        <v>2106</v>
      </c>
    </row>
    <row r="225" spans="2:15" ht="15.75">
      <c r="D225" s="954"/>
      <c r="E225" s="955"/>
      <c r="F225" s="952"/>
      <c r="G225" s="3690"/>
      <c r="H225" s="3847" t="s">
        <v>2349</v>
      </c>
      <c r="I225" s="3848"/>
      <c r="J225" s="3848"/>
      <c r="K225" s="3848"/>
      <c r="L225" s="3848"/>
      <c r="M225" s="3848"/>
      <c r="N225" s="3848"/>
      <c r="O225" s="3840"/>
    </row>
    <row r="226" spans="2:15" ht="15.75">
      <c r="D226" s="954"/>
      <c r="E226" s="955"/>
      <c r="F226" s="952"/>
      <c r="G226" s="3615"/>
      <c r="H226" s="3849" t="s">
        <v>2350</v>
      </c>
      <c r="I226" s="3850"/>
      <c r="J226" s="3850"/>
      <c r="K226" s="3850"/>
      <c r="L226" s="3850"/>
      <c r="M226" s="3850"/>
      <c r="N226" s="3850"/>
      <c r="O226" s="3840"/>
    </row>
    <row r="227" spans="2:15" ht="15.75">
      <c r="D227" s="954"/>
      <c r="E227" s="955"/>
      <c r="F227" s="952"/>
      <c r="G227" s="3614">
        <v>0</v>
      </c>
      <c r="H227" s="3845" t="s">
        <v>2351</v>
      </c>
      <c r="I227" s="3846"/>
      <c r="J227" s="3846"/>
      <c r="K227" s="3846"/>
      <c r="L227" s="3846"/>
      <c r="M227" s="3846"/>
      <c r="N227" s="3846"/>
      <c r="O227" s="3840" t="s">
        <v>101</v>
      </c>
    </row>
    <row r="228" spans="2:15" ht="15.75">
      <c r="D228" s="954"/>
      <c r="E228" s="955"/>
      <c r="F228" s="952"/>
      <c r="G228" s="3690"/>
      <c r="H228" s="3847" t="s">
        <v>102</v>
      </c>
      <c r="I228" s="3848"/>
      <c r="J228" s="3848"/>
      <c r="K228" s="3848"/>
      <c r="L228" s="3848"/>
      <c r="M228" s="3848"/>
      <c r="N228" s="3848"/>
      <c r="O228" s="3840"/>
    </row>
    <row r="229" spans="2:15" ht="16.5" thickBot="1">
      <c r="D229" s="954"/>
      <c r="E229" s="955"/>
      <c r="F229" s="952"/>
      <c r="G229" s="3682"/>
      <c r="H229" s="3849" t="s">
        <v>3259</v>
      </c>
      <c r="I229" s="3850"/>
      <c r="J229" s="3850"/>
      <c r="K229" s="3850"/>
      <c r="L229" s="3850"/>
      <c r="M229" s="3850"/>
      <c r="N229" s="3850"/>
      <c r="O229" s="3840"/>
    </row>
    <row r="230" spans="2:15" ht="15.75">
      <c r="D230" s="954"/>
      <c r="E230" s="955"/>
      <c r="F230" s="952"/>
      <c r="G230" s="1239" t="s">
        <v>1436</v>
      </c>
      <c r="H230" s="3519">
        <f>SUM(G224:G229)</f>
        <v>2</v>
      </c>
      <c r="I230" s="3519"/>
      <c r="J230" s="3519"/>
      <c r="K230" s="1241"/>
      <c r="L230" s="1242"/>
      <c r="M230" s="1241"/>
      <c r="N230" s="1242"/>
      <c r="O230" s="1251"/>
    </row>
    <row r="231" spans="2:15" ht="15.75">
      <c r="D231" s="954"/>
      <c r="E231" s="955"/>
      <c r="F231" s="955"/>
      <c r="G231" s="955"/>
      <c r="H231" s="955"/>
      <c r="I231" s="955"/>
      <c r="J231" s="955"/>
      <c r="K231" s="955"/>
      <c r="L231" s="955"/>
      <c r="M231" s="955"/>
      <c r="N231" s="955"/>
      <c r="O231" s="955"/>
    </row>
    <row r="232" spans="2:15" ht="15.75">
      <c r="D232" s="954"/>
      <c r="E232" s="955"/>
      <c r="F232" s="1520" t="s">
        <v>103</v>
      </c>
      <c r="G232" s="955"/>
      <c r="H232" s="955"/>
      <c r="I232" s="955"/>
      <c r="J232" s="955"/>
      <c r="K232" s="955"/>
      <c r="L232" s="955"/>
      <c r="M232" s="955"/>
      <c r="N232" s="955"/>
      <c r="O232" s="955"/>
    </row>
    <row r="233" spans="2:15" ht="15" thickBot="1">
      <c r="D233" s="1660"/>
      <c r="E233" s="952"/>
      <c r="F233" s="1114"/>
      <c r="G233" s="972"/>
      <c r="H233" s="973" t="s">
        <v>1125</v>
      </c>
      <c r="I233" s="974"/>
      <c r="J233" s="975" t="e">
        <f>重み!M180</f>
        <v>#DIV/0!</v>
      </c>
      <c r="K233" s="1115"/>
      <c r="L233" s="1115"/>
      <c r="M233" s="1115"/>
      <c r="N233" s="1115"/>
      <c r="O233" s="984"/>
    </row>
    <row r="234" spans="2:15" ht="15" thickBot="1">
      <c r="D234" s="1660"/>
      <c r="E234" s="952"/>
      <c r="F234" s="978">
        <v>3</v>
      </c>
      <c r="G234" s="982" t="s">
        <v>64</v>
      </c>
      <c r="H234" s="983"/>
      <c r="I234" s="983"/>
      <c r="J234" s="983"/>
      <c r="K234" s="983"/>
      <c r="L234" s="1316"/>
      <c r="M234" s="983"/>
      <c r="N234" s="983"/>
      <c r="O234" s="984"/>
    </row>
    <row r="235" spans="2:15" ht="19.5" customHeight="1">
      <c r="B235" s="1" t="s">
        <v>1794</v>
      </c>
      <c r="C235" s="1">
        <v>1</v>
      </c>
      <c r="D235" s="1660"/>
      <c r="E235" s="952"/>
      <c r="F235" s="990" t="str">
        <f>IF(F234=$S$15,$T$10,IF(ROUNDDOWN(F234,0)=$S$10,$U$10,$T$10))</f>
        <v>　レベル　1</v>
      </c>
      <c r="G235" s="1218" t="s">
        <v>266</v>
      </c>
      <c r="H235" s="1219"/>
      <c r="I235" s="1219"/>
      <c r="J235" s="1219"/>
      <c r="K235" s="1219"/>
      <c r="L235" s="1219"/>
      <c r="M235" s="1219"/>
      <c r="N235" s="988"/>
      <c r="O235" s="989"/>
    </row>
    <row r="236" spans="2:15" ht="19.5" customHeight="1">
      <c r="B236" s="1" t="s">
        <v>1794</v>
      </c>
      <c r="C236" s="1">
        <v>2</v>
      </c>
      <c r="D236" s="1660"/>
      <c r="E236" s="952"/>
      <c r="F236" s="990" t="str">
        <f>IF(F234=$S$15,$T$11,IF(ROUNDDOWN(F234,0)=$S$11,$U$11,$T$11))</f>
        <v>　レベル　2</v>
      </c>
      <c r="G236" s="1644" t="s">
        <v>266</v>
      </c>
      <c r="H236" s="1689"/>
      <c r="I236" s="1689"/>
      <c r="J236" s="1689"/>
      <c r="K236" s="1689"/>
      <c r="L236" s="1689"/>
      <c r="M236" s="1689"/>
      <c r="N236" s="995"/>
      <c r="O236" s="996"/>
    </row>
    <row r="237" spans="2:15" ht="19.5" customHeight="1">
      <c r="B237" s="1">
        <v>3</v>
      </c>
      <c r="C237" s="1">
        <v>3</v>
      </c>
      <c r="D237" s="1660"/>
      <c r="E237" s="952"/>
      <c r="F237" s="990" t="str">
        <f>IF(F234=$S$15,$T$12,IF(ROUNDDOWN(F234,0)=$S$12,$U$12,$T$12))</f>
        <v>■レベル　3</v>
      </c>
      <c r="G237" s="1644" t="s">
        <v>2740</v>
      </c>
      <c r="H237" s="1689"/>
      <c r="I237" s="1689"/>
      <c r="J237" s="1689"/>
      <c r="K237" s="1689"/>
      <c r="L237" s="1689"/>
      <c r="M237" s="1689"/>
      <c r="N237" s="995"/>
      <c r="O237" s="996"/>
    </row>
    <row r="238" spans="2:15" ht="19.5" customHeight="1">
      <c r="B238" s="1">
        <v>4</v>
      </c>
      <c r="C238" s="1">
        <v>4</v>
      </c>
      <c r="D238" s="1660"/>
      <c r="E238" s="952"/>
      <c r="F238" s="990" t="str">
        <f>IF(F234=$S$15,$T$13,IF(ROUNDDOWN(F234,0)=$S$13,$U$13,$T$13))</f>
        <v>　レベル　4</v>
      </c>
      <c r="G238" s="1644" t="s">
        <v>3344</v>
      </c>
      <c r="H238" s="1689"/>
      <c r="I238" s="1689"/>
      <c r="J238" s="1689"/>
      <c r="K238" s="1689"/>
      <c r="L238" s="1689"/>
      <c r="M238" s="1689"/>
      <c r="N238" s="995"/>
      <c r="O238" s="996"/>
    </row>
    <row r="239" spans="2:15" ht="19.5" customHeight="1">
      <c r="B239" s="1">
        <v>5</v>
      </c>
      <c r="C239" s="1">
        <v>5</v>
      </c>
      <c r="D239" s="1660"/>
      <c r="E239" s="952"/>
      <c r="F239" s="1001" t="str">
        <f>IF(F234=$S$15,$T$14,IF(ROUNDDOWN(F234,0)=$S$14,$U$14,$T$14))</f>
        <v>　レベル　5</v>
      </c>
      <c r="G239" s="1645" t="s">
        <v>3345</v>
      </c>
      <c r="H239" s="1690"/>
      <c r="I239" s="1690"/>
      <c r="J239" s="1690"/>
      <c r="K239" s="1690"/>
      <c r="L239" s="1690"/>
      <c r="M239" s="1690"/>
      <c r="N239" s="1006"/>
      <c r="O239" s="1007"/>
    </row>
    <row r="240" spans="2:15" s="2807" customFormat="1" ht="15.95" customHeight="1">
      <c r="B240" s="2808">
        <v>0</v>
      </c>
      <c r="C240" s="2808">
        <v>0</v>
      </c>
      <c r="D240" s="2849"/>
      <c r="E240" s="2814"/>
      <c r="F240" s="2886" t="s">
        <v>3394</v>
      </c>
      <c r="G240" s="2814"/>
      <c r="H240" s="2814"/>
      <c r="I240" s="2814"/>
      <c r="J240" s="2814"/>
      <c r="K240" s="2814"/>
      <c r="L240" s="2814"/>
      <c r="M240" s="2814"/>
      <c r="N240" s="2814"/>
      <c r="O240" s="2814"/>
    </row>
    <row r="241" spans="4:16" s="2807" customFormat="1" ht="15.95" customHeight="1" thickBot="1">
      <c r="D241" s="2849"/>
      <c r="E241" s="2814"/>
      <c r="F241" s="2887"/>
      <c r="G241" s="2888" t="s">
        <v>3483</v>
      </c>
      <c r="H241" s="2888"/>
      <c r="I241" s="2888"/>
      <c r="J241" s="2888"/>
      <c r="K241" s="2888"/>
      <c r="L241" s="2888"/>
      <c r="M241" s="2888"/>
      <c r="N241" s="2888"/>
      <c r="O241" s="2888"/>
      <c r="P241" s="2889"/>
    </row>
    <row r="242" spans="4:16" s="2807" customFormat="1" ht="32.25" customHeight="1" thickBot="1">
      <c r="D242" s="2849"/>
      <c r="E242" s="2814"/>
      <c r="F242" s="2890" t="s">
        <v>2239</v>
      </c>
      <c r="G242" s="3455" t="s">
        <v>3484</v>
      </c>
      <c r="H242" s="3456"/>
      <c r="I242" s="3456"/>
      <c r="J242" s="3456"/>
      <c r="K242" s="3456"/>
      <c r="L242" s="3456"/>
      <c r="M242" s="3456"/>
      <c r="N242" s="3456"/>
      <c r="O242" s="3456"/>
      <c r="P242" s="2889"/>
    </row>
    <row r="243" spans="4:16"/>
    <row r="244" spans="4:16" hidden="1"/>
    <row r="245" spans="4:16" hidden="1"/>
    <row r="246" spans="4:16" hidden="1"/>
    <row r="247" spans="4:16" hidden="1"/>
    <row r="248" spans="4:16" hidden="1"/>
    <row r="249" spans="4:16" hidden="1"/>
    <row r="250" spans="4:16" hidden="1"/>
    <row r="251" spans="4:16" hidden="1"/>
    <row r="252" spans="4:16" hidden="1"/>
    <row r="253" spans="4:16" hidden="1"/>
    <row r="254" spans="4:16" hidden="1"/>
    <row r="255" spans="4:16" hidden="1"/>
    <row r="256" spans="4:16" hidden="1"/>
    <row r="257" hidden="1"/>
    <row r="258" hidden="1"/>
    <row r="259" hidden="1"/>
    <row r="260" hidden="1"/>
    <row r="261" hidden="1"/>
    <row r="262" hidden="1"/>
    <row r="263" hidden="1"/>
  </sheetData>
  <sheetProtection password="CC47" sheet="1" objects="1" scenarios="1"/>
  <mergeCells count="130">
    <mergeCell ref="N1:O1"/>
    <mergeCell ref="K197:N197"/>
    <mergeCell ref="K194:N194"/>
    <mergeCell ref="K195:N195"/>
    <mergeCell ref="O40:O41"/>
    <mergeCell ref="O42:O43"/>
    <mergeCell ref="O44:O45"/>
    <mergeCell ref="O46:O47"/>
    <mergeCell ref="O50:O51"/>
    <mergeCell ref="G182:M182"/>
    <mergeCell ref="F128:O128"/>
    <mergeCell ref="G157:I157"/>
    <mergeCell ref="J157:L157"/>
    <mergeCell ref="N168:O172"/>
    <mergeCell ref="N178:O182"/>
    <mergeCell ref="G179:M179"/>
    <mergeCell ref="K196:N196"/>
    <mergeCell ref="G180:M180"/>
    <mergeCell ref="G181:M181"/>
    <mergeCell ref="G195:G196"/>
    <mergeCell ref="G197:G199"/>
    <mergeCell ref="H197:J199"/>
    <mergeCell ref="K114:N114"/>
    <mergeCell ref="K115:N115"/>
    <mergeCell ref="H116:J116"/>
    <mergeCell ref="N123:O127"/>
    <mergeCell ref="K113:N113"/>
    <mergeCell ref="H114:J115"/>
    <mergeCell ref="G90:G91"/>
    <mergeCell ref="H97:J97"/>
    <mergeCell ref="H108:J108"/>
    <mergeCell ref="K108:N108"/>
    <mergeCell ref="G95:G96"/>
    <mergeCell ref="K95:N95"/>
    <mergeCell ref="K90:N90"/>
    <mergeCell ref="H89:J91"/>
    <mergeCell ref="H109:J109"/>
    <mergeCell ref="K109:N109"/>
    <mergeCell ref="H110:J112"/>
    <mergeCell ref="K110:N110"/>
    <mergeCell ref="K111:N111"/>
    <mergeCell ref="K112:N112"/>
    <mergeCell ref="H230:J230"/>
    <mergeCell ref="G227:G229"/>
    <mergeCell ref="H227:N227"/>
    <mergeCell ref="O227:O229"/>
    <mergeCell ref="H228:N228"/>
    <mergeCell ref="H229:N229"/>
    <mergeCell ref="H200:J200"/>
    <mergeCell ref="G131:I131"/>
    <mergeCell ref="J131:L131"/>
    <mergeCell ref="G138:I138"/>
    <mergeCell ref="J138:L138"/>
    <mergeCell ref="N149:O153"/>
    <mergeCell ref="H195:J196"/>
    <mergeCell ref="F211:O211"/>
    <mergeCell ref="H223:N223"/>
    <mergeCell ref="K199:N199"/>
    <mergeCell ref="G224:G226"/>
    <mergeCell ref="H224:N224"/>
    <mergeCell ref="O224:O226"/>
    <mergeCell ref="H225:N225"/>
    <mergeCell ref="H226:N226"/>
    <mergeCell ref="H194:J194"/>
    <mergeCell ref="K198:N198"/>
    <mergeCell ref="F154:N154"/>
    <mergeCell ref="G56:G57"/>
    <mergeCell ref="I52:J55"/>
    <mergeCell ref="H58:J58"/>
    <mergeCell ref="N63:O63"/>
    <mergeCell ref="K55:N55"/>
    <mergeCell ref="H92:J96"/>
    <mergeCell ref="K92:N92"/>
    <mergeCell ref="K93:N93"/>
    <mergeCell ref="K94:N94"/>
    <mergeCell ref="H56:H57"/>
    <mergeCell ref="I56:J57"/>
    <mergeCell ref="N64:O68"/>
    <mergeCell ref="H88:J88"/>
    <mergeCell ref="K88:N88"/>
    <mergeCell ref="K89:N89"/>
    <mergeCell ref="K57:N57"/>
    <mergeCell ref="O95:O96"/>
    <mergeCell ref="K96:N96"/>
    <mergeCell ref="O90:O91"/>
    <mergeCell ref="K91:N91"/>
    <mergeCell ref="O56:O57"/>
    <mergeCell ref="K56:N56"/>
    <mergeCell ref="K53:N53"/>
    <mergeCell ref="K54:N54"/>
    <mergeCell ref="G22:O22"/>
    <mergeCell ref="G24:O24"/>
    <mergeCell ref="G25:O25"/>
    <mergeCell ref="K37:N37"/>
    <mergeCell ref="H37:J37"/>
    <mergeCell ref="O38:O39"/>
    <mergeCell ref="K38:N38"/>
    <mergeCell ref="G46:G47"/>
    <mergeCell ref="G48:G49"/>
    <mergeCell ref="I38:J39"/>
    <mergeCell ref="I40:J45"/>
    <mergeCell ref="I46:J47"/>
    <mergeCell ref="I48:J51"/>
    <mergeCell ref="G38:G39"/>
    <mergeCell ref="H38:H39"/>
    <mergeCell ref="G44:G45"/>
    <mergeCell ref="G242:O242"/>
    <mergeCell ref="K52:N52"/>
    <mergeCell ref="K39:N39"/>
    <mergeCell ref="O48:O49"/>
    <mergeCell ref="K43:N43"/>
    <mergeCell ref="K44:N44"/>
    <mergeCell ref="K40:N40"/>
    <mergeCell ref="K42:N42"/>
    <mergeCell ref="K41:N41"/>
    <mergeCell ref="G40:G41"/>
    <mergeCell ref="G42:G43"/>
    <mergeCell ref="H40:H55"/>
    <mergeCell ref="G50:G51"/>
    <mergeCell ref="G52:G53"/>
    <mergeCell ref="G54:G55"/>
    <mergeCell ref="K51:N51"/>
    <mergeCell ref="K45:N45"/>
    <mergeCell ref="K46:N46"/>
    <mergeCell ref="K47:N47"/>
    <mergeCell ref="K48:N48"/>
    <mergeCell ref="K49:N49"/>
    <mergeCell ref="K50:N50"/>
    <mergeCell ref="O52:O53"/>
    <mergeCell ref="O54:O55"/>
  </mergeCells>
  <phoneticPr fontId="21"/>
  <conditionalFormatting sqref="F186">
    <cfRule type="expression" dxfId="24" priority="4" stopIfTrue="1">
      <formula>AND(OR(F186&lt;1,F186&gt;5),F186&lt;&gt;0)</formula>
    </cfRule>
    <cfRule type="expression" dxfId="23" priority="5" stopIfTrue="1">
      <formula>J185&gt;0</formula>
    </cfRule>
  </conditionalFormatting>
  <conditionalFormatting sqref="G224:G229">
    <cfRule type="expression" dxfId="22" priority="6" stopIfTrue="1">
      <formula>$J$215&gt;0</formula>
    </cfRule>
  </conditionalFormatting>
  <conditionalFormatting sqref="G89:G90 G92:G95">
    <cfRule type="expression" dxfId="21" priority="8" stopIfTrue="1">
      <formula>$J$80&gt;0</formula>
    </cfRule>
  </conditionalFormatting>
  <conditionalFormatting sqref="K91:N91">
    <cfRule type="expression" dxfId="20" priority="9" stopIfTrue="1">
      <formula>AND($J$80&gt;0,$G$90=1)</formula>
    </cfRule>
  </conditionalFormatting>
  <conditionalFormatting sqref="K96:N96">
    <cfRule type="expression" dxfId="19" priority="10" stopIfTrue="1">
      <formula>AND($J$80&gt;0,$G$95=1)</formula>
    </cfRule>
  </conditionalFormatting>
  <conditionalFormatting sqref="G195:G199">
    <cfRule type="expression" dxfId="18" priority="11" stopIfTrue="1">
      <formula>$J$185&gt;0</formula>
    </cfRule>
  </conditionalFormatting>
  <conditionalFormatting sqref="G38:G57">
    <cfRule type="expression" dxfId="17" priority="12" stopIfTrue="1">
      <formula>$J$29&gt;0</formula>
    </cfRule>
  </conditionalFormatting>
  <conditionalFormatting sqref="F21 F63 F72 F122 F148 F167 F177 F205 F234">
    <cfRule type="expression" dxfId="16" priority="13" stopIfTrue="1">
      <formula>AND(OR(F21&lt;1,F21&gt;5),F21&lt;&gt;0)</formula>
    </cfRule>
    <cfRule type="expression" dxfId="15" priority="14" stopIfTrue="1">
      <formula>$J20&gt;0</formula>
    </cfRule>
  </conditionalFormatting>
  <conditionalFormatting sqref="G109:G115">
    <cfRule type="expression" dxfId="14" priority="3" stopIfTrue="1">
      <formula>$J$100&gt;0</formula>
    </cfRule>
  </conditionalFormatting>
  <conditionalFormatting sqref="F242">
    <cfRule type="expression" dxfId="13" priority="2" stopIfTrue="1">
      <formula>J233&gt;0</formula>
    </cfRule>
  </conditionalFormatting>
  <conditionalFormatting sqref="H193">
    <cfRule type="expression" dxfId="12" priority="1" stopIfTrue="1">
      <formula>$J$185&gt;0</formula>
    </cfRule>
  </conditionalFormatting>
  <dataValidations xWindow="203" yWindow="331" count="9">
    <dataValidation type="list" allowBlank="1" showInputMessage="1" showErrorMessage="1" sqref="G227 G56:G57 G224 G195:G196 G40:G41">
      <formula1>"0,1,2"</formula1>
    </dataValidation>
    <dataValidation type="list" allowBlank="1" showInputMessage="1" showErrorMessage="1" sqref="G89:G90 G92:G95 G114:G115 G109:G112">
      <formula1>"0,1,対象外"</formula1>
    </dataValidation>
    <dataValidation type="list" allowBlank="1" showInputMessage="1" showErrorMessage="1" sqref="G113">
      <formula1>"0,1,2,対象外"</formula1>
    </dataValidation>
    <dataValidation type="list" allowBlank="1" showInputMessage="1" showErrorMessage="1" sqref="G197:G199">
      <formula1>"0,1,2,4"</formula1>
    </dataValidation>
    <dataValidation type="list" allowBlank="1" showInputMessage="1" showErrorMessage="1" sqref="G42:G55">
      <formula1>"0,1,2,3"</formula1>
    </dataValidation>
    <dataValidation type="list" allowBlank="1" showInputMessage="1" sqref="F21 F63 F72 F122 F148 F167 F177 F205 F234">
      <formula1>$B22:$B27</formula1>
    </dataValidation>
    <dataValidation type="list" allowBlank="1" showInputMessage="1" showErrorMessage="1" sqref="G38:G39">
      <formula1>"0,2"</formula1>
    </dataValidation>
    <dataValidation type="list" allowBlank="1" showInputMessage="1" showErrorMessage="1" sqref="F242 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formula1>"○,　"</formula1>
    </dataValidation>
    <dataValidation type="list" showInputMessage="1" showErrorMessage="1" sqref="H193 JD193 SZ193 ACV193 AMR193 AWN193 BGJ193 BQF193 CAB193 CJX193 CTT193 DDP193 DNL193 DXH193 EHD193 EQZ193 FAV193 FKR193 FUN193 GEJ193 GOF193 GYB193 HHX193 HRT193 IBP193 ILL193 IVH193 JFD193 JOZ193 JYV193 KIR193 KSN193 LCJ193 LMF193 LWB193 MFX193 MPT193 MZP193 NJL193 NTH193 ODD193 OMZ193 OWV193 PGR193 PQN193 QAJ193 QKF193 QUB193 RDX193 RNT193 RXP193 SHL193 SRH193 TBD193 TKZ193 TUV193 UER193 UON193 UYJ193 VIF193 VSB193 WBX193 WLT193 WVP193">
      <formula1>"ある,ない,対象外"</formula1>
    </dataValidation>
  </dataValidations>
  <printOptions horizontalCentered="1"/>
  <pageMargins left="0.59055118110236227" right="0.59055118110236227" top="0.78740157480314965" bottom="0.59055118110236227" header="0.51181102362204722" footer="0.51181102362204722"/>
  <pageSetup paperSize="9" scale="65" fitToHeight="7" orientation="portrait" verticalDpi="4294967293" r:id="rId1"/>
  <headerFooter alignWithMargins="0">
    <oddHeader>&amp;L&amp;F&amp;R&amp;A</oddHeader>
    <oddFooter>&amp;C&amp;P/&amp;N</oddFooter>
  </headerFooter>
  <rowBreaks count="4" manualBreakCount="4">
    <brk id="27" max="16383" man="1"/>
    <brk id="59" max="16383" man="1"/>
    <brk id="117" max="16383" man="1"/>
    <brk id="183" max="16383" man="1"/>
  </rowBreaks>
</worksheet>
</file>

<file path=xl/worksheets/sheet14.xml><?xml version="1.0" encoding="utf-8"?>
<worksheet xmlns="http://schemas.openxmlformats.org/spreadsheetml/2006/main" xmlns:r="http://schemas.openxmlformats.org/officeDocument/2006/relationships">
  <sheetPr codeName="Sheet15">
    <pageSetUpPr fitToPage="1"/>
  </sheetPr>
  <dimension ref="A1:AA186"/>
  <sheetViews>
    <sheetView showGridLines="0" zoomScaleNormal="100" workbookViewId="0">
      <selection activeCell="J6" sqref="J6"/>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1.875" customWidth="1"/>
    <col min="17" max="17" width="6" hidden="1" customWidth="1"/>
    <col min="18" max="18" width="15.5" hidden="1" customWidth="1"/>
    <col min="19" max="19" width="5.25" hidden="1" customWidth="1"/>
    <col min="20" max="20" width="6.375" hidden="1" customWidth="1"/>
    <col min="21" max="21" width="15.5" hidden="1" customWidth="1"/>
    <col min="22" max="22" width="5" hidden="1" customWidth="1"/>
    <col min="23" max="23" width="6.125" hidden="1" customWidth="1"/>
    <col min="24" max="24" width="8" hidden="1" customWidth="1"/>
    <col min="25" max="25" width="6.375" hidden="1" customWidth="1"/>
    <col min="26" max="26" width="5" hidden="1" customWidth="1"/>
  </cols>
  <sheetData>
    <row r="1" spans="1:27" ht="14.25" thickBot="1">
      <c r="A1" s="137"/>
    </row>
    <row r="2" spans="1:27" ht="14.25">
      <c r="B2" s="875" t="str">
        <f>メイン!C6</f>
        <v>CASBEE京都-既存(2015年版)</v>
      </c>
      <c r="C2" s="876"/>
      <c r="D2" s="877"/>
      <c r="E2" s="878"/>
      <c r="F2" s="2464"/>
      <c r="G2" s="2464"/>
      <c r="H2" s="2464"/>
      <c r="I2" s="2464"/>
      <c r="J2" s="2464"/>
      <c r="K2" s="2464"/>
      <c r="L2" s="3900" t="s">
        <v>1779</v>
      </c>
      <c r="M2" s="3900"/>
      <c r="N2" s="3901" t="str">
        <f>メイン!C6</f>
        <v>CASBEE京都-既存(2015年版)</v>
      </c>
      <c r="O2" s="3902"/>
    </row>
    <row r="3" spans="1:27" ht="14.25" thickBot="1">
      <c r="B3" s="3904" t="str">
        <f>メイン!C11</f>
        <v>○○ビル</v>
      </c>
      <c r="C3" s="3905"/>
      <c r="D3" s="3905"/>
      <c r="E3" s="3906"/>
      <c r="F3" s="2464"/>
      <c r="G3" s="2464"/>
      <c r="H3" s="2464"/>
      <c r="I3" s="2464"/>
      <c r="J3" s="2464"/>
      <c r="K3" s="2464"/>
      <c r="L3" s="3900" t="s">
        <v>2172</v>
      </c>
      <c r="M3" s="3903"/>
      <c r="N3" s="3901" t="str">
        <f>メイン!C5</f>
        <v>CASBEE京都-既存2015(v.1.0)</v>
      </c>
      <c r="O3" s="3901"/>
    </row>
    <row r="4" spans="1:27" ht="6.75" customHeight="1" thickBot="1">
      <c r="B4" s="2464"/>
      <c r="C4" s="2464"/>
      <c r="D4" s="2464"/>
      <c r="E4" s="2464"/>
      <c r="F4" s="2464"/>
      <c r="G4" s="2464"/>
      <c r="H4" s="2464"/>
      <c r="I4" s="2464"/>
      <c r="J4" s="2464"/>
      <c r="K4" s="2464"/>
      <c r="L4" s="2464"/>
      <c r="M4" s="2464"/>
      <c r="N4" s="2464"/>
      <c r="O4" s="2464"/>
    </row>
    <row r="5" spans="1:27" ht="18.75">
      <c r="B5" s="880" t="s">
        <v>2006</v>
      </c>
      <c r="C5" s="881"/>
      <c r="D5" s="882"/>
      <c r="E5" s="883"/>
      <c r="F5" s="884"/>
      <c r="G5" s="884"/>
      <c r="H5" s="884"/>
      <c r="I5" s="884"/>
      <c r="J5" s="884"/>
      <c r="K5" s="881"/>
      <c r="L5" s="885"/>
      <c r="M5" s="886"/>
      <c r="N5" s="887"/>
      <c r="O5" s="888"/>
    </row>
    <row r="6" spans="1:27" ht="14.25">
      <c r="B6" s="889"/>
      <c r="C6" s="890"/>
      <c r="D6" s="891"/>
      <c r="E6" s="892"/>
      <c r="F6" s="893"/>
      <c r="G6" s="893"/>
      <c r="H6" s="893"/>
      <c r="I6" s="893"/>
      <c r="J6" s="893"/>
      <c r="K6" s="890"/>
      <c r="L6" s="2240" t="s">
        <v>2007</v>
      </c>
      <c r="M6" s="895"/>
      <c r="N6" s="896"/>
      <c r="O6" s="2461" t="s">
        <v>2008</v>
      </c>
      <c r="R6" t="s">
        <v>614</v>
      </c>
      <c r="S6" t="s">
        <v>613</v>
      </c>
      <c r="T6" t="s">
        <v>615</v>
      </c>
      <c r="U6" t="s">
        <v>616</v>
      </c>
    </row>
    <row r="7" spans="1:27" s="2424" customFormat="1" ht="16.5">
      <c r="B7" s="897" t="s">
        <v>1590</v>
      </c>
      <c r="C7" s="890"/>
      <c r="D7" s="891"/>
      <c r="E7" s="892"/>
      <c r="F7" s="893"/>
      <c r="G7" s="893"/>
      <c r="H7" s="893"/>
      <c r="I7" s="893"/>
      <c r="J7" s="893"/>
      <c r="K7" s="890"/>
      <c r="L7" s="898"/>
      <c r="M7" s="895"/>
      <c r="N7" s="896"/>
      <c r="O7" s="900"/>
    </row>
    <row r="8" spans="1:27" ht="14.25">
      <c r="B8" s="2168"/>
      <c r="C8" s="901" t="s">
        <v>1592</v>
      </c>
      <c r="D8" s="902"/>
      <c r="E8" s="892"/>
      <c r="F8" s="893"/>
      <c r="G8" s="893"/>
      <c r="H8" s="898"/>
      <c r="I8" s="899"/>
      <c r="J8" s="898" t="s">
        <v>1591</v>
      </c>
      <c r="K8" s="899"/>
      <c r="L8" s="898" t="s">
        <v>1591</v>
      </c>
      <c r="M8" s="899"/>
      <c r="N8" s="899"/>
      <c r="O8" s="900" t="s">
        <v>1591</v>
      </c>
    </row>
    <row r="9" spans="1:27">
      <c r="B9" s="2168"/>
      <c r="C9" s="909"/>
      <c r="D9" s="909" t="s">
        <v>249</v>
      </c>
      <c r="E9" s="906"/>
      <c r="F9" s="2465" t="s">
        <v>1337</v>
      </c>
      <c r="G9" s="906"/>
      <c r="H9" s="903" t="s">
        <v>1338</v>
      </c>
      <c r="I9" s="903" t="s">
        <v>1339</v>
      </c>
      <c r="J9" s="903" t="s">
        <v>1340</v>
      </c>
      <c r="K9" s="904" t="s">
        <v>247</v>
      </c>
      <c r="L9" s="905" t="s">
        <v>248</v>
      </c>
      <c r="M9" s="906"/>
      <c r="N9" s="904" t="s">
        <v>247</v>
      </c>
      <c r="O9" s="907" t="s">
        <v>248</v>
      </c>
    </row>
    <row r="10" spans="1:27">
      <c r="B10" s="2172"/>
      <c r="C10" s="909"/>
      <c r="D10" s="909"/>
      <c r="E10" s="909" t="s">
        <v>348</v>
      </c>
      <c r="F10" s="2466" t="e">
        <f>メイン!K47</f>
        <v>#DIV/0!</v>
      </c>
      <c r="G10" s="906"/>
      <c r="H10" s="2466">
        <f>IF(OR($F$20=$R$6,$F$20=$U$6),CO2データ!I12,IF($F$20=$S$6,CO2データ!L12,CO2データ!O12))</f>
        <v>13.23</v>
      </c>
      <c r="I10" s="2466">
        <f>IF(OR($F$20=$R$6,$F$20=$U$6),CO2データ!J12,IF($F$20=$S$6,CO2データ!M12,CO2データ!P12))</f>
        <v>13.23</v>
      </c>
      <c r="J10" s="2467">
        <f>IF(OR($F$20=$R$6,$F$20=$U$6),CO2データ!K12,IF($F$20=$S$6,CO2データ!N12,CO2データ!Q12))</f>
        <v>13.23</v>
      </c>
      <c r="K10" s="2186">
        <f>スコア!O80</f>
        <v>3</v>
      </c>
      <c r="L10" s="2468">
        <f t="shared" ref="L10:L18" si="0">IF(K10&gt;=5,$J10,IF(K10&gt;=4,$I10,$H10))</f>
        <v>13.23</v>
      </c>
      <c r="M10" s="906"/>
      <c r="N10" s="2186">
        <v>3</v>
      </c>
      <c r="O10" s="2469">
        <f>IF(OR($F$20=$R$6,$F$20=$U$6),CO2データ!I7,IF($F$20=$S$6,CO2データ!L7,CO2データ!O7))</f>
        <v>13.23</v>
      </c>
    </row>
    <row r="11" spans="1:27">
      <c r="B11" s="2172"/>
      <c r="C11" s="909"/>
      <c r="D11" s="2470"/>
      <c r="E11" s="909" t="s">
        <v>1444</v>
      </c>
      <c r="F11" s="2466" t="e">
        <f>メイン!K49</f>
        <v>#DIV/0!</v>
      </c>
      <c r="G11" s="906"/>
      <c r="H11" s="2466">
        <f>IF(OR($F$20=$R$6,$F$20=$U$6),CO2データ!I18,IF($F$20=$S$6,CO2データ!L18,CO2データ!O18))</f>
        <v>11.762999999999998</v>
      </c>
      <c r="I11" s="2466">
        <f>IF(OR($F$20=$R$6,$F$20=$U$6),CO2データ!J18,IF($F$20=$S$6,CO2データ!M18,CO2データ!P18))</f>
        <v>11.762999999999998</v>
      </c>
      <c r="J11" s="2467">
        <f>IF(OR($F$20=$R$6,$F$20=$U$6),CO2データ!K18,IF($F$20=$S$6,CO2データ!N18,CO2データ!Q18))</f>
        <v>11.762999999999998</v>
      </c>
      <c r="K11" s="2186">
        <f t="shared" ref="K11:K18" si="1">K$10</f>
        <v>3</v>
      </c>
      <c r="L11" s="2468">
        <f t="shared" si="0"/>
        <v>11.762999999999998</v>
      </c>
      <c r="M11" s="906"/>
      <c r="N11" s="2186">
        <f t="shared" ref="N11:N18" si="2">N$10</f>
        <v>3</v>
      </c>
      <c r="O11" s="2469">
        <f>IF(OR($F$20=$R$6,$F$20=$U$6),CO2データ!I13,IF($F$20=$S$6,CO2データ!L13,CO2データ!O13))</f>
        <v>11.762999999999998</v>
      </c>
      <c r="AA11" t="str">
        <f>重み!AB6</f>
        <v>学校</v>
      </c>
    </row>
    <row r="12" spans="1:27">
      <c r="B12" s="2172"/>
      <c r="C12" s="909"/>
      <c r="D12" s="909"/>
      <c r="E12" s="909" t="s">
        <v>352</v>
      </c>
      <c r="F12" s="2466" t="e">
        <f>メイン!K54</f>
        <v>#DIV/0!</v>
      </c>
      <c r="G12" s="906"/>
      <c r="H12" s="2466">
        <f>IF(OR($F$20=$R$6,$F$20=$U$6),CO2データ!I24,IF($F$20=$S$6,CO2データ!L24,CO2データ!O24))</f>
        <v>22.385999999999999</v>
      </c>
      <c r="I12" s="2466">
        <f>IF(OR($F$20=$R$6,$F$20=$U$6),CO2データ!J24,IF($F$20=$S$6,CO2データ!M24,CO2データ!P24))</f>
        <v>22.385999999999999</v>
      </c>
      <c r="J12" s="2467">
        <f>IF(OR($F$20=$R$6,$F$20=$U$6),CO2データ!K24,IF($F$20=$S$6,CO2データ!N24,CO2データ!Q24))</f>
        <v>22.385999999999999</v>
      </c>
      <c r="K12" s="2186">
        <f t="shared" si="1"/>
        <v>3</v>
      </c>
      <c r="L12" s="2468">
        <f t="shared" si="0"/>
        <v>22.385999999999999</v>
      </c>
      <c r="M12" s="906"/>
      <c r="N12" s="2186">
        <f t="shared" si="2"/>
        <v>3</v>
      </c>
      <c r="O12" s="2469">
        <f>IF(OR($F$20=$R$6,$F$20=$U$6),CO2データ!I19,IF($F$20=$S$6,CO2データ!L19,CO2データ!O19))</f>
        <v>22.385999999999999</v>
      </c>
      <c r="AA12" t="e">
        <f>重み!AB7</f>
        <v>#DIV/0!</v>
      </c>
    </row>
    <row r="13" spans="1:27">
      <c r="B13" s="2172"/>
      <c r="C13" s="909"/>
      <c r="D13" s="909"/>
      <c r="E13" s="909" t="s">
        <v>354</v>
      </c>
      <c r="F13" s="2466" t="e">
        <f>メイン!K56</f>
        <v>#DIV/0!</v>
      </c>
      <c r="G13" s="906"/>
      <c r="H13" s="2466">
        <f>IF(OR($F$20=$R$6,$F$20=$U$6),CO2データ!I30,IF($F$20=$S$6,CO2データ!L30,CO2データ!O30))</f>
        <v>22.385999999999999</v>
      </c>
      <c r="I13" s="2466">
        <f>IF(OR($F$20=$R$6,$F$20=$U$6),CO2データ!J30,IF($F$20=$S$6,CO2データ!M30,CO2データ!P30))</f>
        <v>22.385999999999999</v>
      </c>
      <c r="J13" s="2467">
        <f>IF(OR($F$20=$R$6,$F$20=$U$6),CO2データ!K30,IF($F$20=$S$6,CO2データ!N30,CO2データ!Q30))</f>
        <v>22.385999999999999</v>
      </c>
      <c r="K13" s="2186">
        <f t="shared" si="1"/>
        <v>3</v>
      </c>
      <c r="L13" s="2468">
        <f t="shared" si="0"/>
        <v>22.385999999999999</v>
      </c>
      <c r="M13" s="906"/>
      <c r="N13" s="2186">
        <f t="shared" si="2"/>
        <v>3</v>
      </c>
      <c r="O13" s="2469">
        <f>IF(OR($F$20=$R$6,$F$20=$U$6),CO2データ!I25,IF($F$20=$S$6,CO2データ!L25,CO2データ!O25))</f>
        <v>22.385999999999999</v>
      </c>
    </row>
    <row r="14" spans="1:27">
      <c r="B14" s="2172"/>
      <c r="C14" s="909"/>
      <c r="D14" s="909"/>
      <c r="E14" s="2174" t="s">
        <v>1614</v>
      </c>
      <c r="F14" s="2466" t="e">
        <f>メイン!K57</f>
        <v>#DIV/0!</v>
      </c>
      <c r="G14" s="906"/>
      <c r="H14" s="2466">
        <f>IF(OR($F$20=$R$6,$F$20=$U$6),CO2データ!I36,IF($F$20=$S$6,CO2データ!L36,CO2データ!O36))</f>
        <v>12.471</v>
      </c>
      <c r="I14" s="2466">
        <f>IF(OR($F$20=$R$6,$F$20=$U$6),CO2データ!J36,IF($F$20=$S$6,CO2データ!M36,CO2データ!P36))</f>
        <v>12.471</v>
      </c>
      <c r="J14" s="2467">
        <f>IF(OR($F$20=$R$6,$F$20=$U$6),CO2データ!K36,IF($F$20=$S$6,CO2データ!N36,CO2データ!Q36))</f>
        <v>12.471</v>
      </c>
      <c r="K14" s="2186">
        <f t="shared" si="1"/>
        <v>3</v>
      </c>
      <c r="L14" s="2468">
        <f t="shared" si="0"/>
        <v>12.471</v>
      </c>
      <c r="M14" s="906"/>
      <c r="N14" s="2186">
        <f t="shared" si="2"/>
        <v>3</v>
      </c>
      <c r="O14" s="2469">
        <f>IF(OR($F$20=$R$6,$F$20=$U$6),CO2データ!I31,IF($F$20=$S$6,CO2データ!L31,CO2データ!O31))</f>
        <v>12.471</v>
      </c>
    </row>
    <row r="15" spans="1:27">
      <c r="B15" s="2172"/>
      <c r="C15" s="909"/>
      <c r="D15" s="909"/>
      <c r="E15" s="2174" t="s">
        <v>364</v>
      </c>
      <c r="F15" s="2466" t="e">
        <f>メイン!K60</f>
        <v>#DIV/0!</v>
      </c>
      <c r="G15" s="906"/>
      <c r="H15" s="2466">
        <f>IF(OR($F$20=$R$6,$F$20=$U$6),CO2データ!I42,IF($F$20=$S$6,CO2データ!L42,CO2データ!O42))</f>
        <v>22.5</v>
      </c>
      <c r="I15" s="2466">
        <f>IF(OR($F$20=$R$6,$F$20=$U$6),CO2データ!J42,IF($F$20=$S$6,CO2データ!M42,CO2データ!P42))</f>
        <v>22.5</v>
      </c>
      <c r="J15" s="2467">
        <f>IF(OR($F$20=$R$6,$F$20=$U$6),CO2データ!K42,IF($F$20=$S$6,CO2データ!N42,CO2データ!Q42))</f>
        <v>22.5</v>
      </c>
      <c r="K15" s="2186">
        <f t="shared" si="1"/>
        <v>3</v>
      </c>
      <c r="L15" s="2468">
        <f t="shared" si="0"/>
        <v>22.5</v>
      </c>
      <c r="M15" s="906"/>
      <c r="N15" s="2186">
        <f t="shared" si="2"/>
        <v>3</v>
      </c>
      <c r="O15" s="2469">
        <f>IF(OR($F$20=$R$6,$F$20=$U$6),CO2データ!I37,IF($F$20=$S$6,CO2データ!L37,CO2データ!O37))</f>
        <v>22.5</v>
      </c>
    </row>
    <row r="16" spans="1:27">
      <c r="B16" s="2172"/>
      <c r="C16" s="909"/>
      <c r="D16" s="909"/>
      <c r="E16" s="2174" t="s">
        <v>358</v>
      </c>
      <c r="F16" s="2466" t="e">
        <f>メイン!K61</f>
        <v>#DIV/0!</v>
      </c>
      <c r="G16" s="906"/>
      <c r="H16" s="2466">
        <f>IF(OR($F$20=$R$6,$F$20=$U$6),CO2データ!I48,IF($F$20=$S$6,CO2データ!L48,CO2データ!O48))</f>
        <v>12.261000000000001</v>
      </c>
      <c r="I16" s="2466">
        <f>IF(OR($F$20=$R$6,$F$20=$U$6),CO2データ!J48,IF($F$20=$S$6,CO2データ!M48,CO2データ!P48))</f>
        <v>12.261000000000001</v>
      </c>
      <c r="J16" s="2467">
        <f>IF(OR($F$20=$R$6,$F$20=$U$6),CO2データ!K48,IF($F$20=$S$6,CO2データ!N48,CO2データ!Q48))</f>
        <v>12.261000000000001</v>
      </c>
      <c r="K16" s="2186">
        <f t="shared" si="1"/>
        <v>3</v>
      </c>
      <c r="L16" s="2468">
        <f t="shared" si="0"/>
        <v>12.261000000000001</v>
      </c>
      <c r="M16" s="906"/>
      <c r="N16" s="2186">
        <f t="shared" si="2"/>
        <v>3</v>
      </c>
      <c r="O16" s="2469">
        <f>IF(OR($F$20=$R$6,$F$20=$U$6),CO2データ!I43,IF($F$20=$S$6,CO2データ!L43,CO2データ!O43))</f>
        <v>12.261000000000001</v>
      </c>
    </row>
    <row r="17" spans="2:21">
      <c r="B17" s="2172"/>
      <c r="C17" s="909"/>
      <c r="D17" s="909"/>
      <c r="E17" s="2174" t="s">
        <v>250</v>
      </c>
      <c r="F17" s="2466" t="e">
        <f>メイン!K62</f>
        <v>#DIV/0!</v>
      </c>
      <c r="G17" s="906"/>
      <c r="H17" s="2466">
        <f>IF(OR($F$20=$R$6,$F$20=$U$6),CO2データ!I54,IF($F$20=$S$6,CO2データ!L54,CO2データ!O54))</f>
        <v>12.770000000000001</v>
      </c>
      <c r="I17" s="2466">
        <f>IF(OR($F$20=$R$6,$F$20=$U$6),CO2データ!J54,IF($F$20=$S$6,CO2データ!M54,CO2データ!P54))</f>
        <v>12.770000000000001</v>
      </c>
      <c r="J17" s="2467">
        <f>IF(OR($F$20=$R$6,$F$20=$U$6),CO2データ!K54,IF($F$20=$S$6,CO2データ!N54,CO2データ!Q54))</f>
        <v>12.770000000000001</v>
      </c>
      <c r="K17" s="2186">
        <f t="shared" si="1"/>
        <v>3</v>
      </c>
      <c r="L17" s="2468">
        <f t="shared" si="0"/>
        <v>12.770000000000001</v>
      </c>
      <c r="M17" s="906"/>
      <c r="N17" s="2186">
        <f t="shared" si="2"/>
        <v>3</v>
      </c>
      <c r="O17" s="2469">
        <f>IF(OR($F$20=$R$6,$F$20=$U$6),CO2データ!I49,IF($F$20=$S$6,CO2データ!L49,CO2データ!O49))</f>
        <v>12.770000000000001</v>
      </c>
    </row>
    <row r="18" spans="2:21">
      <c r="B18" s="2172"/>
      <c r="C18" s="909"/>
      <c r="D18" s="909"/>
      <c r="E18" s="2174" t="s">
        <v>1593</v>
      </c>
      <c r="F18" s="2466" t="e">
        <f>メイン!K64</f>
        <v>#DIV/0!</v>
      </c>
      <c r="G18" s="906"/>
      <c r="H18" s="2466">
        <f>IF(OR($F$20=$R$6,$F$20=$U$6),CO2データ!I60,IF($F$20=$S$6,CO2データ!L60,CO2データ!O60))</f>
        <v>19.619999999999997</v>
      </c>
      <c r="I18" s="2466">
        <f>IF(OR($F$20=$R$6,$F$20=$U$6),CO2データ!J60,IF($F$20=$S$6,CO2データ!M60,CO2データ!P60))</f>
        <v>9.8079999999999998</v>
      </c>
      <c r="J18" s="2467">
        <f>IF(OR($F$20=$R$6,$F$20=$U$6),CO2データ!K60,IF($F$20=$S$6,CO2データ!N60,CO2データ!Q60))</f>
        <v>6.5390000000000006</v>
      </c>
      <c r="K18" s="2186">
        <f t="shared" si="1"/>
        <v>3</v>
      </c>
      <c r="L18" s="2468">
        <f t="shared" si="0"/>
        <v>19.619999999999997</v>
      </c>
      <c r="M18" s="906"/>
      <c r="N18" s="2186">
        <f t="shared" si="2"/>
        <v>3</v>
      </c>
      <c r="O18" s="2469">
        <f>IF(OR($F$20=$R$6,$F$20=$U$6),CO2データ!I55,IF($F$20=$S$6,CO2データ!L55,CO2データ!O55))</f>
        <v>19.619999999999997</v>
      </c>
    </row>
    <row r="19" spans="2:21">
      <c r="B19" s="2172"/>
      <c r="C19" s="909"/>
      <c r="D19" s="909"/>
      <c r="E19" s="909"/>
      <c r="F19" s="909"/>
      <c r="G19" s="909"/>
      <c r="H19" s="909"/>
      <c r="I19" s="2471"/>
      <c r="J19" s="2471"/>
      <c r="K19" s="2472"/>
      <c r="L19" s="2473"/>
      <c r="M19" s="906"/>
      <c r="N19" s="2472"/>
      <c r="O19" s="2474"/>
    </row>
    <row r="20" spans="2:21">
      <c r="B20" s="2172"/>
      <c r="C20" s="906"/>
      <c r="D20" s="906" t="s">
        <v>251</v>
      </c>
      <c r="E20" s="906"/>
      <c r="F20" s="2475" t="str">
        <f>メイン!C23</f>
        <v>RC造</v>
      </c>
      <c r="G20" s="906"/>
      <c r="H20" s="2476"/>
      <c r="I20" s="2476"/>
      <c r="J20" s="2476"/>
      <c r="K20" s="2477"/>
      <c r="L20" s="906"/>
      <c r="M20" s="906"/>
      <c r="N20" s="2477"/>
      <c r="O20" s="2478"/>
    </row>
    <row r="21" spans="2:21">
      <c r="B21" s="2479"/>
      <c r="C21" s="2169"/>
      <c r="D21" s="2169" t="s">
        <v>252</v>
      </c>
      <c r="E21" s="2169"/>
      <c r="F21" s="2480">
        <f>'条件(標準)'!E31</f>
        <v>0</v>
      </c>
      <c r="G21" s="2169"/>
      <c r="H21" s="2169"/>
      <c r="I21" s="2169"/>
      <c r="J21" s="2169"/>
      <c r="K21" s="2169"/>
      <c r="L21" s="2169"/>
      <c r="M21" s="2169"/>
      <c r="N21" s="2481">
        <v>0</v>
      </c>
      <c r="O21" s="2348"/>
    </row>
    <row r="22" spans="2:21">
      <c r="B22" s="2479"/>
      <c r="C22" s="2169"/>
      <c r="D22" s="2169" t="s">
        <v>2009</v>
      </c>
      <c r="E22" s="2169"/>
      <c r="F22" s="2480">
        <f>'条件(標準)'!E30</f>
        <v>0</v>
      </c>
      <c r="G22" s="2169"/>
      <c r="H22" s="2169"/>
      <c r="I22" s="2169"/>
      <c r="J22" s="2169"/>
      <c r="K22" s="2169"/>
      <c r="L22" s="2169"/>
      <c r="M22" s="2169"/>
      <c r="N22" s="2481">
        <v>0</v>
      </c>
      <c r="O22" s="2348"/>
    </row>
    <row r="23" spans="2:21" ht="5.25" customHeight="1" thickBot="1">
      <c r="B23" s="2479"/>
      <c r="C23" s="2169"/>
      <c r="D23" s="2169"/>
      <c r="E23" s="2169"/>
      <c r="F23" s="2169"/>
      <c r="G23" s="2169"/>
      <c r="H23" s="2169"/>
      <c r="I23" s="2169"/>
      <c r="J23" s="2169"/>
      <c r="K23" s="2169"/>
      <c r="L23" s="2169"/>
      <c r="M23" s="2169"/>
      <c r="N23" s="2169"/>
      <c r="O23" s="2348"/>
    </row>
    <row r="24" spans="2:21" ht="14.25" thickBot="1">
      <c r="B24" s="2479"/>
      <c r="C24" s="901" t="s">
        <v>2010</v>
      </c>
      <c r="D24" s="909"/>
      <c r="E24" s="906"/>
      <c r="F24" s="2169"/>
      <c r="G24" s="2169"/>
      <c r="H24" s="2169"/>
      <c r="I24" s="2169"/>
      <c r="J24" s="2169"/>
      <c r="K24" s="2169"/>
      <c r="L24" s="2482" t="e">
        <f>SUMPRODUCT(F10:F18,L10:L18)</f>
        <v>#DIV/0!</v>
      </c>
      <c r="M24" s="2169"/>
      <c r="N24" s="2169"/>
      <c r="O24" s="2482" t="e">
        <f>SUMPRODUCT(F10:F18,O10:O18)</f>
        <v>#DIV/0!</v>
      </c>
    </row>
    <row r="25" spans="2:21">
      <c r="B25" s="2479"/>
      <c r="C25" s="906"/>
      <c r="D25" s="909"/>
      <c r="E25" s="2174"/>
      <c r="F25" s="2169"/>
      <c r="G25" s="2169"/>
      <c r="H25" s="2169"/>
      <c r="I25" s="2169"/>
      <c r="J25" s="2169"/>
      <c r="K25" s="2169"/>
      <c r="L25" s="2483"/>
      <c r="M25" s="2169"/>
      <c r="N25" s="2169"/>
      <c r="O25" s="2484"/>
    </row>
    <row r="26" spans="2:21" hidden="1">
      <c r="B26" s="2479"/>
      <c r="C26" s="906" t="s">
        <v>2011</v>
      </c>
      <c r="D26" s="2169"/>
      <c r="E26" s="909" t="s">
        <v>348</v>
      </c>
      <c r="F26" s="2475">
        <f>メイン!N47</f>
        <v>0</v>
      </c>
      <c r="G26" s="2169"/>
      <c r="H26" s="2466">
        <f>IF(OR($F$20=$R$6,$F$20=$U$6),CO2データ!I203,IF($F$20=$S$6,CO2データ!L203,CO2データ!O203))</f>
        <v>60</v>
      </c>
      <c r="I26" s="2466">
        <f>IF(OR($F$20=$R$6,$F$20=$U$6),CO2データ!J203,IF($F$20=$S$6,CO2データ!M203,CO2データ!P203))</f>
        <v>60</v>
      </c>
      <c r="J26" s="2466">
        <f>IF(OR($F$20=$R$6,$F$20=$U$6),CO2データ!K203,IF($F$20=$S$6,CO2データ!N203,CO2データ!Q203))</f>
        <v>60</v>
      </c>
      <c r="K26" s="2485">
        <f t="shared" ref="K26:K34" si="3">K10</f>
        <v>3</v>
      </c>
      <c r="L26" s="2486">
        <f t="shared" ref="L26:L34" si="4">IF($F26=1,IF($K26&lt;4,$H26,IF($K26&lt;5,$I26,$J26)),0)</f>
        <v>0</v>
      </c>
      <c r="M26" s="2169"/>
      <c r="N26" s="2186">
        <v>3</v>
      </c>
      <c r="O26" s="2487">
        <f t="shared" ref="O26:O34" si="5">IF($F26=1,IF($N26&lt;4,$H26,IF($N26&lt;5,$I26,$J26)),0)</f>
        <v>0</v>
      </c>
      <c r="R26" t="str">
        <f t="shared" ref="R26:R34" si="6">IF($F26&lt;&gt;1,"",$E26&amp;"部分"&amp;L26&amp;"年,")</f>
        <v/>
      </c>
      <c r="U26" t="str">
        <f t="shared" ref="U26:U34" si="7">IF($F26&lt;&gt;1,"",$E26&amp;"部分"&amp;O26&amp;"年,")</f>
        <v/>
      </c>
    </row>
    <row r="27" spans="2:21" hidden="1">
      <c r="B27" s="2479"/>
      <c r="C27" s="906"/>
      <c r="D27" s="2169"/>
      <c r="E27" s="909" t="s">
        <v>350</v>
      </c>
      <c r="F27" s="2475">
        <f>メイン!N49</f>
        <v>0</v>
      </c>
      <c r="G27" s="2169"/>
      <c r="H27" s="2466">
        <f>IF(OR($F$20=$R$6,$F$20=$U$6),CO2データ!I204,IF($F$20=$S$6,CO2データ!L204,CO2データ!O204))</f>
        <v>60</v>
      </c>
      <c r="I27" s="2466">
        <f>IF(OR($F$20=$R$6,$F$20=$U$6),CO2データ!J204,IF($F$20=$S$6,CO2データ!M204,CO2データ!P204))</f>
        <v>60</v>
      </c>
      <c r="J27" s="2466">
        <f>IF(OR($F$20=$R$6,$F$20=$U$6),CO2データ!K204,IF($F$20=$S$6,CO2データ!N204,CO2データ!Q204))</f>
        <v>60</v>
      </c>
      <c r="K27" s="2485">
        <f t="shared" si="3"/>
        <v>3</v>
      </c>
      <c r="L27" s="2486">
        <f t="shared" si="4"/>
        <v>0</v>
      </c>
      <c r="M27" s="2169"/>
      <c r="N27" s="2186">
        <v>3</v>
      </c>
      <c r="O27" s="2487">
        <f t="shared" si="5"/>
        <v>0</v>
      </c>
      <c r="R27" t="str">
        <f t="shared" si="6"/>
        <v/>
      </c>
      <c r="U27" t="str">
        <f t="shared" si="7"/>
        <v/>
      </c>
    </row>
    <row r="28" spans="2:21" hidden="1">
      <c r="B28" s="2479"/>
      <c r="C28" s="906"/>
      <c r="D28" s="2169"/>
      <c r="E28" s="909" t="s">
        <v>352</v>
      </c>
      <c r="F28" s="2475">
        <f>メイン!N54</f>
        <v>0</v>
      </c>
      <c r="G28" s="2169"/>
      <c r="H28" s="2466">
        <f>IF(OR($F$20=$R$6,$F$20=$U$6),CO2データ!I205,IF($F$20=$S$6,CO2データ!L205,CO2データ!O205))</f>
        <v>30</v>
      </c>
      <c r="I28" s="2466">
        <f>IF(OR($F$20=$R$6,$F$20=$U$6),CO2データ!J205,IF($F$20=$S$6,CO2データ!M205,CO2データ!P205))</f>
        <v>30</v>
      </c>
      <c r="J28" s="2466">
        <f>IF(OR($F$20=$R$6,$F$20=$U$6),CO2データ!K205,IF($F$20=$S$6,CO2データ!N205,CO2データ!Q205))</f>
        <v>30</v>
      </c>
      <c r="K28" s="2485">
        <f t="shared" si="3"/>
        <v>3</v>
      </c>
      <c r="L28" s="2486">
        <f t="shared" si="4"/>
        <v>0</v>
      </c>
      <c r="M28" s="2169"/>
      <c r="N28" s="2186">
        <v>3</v>
      </c>
      <c r="O28" s="2487">
        <f t="shared" si="5"/>
        <v>0</v>
      </c>
      <c r="R28" t="str">
        <f t="shared" si="6"/>
        <v/>
      </c>
      <c r="U28" t="str">
        <f t="shared" si="7"/>
        <v/>
      </c>
    </row>
    <row r="29" spans="2:21" hidden="1">
      <c r="B29" s="2479"/>
      <c r="C29" s="906"/>
      <c r="D29" s="2169"/>
      <c r="E29" s="909" t="s">
        <v>354</v>
      </c>
      <c r="F29" s="2475">
        <f>メイン!N56</f>
        <v>0</v>
      </c>
      <c r="G29" s="2169"/>
      <c r="H29" s="2466">
        <f>IF(OR($F$20=$R$6,$F$20=$U$6),CO2データ!I206,IF($F$20=$S$6,CO2データ!L206,CO2データ!O206))</f>
        <v>30</v>
      </c>
      <c r="I29" s="2466">
        <f>IF(OR($F$20=$R$6,$F$20=$U$6),CO2データ!J206,IF($F$20=$S$6,CO2データ!M206,CO2データ!P206))</f>
        <v>30</v>
      </c>
      <c r="J29" s="2466">
        <f>IF(OR($F$20=$R$6,$F$20=$U$6),CO2データ!K206,IF($F$20=$S$6,CO2データ!N206,CO2データ!Q206))</f>
        <v>30</v>
      </c>
      <c r="K29" s="2485">
        <f t="shared" si="3"/>
        <v>3</v>
      </c>
      <c r="L29" s="2486">
        <f t="shared" si="4"/>
        <v>0</v>
      </c>
      <c r="M29" s="2169"/>
      <c r="N29" s="2186">
        <v>3</v>
      </c>
      <c r="O29" s="2487">
        <f t="shared" si="5"/>
        <v>0</v>
      </c>
      <c r="R29" t="str">
        <f t="shared" si="6"/>
        <v/>
      </c>
      <c r="U29" t="str">
        <f t="shared" si="7"/>
        <v/>
      </c>
    </row>
    <row r="30" spans="2:21" hidden="1">
      <c r="B30" s="2479"/>
      <c r="C30" s="906"/>
      <c r="D30" s="2169"/>
      <c r="E30" s="2174" t="s">
        <v>1614</v>
      </c>
      <c r="F30" s="2475">
        <f>メイン!N57</f>
        <v>0</v>
      </c>
      <c r="G30" s="2169"/>
      <c r="H30" s="2466">
        <f>IF(OR($F$20=$R$6,$F$20=$U$6),CO2データ!I207,IF($F$20=$S$6,CO2データ!L207,CO2データ!O207))</f>
        <v>60</v>
      </c>
      <c r="I30" s="2466">
        <f>IF(OR($F$20=$R$6,$F$20=$U$6),CO2データ!J207,IF($F$20=$S$6,CO2データ!M207,CO2データ!P207))</f>
        <v>60</v>
      </c>
      <c r="J30" s="2466">
        <f>IF(OR($F$20=$R$6,$F$20=$U$6),CO2データ!K207,IF($F$20=$S$6,CO2データ!N207,CO2データ!Q207))</f>
        <v>60</v>
      </c>
      <c r="K30" s="2485">
        <f t="shared" si="3"/>
        <v>3</v>
      </c>
      <c r="L30" s="2486">
        <f t="shared" si="4"/>
        <v>0</v>
      </c>
      <c r="M30" s="2169"/>
      <c r="N30" s="2186">
        <v>3</v>
      </c>
      <c r="O30" s="2487">
        <f t="shared" si="5"/>
        <v>0</v>
      </c>
      <c r="R30" t="str">
        <f t="shared" si="6"/>
        <v/>
      </c>
      <c r="U30" t="str">
        <f t="shared" si="7"/>
        <v/>
      </c>
    </row>
    <row r="31" spans="2:21" hidden="1">
      <c r="B31" s="2479"/>
      <c r="C31" s="906"/>
      <c r="D31" s="2169"/>
      <c r="E31" s="2174" t="s">
        <v>364</v>
      </c>
      <c r="F31" s="2475">
        <f>メイン!N61</f>
        <v>0</v>
      </c>
      <c r="G31" s="2169"/>
      <c r="H31" s="2466">
        <f>IF(OR($F$20=$R$6,$F$20=$U$6),CO2データ!I208,IF($F$20=$S$6,CO2データ!L208,CO2データ!O208))</f>
        <v>30</v>
      </c>
      <c r="I31" s="2466">
        <f>IF(OR($F$20=$R$6,$F$20=$U$6),CO2データ!J208,IF($F$20=$S$6,CO2データ!M208,CO2データ!P208))</f>
        <v>30</v>
      </c>
      <c r="J31" s="2466">
        <f>IF(OR($F$20=$R$6,$F$20=$U$6),CO2データ!K208,IF($F$20=$S$6,CO2データ!N208,CO2データ!Q208))</f>
        <v>30</v>
      </c>
      <c r="K31" s="2485">
        <f t="shared" si="3"/>
        <v>3</v>
      </c>
      <c r="L31" s="2486">
        <f t="shared" si="4"/>
        <v>0</v>
      </c>
      <c r="M31" s="2169"/>
      <c r="N31" s="2186">
        <v>3</v>
      </c>
      <c r="O31" s="2487">
        <f t="shared" si="5"/>
        <v>0</v>
      </c>
      <c r="R31" t="str">
        <f t="shared" si="6"/>
        <v/>
      </c>
      <c r="U31" t="str">
        <f t="shared" si="7"/>
        <v/>
      </c>
    </row>
    <row r="32" spans="2:21" hidden="1">
      <c r="B32" s="2479"/>
      <c r="C32" s="906"/>
      <c r="D32" s="2169"/>
      <c r="E32" s="2174" t="s">
        <v>358</v>
      </c>
      <c r="F32" s="2475">
        <f>メイン!N62</f>
        <v>0</v>
      </c>
      <c r="G32" s="2169"/>
      <c r="H32" s="2466">
        <f>IF(OR($F$20=$R$6,$F$20=$U$6),CO2データ!I209,IF($F$20=$S$6,CO2データ!L209,CO2データ!O209))</f>
        <v>60</v>
      </c>
      <c r="I32" s="2466">
        <f>IF(OR($F$20=$R$6,$F$20=$U$6),CO2データ!J209,IF($F$20=$S$6,CO2データ!M209,CO2データ!P209))</f>
        <v>60</v>
      </c>
      <c r="J32" s="2466">
        <f>IF(OR($F$20=$R$6,$F$20=$U$6),CO2データ!K209,IF($F$20=$S$6,CO2データ!N209,CO2データ!Q209))</f>
        <v>60</v>
      </c>
      <c r="K32" s="2485">
        <f t="shared" si="3"/>
        <v>3</v>
      </c>
      <c r="L32" s="2486">
        <f t="shared" si="4"/>
        <v>0</v>
      </c>
      <c r="M32" s="2169"/>
      <c r="N32" s="2186">
        <v>3</v>
      </c>
      <c r="O32" s="2487">
        <f t="shared" si="5"/>
        <v>0</v>
      </c>
      <c r="R32" t="str">
        <f t="shared" si="6"/>
        <v/>
      </c>
      <c r="U32" t="str">
        <f t="shared" si="7"/>
        <v/>
      </c>
    </row>
    <row r="33" spans="2:21" hidden="1">
      <c r="B33" s="2479"/>
      <c r="C33" s="906"/>
      <c r="D33" s="2169"/>
      <c r="E33" s="2174" t="s">
        <v>250</v>
      </c>
      <c r="F33" s="2475">
        <f>メイン!N63</f>
        <v>0</v>
      </c>
      <c r="G33" s="2169"/>
      <c r="H33" s="2466">
        <f>IF(OR($F$20=$R$6,$F$20=$U$6),CO2データ!I210,IF($F$20=$S$6,CO2データ!L210,CO2データ!O210))</f>
        <v>60</v>
      </c>
      <c r="I33" s="2466">
        <f>IF(OR($F$20=$R$6,$F$20=$U$6),CO2データ!J210,IF($F$20=$S$6,CO2データ!M210,CO2データ!P210))</f>
        <v>60</v>
      </c>
      <c r="J33" s="2466">
        <f>IF(OR($F$20=$R$6,$F$20=$U$6),CO2データ!K210,IF($F$20=$S$6,CO2データ!N210,CO2データ!Q210))</f>
        <v>60</v>
      </c>
      <c r="K33" s="2485">
        <f t="shared" si="3"/>
        <v>3</v>
      </c>
      <c r="L33" s="2486">
        <f t="shared" si="4"/>
        <v>0</v>
      </c>
      <c r="M33" s="2169"/>
      <c r="N33" s="2186">
        <v>3</v>
      </c>
      <c r="O33" s="2487">
        <f t="shared" si="5"/>
        <v>0</v>
      </c>
      <c r="R33" t="str">
        <f t="shared" si="6"/>
        <v/>
      </c>
      <c r="U33" t="str">
        <f t="shared" si="7"/>
        <v/>
      </c>
    </row>
    <row r="34" spans="2:21" hidden="1">
      <c r="B34" s="2479"/>
      <c r="C34" s="906"/>
      <c r="D34" s="2169"/>
      <c r="E34" s="2174" t="s">
        <v>362</v>
      </c>
      <c r="F34" s="2475">
        <f>メイン!N60</f>
        <v>0</v>
      </c>
      <c r="G34" s="2169"/>
      <c r="H34" s="2466">
        <f>IF(OR($F$20=$R$6,$F$20=$U$6),CO2データ!I211,IF($F$20=$S$6,CO2データ!L211,CO2データ!O211))</f>
        <v>30</v>
      </c>
      <c r="I34" s="2466">
        <f>IF(OR($F$20=$R$6,$F$20=$U$6),CO2データ!J211,IF($F$20=$S$6,CO2データ!M211,CO2データ!P211))</f>
        <v>60</v>
      </c>
      <c r="J34" s="2466">
        <f>IF(OR($F$20=$R$6,$F$20=$U$6),CO2データ!K211,IF($F$20=$S$6,CO2データ!N211,CO2データ!Q211))</f>
        <v>90</v>
      </c>
      <c r="K34" s="2485">
        <f t="shared" si="3"/>
        <v>3</v>
      </c>
      <c r="L34" s="2486">
        <f t="shared" si="4"/>
        <v>0</v>
      </c>
      <c r="M34" s="2169"/>
      <c r="N34" s="2186">
        <v>3</v>
      </c>
      <c r="O34" s="2487">
        <f t="shared" si="5"/>
        <v>0</v>
      </c>
      <c r="R34" t="str">
        <f t="shared" si="6"/>
        <v/>
      </c>
      <c r="U34" t="str">
        <f t="shared" si="7"/>
        <v/>
      </c>
    </row>
    <row r="35" spans="2:21" ht="14.25" hidden="1" thickBot="1">
      <c r="B35" s="2479"/>
      <c r="C35" s="906"/>
      <c r="D35" s="2169"/>
      <c r="E35" s="2174"/>
      <c r="F35" s="2174"/>
      <c r="G35" s="2174"/>
      <c r="H35" s="2174"/>
      <c r="I35" s="2174"/>
      <c r="J35" s="2174"/>
      <c r="K35" s="2174"/>
      <c r="L35" s="2488" t="str">
        <f>R26&amp;R27&amp;R28&amp;R29&amp;R30&amp;R31&amp;R32&amp;R33&amp;R34&amp;R35</f>
        <v/>
      </c>
      <c r="M35" s="2174"/>
      <c r="N35" s="2174"/>
      <c r="O35" s="2488" t="str">
        <f>U26&amp;U27&amp;U28&amp;U29&amp;U30&amp;U31&amp;U32&amp;U33&amp;U34&amp;U35</f>
        <v/>
      </c>
      <c r="R35" t="str">
        <f>IF(SUM(F26:F34)&gt;1,"他","")</f>
        <v/>
      </c>
      <c r="U35" t="str">
        <f>IF(SUM(F26:F34)&gt;1,"他","")</f>
        <v/>
      </c>
    </row>
    <row r="36" spans="2:21" hidden="1">
      <c r="B36" s="2479"/>
      <c r="C36" s="906"/>
      <c r="D36" s="2169"/>
      <c r="E36" s="2174"/>
      <c r="F36" s="2174"/>
      <c r="G36" s="2174"/>
      <c r="H36" s="2174"/>
      <c r="I36" s="2174"/>
      <c r="J36" s="2174"/>
      <c r="K36" s="2174"/>
      <c r="L36" s="2174"/>
      <c r="M36" s="2174"/>
      <c r="N36" s="2174"/>
      <c r="O36" s="2489"/>
    </row>
    <row r="37" spans="2:21" hidden="1">
      <c r="B37" s="2490"/>
      <c r="C37" s="2491" t="s">
        <v>2012</v>
      </c>
      <c r="D37" s="2491"/>
      <c r="E37" s="2171"/>
      <c r="F37" s="2171"/>
      <c r="G37" s="2171"/>
      <c r="H37" s="2492"/>
      <c r="I37" s="2493" t="s">
        <v>2013</v>
      </c>
      <c r="J37" s="2493" t="s">
        <v>2014</v>
      </c>
      <c r="K37" s="2494"/>
      <c r="L37" s="2494"/>
      <c r="M37" s="2494"/>
      <c r="N37" s="2494"/>
      <c r="O37" s="2495"/>
    </row>
    <row r="38" spans="2:21" hidden="1">
      <c r="B38" s="2490"/>
      <c r="C38" s="2171"/>
      <c r="D38" s="2171" t="s">
        <v>1442</v>
      </c>
      <c r="E38" s="2171"/>
      <c r="F38" s="2466" t="e">
        <f>F10</f>
        <v>#DIV/0!</v>
      </c>
      <c r="G38" s="2171"/>
      <c r="H38" s="2466">
        <f>IF(OR($F$20=$R$6,$F$20=$U$6),CO2データ!I214,IF($F$20=$S$6,CO2データ!L214,CO2データ!O214))</f>
        <v>0.77200000000000002</v>
      </c>
      <c r="I38" s="2466">
        <f>IF(OR($F$20=$R$6,$F$20=$U$6),CO2データ!J214,IF($F$20=$S$6,CO2データ!M214,CO2データ!P214))</f>
        <v>0</v>
      </c>
      <c r="J38" s="2466">
        <f>IF(OR($F$20=$R$6,$F$20=$U$6),CO2データ!K214,IF($F$20=$S$6,CO2データ!N214,CO2データ!Q214))</f>
        <v>0</v>
      </c>
      <c r="K38" s="2494"/>
      <c r="L38" s="2492">
        <f t="shared" ref="L38:L69" si="8">H38-(H38-I38)*$F$21-(H38-J38)*$F$22</f>
        <v>0.77200000000000002</v>
      </c>
      <c r="M38" s="2494"/>
      <c r="N38" s="2492"/>
      <c r="O38" s="2496">
        <f t="shared" ref="O38:O69" si="9">H38</f>
        <v>0.77200000000000002</v>
      </c>
      <c r="P38" t="s">
        <v>2016</v>
      </c>
    </row>
    <row r="39" spans="2:21" hidden="1">
      <c r="B39" s="2490"/>
      <c r="C39" s="2171"/>
      <c r="D39" s="2171"/>
      <c r="E39" s="2171"/>
      <c r="F39" s="2466" t="e">
        <f>$F$38</f>
        <v>#DIV/0!</v>
      </c>
      <c r="G39" s="2171"/>
      <c r="H39" s="2466">
        <f>IF(OR($F$20=$R$6,$F$20=$U$6),CO2データ!I215,IF($F$20=$S$6,CO2データ!L215,CO2データ!O215))</f>
        <v>0</v>
      </c>
      <c r="I39" s="2466">
        <f>IF(OR($F$20=$R$6,$F$20=$U$6),CO2データ!J215,IF($F$20=$S$6,CO2データ!M215,CO2データ!P215))</f>
        <v>0</v>
      </c>
      <c r="J39" s="2466">
        <f>IF(OR($F$20=$R$6,$F$20=$U$6),CO2データ!K215,IF($F$20=$S$6,CO2データ!N215,CO2データ!Q215))</f>
        <v>0.77200000000000002</v>
      </c>
      <c r="K39" s="2494"/>
      <c r="L39" s="2492">
        <f t="shared" si="8"/>
        <v>0</v>
      </c>
      <c r="M39" s="2494"/>
      <c r="N39" s="2492"/>
      <c r="O39" s="2496">
        <f t="shared" si="9"/>
        <v>0</v>
      </c>
      <c r="P39" t="s">
        <v>2016</v>
      </c>
    </row>
    <row r="40" spans="2:21" hidden="1">
      <c r="B40" s="2490"/>
      <c r="C40" s="2171"/>
      <c r="D40" s="2171"/>
      <c r="E40" s="2171"/>
      <c r="F40" s="2466" t="e">
        <f>$F$38</f>
        <v>#DIV/0!</v>
      </c>
      <c r="G40" s="2171"/>
      <c r="H40" s="2466">
        <f>IF(OR($F$20=$R$6,$F$20=$U$6),CO2データ!I216,IF($F$20=$S$6,CO2データ!L216,CO2データ!O216))</f>
        <v>3.7999999999999999E-2</v>
      </c>
      <c r="I40" s="2466">
        <f>IF(OR($F$20=$R$6,$F$20=$U$6),CO2データ!J216,IF($F$20=$S$6,CO2データ!M216,CO2データ!P216))</f>
        <v>0</v>
      </c>
      <c r="J40" s="2466">
        <f>IF(OR($F$20=$R$6,$F$20=$U$6),CO2データ!K216,IF($F$20=$S$6,CO2データ!N216,CO2データ!Q216))</f>
        <v>3.7999999999999999E-2</v>
      </c>
      <c r="K40" s="2494"/>
      <c r="L40" s="2492">
        <f t="shared" si="8"/>
        <v>3.7999999999999999E-2</v>
      </c>
      <c r="M40" s="2494"/>
      <c r="N40" s="2492"/>
      <c r="O40" s="2496">
        <f t="shared" si="9"/>
        <v>3.7999999999999999E-2</v>
      </c>
      <c r="P40" t="s">
        <v>2019</v>
      </c>
    </row>
    <row r="41" spans="2:21" hidden="1">
      <c r="B41" s="2490"/>
      <c r="C41" s="2171"/>
      <c r="D41" s="2171"/>
      <c r="E41" s="2171"/>
      <c r="F41" s="2466" t="e">
        <f>$F$38</f>
        <v>#DIV/0!</v>
      </c>
      <c r="G41" s="2171"/>
      <c r="H41" s="2466">
        <f>IF(OR($F$20=$R$6,$F$20=$U$6),CO2データ!I217,IF($F$20=$S$6,CO2データ!L217,CO2データ!O217))</f>
        <v>0</v>
      </c>
      <c r="I41" s="2466">
        <f>IF(OR($F$20=$R$6,$F$20=$U$6),CO2データ!J217,IF($F$20=$S$6,CO2データ!M217,CO2データ!P217))</f>
        <v>0</v>
      </c>
      <c r="J41" s="2466">
        <f>IF(OR($F$20=$R$6,$F$20=$U$6),CO2データ!K217,IF($F$20=$S$6,CO2データ!N217,CO2データ!Q217))</f>
        <v>0</v>
      </c>
      <c r="K41" s="2494"/>
      <c r="L41" s="2492">
        <f t="shared" si="8"/>
        <v>0</v>
      </c>
      <c r="M41" s="2494"/>
      <c r="N41" s="2492"/>
      <c r="O41" s="2496">
        <f t="shared" si="9"/>
        <v>0</v>
      </c>
      <c r="P41" t="s">
        <v>2019</v>
      </c>
    </row>
    <row r="42" spans="2:21" hidden="1">
      <c r="B42" s="2490"/>
      <c r="C42" s="2171"/>
      <c r="D42" s="2171"/>
      <c r="E42" s="2171"/>
      <c r="F42" s="2466" t="e">
        <f>$F$38</f>
        <v>#DIV/0!</v>
      </c>
      <c r="G42" s="2171"/>
      <c r="H42" s="2466">
        <f>IF(OR($F$20=$R$6,$F$20=$U$6),CO2データ!I218,IF($F$20=$S$6,CO2データ!L218,CO2データ!O218))</f>
        <v>0.10299999999999999</v>
      </c>
      <c r="I42" s="2466">
        <f>IF(OR($F$20=$R$6,$F$20=$U$6),CO2データ!J218,IF($F$20=$S$6,CO2データ!M218,CO2データ!P218))</f>
        <v>0</v>
      </c>
      <c r="J42" s="2466">
        <f>IF(OR($F$20=$R$6,$F$20=$U$6),CO2データ!K218,IF($F$20=$S$6,CO2データ!N218,CO2データ!Q218))</f>
        <v>0.10299999999999999</v>
      </c>
      <c r="K42" s="2494"/>
      <c r="L42" s="2492">
        <f t="shared" si="8"/>
        <v>0.10299999999999999</v>
      </c>
      <c r="M42" s="2494"/>
      <c r="N42" s="2492"/>
      <c r="O42" s="2496">
        <f t="shared" si="9"/>
        <v>0.10299999999999999</v>
      </c>
      <c r="P42" t="s">
        <v>2019</v>
      </c>
    </row>
    <row r="43" spans="2:21" hidden="1">
      <c r="B43" s="2490"/>
      <c r="C43" s="2171"/>
      <c r="D43" s="2171"/>
      <c r="E43" s="2171"/>
      <c r="F43" s="2466" t="e">
        <f>$F$38</f>
        <v>#DIV/0!</v>
      </c>
      <c r="G43" s="2171"/>
      <c r="H43" s="2466">
        <f>IF(OR($F$20=$R$6,$F$20=$U$6),CO2データ!I219,IF($F$20=$S$6,CO2データ!L219,CO2データ!O219))</f>
        <v>1.2999999999999999E-2</v>
      </c>
      <c r="I43" s="2466">
        <f>IF(OR($F$20=$R$6,$F$20=$U$6),CO2データ!J219,IF($F$20=$S$6,CO2データ!M219,CO2データ!P219))</f>
        <v>0</v>
      </c>
      <c r="J43" s="2466">
        <f>IF(OR($F$20=$R$6,$F$20=$U$6),CO2データ!K219,IF($F$20=$S$6,CO2データ!N219,CO2データ!Q219))</f>
        <v>1.26E-2</v>
      </c>
      <c r="K43" s="2494"/>
      <c r="L43" s="2492">
        <f t="shared" si="8"/>
        <v>1.2999999999999999E-2</v>
      </c>
      <c r="M43" s="2494"/>
      <c r="N43" s="2492"/>
      <c r="O43" s="2496">
        <f t="shared" si="9"/>
        <v>1.2999999999999999E-2</v>
      </c>
      <c r="P43" t="s">
        <v>2019</v>
      </c>
    </row>
    <row r="44" spans="2:21" hidden="1">
      <c r="B44" s="2490"/>
      <c r="C44" s="2171"/>
      <c r="D44" s="2171" t="s">
        <v>1444</v>
      </c>
      <c r="E44" s="2171"/>
      <c r="F44" s="2466" t="e">
        <f>F11</f>
        <v>#DIV/0!</v>
      </c>
      <c r="G44" s="2171"/>
      <c r="H44" s="2466">
        <f>IF(OR($F$20=$R$6,$F$20=$U$6),CO2データ!I220,IF($F$20=$S$6,CO2データ!L220,CO2データ!O220))</f>
        <v>0.86499999999999999</v>
      </c>
      <c r="I44" s="2466">
        <f>IF(OR($F$20=$R$6,$F$20=$U$6),CO2データ!J220,IF($F$20=$S$6,CO2データ!M220,CO2データ!P220))</f>
        <v>0</v>
      </c>
      <c r="J44" s="2466">
        <f>IF(OR($F$20=$R$6,$F$20=$U$6),CO2データ!K220,IF($F$20=$S$6,CO2データ!N220,CO2データ!Q220))</f>
        <v>0</v>
      </c>
      <c r="K44" s="2494"/>
      <c r="L44" s="2492">
        <f t="shared" si="8"/>
        <v>0.86499999999999999</v>
      </c>
      <c r="M44" s="2494"/>
      <c r="N44" s="2492"/>
      <c r="O44" s="2496">
        <f t="shared" si="9"/>
        <v>0.86499999999999999</v>
      </c>
      <c r="P44" t="s">
        <v>2016</v>
      </c>
    </row>
    <row r="45" spans="2:21" hidden="1">
      <c r="B45" s="2490"/>
      <c r="C45" s="2171"/>
      <c r="D45" s="2171"/>
      <c r="E45" s="2171"/>
      <c r="F45" s="2466" t="e">
        <f>$F$44</f>
        <v>#DIV/0!</v>
      </c>
      <c r="G45" s="2171"/>
      <c r="H45" s="2466">
        <f>IF(OR($F$20=$R$6,$F$20=$U$6),CO2データ!I221,IF($F$20=$S$6,CO2データ!L221,CO2データ!O221))</f>
        <v>0</v>
      </c>
      <c r="I45" s="2466">
        <f>IF(OR($F$20=$R$6,$F$20=$U$6),CO2データ!J221,IF($F$20=$S$6,CO2データ!M221,CO2データ!P221))</f>
        <v>0</v>
      </c>
      <c r="J45" s="2466">
        <f>IF(OR($F$20=$R$6,$F$20=$U$6),CO2データ!K221,IF($F$20=$S$6,CO2データ!N221,CO2データ!Q221))</f>
        <v>0.86499999999999999</v>
      </c>
      <c r="K45" s="2494"/>
      <c r="L45" s="2492">
        <f t="shared" si="8"/>
        <v>0</v>
      </c>
      <c r="M45" s="2494"/>
      <c r="N45" s="2492"/>
      <c r="O45" s="2496">
        <f t="shared" si="9"/>
        <v>0</v>
      </c>
      <c r="P45" t="s">
        <v>2016</v>
      </c>
    </row>
    <row r="46" spans="2:21" hidden="1">
      <c r="B46" s="2490"/>
      <c r="C46" s="2171"/>
      <c r="D46" s="2171"/>
      <c r="E46" s="2171"/>
      <c r="F46" s="2466" t="e">
        <f>$F$44</f>
        <v>#DIV/0!</v>
      </c>
      <c r="G46" s="2171"/>
      <c r="H46" s="2466">
        <f>IF(OR($F$20=$R$6,$F$20=$U$6),CO2データ!I222,IF($F$20=$S$6,CO2データ!L222,CO2データ!O222))</f>
        <v>5.0000000000000001E-3</v>
      </c>
      <c r="I46" s="2466">
        <f>IF(OR($F$20=$R$6,$F$20=$U$6),CO2データ!J222,IF($F$20=$S$6,CO2データ!M222,CO2データ!P222))</f>
        <v>0</v>
      </c>
      <c r="J46" s="2466">
        <f>IF(OR($F$20=$R$6,$F$20=$U$6),CO2データ!K222,IF($F$20=$S$6,CO2データ!N222,CO2データ!Q222))</f>
        <v>5.0000000000000001E-3</v>
      </c>
      <c r="K46" s="2494"/>
      <c r="L46" s="2492">
        <f t="shared" si="8"/>
        <v>5.0000000000000001E-3</v>
      </c>
      <c r="M46" s="2494"/>
      <c r="N46" s="2492"/>
      <c r="O46" s="2496">
        <f t="shared" si="9"/>
        <v>5.0000000000000001E-3</v>
      </c>
      <c r="P46" t="s">
        <v>2019</v>
      </c>
    </row>
    <row r="47" spans="2:21" hidden="1">
      <c r="B47" s="2490"/>
      <c r="C47" s="2171"/>
      <c r="D47" s="2171"/>
      <c r="E47" s="2171"/>
      <c r="F47" s="2466" t="e">
        <f>$F$44</f>
        <v>#DIV/0!</v>
      </c>
      <c r="G47" s="2171"/>
      <c r="H47" s="2466">
        <f>IF(OR($F$20=$R$6,$F$20=$U$6),CO2データ!I223,IF($F$20=$S$6,CO2データ!L223,CO2データ!O223))</f>
        <v>0</v>
      </c>
      <c r="I47" s="2466">
        <f>IF(OR($F$20=$R$6,$F$20=$U$6),CO2データ!J223,IF($F$20=$S$6,CO2データ!M223,CO2データ!P223))</f>
        <v>0</v>
      </c>
      <c r="J47" s="2466">
        <f>IF(OR($F$20=$R$6,$F$20=$U$6),CO2データ!K223,IF($F$20=$S$6,CO2データ!N223,CO2データ!Q223))</f>
        <v>0</v>
      </c>
      <c r="K47" s="2494"/>
      <c r="L47" s="2492">
        <f t="shared" si="8"/>
        <v>0</v>
      </c>
      <c r="M47" s="2494"/>
      <c r="N47" s="2492"/>
      <c r="O47" s="2496">
        <f t="shared" si="9"/>
        <v>0</v>
      </c>
      <c r="P47" t="s">
        <v>2019</v>
      </c>
    </row>
    <row r="48" spans="2:21" hidden="1">
      <c r="B48" s="2490"/>
      <c r="C48" s="2171"/>
      <c r="D48" s="2171"/>
      <c r="E48" s="2171"/>
      <c r="F48" s="2466" t="e">
        <f>$F$44</f>
        <v>#DIV/0!</v>
      </c>
      <c r="G48" s="2171"/>
      <c r="H48" s="2466">
        <f>IF(OR($F$20=$R$6,$F$20=$U$6),CO2データ!I224,IF($F$20=$S$6,CO2データ!L224,CO2データ!O224))</f>
        <v>0.112</v>
      </c>
      <c r="I48" s="2466">
        <f>IF(OR($F$20=$R$6,$F$20=$U$6),CO2データ!J224,IF($F$20=$S$6,CO2データ!M224,CO2データ!P224))</f>
        <v>0</v>
      </c>
      <c r="J48" s="2466">
        <f>IF(OR($F$20=$R$6,$F$20=$U$6),CO2データ!K224,IF($F$20=$S$6,CO2データ!N224,CO2データ!Q224))</f>
        <v>0.112</v>
      </c>
      <c r="K48" s="2494"/>
      <c r="L48" s="2492">
        <f t="shared" si="8"/>
        <v>0.112</v>
      </c>
      <c r="M48" s="2494"/>
      <c r="N48" s="2492"/>
      <c r="O48" s="2496">
        <f t="shared" si="9"/>
        <v>0.112</v>
      </c>
      <c r="P48" t="s">
        <v>2019</v>
      </c>
    </row>
    <row r="49" spans="2:16" hidden="1">
      <c r="B49" s="2490"/>
      <c r="C49" s="2171"/>
      <c r="D49" s="2171"/>
      <c r="E49" s="2171"/>
      <c r="F49" s="2466" t="e">
        <f>$F$44</f>
        <v>#DIV/0!</v>
      </c>
      <c r="G49" s="2171"/>
      <c r="H49" s="2466">
        <f>IF(OR($F$20=$R$6,$F$20=$U$6),CO2データ!I225,IF($F$20=$S$6,CO2データ!L225,CO2データ!O225))</f>
        <v>1.4999999999999999E-2</v>
      </c>
      <c r="I49" s="2466">
        <f>IF(OR($F$20=$R$6,$F$20=$U$6),CO2データ!J225,IF($F$20=$S$6,CO2データ!M225,CO2データ!P225))</f>
        <v>0</v>
      </c>
      <c r="J49" s="2466">
        <f>IF(OR($F$20=$R$6,$F$20=$U$6),CO2データ!K225,IF($F$20=$S$6,CO2データ!N225,CO2データ!Q225))</f>
        <v>1.47E-2</v>
      </c>
      <c r="K49" s="2494"/>
      <c r="L49" s="2492">
        <f t="shared" si="8"/>
        <v>1.4999999999999999E-2</v>
      </c>
      <c r="M49" s="2494"/>
      <c r="N49" s="2492"/>
      <c r="O49" s="2496">
        <f t="shared" si="9"/>
        <v>1.4999999999999999E-2</v>
      </c>
      <c r="P49" t="s">
        <v>2019</v>
      </c>
    </row>
    <row r="50" spans="2:16" hidden="1">
      <c r="B50" s="2490"/>
      <c r="C50" s="2171"/>
      <c r="D50" s="2171" t="s">
        <v>1611</v>
      </c>
      <c r="E50" s="2171"/>
      <c r="F50" s="2466" t="e">
        <f>F12</f>
        <v>#DIV/0!</v>
      </c>
      <c r="G50" s="2171"/>
      <c r="H50" s="2466">
        <f>IF(OR($F$20=$R$6,$F$20=$U$6),CO2データ!I226,IF($F$20=$S$6,CO2データ!L226,CO2データ!O226))</f>
        <v>0.88800000000000001</v>
      </c>
      <c r="I50" s="2466">
        <f>IF(OR($F$20=$R$6,$F$20=$U$6),CO2データ!J226,IF($F$20=$S$6,CO2データ!M226,CO2データ!P226))</f>
        <v>0</v>
      </c>
      <c r="J50" s="2466">
        <f>IF(OR($F$20=$R$6,$F$20=$U$6),CO2データ!K226,IF($F$20=$S$6,CO2データ!N226,CO2データ!Q226))</f>
        <v>0</v>
      </c>
      <c r="K50" s="2494"/>
      <c r="L50" s="2492">
        <f t="shared" si="8"/>
        <v>0.88800000000000001</v>
      </c>
      <c r="M50" s="2494"/>
      <c r="N50" s="2492"/>
      <c r="O50" s="2496">
        <f t="shared" si="9"/>
        <v>0.88800000000000001</v>
      </c>
      <c r="P50" t="s">
        <v>1594</v>
      </c>
    </row>
    <row r="51" spans="2:16" hidden="1">
      <c r="B51" s="2490"/>
      <c r="C51" s="2171"/>
      <c r="D51" s="2171"/>
      <c r="E51" s="2171"/>
      <c r="F51" s="2466" t="e">
        <f>$F$50</f>
        <v>#DIV/0!</v>
      </c>
      <c r="G51" s="2171"/>
      <c r="H51" s="2466">
        <f>IF(OR($F$20=$R$6,$F$20=$U$6),CO2データ!I227,IF($F$20=$S$6,CO2データ!L227,CO2データ!O227))</f>
        <v>0</v>
      </c>
      <c r="I51" s="2466">
        <f>IF(OR($F$20=$R$6,$F$20=$U$6),CO2データ!J227,IF($F$20=$S$6,CO2データ!M227,CO2データ!P227))</f>
        <v>0</v>
      </c>
      <c r="J51" s="2466">
        <f>IF(OR($F$20=$R$6,$F$20=$U$6),CO2データ!K227,IF($F$20=$S$6,CO2データ!N227,CO2データ!Q227))</f>
        <v>0.88800000000000001</v>
      </c>
      <c r="K51" s="2494"/>
      <c r="L51" s="2492">
        <f t="shared" si="8"/>
        <v>0</v>
      </c>
      <c r="M51" s="2494"/>
      <c r="N51" s="2492"/>
      <c r="O51" s="2496">
        <f t="shared" si="9"/>
        <v>0</v>
      </c>
      <c r="P51" t="s">
        <v>2016</v>
      </c>
    </row>
    <row r="52" spans="2:16" hidden="1">
      <c r="B52" s="2490"/>
      <c r="C52" s="2171"/>
      <c r="D52" s="2171"/>
      <c r="E52" s="2171"/>
      <c r="F52" s="2466" t="e">
        <f>$F$50</f>
        <v>#DIV/0!</v>
      </c>
      <c r="G52" s="2171"/>
      <c r="H52" s="2466">
        <f>IF(OR($F$20=$R$6,$F$20=$U$6),CO2データ!I228,IF($F$20=$S$6,CO2データ!L228,CO2データ!O228))</f>
        <v>1.7000000000000001E-2</v>
      </c>
      <c r="I52" s="2466">
        <f>IF(OR($F$20=$R$6,$F$20=$U$6),CO2データ!J228,IF($F$20=$S$6,CO2データ!M228,CO2データ!P228))</f>
        <v>0</v>
      </c>
      <c r="J52" s="2466">
        <f>IF(OR($F$20=$R$6,$F$20=$U$6),CO2データ!K228,IF($F$20=$S$6,CO2データ!N228,CO2データ!Q228))</f>
        <v>1.7000000000000001E-2</v>
      </c>
      <c r="K52" s="2494"/>
      <c r="L52" s="2492">
        <f t="shared" si="8"/>
        <v>1.7000000000000001E-2</v>
      </c>
      <c r="M52" s="2494"/>
      <c r="N52" s="2492"/>
      <c r="O52" s="2496">
        <f t="shared" si="9"/>
        <v>1.7000000000000001E-2</v>
      </c>
      <c r="P52" t="s">
        <v>2019</v>
      </c>
    </row>
    <row r="53" spans="2:16" hidden="1">
      <c r="B53" s="2490"/>
      <c r="C53" s="2171"/>
      <c r="D53" s="2171"/>
      <c r="E53" s="2171"/>
      <c r="F53" s="2466" t="e">
        <f>$F$50</f>
        <v>#DIV/0!</v>
      </c>
      <c r="G53" s="2171"/>
      <c r="H53" s="2466">
        <f>IF(OR($F$20=$R$6,$F$20=$U$6),CO2データ!I229,IF($F$20=$S$6,CO2データ!L229,CO2データ!O229))</f>
        <v>0</v>
      </c>
      <c r="I53" s="2466">
        <f>IF(OR($F$20=$R$6,$F$20=$U$6),CO2データ!J229,IF($F$20=$S$6,CO2データ!M229,CO2データ!P229))</f>
        <v>0</v>
      </c>
      <c r="J53" s="2466">
        <f>IF(OR($F$20=$R$6,$F$20=$U$6),CO2データ!K229,IF($F$20=$S$6,CO2データ!N229,CO2データ!Q229))</f>
        <v>0</v>
      </c>
      <c r="K53" s="2494"/>
      <c r="L53" s="2492">
        <f t="shared" si="8"/>
        <v>0</v>
      </c>
      <c r="M53" s="2494"/>
      <c r="N53" s="2492"/>
      <c r="O53" s="2496">
        <f t="shared" si="9"/>
        <v>0</v>
      </c>
      <c r="P53" t="s">
        <v>2019</v>
      </c>
    </row>
    <row r="54" spans="2:16" hidden="1">
      <c r="B54" s="2490"/>
      <c r="C54" s="2171"/>
      <c r="D54" s="2171"/>
      <c r="E54" s="2171"/>
      <c r="F54" s="2466" t="e">
        <f>$F$50</f>
        <v>#DIV/0!</v>
      </c>
      <c r="G54" s="2171"/>
      <c r="H54" s="2466">
        <f>IF(OR($F$20=$R$6,$F$20=$U$6),CO2データ!I230,IF($F$20=$S$6,CO2データ!L230,CO2データ!O230))</f>
        <v>0.11799999999999999</v>
      </c>
      <c r="I54" s="2466">
        <f>IF(OR($F$20=$R$6,$F$20=$U$6),CO2データ!J230,IF($F$20=$S$6,CO2データ!M230,CO2データ!P230))</f>
        <v>0</v>
      </c>
      <c r="J54" s="2466">
        <f>IF(OR($F$20=$R$6,$F$20=$U$6),CO2データ!K230,IF($F$20=$S$6,CO2データ!N230,CO2データ!Q230))</f>
        <v>0.11799999999999999</v>
      </c>
      <c r="K54" s="2494"/>
      <c r="L54" s="2492">
        <f t="shared" si="8"/>
        <v>0.11799999999999999</v>
      </c>
      <c r="M54" s="2494"/>
      <c r="N54" s="2492"/>
      <c r="O54" s="2496">
        <f t="shared" si="9"/>
        <v>0.11799999999999999</v>
      </c>
      <c r="P54" t="s">
        <v>2019</v>
      </c>
    </row>
    <row r="55" spans="2:16" hidden="1">
      <c r="B55" s="2490"/>
      <c r="C55" s="2171"/>
      <c r="D55" s="2171"/>
      <c r="E55" s="2171"/>
      <c r="F55" s="2466" t="e">
        <f>$F$50</f>
        <v>#DIV/0!</v>
      </c>
      <c r="G55" s="2171"/>
      <c r="H55" s="2466">
        <f>IF(OR($F$20=$R$6,$F$20=$U$6),CO2データ!I231,IF($F$20=$S$6,CO2データ!L231,CO2データ!O231))</f>
        <v>1.4999999999999999E-2</v>
      </c>
      <c r="I55" s="2466">
        <f>IF(OR($F$20=$R$6,$F$20=$U$6),CO2データ!J231,IF($F$20=$S$6,CO2データ!M231,CO2データ!P231))</f>
        <v>0</v>
      </c>
      <c r="J55" s="2466">
        <f>IF(OR($F$20=$R$6,$F$20=$U$6),CO2データ!K231,IF($F$20=$S$6,CO2データ!N231,CO2データ!Q231))</f>
        <v>1.4800000000000001E-2</v>
      </c>
      <c r="K55" s="2494"/>
      <c r="L55" s="2492">
        <f t="shared" si="8"/>
        <v>1.4999999999999999E-2</v>
      </c>
      <c r="M55" s="2494"/>
      <c r="N55" s="2492"/>
      <c r="O55" s="2496">
        <f t="shared" si="9"/>
        <v>1.4999999999999999E-2</v>
      </c>
      <c r="P55" t="s">
        <v>2019</v>
      </c>
    </row>
    <row r="56" spans="2:16" hidden="1">
      <c r="B56" s="2490"/>
      <c r="C56" s="2171"/>
      <c r="D56" s="2171" t="s">
        <v>1723</v>
      </c>
      <c r="E56" s="2171"/>
      <c r="F56" s="2466" t="e">
        <f>F13</f>
        <v>#DIV/0!</v>
      </c>
      <c r="G56" s="2171"/>
      <c r="H56" s="2466">
        <f>IF(OR($F$20=$R$6,$F$20=$U$6),CO2データ!I232,IF($F$20=$S$6,CO2データ!L232,CO2データ!O232))</f>
        <v>0.88800000000000001</v>
      </c>
      <c r="I56" s="2466">
        <f>IF(OR($F$20=$R$6,$F$20=$U$6),CO2データ!J232,IF($F$20=$S$6,CO2データ!M232,CO2データ!P232))</f>
        <v>0</v>
      </c>
      <c r="J56" s="2466">
        <f>IF(OR($F$20=$R$6,$F$20=$U$6),CO2データ!K232,IF($F$20=$S$6,CO2データ!N232,CO2データ!Q232))</f>
        <v>0</v>
      </c>
      <c r="K56" s="2494"/>
      <c r="L56" s="2492">
        <f t="shared" si="8"/>
        <v>0.88800000000000001</v>
      </c>
      <c r="M56" s="2494"/>
      <c r="N56" s="2492"/>
      <c r="O56" s="2496">
        <f t="shared" si="9"/>
        <v>0.88800000000000001</v>
      </c>
      <c r="P56" t="s">
        <v>2016</v>
      </c>
    </row>
    <row r="57" spans="2:16" hidden="1">
      <c r="B57" s="2490"/>
      <c r="C57" s="2171"/>
      <c r="D57" s="2171"/>
      <c r="E57" s="2171"/>
      <c r="F57" s="2466" t="e">
        <f>$F$56</f>
        <v>#DIV/0!</v>
      </c>
      <c r="G57" s="2171"/>
      <c r="H57" s="2466">
        <f>IF(OR($F$20=$R$6,$F$20=$U$6),CO2データ!I233,IF($F$20=$S$6,CO2データ!L233,CO2データ!O233))</f>
        <v>0</v>
      </c>
      <c r="I57" s="2466">
        <f>IF(OR($F$20=$R$6,$F$20=$U$6),CO2データ!J233,IF($F$20=$S$6,CO2データ!M233,CO2データ!P233))</f>
        <v>0</v>
      </c>
      <c r="J57" s="2466">
        <f>IF(OR($F$20=$R$6,$F$20=$U$6),CO2データ!K233,IF($F$20=$S$6,CO2データ!N233,CO2データ!Q233))</f>
        <v>0.88800000000000001</v>
      </c>
      <c r="K57" s="2494"/>
      <c r="L57" s="2492">
        <f t="shared" si="8"/>
        <v>0</v>
      </c>
      <c r="M57" s="2494"/>
      <c r="N57" s="2492"/>
      <c r="O57" s="2496">
        <f t="shared" si="9"/>
        <v>0</v>
      </c>
      <c r="P57" t="s">
        <v>2016</v>
      </c>
    </row>
    <row r="58" spans="2:16" hidden="1">
      <c r="B58" s="2490"/>
      <c r="C58" s="2171"/>
      <c r="D58" s="2171"/>
      <c r="E58" s="2171"/>
      <c r="F58" s="2466" t="e">
        <f>$F$56</f>
        <v>#DIV/0!</v>
      </c>
      <c r="G58" s="2171"/>
      <c r="H58" s="2466">
        <f>IF(OR($F$20=$R$6,$F$20=$U$6),CO2データ!I234,IF($F$20=$S$6,CO2データ!L234,CO2データ!O234))</f>
        <v>1.7000000000000001E-2</v>
      </c>
      <c r="I58" s="2466">
        <f>IF(OR($F$20=$R$6,$F$20=$U$6),CO2データ!J234,IF($F$20=$S$6,CO2データ!M234,CO2データ!P234))</f>
        <v>0</v>
      </c>
      <c r="J58" s="2466">
        <f>IF(OR($F$20=$R$6,$F$20=$U$6),CO2データ!K234,IF($F$20=$S$6,CO2データ!N234,CO2データ!Q234))</f>
        <v>1.7000000000000001E-2</v>
      </c>
      <c r="K58" s="2494"/>
      <c r="L58" s="2492">
        <f t="shared" si="8"/>
        <v>1.7000000000000001E-2</v>
      </c>
      <c r="M58" s="2494"/>
      <c r="N58" s="2492"/>
      <c r="O58" s="2496">
        <f t="shared" si="9"/>
        <v>1.7000000000000001E-2</v>
      </c>
      <c r="P58" t="s">
        <v>2019</v>
      </c>
    </row>
    <row r="59" spans="2:16" hidden="1">
      <c r="B59" s="2490"/>
      <c r="C59" s="2171"/>
      <c r="D59" s="2171"/>
      <c r="E59" s="2171"/>
      <c r="F59" s="2466" t="e">
        <f>$F$56</f>
        <v>#DIV/0!</v>
      </c>
      <c r="G59" s="2171"/>
      <c r="H59" s="2466">
        <f>IF(OR($F$20=$R$6,$F$20=$U$6),CO2データ!I235,IF($F$20=$S$6,CO2データ!L235,CO2データ!O235))</f>
        <v>0</v>
      </c>
      <c r="I59" s="2466">
        <f>IF(OR($F$20=$R$6,$F$20=$U$6),CO2データ!J235,IF($F$20=$S$6,CO2データ!M235,CO2データ!P235))</f>
        <v>0</v>
      </c>
      <c r="J59" s="2466">
        <f>IF(OR($F$20=$R$6,$F$20=$U$6),CO2データ!K235,IF($F$20=$S$6,CO2データ!N235,CO2データ!Q235))</f>
        <v>0</v>
      </c>
      <c r="K59" s="2494"/>
      <c r="L59" s="2492">
        <f t="shared" si="8"/>
        <v>0</v>
      </c>
      <c r="M59" s="2494"/>
      <c r="N59" s="2492"/>
      <c r="O59" s="2496">
        <f t="shared" si="9"/>
        <v>0</v>
      </c>
      <c r="P59" t="s">
        <v>2019</v>
      </c>
    </row>
    <row r="60" spans="2:16" hidden="1">
      <c r="B60" s="2490"/>
      <c r="C60" s="2171"/>
      <c r="D60" s="2171"/>
      <c r="E60" s="2171"/>
      <c r="F60" s="2466" t="e">
        <f>$F$56</f>
        <v>#DIV/0!</v>
      </c>
      <c r="G60" s="2171"/>
      <c r="H60" s="2466">
        <f>IF(OR($F$20=$R$6,$F$20=$U$6),CO2データ!I236,IF($F$20=$S$6,CO2データ!L236,CO2データ!O236))</f>
        <v>0.11799999999999999</v>
      </c>
      <c r="I60" s="2466">
        <f>IF(OR($F$20=$R$6,$F$20=$U$6),CO2データ!J236,IF($F$20=$S$6,CO2データ!M236,CO2データ!P236))</f>
        <v>0</v>
      </c>
      <c r="J60" s="2466">
        <f>IF(OR($F$20=$R$6,$F$20=$U$6),CO2データ!K236,IF($F$20=$S$6,CO2データ!N236,CO2データ!Q236))</f>
        <v>0.11799999999999999</v>
      </c>
      <c r="K60" s="2494"/>
      <c r="L60" s="2492">
        <f t="shared" si="8"/>
        <v>0.11799999999999999</v>
      </c>
      <c r="M60" s="2494"/>
      <c r="N60" s="2492"/>
      <c r="O60" s="2496">
        <f t="shared" si="9"/>
        <v>0.11799999999999999</v>
      </c>
      <c r="P60" t="s">
        <v>2019</v>
      </c>
    </row>
    <row r="61" spans="2:16" hidden="1">
      <c r="B61" s="2490"/>
      <c r="C61" s="2171"/>
      <c r="D61" s="2171"/>
      <c r="E61" s="2171"/>
      <c r="F61" s="2466" t="e">
        <f>$F$56</f>
        <v>#DIV/0!</v>
      </c>
      <c r="G61" s="2171"/>
      <c r="H61" s="2466">
        <f>IF(OR($F$20=$R$6,$F$20=$U$6),CO2データ!I237,IF($F$20=$S$6,CO2データ!L237,CO2データ!O237))</f>
        <v>1.4999999999999999E-2</v>
      </c>
      <c r="I61" s="2466">
        <f>IF(OR($F$20=$R$6,$F$20=$U$6),CO2データ!J237,IF($F$20=$S$6,CO2データ!M237,CO2データ!P237))</f>
        <v>0</v>
      </c>
      <c r="J61" s="2466">
        <f>IF(OR($F$20=$R$6,$F$20=$U$6),CO2データ!K237,IF($F$20=$S$6,CO2データ!N237,CO2データ!Q237))</f>
        <v>1.4800000000000001E-2</v>
      </c>
      <c r="K61" s="2494"/>
      <c r="L61" s="2492">
        <f t="shared" si="8"/>
        <v>1.4999999999999999E-2</v>
      </c>
      <c r="M61" s="2494"/>
      <c r="N61" s="2492"/>
      <c r="O61" s="2496">
        <f t="shared" si="9"/>
        <v>1.4999999999999999E-2</v>
      </c>
      <c r="P61" t="s">
        <v>2019</v>
      </c>
    </row>
    <row r="62" spans="2:16" hidden="1">
      <c r="B62" s="2490"/>
      <c r="C62" s="2171"/>
      <c r="D62" s="2171" t="s">
        <v>1613</v>
      </c>
      <c r="E62" s="2171"/>
      <c r="F62" s="2466" t="e">
        <f>F14</f>
        <v>#DIV/0!</v>
      </c>
      <c r="G62" s="2171"/>
      <c r="H62" s="2466">
        <f>IF(OR($F$20=$R$6,$F$20=$U$6),CO2データ!I238,IF($F$20=$S$6,CO2データ!L238,CO2データ!O238))</f>
        <v>0.88800000000000001</v>
      </c>
      <c r="I62" s="2466">
        <f>IF(OR($F$20=$R$6,$F$20=$U$6),CO2データ!J238,IF($F$20=$S$6,CO2データ!M238,CO2データ!P238))</f>
        <v>0</v>
      </c>
      <c r="J62" s="2466">
        <f>IF(OR($F$20=$R$6,$F$20=$U$6),CO2データ!K238,IF($F$20=$S$6,CO2データ!N238,CO2データ!Q238))</f>
        <v>0</v>
      </c>
      <c r="K62" s="2494"/>
      <c r="L62" s="2492">
        <f t="shared" si="8"/>
        <v>0.88800000000000001</v>
      </c>
      <c r="M62" s="2494"/>
      <c r="N62" s="2492"/>
      <c r="O62" s="2496">
        <f t="shared" si="9"/>
        <v>0.88800000000000001</v>
      </c>
      <c r="P62" t="s">
        <v>2016</v>
      </c>
    </row>
    <row r="63" spans="2:16" hidden="1">
      <c r="B63" s="2490"/>
      <c r="C63" s="2171"/>
      <c r="D63" s="2171"/>
      <c r="E63" s="2171"/>
      <c r="F63" s="2466" t="e">
        <f>$F$62</f>
        <v>#DIV/0!</v>
      </c>
      <c r="G63" s="2171"/>
      <c r="H63" s="2466">
        <f>IF(OR($F$20=$R$6,$F$20=$U$6),CO2データ!I239,IF($F$20=$S$6,CO2データ!L239,CO2データ!O239))</f>
        <v>0</v>
      </c>
      <c r="I63" s="2466">
        <f>IF(OR($F$20=$R$6,$F$20=$U$6),CO2データ!J239,IF($F$20=$S$6,CO2データ!M239,CO2データ!P239))</f>
        <v>0</v>
      </c>
      <c r="J63" s="2466">
        <f>IF(OR($F$20=$R$6,$F$20=$U$6),CO2データ!K239,IF($F$20=$S$6,CO2データ!N239,CO2データ!Q239))</f>
        <v>0.88800000000000001</v>
      </c>
      <c r="K63" s="2494"/>
      <c r="L63" s="2492">
        <f t="shared" si="8"/>
        <v>0</v>
      </c>
      <c r="M63" s="2494"/>
      <c r="N63" s="2492"/>
      <c r="O63" s="2496">
        <f t="shared" si="9"/>
        <v>0</v>
      </c>
      <c r="P63" t="s">
        <v>2016</v>
      </c>
    </row>
    <row r="64" spans="2:16" hidden="1">
      <c r="B64" s="2490"/>
      <c r="C64" s="2171"/>
      <c r="D64" s="2171"/>
      <c r="E64" s="2171"/>
      <c r="F64" s="2466" t="e">
        <f>$F$62</f>
        <v>#DIV/0!</v>
      </c>
      <c r="G64" s="2171"/>
      <c r="H64" s="2466">
        <f>IF(OR($F$20=$R$6,$F$20=$U$6),CO2データ!I240,IF($F$20=$S$6,CO2データ!L240,CO2データ!O240))</f>
        <v>1.7000000000000001E-2</v>
      </c>
      <c r="I64" s="2466">
        <f>IF(OR($F$20=$R$6,$F$20=$U$6),CO2データ!J240,IF($F$20=$S$6,CO2データ!M240,CO2データ!P240))</f>
        <v>0</v>
      </c>
      <c r="J64" s="2466">
        <f>IF(OR($F$20=$R$6,$F$20=$U$6),CO2データ!K240,IF($F$20=$S$6,CO2データ!N240,CO2データ!Q240))</f>
        <v>1.7000000000000001E-2</v>
      </c>
      <c r="K64" s="2494"/>
      <c r="L64" s="2492">
        <f t="shared" si="8"/>
        <v>1.7000000000000001E-2</v>
      </c>
      <c r="M64" s="2494"/>
      <c r="N64" s="2492"/>
      <c r="O64" s="2496">
        <f t="shared" si="9"/>
        <v>1.7000000000000001E-2</v>
      </c>
      <c r="P64" t="s">
        <v>2019</v>
      </c>
    </row>
    <row r="65" spans="2:16" hidden="1">
      <c r="B65" s="2490"/>
      <c r="C65" s="2171"/>
      <c r="D65" s="2171"/>
      <c r="E65" s="2171"/>
      <c r="F65" s="2466" t="e">
        <f>$F$62</f>
        <v>#DIV/0!</v>
      </c>
      <c r="G65" s="2171"/>
      <c r="H65" s="2466">
        <f>IF(OR($F$20=$R$6,$F$20=$U$6),CO2データ!I241,IF($F$20=$S$6,CO2データ!L241,CO2データ!O241))</f>
        <v>0</v>
      </c>
      <c r="I65" s="2466">
        <f>IF(OR($F$20=$R$6,$F$20=$U$6),CO2データ!J241,IF($F$20=$S$6,CO2データ!M241,CO2データ!P241))</f>
        <v>0</v>
      </c>
      <c r="J65" s="2466">
        <f>IF(OR($F$20=$R$6,$F$20=$U$6),CO2データ!K241,IF($F$20=$S$6,CO2データ!N241,CO2データ!Q241))</f>
        <v>0</v>
      </c>
      <c r="K65" s="2494"/>
      <c r="L65" s="2492">
        <f t="shared" si="8"/>
        <v>0</v>
      </c>
      <c r="M65" s="2494"/>
      <c r="N65" s="2492"/>
      <c r="O65" s="2496">
        <f t="shared" si="9"/>
        <v>0</v>
      </c>
      <c r="P65" t="s">
        <v>2019</v>
      </c>
    </row>
    <row r="66" spans="2:16" hidden="1">
      <c r="B66" s="2490"/>
      <c r="C66" s="2171"/>
      <c r="D66" s="2171"/>
      <c r="E66" s="2171"/>
      <c r="F66" s="2466" t="e">
        <f>$F$62</f>
        <v>#DIV/0!</v>
      </c>
      <c r="G66" s="2171"/>
      <c r="H66" s="2466">
        <f>IF(OR($F$20=$R$6,$F$20=$U$6),CO2データ!I242,IF($F$20=$S$6,CO2データ!L242,CO2データ!O242))</f>
        <v>0.11799999999999999</v>
      </c>
      <c r="I66" s="2466">
        <f>IF(OR($F$20=$R$6,$F$20=$U$6),CO2データ!J242,IF($F$20=$S$6,CO2データ!M242,CO2データ!P242))</f>
        <v>0</v>
      </c>
      <c r="J66" s="2466">
        <f>IF(OR($F$20=$R$6,$F$20=$U$6),CO2データ!K242,IF($F$20=$S$6,CO2データ!N242,CO2データ!Q242))</f>
        <v>0.11799999999999999</v>
      </c>
      <c r="K66" s="2494"/>
      <c r="L66" s="2492">
        <f t="shared" si="8"/>
        <v>0.11799999999999999</v>
      </c>
      <c r="M66" s="2494"/>
      <c r="N66" s="2492"/>
      <c r="O66" s="2496">
        <f t="shared" si="9"/>
        <v>0.11799999999999999</v>
      </c>
      <c r="P66" t="s">
        <v>2019</v>
      </c>
    </row>
    <row r="67" spans="2:16" hidden="1">
      <c r="B67" s="2490"/>
      <c r="C67" s="2171"/>
      <c r="D67" s="2171"/>
      <c r="E67" s="2171"/>
      <c r="F67" s="2466" t="e">
        <f>$F$62</f>
        <v>#DIV/0!</v>
      </c>
      <c r="G67" s="2171"/>
      <c r="H67" s="2466">
        <f>IF(OR($F$20=$R$6,$F$20=$U$6),CO2データ!I243,IF($F$20=$S$6,CO2データ!L243,CO2データ!O243))</f>
        <v>1.4999999999999999E-2</v>
      </c>
      <c r="I67" s="2466">
        <f>IF(OR($F$20=$R$6,$F$20=$U$6),CO2データ!J243,IF($F$20=$S$6,CO2データ!M243,CO2データ!P243))</f>
        <v>0</v>
      </c>
      <c r="J67" s="2466">
        <f>IF(OR($F$20=$R$6,$F$20=$U$6),CO2データ!K243,IF($F$20=$S$6,CO2データ!N243,CO2データ!Q243))</f>
        <v>1.4800000000000001E-2</v>
      </c>
      <c r="K67" s="2494"/>
      <c r="L67" s="2492">
        <f t="shared" si="8"/>
        <v>1.4999999999999999E-2</v>
      </c>
      <c r="M67" s="2494"/>
      <c r="N67" s="2492"/>
      <c r="O67" s="2496">
        <f t="shared" si="9"/>
        <v>1.4999999999999999E-2</v>
      </c>
      <c r="P67" t="s">
        <v>2019</v>
      </c>
    </row>
    <row r="68" spans="2:16" hidden="1">
      <c r="B68" s="2490"/>
      <c r="C68" s="2171"/>
      <c r="D68" s="2171" t="s">
        <v>364</v>
      </c>
      <c r="E68" s="2171"/>
      <c r="F68" s="2466" t="e">
        <f>F15</f>
        <v>#DIV/0!</v>
      </c>
      <c r="G68" s="2171"/>
      <c r="H68" s="2466">
        <f>IF(OR($F$20=$R$6,$F$20=$U$6),CO2データ!I244,IF($F$20=$S$6,CO2データ!L244,CO2データ!O244))</f>
        <v>0.77</v>
      </c>
      <c r="I68" s="2466">
        <f>IF(OR($F$20=$R$6,$F$20=$U$6),CO2データ!J244,IF($F$20=$S$6,CO2データ!M244,CO2データ!P244))</f>
        <v>0</v>
      </c>
      <c r="J68" s="2466">
        <f>IF(OR($F$20=$R$6,$F$20=$U$6),CO2データ!K244,IF($F$20=$S$6,CO2データ!N244,CO2データ!Q244))</f>
        <v>0</v>
      </c>
      <c r="K68" s="2494"/>
      <c r="L68" s="2492">
        <f t="shared" si="8"/>
        <v>0.77</v>
      </c>
      <c r="M68" s="2494"/>
      <c r="N68" s="2492"/>
      <c r="O68" s="2496">
        <f t="shared" si="9"/>
        <v>0.77</v>
      </c>
      <c r="P68" t="s">
        <v>2016</v>
      </c>
    </row>
    <row r="69" spans="2:16" hidden="1">
      <c r="B69" s="2490"/>
      <c r="C69" s="2171"/>
      <c r="D69" s="2171"/>
      <c r="E69" s="2171"/>
      <c r="F69" s="2466" t="e">
        <f>$F$68</f>
        <v>#DIV/0!</v>
      </c>
      <c r="G69" s="2171"/>
      <c r="H69" s="2466">
        <f>IF(OR($F$20=$R$6,$F$20=$U$6),CO2データ!I245,IF($F$20=$S$6,CO2データ!L245,CO2データ!O245))</f>
        <v>0</v>
      </c>
      <c r="I69" s="2466">
        <f>IF(OR($F$20=$R$6,$F$20=$U$6),CO2データ!J245,IF($F$20=$S$6,CO2データ!M245,CO2データ!P245))</f>
        <v>0</v>
      </c>
      <c r="J69" s="2466">
        <f>IF(OR($F$20=$R$6,$F$20=$U$6),CO2データ!K245,IF($F$20=$S$6,CO2データ!N245,CO2データ!Q245))</f>
        <v>0.77</v>
      </c>
      <c r="K69" s="2494"/>
      <c r="L69" s="2492">
        <f t="shared" si="8"/>
        <v>0</v>
      </c>
      <c r="M69" s="2494"/>
      <c r="N69" s="2492"/>
      <c r="O69" s="2496">
        <f t="shared" si="9"/>
        <v>0</v>
      </c>
      <c r="P69" t="s">
        <v>2016</v>
      </c>
    </row>
    <row r="70" spans="2:16" hidden="1">
      <c r="B70" s="2490"/>
      <c r="C70" s="2171"/>
      <c r="D70" s="2171"/>
      <c r="E70" s="2171"/>
      <c r="F70" s="2466" t="e">
        <f>$F$68</f>
        <v>#DIV/0!</v>
      </c>
      <c r="G70" s="2171"/>
      <c r="H70" s="2466">
        <f>IF(OR($F$20=$R$6,$F$20=$U$6),CO2データ!I246,IF($F$20=$S$6,CO2データ!L246,CO2データ!O246))</f>
        <v>0.01</v>
      </c>
      <c r="I70" s="2466">
        <f>IF(OR($F$20=$R$6,$F$20=$U$6),CO2データ!J246,IF($F$20=$S$6,CO2データ!M246,CO2データ!P246))</f>
        <v>0</v>
      </c>
      <c r="J70" s="2466">
        <f>IF(OR($F$20=$R$6,$F$20=$U$6),CO2データ!K246,IF($F$20=$S$6,CO2データ!N246,CO2データ!Q246))</f>
        <v>0.01</v>
      </c>
      <c r="K70" s="2494"/>
      <c r="L70" s="2492">
        <f t="shared" ref="L70:L91" si="10">H70-(H70-I70)*$F$21-(H70-J70)*$F$22</f>
        <v>0.01</v>
      </c>
      <c r="M70" s="2494"/>
      <c r="N70" s="2492"/>
      <c r="O70" s="2496">
        <f t="shared" ref="O70:O91" si="11">H70</f>
        <v>0.01</v>
      </c>
      <c r="P70" t="s">
        <v>2019</v>
      </c>
    </row>
    <row r="71" spans="2:16" hidden="1">
      <c r="B71" s="2490"/>
      <c r="C71" s="2171"/>
      <c r="D71" s="2171"/>
      <c r="E71" s="2171"/>
      <c r="F71" s="2466" t="e">
        <f>$F$68</f>
        <v>#DIV/0!</v>
      </c>
      <c r="G71" s="2171"/>
      <c r="H71" s="2466">
        <f>IF(OR($F$20=$R$6,$F$20=$U$6),CO2データ!I247,IF($F$20=$S$6,CO2データ!L247,CO2データ!O247))</f>
        <v>0</v>
      </c>
      <c r="I71" s="2466">
        <f>IF(OR($F$20=$R$6,$F$20=$U$6),CO2データ!J247,IF($F$20=$S$6,CO2データ!M247,CO2データ!P247))</f>
        <v>0</v>
      </c>
      <c r="J71" s="2466">
        <f>IF(OR($F$20=$R$6,$F$20=$U$6),CO2データ!K247,IF($F$20=$S$6,CO2データ!N247,CO2データ!Q247))</f>
        <v>0</v>
      </c>
      <c r="K71" s="2494"/>
      <c r="L71" s="2492">
        <f t="shared" si="10"/>
        <v>0</v>
      </c>
      <c r="M71" s="2494"/>
      <c r="N71" s="2492"/>
      <c r="O71" s="2496">
        <f t="shared" si="11"/>
        <v>0</v>
      </c>
      <c r="P71" t="s">
        <v>2019</v>
      </c>
    </row>
    <row r="72" spans="2:16" hidden="1">
      <c r="B72" s="2490"/>
      <c r="C72" s="2171"/>
      <c r="D72" s="2171"/>
      <c r="E72" s="2171"/>
      <c r="F72" s="2466" t="e">
        <f>$F$68</f>
        <v>#DIV/0!</v>
      </c>
      <c r="G72" s="2171"/>
      <c r="H72" s="2466">
        <f>IF(OR($F$20=$R$6,$F$20=$U$6),CO2データ!I248,IF($F$20=$S$6,CO2データ!L248,CO2データ!O248))</f>
        <v>0.108</v>
      </c>
      <c r="I72" s="2466">
        <f>IF(OR($F$20=$R$6,$F$20=$U$6),CO2データ!J248,IF($F$20=$S$6,CO2データ!M248,CO2データ!P248))</f>
        <v>0</v>
      </c>
      <c r="J72" s="2466">
        <f>IF(OR($F$20=$R$6,$F$20=$U$6),CO2データ!K248,IF($F$20=$S$6,CO2データ!N248,CO2データ!Q248))</f>
        <v>0.108</v>
      </c>
      <c r="K72" s="2494"/>
      <c r="L72" s="2492">
        <f t="shared" si="10"/>
        <v>0.108</v>
      </c>
      <c r="M72" s="2494"/>
      <c r="N72" s="2492"/>
      <c r="O72" s="2496">
        <f t="shared" si="11"/>
        <v>0.108</v>
      </c>
      <c r="P72" t="s">
        <v>2019</v>
      </c>
    </row>
    <row r="73" spans="2:16" hidden="1">
      <c r="B73" s="2490"/>
      <c r="C73" s="2171"/>
      <c r="D73" s="2171"/>
      <c r="E73" s="2171"/>
      <c r="F73" s="2466" t="e">
        <f>$F$68</f>
        <v>#DIV/0!</v>
      </c>
      <c r="G73" s="2171"/>
      <c r="H73" s="2466">
        <f>IF(OR($F$20=$R$6,$F$20=$U$6),CO2データ!I249,IF($F$20=$S$6,CO2データ!L249,CO2データ!O249))</f>
        <v>8.9999999999999993E-3</v>
      </c>
      <c r="I73" s="2466">
        <f>IF(OR($F$20=$R$6,$F$20=$U$6),CO2データ!J249,IF($F$20=$S$6,CO2データ!M249,CO2データ!P249))</f>
        <v>0</v>
      </c>
      <c r="J73" s="2466">
        <f>IF(OR($F$20=$R$6,$F$20=$U$6),CO2データ!K249,IF($F$20=$S$6,CO2データ!N249,CO2データ!Q249))</f>
        <v>9.1500000000000001E-3</v>
      </c>
      <c r="K73" s="2494"/>
      <c r="L73" s="2492">
        <f t="shared" si="10"/>
        <v>8.9999999999999993E-3</v>
      </c>
      <c r="M73" s="2494"/>
      <c r="N73" s="2492"/>
      <c r="O73" s="2496">
        <f t="shared" si="11"/>
        <v>8.9999999999999993E-3</v>
      </c>
      <c r="P73" t="s">
        <v>2019</v>
      </c>
    </row>
    <row r="74" spans="2:16" hidden="1">
      <c r="B74" s="2490"/>
      <c r="C74" s="2171"/>
      <c r="D74" s="2171" t="s">
        <v>1615</v>
      </c>
      <c r="E74" s="2171"/>
      <c r="F74" s="2466" t="e">
        <f>F16</f>
        <v>#DIV/0!</v>
      </c>
      <c r="G74" s="2171"/>
      <c r="H74" s="2466">
        <f>IF(OR($F$20=$R$6,$F$20=$U$6),CO2データ!I250,IF($F$20=$S$6,CO2データ!L250,CO2データ!O250))</f>
        <v>0.76600000000000001</v>
      </c>
      <c r="I74" s="2466">
        <f>IF(OR($F$20=$R$6,$F$20=$U$6),CO2データ!J250,IF($F$20=$S$6,CO2データ!M250,CO2データ!P250))</f>
        <v>0</v>
      </c>
      <c r="J74" s="2466">
        <f>IF(OR($F$20=$R$6,$F$20=$U$6),CO2データ!K250,IF($F$20=$S$6,CO2データ!N250,CO2データ!Q250))</f>
        <v>0</v>
      </c>
      <c r="K74" s="2494"/>
      <c r="L74" s="2492">
        <f t="shared" si="10"/>
        <v>0.76600000000000001</v>
      </c>
      <c r="M74" s="2494"/>
      <c r="N74" s="2492"/>
      <c r="O74" s="2496">
        <f t="shared" si="11"/>
        <v>0.76600000000000001</v>
      </c>
      <c r="P74" t="s">
        <v>2016</v>
      </c>
    </row>
    <row r="75" spans="2:16" hidden="1">
      <c r="B75" s="2490"/>
      <c r="C75" s="2171"/>
      <c r="D75" s="2171"/>
      <c r="E75" s="2171"/>
      <c r="F75" s="2466" t="e">
        <f>$F$74</f>
        <v>#DIV/0!</v>
      </c>
      <c r="G75" s="2171"/>
      <c r="H75" s="2466">
        <f>IF(OR($F$20=$R$6,$F$20=$U$6),CO2データ!I251,IF($F$20=$S$6,CO2データ!L251,CO2データ!O251))</f>
        <v>0</v>
      </c>
      <c r="I75" s="2466">
        <f>IF(OR($F$20=$R$6,$F$20=$U$6),CO2データ!J251,IF($F$20=$S$6,CO2データ!M251,CO2データ!P251))</f>
        <v>0</v>
      </c>
      <c r="J75" s="2466">
        <f>IF(OR($F$20=$R$6,$F$20=$U$6),CO2データ!K251,IF($F$20=$S$6,CO2データ!N251,CO2データ!Q251))</f>
        <v>0.76600000000000001</v>
      </c>
      <c r="K75" s="2494"/>
      <c r="L75" s="2492">
        <f t="shared" si="10"/>
        <v>0</v>
      </c>
      <c r="M75" s="2494"/>
      <c r="N75" s="2492"/>
      <c r="O75" s="2496">
        <f t="shared" si="11"/>
        <v>0</v>
      </c>
      <c r="P75" t="s">
        <v>2016</v>
      </c>
    </row>
    <row r="76" spans="2:16" hidden="1">
      <c r="B76" s="2490"/>
      <c r="C76" s="2171"/>
      <c r="D76" s="2171"/>
      <c r="E76" s="2171"/>
      <c r="F76" s="2466" t="e">
        <f>$F$74</f>
        <v>#DIV/0!</v>
      </c>
      <c r="G76" s="2171"/>
      <c r="H76" s="2466">
        <f>IF(OR($F$20=$R$6,$F$20=$U$6),CO2データ!I252,IF($F$20=$S$6,CO2データ!L252,CO2データ!O252))</f>
        <v>1.2E-2</v>
      </c>
      <c r="I76" s="2466">
        <f>IF(OR($F$20=$R$6,$F$20=$U$6),CO2データ!J252,IF($F$20=$S$6,CO2データ!M252,CO2データ!P252))</f>
        <v>0</v>
      </c>
      <c r="J76" s="2466">
        <f>IF(OR($F$20=$R$6,$F$20=$U$6),CO2データ!K252,IF($F$20=$S$6,CO2データ!N252,CO2データ!Q252))</f>
        <v>1.2E-2</v>
      </c>
      <c r="K76" s="2494"/>
      <c r="L76" s="2492">
        <f t="shared" si="10"/>
        <v>1.2E-2</v>
      </c>
      <c r="M76" s="2494"/>
      <c r="N76" s="2492"/>
      <c r="O76" s="2496">
        <f t="shared" si="11"/>
        <v>1.2E-2</v>
      </c>
      <c r="P76" t="s">
        <v>2019</v>
      </c>
    </row>
    <row r="77" spans="2:16" hidden="1">
      <c r="B77" s="2490"/>
      <c r="C77" s="2171"/>
      <c r="D77" s="2171"/>
      <c r="E77" s="2171"/>
      <c r="F77" s="2466" t="e">
        <f>$F$74</f>
        <v>#DIV/0!</v>
      </c>
      <c r="G77" s="2171"/>
      <c r="H77" s="2466">
        <f>IF(OR($F$20=$R$6,$F$20=$U$6),CO2データ!I253,IF($F$20=$S$6,CO2データ!L253,CO2データ!O253))</f>
        <v>0</v>
      </c>
      <c r="I77" s="2466">
        <f>IF(OR($F$20=$R$6,$F$20=$U$6),CO2データ!J253,IF($F$20=$S$6,CO2データ!M253,CO2データ!P253))</f>
        <v>0</v>
      </c>
      <c r="J77" s="2466">
        <f>IF(OR($F$20=$R$6,$F$20=$U$6),CO2データ!K253,IF($F$20=$S$6,CO2データ!N253,CO2データ!Q253))</f>
        <v>0</v>
      </c>
      <c r="K77" s="2494"/>
      <c r="L77" s="2492">
        <f t="shared" si="10"/>
        <v>0</v>
      </c>
      <c r="M77" s="2494"/>
      <c r="N77" s="2492"/>
      <c r="O77" s="2496">
        <f t="shared" si="11"/>
        <v>0</v>
      </c>
      <c r="P77" t="s">
        <v>2019</v>
      </c>
    </row>
    <row r="78" spans="2:16" hidden="1">
      <c r="B78" s="2490"/>
      <c r="C78" s="2171"/>
      <c r="D78" s="2171"/>
      <c r="E78" s="2171"/>
      <c r="F78" s="2466" t="e">
        <f>$F$74</f>
        <v>#DIV/0!</v>
      </c>
      <c r="G78" s="2171"/>
      <c r="H78" s="2466">
        <f>IF(OR($F$20=$R$6,$F$20=$U$6),CO2データ!I254,IF($F$20=$S$6,CO2データ!L254,CO2データ!O254))</f>
        <v>9.6000000000000002E-2</v>
      </c>
      <c r="I78" s="2466">
        <f>IF(OR($F$20=$R$6,$F$20=$U$6),CO2データ!J254,IF($F$20=$S$6,CO2データ!M254,CO2データ!P254))</f>
        <v>0</v>
      </c>
      <c r="J78" s="2466">
        <f>IF(OR($F$20=$R$6,$F$20=$U$6),CO2データ!K254,IF($F$20=$S$6,CO2データ!N254,CO2データ!Q254))</f>
        <v>9.6000000000000002E-2</v>
      </c>
      <c r="K78" s="2494"/>
      <c r="L78" s="2492">
        <f t="shared" si="10"/>
        <v>9.6000000000000002E-2</v>
      </c>
      <c r="M78" s="2494"/>
      <c r="N78" s="2492"/>
      <c r="O78" s="2496">
        <f t="shared" si="11"/>
        <v>9.6000000000000002E-2</v>
      </c>
      <c r="P78" t="s">
        <v>2019</v>
      </c>
    </row>
    <row r="79" spans="2:16" hidden="1">
      <c r="B79" s="2490"/>
      <c r="C79" s="2171"/>
      <c r="D79" s="2171"/>
      <c r="E79" s="2171"/>
      <c r="F79" s="2466" t="e">
        <f>$F$74</f>
        <v>#DIV/0!</v>
      </c>
      <c r="G79" s="2171"/>
      <c r="H79" s="2466">
        <f>IF(OR($F$20=$R$6,$F$20=$U$6),CO2データ!I255,IF($F$20=$S$6,CO2データ!L255,CO2データ!O255))</f>
        <v>1.2999999999999999E-2</v>
      </c>
      <c r="I79" s="2466">
        <f>IF(OR($F$20=$R$6,$F$20=$U$6),CO2データ!J255,IF($F$20=$S$6,CO2データ!M255,CO2データ!P255))</f>
        <v>0</v>
      </c>
      <c r="J79" s="2466">
        <f>IF(OR($F$20=$R$6,$F$20=$U$6),CO2データ!K255,IF($F$20=$S$6,CO2データ!N255,CO2データ!Q255))</f>
        <v>1.2999999999999999E-2</v>
      </c>
      <c r="K79" s="2494"/>
      <c r="L79" s="2492">
        <f t="shared" si="10"/>
        <v>1.2999999999999999E-2</v>
      </c>
      <c r="M79" s="2494"/>
      <c r="N79" s="2492"/>
      <c r="O79" s="2496">
        <f t="shared" si="11"/>
        <v>1.2999999999999999E-2</v>
      </c>
      <c r="P79" t="s">
        <v>2019</v>
      </c>
    </row>
    <row r="80" spans="2:16" hidden="1">
      <c r="B80" s="2490"/>
      <c r="C80" s="2171"/>
      <c r="D80" s="2171" t="s">
        <v>549</v>
      </c>
      <c r="E80" s="2171"/>
      <c r="F80" s="2466" t="e">
        <f>F17</f>
        <v>#DIV/0!</v>
      </c>
      <c r="G80" s="2171"/>
      <c r="H80" s="2466">
        <f>IF(OR($F$20=$R$6,$F$20=$U$6),CO2データ!I256,IF($F$20=$S$6,CO2データ!L256,CO2データ!O256))</f>
        <v>0.999</v>
      </c>
      <c r="I80" s="2466">
        <f>IF(OR($F$20=$R$6,$F$20=$U$6),CO2データ!J256,IF($F$20=$S$6,CO2データ!M256,CO2データ!P256))</f>
        <v>0</v>
      </c>
      <c r="J80" s="2466">
        <f>IF(OR($F$20=$R$6,$F$20=$U$6),CO2データ!K256,IF($F$20=$S$6,CO2データ!N256,CO2データ!Q256))</f>
        <v>0</v>
      </c>
      <c r="K80" s="2494"/>
      <c r="L80" s="2492">
        <f t="shared" si="10"/>
        <v>0.999</v>
      </c>
      <c r="M80" s="2494"/>
      <c r="N80" s="2492"/>
      <c r="O80" s="2496">
        <f t="shared" si="11"/>
        <v>0.999</v>
      </c>
      <c r="P80" t="s">
        <v>2016</v>
      </c>
    </row>
    <row r="81" spans="2:16" hidden="1">
      <c r="B81" s="2490"/>
      <c r="C81" s="2171"/>
      <c r="D81" s="2171"/>
      <c r="E81" s="2171"/>
      <c r="F81" s="2466" t="e">
        <f>$F$80</f>
        <v>#DIV/0!</v>
      </c>
      <c r="G81" s="2171"/>
      <c r="H81" s="2466">
        <f>IF(OR($F$20=$R$6,$F$20=$U$6),CO2データ!I257,IF($F$20=$S$6,CO2データ!L257,CO2データ!O257))</f>
        <v>0</v>
      </c>
      <c r="I81" s="2466">
        <f>IF(OR($F$20=$R$6,$F$20=$U$6),CO2データ!J257,IF($F$20=$S$6,CO2データ!M257,CO2データ!P257))</f>
        <v>0</v>
      </c>
      <c r="J81" s="2466">
        <f>IF(OR($F$20=$R$6,$F$20=$U$6),CO2データ!K257,IF($F$20=$S$6,CO2データ!N257,CO2データ!Q257))</f>
        <v>0.999</v>
      </c>
      <c r="K81" s="2494"/>
      <c r="L81" s="2492">
        <f t="shared" si="10"/>
        <v>0</v>
      </c>
      <c r="M81" s="2494"/>
      <c r="N81" s="2492"/>
      <c r="O81" s="2496">
        <f t="shared" si="11"/>
        <v>0</v>
      </c>
      <c r="P81" t="s">
        <v>2016</v>
      </c>
    </row>
    <row r="82" spans="2:16" hidden="1">
      <c r="B82" s="2490"/>
      <c r="C82" s="2171"/>
      <c r="D82" s="2171"/>
      <c r="E82" s="2171"/>
      <c r="F82" s="2466" t="e">
        <f>$F$80</f>
        <v>#DIV/0!</v>
      </c>
      <c r="G82" s="2171"/>
      <c r="H82" s="2466">
        <f>IF(OR($F$20=$R$6,$F$20=$U$6),CO2データ!I258,IF($F$20=$S$6,CO2データ!L258,CO2データ!O258))</f>
        <v>4.0000000000000001E-3</v>
      </c>
      <c r="I82" s="2466">
        <f>IF(OR($F$20=$R$6,$F$20=$U$6),CO2データ!J258,IF($F$20=$S$6,CO2データ!M258,CO2データ!P258))</f>
        <v>0</v>
      </c>
      <c r="J82" s="2466">
        <f>IF(OR($F$20=$R$6,$F$20=$U$6),CO2データ!K258,IF($F$20=$S$6,CO2データ!N258,CO2データ!Q258))</f>
        <v>4.0000000000000001E-3</v>
      </c>
      <c r="K82" s="2494"/>
      <c r="L82" s="2492">
        <f t="shared" si="10"/>
        <v>4.0000000000000001E-3</v>
      </c>
      <c r="M82" s="2494"/>
      <c r="N82" s="2492"/>
      <c r="O82" s="2496">
        <f t="shared" si="11"/>
        <v>4.0000000000000001E-3</v>
      </c>
      <c r="P82" t="s">
        <v>2019</v>
      </c>
    </row>
    <row r="83" spans="2:16" hidden="1">
      <c r="B83" s="2490"/>
      <c r="C83" s="2171"/>
      <c r="D83" s="2171"/>
      <c r="E83" s="2171"/>
      <c r="F83" s="2466" t="e">
        <f>$F$80</f>
        <v>#DIV/0!</v>
      </c>
      <c r="G83" s="2171"/>
      <c r="H83" s="2466">
        <f>IF(OR($F$20=$R$6,$F$20=$U$6),CO2データ!I259,IF($F$20=$S$6,CO2データ!L259,CO2データ!O259))</f>
        <v>0</v>
      </c>
      <c r="I83" s="2466">
        <f>IF(OR($F$20=$R$6,$F$20=$U$6),CO2データ!J259,IF($F$20=$S$6,CO2データ!M259,CO2データ!P259))</f>
        <v>0</v>
      </c>
      <c r="J83" s="2466">
        <f>IF(OR($F$20=$R$6,$F$20=$U$6),CO2データ!K259,IF($F$20=$S$6,CO2データ!N259,CO2データ!Q259))</f>
        <v>0</v>
      </c>
      <c r="K83" s="2494"/>
      <c r="L83" s="2492">
        <f t="shared" si="10"/>
        <v>0</v>
      </c>
      <c r="M83" s="2494"/>
      <c r="N83" s="2492"/>
      <c r="O83" s="2496">
        <f t="shared" si="11"/>
        <v>0</v>
      </c>
      <c r="P83" t="s">
        <v>2019</v>
      </c>
    </row>
    <row r="84" spans="2:16" hidden="1">
      <c r="B84" s="2490"/>
      <c r="C84" s="2171"/>
      <c r="D84" s="2171"/>
      <c r="E84" s="2171"/>
      <c r="F84" s="2466" t="e">
        <f>$F$80</f>
        <v>#DIV/0!</v>
      </c>
      <c r="G84" s="2171"/>
      <c r="H84" s="2466">
        <f>IF(OR($F$20=$R$6,$F$20=$U$6),CO2データ!I260,IF($F$20=$S$6,CO2データ!L260,CO2データ!O260))</f>
        <v>0.111</v>
      </c>
      <c r="I84" s="2466">
        <f>IF(OR($F$20=$R$6,$F$20=$U$6),CO2データ!J260,IF($F$20=$S$6,CO2データ!M260,CO2データ!P260))</f>
        <v>0</v>
      </c>
      <c r="J84" s="2466">
        <f>IF(OR($F$20=$R$6,$F$20=$U$6),CO2データ!K260,IF($F$20=$S$6,CO2データ!N260,CO2データ!Q260))</f>
        <v>0.111</v>
      </c>
      <c r="K84" s="2494"/>
      <c r="L84" s="2492">
        <f t="shared" si="10"/>
        <v>0.111</v>
      </c>
      <c r="M84" s="2494"/>
      <c r="N84" s="2492"/>
      <c r="O84" s="2496">
        <f t="shared" si="11"/>
        <v>0.111</v>
      </c>
      <c r="P84" t="s">
        <v>2019</v>
      </c>
    </row>
    <row r="85" spans="2:16" hidden="1">
      <c r="B85" s="2490"/>
      <c r="C85" s="2171"/>
      <c r="D85" s="2171"/>
      <c r="E85" s="2171"/>
      <c r="F85" s="2466" t="e">
        <f>$F$80</f>
        <v>#DIV/0!</v>
      </c>
      <c r="G85" s="2171"/>
      <c r="H85" s="2466">
        <f>IF(OR($F$20=$R$6,$F$20=$U$6),CO2データ!I261,IF($F$20=$S$6,CO2データ!L261,CO2データ!O261))</f>
        <v>1.4E-2</v>
      </c>
      <c r="I85" s="2466">
        <f>IF(OR($F$20=$R$6,$F$20=$U$6),CO2データ!J261,IF($F$20=$S$6,CO2データ!M261,CO2データ!P261))</f>
        <v>0</v>
      </c>
      <c r="J85" s="2466">
        <f>IF(OR($F$20=$R$6,$F$20=$U$6),CO2データ!K261,IF($F$20=$S$6,CO2データ!N261,CO2データ!Q261))</f>
        <v>1.434E-2</v>
      </c>
      <c r="K85" s="2494"/>
      <c r="L85" s="2492">
        <f t="shared" si="10"/>
        <v>1.4E-2</v>
      </c>
      <c r="M85" s="2494"/>
      <c r="N85" s="2492"/>
      <c r="O85" s="2496">
        <f t="shared" si="11"/>
        <v>1.4E-2</v>
      </c>
      <c r="P85" t="s">
        <v>2019</v>
      </c>
    </row>
    <row r="86" spans="2:16" hidden="1">
      <c r="B86" s="2490"/>
      <c r="C86" s="2171"/>
      <c r="D86" s="2171" t="s">
        <v>1724</v>
      </c>
      <c r="E86" s="2171"/>
      <c r="F86" s="2466" t="e">
        <f>F18</f>
        <v>#DIV/0!</v>
      </c>
      <c r="G86" s="2171"/>
      <c r="H86" s="2466">
        <f>IF(OR($F$20=$R$6,$F$20=$U$6),CO2データ!I262,IF($F$20=$S$6,CO2データ!L262,CO2データ!O262))</f>
        <v>0.73399999999999999</v>
      </c>
      <c r="I86" s="2466">
        <f>IF(OR($F$20=$R$6,$F$20=$U$6),CO2データ!J262,IF($F$20=$S$6,CO2データ!M262,CO2データ!P262))</f>
        <v>0</v>
      </c>
      <c r="J86" s="2466">
        <f>IF(OR($F$20=$R$6,$F$20=$U$6),CO2データ!K262,IF($F$20=$S$6,CO2データ!N262,CO2データ!Q262))</f>
        <v>0</v>
      </c>
      <c r="K86" s="2494"/>
      <c r="L86" s="2492">
        <f t="shared" si="10"/>
        <v>0.73399999999999999</v>
      </c>
      <c r="M86" s="2494"/>
      <c r="N86" s="2492"/>
      <c r="O86" s="2496">
        <f t="shared" si="11"/>
        <v>0.73399999999999999</v>
      </c>
      <c r="P86" t="s">
        <v>2016</v>
      </c>
    </row>
    <row r="87" spans="2:16" hidden="1">
      <c r="B87" s="2490"/>
      <c r="C87" s="2171"/>
      <c r="D87" s="2171"/>
      <c r="E87" s="2171"/>
      <c r="F87" s="2466" t="e">
        <f>$F$86</f>
        <v>#DIV/0!</v>
      </c>
      <c r="G87" s="2171"/>
      <c r="H87" s="2466">
        <f>IF(OR($F$20=$R$6,$F$20=$U$6),CO2データ!I263,IF($F$20=$S$6,CO2データ!L263,CO2データ!O263))</f>
        <v>0</v>
      </c>
      <c r="I87" s="2466">
        <f>IF(OR($F$20=$R$6,$F$20=$U$6),CO2データ!J263,IF($F$20=$S$6,CO2データ!M263,CO2データ!P263))</f>
        <v>0</v>
      </c>
      <c r="J87" s="2466">
        <f>IF(OR($F$20=$R$6,$F$20=$U$6),CO2データ!K263,IF($F$20=$S$6,CO2データ!N263,CO2データ!Q263))</f>
        <v>0.73399999999999999</v>
      </c>
      <c r="K87" s="2494"/>
      <c r="L87" s="2492">
        <f t="shared" si="10"/>
        <v>0</v>
      </c>
      <c r="M87" s="2494"/>
      <c r="N87" s="2492"/>
      <c r="O87" s="2496">
        <f t="shared" si="11"/>
        <v>0</v>
      </c>
      <c r="P87" t="s">
        <v>2016</v>
      </c>
    </row>
    <row r="88" spans="2:16" hidden="1">
      <c r="B88" s="2490"/>
      <c r="C88" s="2171"/>
      <c r="D88" s="2171"/>
      <c r="E88" s="2171"/>
      <c r="F88" s="2466" t="e">
        <f>$F$86</f>
        <v>#DIV/0!</v>
      </c>
      <c r="G88" s="2171"/>
      <c r="H88" s="2466">
        <f>IF(OR($F$20=$R$6,$F$20=$U$6),CO2データ!I264,IF($F$20=$S$6,CO2データ!L264,CO2データ!O264))</f>
        <v>1.2E-2</v>
      </c>
      <c r="I88" s="2466">
        <f>IF(OR($F$20=$R$6,$F$20=$U$6),CO2データ!J264,IF($F$20=$S$6,CO2データ!M264,CO2データ!P264))</f>
        <v>0</v>
      </c>
      <c r="J88" s="2466">
        <f>IF(OR($F$20=$R$6,$F$20=$U$6),CO2データ!K264,IF($F$20=$S$6,CO2データ!N264,CO2データ!Q264))</f>
        <v>1.2E-2</v>
      </c>
      <c r="K88" s="2494"/>
      <c r="L88" s="2492">
        <f t="shared" si="10"/>
        <v>1.2E-2</v>
      </c>
      <c r="M88" s="2494"/>
      <c r="N88" s="2492"/>
      <c r="O88" s="2496">
        <f t="shared" si="11"/>
        <v>1.2E-2</v>
      </c>
      <c r="P88" t="s">
        <v>2019</v>
      </c>
    </row>
    <row r="89" spans="2:16" hidden="1">
      <c r="B89" s="2490"/>
      <c r="C89" s="2171"/>
      <c r="D89" s="2171"/>
      <c r="E89" s="2171"/>
      <c r="F89" s="2466" t="e">
        <f>$F$86</f>
        <v>#DIV/0!</v>
      </c>
      <c r="G89" s="2171"/>
      <c r="H89" s="2466">
        <f>IF(OR($F$20=$R$6,$F$20=$U$6),CO2データ!I265,IF($F$20=$S$6,CO2データ!L265,CO2データ!O265))</f>
        <v>0</v>
      </c>
      <c r="I89" s="2466">
        <f>IF(OR($F$20=$R$6,$F$20=$U$6),CO2データ!J265,IF($F$20=$S$6,CO2データ!M265,CO2データ!P265))</f>
        <v>0</v>
      </c>
      <c r="J89" s="2466">
        <f>IF(OR($F$20=$R$6,$F$20=$U$6),CO2データ!K265,IF($F$20=$S$6,CO2データ!N265,CO2データ!Q265))</f>
        <v>0</v>
      </c>
      <c r="K89" s="2494"/>
      <c r="L89" s="2492">
        <f t="shared" si="10"/>
        <v>0</v>
      </c>
      <c r="M89" s="2494"/>
      <c r="N89" s="2492"/>
      <c r="O89" s="2496">
        <f t="shared" si="11"/>
        <v>0</v>
      </c>
      <c r="P89" t="s">
        <v>2019</v>
      </c>
    </row>
    <row r="90" spans="2:16" hidden="1">
      <c r="B90" s="2490"/>
      <c r="C90" s="2171"/>
      <c r="D90" s="2171"/>
      <c r="E90" s="2171"/>
      <c r="F90" s="2466" t="e">
        <f>$F$86</f>
        <v>#DIV/0!</v>
      </c>
      <c r="G90" s="2171"/>
      <c r="H90" s="2466">
        <f>IF(OR($F$20=$R$6,$F$20=$U$6),CO2データ!I266,IF($F$20=$S$6,CO2データ!L266,CO2データ!O266))</f>
        <v>0.1</v>
      </c>
      <c r="I90" s="2466">
        <f>IF(OR($F$20=$R$6,$F$20=$U$6),CO2データ!J266,IF($F$20=$S$6,CO2データ!M266,CO2データ!P266))</f>
        <v>0</v>
      </c>
      <c r="J90" s="2466">
        <f>IF(OR($F$20=$R$6,$F$20=$U$6),CO2データ!K266,IF($F$20=$S$6,CO2データ!N266,CO2データ!Q266))</f>
        <v>0.1</v>
      </c>
      <c r="K90" s="2494"/>
      <c r="L90" s="2492">
        <f t="shared" si="10"/>
        <v>0.1</v>
      </c>
      <c r="M90" s="2494"/>
      <c r="N90" s="2492"/>
      <c r="O90" s="2496">
        <f t="shared" si="11"/>
        <v>0.1</v>
      </c>
      <c r="P90" t="s">
        <v>2019</v>
      </c>
    </row>
    <row r="91" spans="2:16" hidden="1">
      <c r="B91" s="2490"/>
      <c r="C91" s="2171"/>
      <c r="D91" s="2171"/>
      <c r="E91" s="2171"/>
      <c r="F91" s="2466" t="e">
        <f>$F$86</f>
        <v>#DIV/0!</v>
      </c>
      <c r="G91" s="2171"/>
      <c r="H91" s="2466">
        <f>IF(OR($F$20=$R$6,$F$20=$U$6),CO2データ!I267,IF($F$20=$S$6,CO2データ!L267,CO2データ!O267))</f>
        <v>1.2999999999999999E-2</v>
      </c>
      <c r="I91" s="2466">
        <f>IF(OR($F$20=$R$6,$F$20=$U$6),CO2データ!J267,IF($F$20=$S$6,CO2データ!M267,CO2データ!P267))</f>
        <v>0</v>
      </c>
      <c r="J91" s="2466">
        <f>IF(OR($F$20=$R$6,$F$20=$U$6),CO2データ!K267,IF($F$20=$S$6,CO2データ!N267,CO2データ!Q267))</f>
        <v>1.329E-2</v>
      </c>
      <c r="K91" s="2494"/>
      <c r="L91" s="2492">
        <f t="shared" si="10"/>
        <v>1.2999999999999999E-2</v>
      </c>
      <c r="M91" s="2494"/>
      <c r="N91" s="2492"/>
      <c r="O91" s="2496">
        <f t="shared" si="11"/>
        <v>1.2999999999999999E-2</v>
      </c>
      <c r="P91" t="s">
        <v>2019</v>
      </c>
    </row>
    <row r="92" spans="2:16" hidden="1">
      <c r="B92" s="2479"/>
      <c r="C92" s="2169"/>
      <c r="D92" s="2169"/>
      <c r="E92" s="2169"/>
      <c r="F92" s="2169"/>
      <c r="G92" s="2169"/>
      <c r="H92" s="2169"/>
      <c r="I92" s="2169"/>
      <c r="J92" s="2169"/>
      <c r="K92" s="2169"/>
      <c r="L92" s="2169"/>
      <c r="M92" s="2169"/>
      <c r="N92" s="2169"/>
      <c r="O92" s="2348"/>
    </row>
    <row r="93" spans="2:16" hidden="1">
      <c r="B93" s="2490"/>
      <c r="C93" s="2171" t="s">
        <v>1595</v>
      </c>
      <c r="D93" s="2171" t="s">
        <v>366</v>
      </c>
      <c r="E93" s="2171"/>
      <c r="F93" s="2169"/>
      <c r="G93" s="2169"/>
      <c r="H93" s="2169"/>
      <c r="I93" s="2169"/>
      <c r="J93" s="2169"/>
      <c r="K93" s="2494"/>
      <c r="L93" s="2497" t="e">
        <f t="shared" ref="L93:L98" si="12">$F38*L38+$F44*L44+$F50*L50+$F56*L56+$F62*L62+$F68*L68+$F74*L74+$F80*L80+$F86*L86</f>
        <v>#DIV/0!</v>
      </c>
      <c r="M93" s="2494"/>
      <c r="N93" s="2498"/>
      <c r="O93" s="2497" t="e">
        <f t="shared" ref="O93:O98" si="13">$F38*O38+$F44*O44+$F50*O50+$F56*O56+$F62*O62+$F68*O68+$F74*O74+$F80*O80+$F86*O86</f>
        <v>#DIV/0!</v>
      </c>
      <c r="P93" t="s">
        <v>2016</v>
      </c>
    </row>
    <row r="94" spans="2:16" hidden="1">
      <c r="B94" s="2490"/>
      <c r="C94" s="2171"/>
      <c r="D94" s="2171"/>
      <c r="E94" s="2171"/>
      <c r="F94" s="2169"/>
      <c r="G94" s="2169"/>
      <c r="H94" s="2169"/>
      <c r="I94" s="2169"/>
      <c r="J94" s="2169"/>
      <c r="K94" s="2494"/>
      <c r="L94" s="2499" t="e">
        <f t="shared" si="12"/>
        <v>#DIV/0!</v>
      </c>
      <c r="M94" s="2494"/>
      <c r="N94" s="2498"/>
      <c r="O94" s="2499" t="e">
        <f t="shared" si="13"/>
        <v>#DIV/0!</v>
      </c>
      <c r="P94" t="s">
        <v>2016</v>
      </c>
    </row>
    <row r="95" spans="2:16" hidden="1">
      <c r="B95" s="2490"/>
      <c r="C95" s="2171"/>
      <c r="D95" s="2171"/>
      <c r="E95" s="2171"/>
      <c r="F95" s="2169"/>
      <c r="G95" s="2169"/>
      <c r="H95" s="2169"/>
      <c r="I95" s="2169"/>
      <c r="J95" s="2169"/>
      <c r="K95" s="2494"/>
      <c r="L95" s="2499" t="e">
        <f t="shared" si="12"/>
        <v>#DIV/0!</v>
      </c>
      <c r="M95" s="2494"/>
      <c r="N95" s="2498"/>
      <c r="O95" s="2499" t="e">
        <f t="shared" si="13"/>
        <v>#DIV/0!</v>
      </c>
      <c r="P95" t="s">
        <v>2019</v>
      </c>
    </row>
    <row r="96" spans="2:16" hidden="1">
      <c r="B96" s="2490"/>
      <c r="C96" s="2171"/>
      <c r="D96" s="2171"/>
      <c r="E96" s="2171"/>
      <c r="F96" s="2169"/>
      <c r="G96" s="2169"/>
      <c r="H96" s="2169"/>
      <c r="I96" s="2169"/>
      <c r="J96" s="2169"/>
      <c r="K96" s="2494"/>
      <c r="L96" s="2499" t="e">
        <f t="shared" si="12"/>
        <v>#DIV/0!</v>
      </c>
      <c r="M96" s="2494"/>
      <c r="N96" s="2498"/>
      <c r="O96" s="2499" t="e">
        <f t="shared" si="13"/>
        <v>#DIV/0!</v>
      </c>
      <c r="P96" t="s">
        <v>2019</v>
      </c>
    </row>
    <row r="97" spans="2:16" hidden="1">
      <c r="B97" s="2490"/>
      <c r="C97" s="2171"/>
      <c r="D97" s="2171"/>
      <c r="E97" s="2171"/>
      <c r="F97" s="2169"/>
      <c r="G97" s="2169"/>
      <c r="H97" s="2169"/>
      <c r="I97" s="2169"/>
      <c r="J97" s="2169"/>
      <c r="K97" s="2494"/>
      <c r="L97" s="2499" t="e">
        <f t="shared" si="12"/>
        <v>#DIV/0!</v>
      </c>
      <c r="M97" s="2494"/>
      <c r="N97" s="2498"/>
      <c r="O97" s="2499" t="e">
        <f t="shared" si="13"/>
        <v>#DIV/0!</v>
      </c>
      <c r="P97" t="s">
        <v>2019</v>
      </c>
    </row>
    <row r="98" spans="2:16" ht="14.25" hidden="1" thickBot="1">
      <c r="B98" s="2490"/>
      <c r="C98" s="2171"/>
      <c r="D98" s="2171"/>
      <c r="E98" s="2171"/>
      <c r="F98" s="2169"/>
      <c r="G98" s="2169"/>
      <c r="H98" s="2169"/>
      <c r="I98" s="2169"/>
      <c r="J98" s="2169"/>
      <c r="K98" s="2494"/>
      <c r="L98" s="2500" t="e">
        <f t="shared" si="12"/>
        <v>#DIV/0!</v>
      </c>
      <c r="M98" s="2494"/>
      <c r="N98" s="2498"/>
      <c r="O98" s="2500" t="e">
        <f t="shared" si="13"/>
        <v>#DIV/0!</v>
      </c>
      <c r="P98" t="s">
        <v>2019</v>
      </c>
    </row>
    <row r="99" spans="2:16" hidden="1">
      <c r="B99" s="2479"/>
      <c r="C99" s="2169"/>
      <c r="D99" s="2169"/>
      <c r="E99" s="2169"/>
      <c r="F99" s="2169"/>
      <c r="G99" s="2169"/>
      <c r="H99" s="2169"/>
      <c r="I99" s="2169"/>
      <c r="J99" s="2169"/>
      <c r="K99" s="2169"/>
      <c r="L99" s="2169"/>
      <c r="M99" s="2169"/>
      <c r="N99" s="2169"/>
      <c r="O99" s="2348"/>
    </row>
    <row r="100" spans="2:16" ht="16.5">
      <c r="B100" s="897" t="s">
        <v>1596</v>
      </c>
      <c r="C100" s="906"/>
      <c r="D100" s="909"/>
      <c r="E100" s="906"/>
      <c r="F100" s="2169"/>
      <c r="G100" s="2169"/>
      <c r="H100" s="898"/>
      <c r="I100" s="899"/>
      <c r="J100" s="899"/>
      <c r="K100" s="899"/>
      <c r="L100" s="899"/>
      <c r="M100" s="899"/>
      <c r="N100" s="899"/>
      <c r="O100" s="911"/>
    </row>
    <row r="101" spans="2:16" ht="14.25">
      <c r="B101" s="897"/>
      <c r="C101" s="901" t="s">
        <v>1597</v>
      </c>
      <c r="D101" s="909"/>
      <c r="E101" s="906"/>
      <c r="F101" s="2169"/>
      <c r="G101" s="2169"/>
      <c r="H101" s="898"/>
      <c r="I101" s="899"/>
      <c r="J101" s="898" t="s">
        <v>1591</v>
      </c>
      <c r="K101" s="899"/>
      <c r="L101" s="898" t="s">
        <v>1591</v>
      </c>
      <c r="M101" s="899"/>
      <c r="N101" s="899"/>
      <c r="O101" s="900" t="s">
        <v>1591</v>
      </c>
    </row>
    <row r="102" spans="2:16">
      <c r="B102" s="2168"/>
      <c r="C102" s="909"/>
      <c r="D102" s="909" t="s">
        <v>249</v>
      </c>
      <c r="E102" s="906"/>
      <c r="F102" s="2465" t="s">
        <v>1337</v>
      </c>
      <c r="G102" s="906"/>
      <c r="H102" s="903" t="s">
        <v>1338</v>
      </c>
      <c r="I102" s="903" t="s">
        <v>1339</v>
      </c>
      <c r="J102" s="903" t="s">
        <v>1340</v>
      </c>
      <c r="K102" s="904" t="s">
        <v>247</v>
      </c>
      <c r="L102" s="905" t="s">
        <v>248</v>
      </c>
      <c r="M102" s="906"/>
      <c r="N102" s="904" t="s">
        <v>247</v>
      </c>
      <c r="O102" s="907" t="s">
        <v>248</v>
      </c>
    </row>
    <row r="103" spans="2:16">
      <c r="B103" s="2168"/>
      <c r="C103" s="909"/>
      <c r="D103" s="909"/>
      <c r="E103" s="909" t="s">
        <v>348</v>
      </c>
      <c r="F103" s="2466" t="e">
        <f t="shared" ref="F103:F111" si="14">F10</f>
        <v>#DIV/0!</v>
      </c>
      <c r="G103" s="906"/>
      <c r="H103" s="2466">
        <f>IF(OR($F$20=$R$6,$F$20=$U$6),CO2データ!I67,IF($F$20=$S$6,CO2データ!L67,CO2データ!O67))</f>
        <v>16.456</v>
      </c>
      <c r="I103" s="2466">
        <f>IF(OR($F$20=$R$6,$F$20=$U$6),CO2データ!J67,IF($F$20=$S$6,CO2データ!M67,CO2データ!P67))</f>
        <v>16.456</v>
      </c>
      <c r="J103" s="2466">
        <f>IF(OR($F$20=$R$6,$F$20=$U$6),CO2データ!K67,IF($F$20=$S$6,CO2データ!N67,CO2データ!Q67))</f>
        <v>16.456</v>
      </c>
      <c r="K103" s="2186">
        <f>スコア!O80</f>
        <v>3</v>
      </c>
      <c r="L103" s="2468">
        <f t="shared" ref="L103:L111" si="15">IF(K103&gt;=5,$J103,IF(K103&gt;=4,$I103,$H103))</f>
        <v>16.456</v>
      </c>
      <c r="M103" s="906"/>
      <c r="N103" s="2186">
        <v>3</v>
      </c>
      <c r="O103" s="2469">
        <f>IF(OR($F$20=$R$6,$F$20=$U$6),CO2データ!I65,IF($F$20=$S$6,CO2データ!L65,CO2データ!O65))</f>
        <v>16.456</v>
      </c>
    </row>
    <row r="104" spans="2:16">
      <c r="B104" s="2168"/>
      <c r="C104" s="906"/>
      <c r="D104" s="909"/>
      <c r="E104" s="909" t="s">
        <v>350</v>
      </c>
      <c r="F104" s="2466" t="e">
        <f t="shared" si="14"/>
        <v>#DIV/0!</v>
      </c>
      <c r="G104" s="906"/>
      <c r="H104" s="2466">
        <f>IF(OR($F$20=$R$6,$F$20=$U$6),CO2データ!I70,IF($F$20=$S$6,CO2データ!L70,CO2データ!O70))</f>
        <v>12.423999999999999</v>
      </c>
      <c r="I104" s="2466">
        <f>IF(OR($F$20=$R$6,$F$20=$U$6),CO2データ!J70,IF($F$20=$S$6,CO2データ!M70,CO2データ!P70))</f>
        <v>12.423999999999999</v>
      </c>
      <c r="J104" s="2466">
        <f>IF(OR($F$20=$R$6,$F$20=$U$6),CO2データ!K70,IF($F$20=$S$6,CO2データ!N70,CO2データ!Q70))</f>
        <v>12.423999999999999</v>
      </c>
      <c r="K104" s="2186">
        <f t="shared" ref="K104:K111" si="16">K$103</f>
        <v>3</v>
      </c>
      <c r="L104" s="2468">
        <f t="shared" si="15"/>
        <v>12.423999999999999</v>
      </c>
      <c r="M104" s="906"/>
      <c r="N104" s="2186">
        <v>3</v>
      </c>
      <c r="O104" s="2469">
        <f>IF(OR($F$20=$R$6,$F$20=$U$6),CO2データ!I68,IF($F$20=$S$6,CO2データ!L68,CO2データ!O68))</f>
        <v>12.423999999999999</v>
      </c>
    </row>
    <row r="105" spans="2:16">
      <c r="B105" s="2168"/>
      <c r="C105" s="906"/>
      <c r="D105" s="2169"/>
      <c r="E105" s="909" t="s">
        <v>352</v>
      </c>
      <c r="F105" s="2466" t="e">
        <f t="shared" si="14"/>
        <v>#DIV/0!</v>
      </c>
      <c r="G105" s="906"/>
      <c r="H105" s="2466">
        <f>IF(OR($F$20=$R$6,$F$20=$U$6),CO2データ!I73,IF($F$20=$S$6,CO2データ!L73,CO2データ!O73))</f>
        <v>13.193999999999999</v>
      </c>
      <c r="I105" s="2466">
        <f>IF(OR($F$20=$R$6,$F$20=$U$6),CO2データ!J73,IF($F$20=$S$6,CO2データ!M73,CO2データ!P73))</f>
        <v>13.193999999999999</v>
      </c>
      <c r="J105" s="2466">
        <f>IF(OR($F$20=$R$6,$F$20=$U$6),CO2データ!K73,IF($F$20=$S$6,CO2データ!N73,CO2データ!Q73))</f>
        <v>13.193999999999999</v>
      </c>
      <c r="K105" s="2186">
        <f t="shared" si="16"/>
        <v>3</v>
      </c>
      <c r="L105" s="2468">
        <f t="shared" si="15"/>
        <v>13.193999999999999</v>
      </c>
      <c r="M105" s="906"/>
      <c r="N105" s="2186">
        <v>3</v>
      </c>
      <c r="O105" s="2469">
        <f>IF(OR($F$20=$R$6,$F$20=$U$6),CO2データ!I71,IF($F$20=$S$6,CO2データ!L71,CO2データ!O71))</f>
        <v>7.7379999999999995</v>
      </c>
    </row>
    <row r="106" spans="2:16">
      <c r="B106" s="2168"/>
      <c r="C106" s="906"/>
      <c r="D106" s="909"/>
      <c r="E106" s="909" t="s">
        <v>354</v>
      </c>
      <c r="F106" s="2466" t="e">
        <f t="shared" si="14"/>
        <v>#DIV/0!</v>
      </c>
      <c r="G106" s="906"/>
      <c r="H106" s="2466">
        <f>IF(OR($F$20=$R$6,$F$20=$U$6),CO2データ!I76,IF($F$20=$S$6,CO2データ!L76,CO2データ!O76))</f>
        <v>7.7379999999999995</v>
      </c>
      <c r="I106" s="2466">
        <f>IF(OR($F$20=$R$6,$F$20=$U$6),CO2データ!J76,IF($F$20=$S$6,CO2データ!M76,CO2データ!P76))</f>
        <v>7.7379999999999995</v>
      </c>
      <c r="J106" s="2466">
        <f>IF(OR($F$20=$R$6,$F$20=$U$6),CO2データ!K76,IF($F$20=$S$6,CO2データ!N76,CO2データ!Q76))</f>
        <v>7.7379999999999995</v>
      </c>
      <c r="K106" s="2186">
        <f t="shared" si="16"/>
        <v>3</v>
      </c>
      <c r="L106" s="2468">
        <f t="shared" si="15"/>
        <v>7.7379999999999995</v>
      </c>
      <c r="M106" s="906"/>
      <c r="N106" s="2186">
        <v>3</v>
      </c>
      <c r="O106" s="2469">
        <f>IF(OR($F$20=$R$6,$F$20=$U$6),CO2データ!I74,IF($F$20=$S$6,CO2データ!L74,CO2データ!O74))</f>
        <v>7.7379999999999995</v>
      </c>
    </row>
    <row r="107" spans="2:16">
      <c r="B107" s="2168"/>
      <c r="C107" s="2169"/>
      <c r="D107" s="2169"/>
      <c r="E107" s="2174" t="s">
        <v>1614</v>
      </c>
      <c r="F107" s="2466" t="e">
        <f t="shared" si="14"/>
        <v>#DIV/0!</v>
      </c>
      <c r="G107" s="906"/>
      <c r="H107" s="2466">
        <f>IF(OR($F$20=$R$6,$F$20=$U$6),CO2データ!I79,IF($F$20=$S$6,CO2データ!L79,CO2データ!O79))</f>
        <v>13.426</v>
      </c>
      <c r="I107" s="2466">
        <f>IF(OR($F$20=$R$6,$F$20=$U$6),CO2データ!J79,IF($F$20=$S$6,CO2データ!M79,CO2データ!P79))</f>
        <v>13.426</v>
      </c>
      <c r="J107" s="2466">
        <f>IF(OR($F$20=$R$6,$F$20=$U$6),CO2データ!K79,IF($F$20=$S$6,CO2データ!N79,CO2データ!Q79))</f>
        <v>13.426</v>
      </c>
      <c r="K107" s="2186">
        <f t="shared" si="16"/>
        <v>3</v>
      </c>
      <c r="L107" s="2468">
        <f t="shared" si="15"/>
        <v>13.426</v>
      </c>
      <c r="M107" s="906"/>
      <c r="N107" s="2186">
        <v>3</v>
      </c>
      <c r="O107" s="2469">
        <f>IF(OR($F$20=$R$6,$F$20=$U$6),CO2データ!I77,IF($F$20=$S$6,CO2データ!L77,CO2データ!O77))</f>
        <v>13.426</v>
      </c>
    </row>
    <row r="108" spans="2:16">
      <c r="B108" s="2168"/>
      <c r="C108" s="2169"/>
      <c r="D108" s="2169"/>
      <c r="E108" s="2174" t="s">
        <v>364</v>
      </c>
      <c r="F108" s="2466" t="e">
        <f t="shared" si="14"/>
        <v>#DIV/0!</v>
      </c>
      <c r="G108" s="906"/>
      <c r="H108" s="2466">
        <f>IF(OR($F$20=$R$6,$F$20=$U$6),CO2データ!I82,IF($F$20=$S$6,CO2データ!L82,CO2データ!O82))</f>
        <v>9.4220000000000006</v>
      </c>
      <c r="I108" s="2466">
        <f>IF(OR($F$20=$R$6,$F$20=$U$6),CO2データ!J82,IF($F$20=$S$6,CO2データ!M82,CO2データ!P82))</f>
        <v>9.4220000000000006</v>
      </c>
      <c r="J108" s="2466">
        <f>IF(OR($F$20=$R$6,$F$20=$U$6),CO2データ!K82,IF($F$20=$S$6,CO2データ!N82,CO2データ!Q82))</f>
        <v>9.4220000000000006</v>
      </c>
      <c r="K108" s="2186">
        <f t="shared" si="16"/>
        <v>3</v>
      </c>
      <c r="L108" s="2468">
        <f t="shared" si="15"/>
        <v>9.4220000000000006</v>
      </c>
      <c r="M108" s="906"/>
      <c r="N108" s="2186">
        <v>3</v>
      </c>
      <c r="O108" s="2469">
        <f>IF(OR($F$20=$R$6,$F$20=$U$6),CO2データ!I80,IF($F$20=$S$6,CO2データ!L80,CO2データ!O80))</f>
        <v>9.4220000000000006</v>
      </c>
    </row>
    <row r="109" spans="2:16">
      <c r="B109" s="2168"/>
      <c r="C109" s="2169"/>
      <c r="D109" s="2169"/>
      <c r="E109" s="2174" t="s">
        <v>358</v>
      </c>
      <c r="F109" s="2466" t="e">
        <f t="shared" si="14"/>
        <v>#DIV/0!</v>
      </c>
      <c r="G109" s="906"/>
      <c r="H109" s="2466">
        <f>IF(OR($F$20=$R$6,$F$20=$U$6),CO2データ!I85,IF($F$20=$S$6,CO2データ!L85,CO2データ!O85))</f>
        <v>16.053999999999998</v>
      </c>
      <c r="I109" s="2466">
        <f>IF(OR($F$20=$R$6,$F$20=$U$6),CO2データ!J85,IF($F$20=$S$6,CO2データ!M85,CO2データ!P85))</f>
        <v>16.053999999999998</v>
      </c>
      <c r="J109" s="2466">
        <f>IF(OR($F$20=$R$6,$F$20=$U$6),CO2データ!K85,IF($F$20=$S$6,CO2データ!N85,CO2データ!Q85))</f>
        <v>16.053999999999998</v>
      </c>
      <c r="K109" s="2186">
        <f t="shared" si="16"/>
        <v>3</v>
      </c>
      <c r="L109" s="2468">
        <f t="shared" si="15"/>
        <v>16.053999999999998</v>
      </c>
      <c r="M109" s="906"/>
      <c r="N109" s="2186">
        <v>3</v>
      </c>
      <c r="O109" s="2469">
        <f>IF(OR($F$20=$R$6,$F$20=$U$6),CO2データ!I83,IF($F$20=$S$6,CO2データ!L83,CO2データ!O83))</f>
        <v>16.053999999999998</v>
      </c>
    </row>
    <row r="110" spans="2:16">
      <c r="B110" s="2168"/>
      <c r="C110" s="2169"/>
      <c r="D110" s="2169"/>
      <c r="E110" s="2174" t="s">
        <v>250</v>
      </c>
      <c r="F110" s="2466" t="e">
        <f t="shared" si="14"/>
        <v>#DIV/0!</v>
      </c>
      <c r="G110" s="906"/>
      <c r="H110" s="2466">
        <f>IF(OR($F$20=$R$6,$F$20=$U$6),CO2データ!I88,IF($F$20=$S$6,CO2データ!L88,CO2データ!O88))</f>
        <v>13.942</v>
      </c>
      <c r="I110" s="2466">
        <f>IF(OR($F$20=$R$6,$F$20=$U$6),CO2データ!J88,IF($F$20=$S$6,CO2データ!M88,CO2データ!P88))</f>
        <v>13.942</v>
      </c>
      <c r="J110" s="2466">
        <f>IF(OR($F$20=$R$6,$F$20=$U$6),CO2データ!K88,IF($F$20=$S$6,CO2データ!N88,CO2データ!Q88))</f>
        <v>13.942</v>
      </c>
      <c r="K110" s="2186">
        <f t="shared" si="16"/>
        <v>3</v>
      </c>
      <c r="L110" s="2468">
        <f t="shared" si="15"/>
        <v>13.942</v>
      </c>
      <c r="M110" s="906"/>
      <c r="N110" s="2186">
        <v>3</v>
      </c>
      <c r="O110" s="2469">
        <f>IF(OR($F$20=$R$6,$F$20=$U$6),CO2データ!I86,IF($F$20=$S$6,CO2データ!L86,CO2データ!O86))</f>
        <v>13.942</v>
      </c>
    </row>
    <row r="111" spans="2:16">
      <c r="B111" s="2168"/>
      <c r="C111" s="2169"/>
      <c r="D111" s="2169"/>
      <c r="E111" s="2174" t="s">
        <v>362</v>
      </c>
      <c r="F111" s="2466" t="e">
        <f t="shared" si="14"/>
        <v>#DIV/0!</v>
      </c>
      <c r="G111" s="906"/>
      <c r="H111" s="2466">
        <f>IF(OR($F$20=$R$6,$F$20=$U$6),CO2データ!I91,IF($F$20=$S$6,CO2データ!L91,CO2データ!O91))</f>
        <v>8.3709999999999987</v>
      </c>
      <c r="I111" s="2466">
        <f>IF(OR($F$20=$R$6,$F$20=$U$6),CO2データ!J91,IF($F$20=$S$6,CO2データ!M91,CO2データ!P91))</f>
        <v>9.7349999999999994</v>
      </c>
      <c r="J111" s="2466">
        <f>IF(OR($F$20=$R$6,$F$20=$U$6),CO2データ!K91,IF($F$20=$S$6,CO2データ!N91,CO2データ!Q91))</f>
        <v>10.863</v>
      </c>
      <c r="K111" s="2186">
        <f t="shared" si="16"/>
        <v>3</v>
      </c>
      <c r="L111" s="2468">
        <f t="shared" si="15"/>
        <v>8.3709999999999987</v>
      </c>
      <c r="M111" s="906"/>
      <c r="N111" s="2186">
        <v>3</v>
      </c>
      <c r="O111" s="2469">
        <f>IF(OR($F$20=$R$6,$F$20=$U$6),CO2データ!I89,IF($F$20=$S$6,CO2データ!L89,CO2データ!O89))</f>
        <v>8.3709999999999987</v>
      </c>
    </row>
    <row r="112" spans="2:16" ht="14.25" thickBot="1">
      <c r="B112" s="2168"/>
      <c r="C112" s="2169"/>
      <c r="D112" s="2169"/>
      <c r="E112" s="2169"/>
      <c r="F112" s="2169"/>
      <c r="G112" s="2169"/>
      <c r="H112" s="2169"/>
      <c r="I112" s="2169"/>
      <c r="J112" s="2169"/>
      <c r="K112" s="2169"/>
      <c r="L112" s="2169"/>
      <c r="M112" s="2169"/>
      <c r="N112" s="2169"/>
      <c r="O112" s="2348"/>
    </row>
    <row r="113" spans="2:18" ht="14.25" thickBot="1">
      <c r="B113" s="2479"/>
      <c r="C113" s="901" t="s">
        <v>1725</v>
      </c>
      <c r="D113" s="909"/>
      <c r="E113" s="2174"/>
      <c r="F113" s="2169"/>
      <c r="G113" s="2169"/>
      <c r="H113" s="2169"/>
      <c r="I113" s="2169"/>
      <c r="J113" s="2169"/>
      <c r="K113" s="2169"/>
      <c r="L113" s="2482" t="e">
        <f>SUMPRODUCT(F103:F111,L103:L111)</f>
        <v>#DIV/0!</v>
      </c>
      <c r="M113" s="2169"/>
      <c r="N113" s="2169"/>
      <c r="O113" s="2482" t="e">
        <f>SUMPRODUCT(F103:F111,O103:O111)</f>
        <v>#DIV/0!</v>
      </c>
    </row>
    <row r="114" spans="2:18">
      <c r="B114" s="2168"/>
      <c r="C114" s="2169"/>
      <c r="D114" s="2169"/>
      <c r="E114" s="2169"/>
      <c r="F114" s="2169"/>
      <c r="G114" s="2169"/>
      <c r="H114" s="2169"/>
      <c r="I114" s="2169"/>
      <c r="J114" s="2169"/>
      <c r="K114" s="2169"/>
      <c r="L114" s="2169"/>
      <c r="M114" s="2169"/>
      <c r="N114" s="2169"/>
      <c r="O114" s="2348"/>
    </row>
    <row r="115" spans="2:18" ht="17.25" thickBot="1">
      <c r="B115" s="897" t="s">
        <v>1598</v>
      </c>
      <c r="C115" s="2169"/>
      <c r="D115" s="2169"/>
      <c r="E115" s="2169"/>
      <c r="F115" s="2169"/>
      <c r="G115" s="2169"/>
      <c r="H115" s="2169"/>
      <c r="I115" s="2169"/>
      <c r="J115" s="2169"/>
      <c r="K115" s="2169"/>
      <c r="L115" s="898" t="s">
        <v>1591</v>
      </c>
      <c r="M115" s="906"/>
      <c r="N115" s="906"/>
      <c r="O115" s="900" t="s">
        <v>1591</v>
      </c>
      <c r="R115" t="s">
        <v>1599</v>
      </c>
    </row>
    <row r="116" spans="2:18" ht="14.25" thickBot="1">
      <c r="B116" s="897"/>
      <c r="C116" s="901" t="s">
        <v>3346</v>
      </c>
      <c r="D116" s="2169"/>
      <c r="E116" s="2169"/>
      <c r="F116" s="2169" t="s">
        <v>320</v>
      </c>
      <c r="G116" s="2169"/>
      <c r="H116" s="2169" t="s">
        <v>1431</v>
      </c>
      <c r="I116" s="2169"/>
      <c r="J116" s="2169" t="s">
        <v>1962</v>
      </c>
      <c r="K116" s="2169"/>
      <c r="L116" s="912">
        <f>SUM(L118:L121)</f>
        <v>0</v>
      </c>
      <c r="M116" s="906"/>
      <c r="N116" s="913" t="s">
        <v>1726</v>
      </c>
      <c r="O116" s="912">
        <f>SUM(O118:O121)</f>
        <v>0</v>
      </c>
    </row>
    <row r="117" spans="2:18">
      <c r="B117" s="897"/>
      <c r="C117" s="901"/>
      <c r="D117" s="2169"/>
      <c r="E117" s="2169"/>
      <c r="F117" s="2501" t="s">
        <v>2490</v>
      </c>
      <c r="G117" s="2169"/>
      <c r="H117" s="894" t="s">
        <v>1433</v>
      </c>
      <c r="I117" s="894" t="s">
        <v>1432</v>
      </c>
      <c r="J117" s="909" t="s">
        <v>1429</v>
      </c>
      <c r="K117" s="2169"/>
      <c r="L117" s="914"/>
      <c r="M117" s="906"/>
      <c r="N117" s="913"/>
      <c r="O117" s="2183"/>
    </row>
    <row r="118" spans="2:18">
      <c r="B118" s="897"/>
      <c r="C118" s="901"/>
      <c r="D118" s="2169"/>
      <c r="E118" s="2169" t="s">
        <v>511</v>
      </c>
      <c r="F118" s="2502">
        <f>計画書!I29</f>
        <v>0</v>
      </c>
      <c r="G118" s="2169"/>
      <c r="H118" s="2502" t="e">
        <f>計画書!Q74+H125</f>
        <v>#DIV/0!</v>
      </c>
      <c r="I118" s="2725"/>
      <c r="J118" s="2367" t="e">
        <f>計画書!L94</f>
        <v>#VALUE!</v>
      </c>
      <c r="K118" s="2169"/>
      <c r="L118" s="914"/>
      <c r="M118" s="906"/>
      <c r="N118" s="913"/>
      <c r="O118" s="2503">
        <f>IF(F118=0,0,H118*J118/F118*1000)</f>
        <v>0</v>
      </c>
    </row>
    <row r="119" spans="2:18" s="2692" customFormat="1">
      <c r="B119" s="897"/>
      <c r="C119" s="901"/>
      <c r="D119" s="2169"/>
      <c r="E119" s="2169"/>
      <c r="F119" s="2169"/>
      <c r="G119" s="2169"/>
      <c r="H119" s="2169"/>
      <c r="I119" s="2502">
        <f>I125+H125</f>
        <v>0</v>
      </c>
      <c r="J119" s="2169"/>
      <c r="K119" s="2169"/>
      <c r="L119" s="2238">
        <f>IF(F118=0,0,L125+(H125*J118)/F118*1000)</f>
        <v>0</v>
      </c>
      <c r="M119" s="906"/>
      <c r="N119" s="913"/>
      <c r="O119" s="2726"/>
    </row>
    <row r="120" spans="2:18">
      <c r="B120" s="897"/>
      <c r="C120" s="901"/>
      <c r="D120" s="2169"/>
      <c r="E120" s="2169" t="s">
        <v>569</v>
      </c>
      <c r="F120" s="2502">
        <f>計画書!N29</f>
        <v>0</v>
      </c>
      <c r="G120" s="2169"/>
      <c r="H120" s="2502">
        <f>計画書!Q108</f>
        <v>0</v>
      </c>
      <c r="I120" s="2502">
        <f>計画書!N108</f>
        <v>0</v>
      </c>
      <c r="J120" s="2367" t="e">
        <f>CO2データ!R168</f>
        <v>#VALUE!</v>
      </c>
      <c r="K120" s="2169"/>
      <c r="L120" s="2238">
        <f>IF(F120=0,0,I120*J120/F120*1000)</f>
        <v>0</v>
      </c>
      <c r="M120" s="906"/>
      <c r="N120" s="913"/>
      <c r="O120" s="2503">
        <f>IF(F120=0,0,H120*J120/F120*1000)</f>
        <v>0</v>
      </c>
    </row>
    <row r="121" spans="2:18">
      <c r="B121" s="897"/>
      <c r="C121" s="901"/>
      <c r="D121" s="2169"/>
      <c r="E121" s="2169" t="s">
        <v>1430</v>
      </c>
      <c r="F121" s="2502">
        <f>計画書!M29</f>
        <v>0</v>
      </c>
      <c r="G121" s="2169"/>
      <c r="H121" s="2502">
        <f>計画書!Q112</f>
        <v>0</v>
      </c>
      <c r="I121" s="2502">
        <f>計画書!N112</f>
        <v>0</v>
      </c>
      <c r="J121" s="2367" t="e">
        <f>CO2データ!R169</f>
        <v>#VALUE!</v>
      </c>
      <c r="K121" s="2169"/>
      <c r="L121" s="2238">
        <f>IF(F121=0,0,I121*J121/F121*1000)</f>
        <v>0</v>
      </c>
      <c r="M121" s="906"/>
      <c r="N121" s="913"/>
      <c r="O121" s="2503">
        <f>IF(F121=0,0,H121*J121/F121*1000)</f>
        <v>0</v>
      </c>
    </row>
    <row r="122" spans="2:18" ht="14.25" thickBot="1">
      <c r="B122" s="897"/>
      <c r="C122" s="2169"/>
      <c r="D122" s="2169"/>
      <c r="E122" s="2169"/>
      <c r="F122" s="2169"/>
      <c r="G122" s="2169"/>
      <c r="H122" s="2169"/>
      <c r="I122" s="2169"/>
      <c r="J122" s="2169"/>
      <c r="K122" s="2169"/>
      <c r="L122" s="898"/>
      <c r="M122" s="906"/>
      <c r="N122" s="906"/>
      <c r="O122" s="900"/>
    </row>
    <row r="123" spans="2:18" ht="14.25" thickBot="1">
      <c r="B123" s="2168"/>
      <c r="C123" s="901" t="s">
        <v>1727</v>
      </c>
      <c r="D123" s="2169"/>
      <c r="E123" s="2169"/>
      <c r="F123" s="2169" t="s">
        <v>320</v>
      </c>
      <c r="G123" s="2169"/>
      <c r="H123" s="2169" t="s">
        <v>1431</v>
      </c>
      <c r="I123" s="2169"/>
      <c r="J123" s="2169" t="s">
        <v>1962</v>
      </c>
      <c r="K123" s="2169"/>
      <c r="L123" s="912">
        <f>SUM(L125:L127)</f>
        <v>0</v>
      </c>
      <c r="M123" s="2169"/>
      <c r="N123" s="2169"/>
      <c r="O123" s="2348"/>
    </row>
    <row r="124" spans="2:18">
      <c r="B124" s="2168"/>
      <c r="C124" s="901"/>
      <c r="D124" s="2169"/>
      <c r="E124" s="2169"/>
      <c r="F124" s="2173" t="s">
        <v>1971</v>
      </c>
      <c r="G124" s="2169"/>
      <c r="H124" s="2504" t="s">
        <v>96</v>
      </c>
      <c r="I124" s="894" t="s">
        <v>1434</v>
      </c>
      <c r="J124" s="909" t="s">
        <v>1429</v>
      </c>
      <c r="K124" s="2169"/>
      <c r="L124" s="2169"/>
      <c r="M124" s="2169"/>
      <c r="N124" s="2169"/>
      <c r="O124" s="2348"/>
    </row>
    <row r="125" spans="2:18">
      <c r="B125" s="2168"/>
      <c r="C125" s="901"/>
      <c r="D125" s="2169"/>
      <c r="E125" s="2169" t="s">
        <v>511</v>
      </c>
      <c r="F125" s="2502">
        <f>F118</f>
        <v>0</v>
      </c>
      <c r="G125" s="2169"/>
      <c r="H125" s="2502">
        <f>計画書!I43</f>
        <v>0</v>
      </c>
      <c r="I125" s="2502">
        <f>計画書!N74</f>
        <v>0</v>
      </c>
      <c r="J125" s="2367" t="e">
        <f>CO2データ!R170</f>
        <v>#VALUE!</v>
      </c>
      <c r="K125" s="2169"/>
      <c r="L125" s="2238">
        <f>IF(F125=0,0,I125*J125/F125*1000)</f>
        <v>0</v>
      </c>
      <c r="M125" s="2169"/>
      <c r="N125" s="2169"/>
      <c r="O125" s="2348"/>
    </row>
    <row r="126" spans="2:18">
      <c r="B126" s="2168"/>
      <c r="C126" s="901"/>
      <c r="D126" s="2169"/>
      <c r="E126" s="2169" t="s">
        <v>569</v>
      </c>
      <c r="F126" s="2502">
        <f>F120</f>
        <v>0</v>
      </c>
      <c r="G126" s="2169"/>
      <c r="H126" s="2502">
        <f>計画書!N43</f>
        <v>0</v>
      </c>
      <c r="I126" s="2502">
        <f>I120-H126</f>
        <v>0</v>
      </c>
      <c r="J126" s="2367" t="e">
        <f>J120</f>
        <v>#VALUE!</v>
      </c>
      <c r="K126" s="2169"/>
      <c r="L126" s="2238">
        <f>IF(F126=0,0,I126*J126/F126*1000)</f>
        <v>0</v>
      </c>
      <c r="M126" s="2169"/>
      <c r="N126" s="2169"/>
      <c r="O126" s="2348"/>
    </row>
    <row r="127" spans="2:18">
      <c r="B127" s="2168"/>
      <c r="C127" s="901"/>
      <c r="D127" s="2169"/>
      <c r="E127" s="2169" t="s">
        <v>1430</v>
      </c>
      <c r="F127" s="2502">
        <f>F121</f>
        <v>0</v>
      </c>
      <c r="G127" s="2169"/>
      <c r="H127" s="2502">
        <f>計画書!M43</f>
        <v>0</v>
      </c>
      <c r="I127" s="2502">
        <f>I121-H127</f>
        <v>0</v>
      </c>
      <c r="J127" s="2367" t="e">
        <f>J121</f>
        <v>#VALUE!</v>
      </c>
      <c r="K127" s="2169"/>
      <c r="L127" s="2238">
        <f>IF(F127=0,0,I127*J127/F127*1000)</f>
        <v>0</v>
      </c>
      <c r="M127" s="2169"/>
      <c r="N127" s="2169"/>
      <c r="O127" s="2348"/>
    </row>
    <row r="128" spans="2:18">
      <c r="B128" s="2168"/>
      <c r="C128" s="901"/>
      <c r="D128" s="2169"/>
      <c r="E128" s="2169"/>
      <c r="F128" s="2169"/>
      <c r="G128" s="2169"/>
      <c r="H128" s="2169"/>
      <c r="I128" s="2169"/>
      <c r="J128" s="2169"/>
      <c r="K128" s="2169"/>
      <c r="L128" s="2169"/>
      <c r="M128" s="2169"/>
      <c r="N128" s="2169"/>
      <c r="O128" s="2348"/>
    </row>
    <row r="129" spans="2:15" hidden="1">
      <c r="B129" s="2168"/>
      <c r="C129" s="901"/>
      <c r="D129" s="2169"/>
      <c r="E129" s="2169"/>
      <c r="F129" s="2169" t="s">
        <v>1789</v>
      </c>
      <c r="G129" s="2169"/>
      <c r="H129" s="2502"/>
      <c r="I129" s="2367"/>
      <c r="J129" s="2329"/>
      <c r="K129" s="2169"/>
      <c r="L129" s="2169"/>
      <c r="M129" s="2169"/>
      <c r="N129" s="2169"/>
      <c r="O129" s="2348"/>
    </row>
    <row r="130" spans="2:15" hidden="1">
      <c r="B130" s="2168"/>
      <c r="C130" s="901"/>
      <c r="D130" s="2169"/>
      <c r="E130" s="2169"/>
      <c r="F130" s="2169"/>
      <c r="G130" s="2169"/>
      <c r="H130" s="906"/>
      <c r="I130" s="2169"/>
      <c r="J130" s="2169"/>
      <c r="K130" s="2169"/>
      <c r="L130" s="2332"/>
      <c r="M130" s="2169"/>
      <c r="N130" s="2169"/>
      <c r="O130" s="2348"/>
    </row>
    <row r="131" spans="2:15" ht="16.5">
      <c r="B131" s="897" t="s">
        <v>1600</v>
      </c>
      <c r="C131" s="906"/>
      <c r="D131" s="909"/>
      <c r="E131" s="906"/>
      <c r="F131" s="899"/>
      <c r="G131" s="906"/>
      <c r="H131" s="906"/>
      <c r="I131" s="906"/>
      <c r="J131" s="906"/>
      <c r="K131" s="2505"/>
      <c r="L131" s="898" t="s">
        <v>1591</v>
      </c>
      <c r="M131" s="906"/>
      <c r="N131" s="906"/>
      <c r="O131" s="900" t="s">
        <v>1591</v>
      </c>
    </row>
    <row r="132" spans="2:15">
      <c r="B132" s="2172"/>
      <c r="C132" s="906"/>
      <c r="D132" s="909"/>
      <c r="E132" s="906"/>
      <c r="F132" s="899"/>
      <c r="G132" s="906"/>
      <c r="H132" s="906"/>
      <c r="I132" s="906"/>
      <c r="J132" s="906"/>
      <c r="K132" s="2505"/>
      <c r="L132" s="905" t="s">
        <v>248</v>
      </c>
      <c r="M132" s="906"/>
      <c r="N132" s="917"/>
      <c r="O132" s="907" t="s">
        <v>248</v>
      </c>
    </row>
    <row r="133" spans="2:15">
      <c r="B133" s="2172"/>
      <c r="C133" s="918" t="s">
        <v>571</v>
      </c>
      <c r="D133" s="919"/>
      <c r="E133" s="919"/>
      <c r="F133" s="920"/>
      <c r="G133" s="906"/>
      <c r="H133" s="906"/>
      <c r="I133" s="906"/>
      <c r="J133" s="906"/>
      <c r="K133" s="2505"/>
      <c r="L133" s="921" t="e">
        <f>L24</f>
        <v>#DIV/0!</v>
      </c>
      <c r="M133" s="906"/>
      <c r="N133" s="906"/>
      <c r="O133" s="922" t="e">
        <f>O24</f>
        <v>#DIV/0!</v>
      </c>
    </row>
    <row r="134" spans="2:15">
      <c r="B134" s="2172"/>
      <c r="C134" s="918" t="s">
        <v>1790</v>
      </c>
      <c r="D134" s="919"/>
      <c r="E134" s="919"/>
      <c r="F134" s="920"/>
      <c r="G134" s="906"/>
      <c r="H134" s="906"/>
      <c r="I134" s="906"/>
      <c r="J134" s="906"/>
      <c r="K134" s="2505"/>
      <c r="L134" s="921" t="e">
        <f>L113</f>
        <v>#DIV/0!</v>
      </c>
      <c r="M134" s="906"/>
      <c r="N134" s="906"/>
      <c r="O134" s="922" t="e">
        <f>O113</f>
        <v>#DIV/0!</v>
      </c>
    </row>
    <row r="135" spans="2:15">
      <c r="B135" s="2172"/>
      <c r="C135" s="918" t="s">
        <v>573</v>
      </c>
      <c r="D135" s="919"/>
      <c r="E135" s="919"/>
      <c r="F135" s="920"/>
      <c r="G135" s="906"/>
      <c r="H135" s="906"/>
      <c r="I135" s="906"/>
      <c r="J135" s="906"/>
      <c r="K135" s="2505"/>
      <c r="L135" s="923">
        <f>L123</f>
        <v>0</v>
      </c>
      <c r="M135" s="906"/>
      <c r="N135" s="906"/>
      <c r="O135" s="924">
        <f>O116</f>
        <v>0</v>
      </c>
    </row>
    <row r="136" spans="2:15" ht="14.25" thickBot="1">
      <c r="B136" s="2357"/>
      <c r="C136" s="925" t="s">
        <v>366</v>
      </c>
      <c r="D136" s="926"/>
      <c r="E136" s="927"/>
      <c r="F136" s="928"/>
      <c r="G136" s="2358"/>
      <c r="H136" s="2358"/>
      <c r="I136" s="2358"/>
      <c r="J136" s="2358"/>
      <c r="K136" s="2358"/>
      <c r="L136" s="929" t="e">
        <f>IF(COUNTIF(L133:L135,$R$115)&gt;0,$R$115,SUM(L133:L135))</f>
        <v>#DIV/0!</v>
      </c>
      <c r="M136" s="930"/>
      <c r="N136" s="930"/>
      <c r="O136" s="931" t="e">
        <f>IF(COUNTIF(O133:O135,$R$115)&gt;0,$R$115,SUM(O133:O135))</f>
        <v>#DIV/0!</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row r="184"/>
    <row r="185"/>
    <row r="186"/>
  </sheetData>
  <sheetProtection password="CC47" sheet="1" objects="1" scenarios="1"/>
  <mergeCells count="5">
    <mergeCell ref="L2:M2"/>
    <mergeCell ref="N2:O2"/>
    <mergeCell ref="L3:M3"/>
    <mergeCell ref="B3:E3"/>
    <mergeCell ref="N3:O3"/>
  </mergeCells>
  <phoneticPr fontId="21"/>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2" orientation="portrait" verticalDpi="300" r:id="rId1"/>
  <headerFooter alignWithMargins="0">
    <oddHeader>&amp;L&amp;F&amp;R&amp;A</oddHeader>
    <oddFooter>&amp;C&amp;P/&amp;N</oddFooter>
  </headerFooter>
</worksheet>
</file>

<file path=xl/worksheets/sheet15.xml><?xml version="1.0" encoding="utf-8"?>
<worksheet xmlns="http://schemas.openxmlformats.org/spreadsheetml/2006/main" xmlns:r="http://schemas.openxmlformats.org/officeDocument/2006/relationships">
  <sheetPr>
    <pageSetUpPr fitToPage="1"/>
  </sheetPr>
  <dimension ref="A1:WVX122"/>
  <sheetViews>
    <sheetView showGridLines="0" topLeftCell="A79" zoomScaleNormal="100" zoomScaleSheetLayoutView="85" workbookViewId="0">
      <selection activeCell="J99" activeCellId="7" sqref="I31:N32 C36:N37 C43:N44 C56:N57 C62:N63 C72:N73 C79:N80 J99:J100"/>
    </sheetView>
  </sheetViews>
  <sheetFormatPr defaultColWidth="0" defaultRowHeight="12" customHeight="1" zeroHeight="1"/>
  <cols>
    <col min="1" max="1" width="2.875" style="3136" customWidth="1"/>
    <col min="2" max="2" width="2.625" style="3136" customWidth="1"/>
    <col min="3" max="3" width="18" style="3136" customWidth="1"/>
    <col min="4" max="4" width="12.5" style="3136" customWidth="1"/>
    <col min="5" max="5" width="9.25" style="3136" customWidth="1"/>
    <col min="6" max="6" width="6.875" style="3136" customWidth="1"/>
    <col min="7" max="7" width="5.125" style="3136" customWidth="1"/>
    <col min="8" max="8" width="7.375" style="3136" customWidth="1"/>
    <col min="9" max="9" width="11" style="3136" customWidth="1"/>
    <col min="10" max="10" width="12.375" style="3136" customWidth="1"/>
    <col min="11" max="11" width="12.625" style="3136" customWidth="1"/>
    <col min="12" max="12" width="12.375" style="3136" customWidth="1"/>
    <col min="13" max="13" width="5.25" style="3136" customWidth="1"/>
    <col min="14" max="14" width="7.5" style="3136" customWidth="1"/>
    <col min="15" max="16" width="1.875" style="3136" customWidth="1"/>
    <col min="17" max="17" width="8.375" style="1517" hidden="1" customWidth="1"/>
    <col min="18" max="18" width="6.625" style="1517" hidden="1" customWidth="1"/>
    <col min="19" max="19" width="6.875" style="3136" hidden="1" customWidth="1"/>
    <col min="20" max="20" width="10.875" style="3136" hidden="1" customWidth="1"/>
    <col min="21" max="209" width="10.625" style="3136" hidden="1" customWidth="1"/>
    <col min="210" max="257" width="9" style="3136" hidden="1" customWidth="1"/>
    <col min="258" max="258" width="2.875" style="3136" hidden="1" customWidth="1"/>
    <col min="259" max="259" width="2.625" style="3136" hidden="1" customWidth="1"/>
    <col min="260" max="260" width="18" style="3136" hidden="1" customWidth="1"/>
    <col min="261" max="261" width="12.5" style="3136" hidden="1" customWidth="1"/>
    <col min="262" max="262" width="9.25" style="3136" hidden="1" customWidth="1"/>
    <col min="263" max="263" width="6.875" style="3136" hidden="1" customWidth="1"/>
    <col min="264" max="264" width="5.125" style="3136" hidden="1" customWidth="1"/>
    <col min="265" max="265" width="7.375" style="3136" hidden="1" customWidth="1"/>
    <col min="266" max="266" width="11" style="3136" hidden="1" customWidth="1"/>
    <col min="267" max="267" width="12.375" style="3136" hidden="1" customWidth="1"/>
    <col min="268" max="268" width="12.625" style="3136" hidden="1" customWidth="1"/>
    <col min="269" max="269" width="12.375" style="3136" hidden="1" customWidth="1"/>
    <col min="270" max="270" width="5.25" style="3136" hidden="1" customWidth="1"/>
    <col min="271" max="271" width="7.5" style="3136" hidden="1" customWidth="1"/>
    <col min="272" max="272" width="1.875" style="3136" hidden="1" customWidth="1"/>
    <col min="273" max="465" width="9" style="3136" hidden="1" customWidth="1"/>
    <col min="466" max="513" width="9" style="3136" hidden="1"/>
    <col min="514" max="514" width="2.875" style="3136" hidden="1" customWidth="1"/>
    <col min="515" max="515" width="2.625" style="3136" hidden="1" customWidth="1"/>
    <col min="516" max="516" width="18" style="3136" hidden="1" customWidth="1"/>
    <col min="517" max="517" width="12.5" style="3136" hidden="1" customWidth="1"/>
    <col min="518" max="518" width="9.25" style="3136" hidden="1" customWidth="1"/>
    <col min="519" max="519" width="6.875" style="3136" hidden="1" customWidth="1"/>
    <col min="520" max="520" width="5.125" style="3136" hidden="1" customWidth="1"/>
    <col min="521" max="521" width="7.375" style="3136" hidden="1" customWidth="1"/>
    <col min="522" max="522" width="11" style="3136" hidden="1" customWidth="1"/>
    <col min="523" max="523" width="12.375" style="3136" hidden="1" customWidth="1"/>
    <col min="524" max="524" width="12.625" style="3136" hidden="1" customWidth="1"/>
    <col min="525" max="525" width="12.375" style="3136" hidden="1" customWidth="1"/>
    <col min="526" max="526" width="5.25" style="3136" hidden="1" customWidth="1"/>
    <col min="527" max="527" width="7.5" style="3136" hidden="1" customWidth="1"/>
    <col min="528" max="528" width="1.875" style="3136" hidden="1" customWidth="1"/>
    <col min="529" max="721" width="9" style="3136" hidden="1" customWidth="1"/>
    <col min="722" max="769" width="9" style="3136" hidden="1"/>
    <col min="770" max="770" width="2.875" style="3136" hidden="1" customWidth="1"/>
    <col min="771" max="771" width="2.625" style="3136" hidden="1" customWidth="1"/>
    <col min="772" max="772" width="18" style="3136" hidden="1" customWidth="1"/>
    <col min="773" max="773" width="12.5" style="3136" hidden="1" customWidth="1"/>
    <col min="774" max="774" width="9.25" style="3136" hidden="1" customWidth="1"/>
    <col min="775" max="775" width="6.875" style="3136" hidden="1" customWidth="1"/>
    <col min="776" max="776" width="5.125" style="3136" hidden="1" customWidth="1"/>
    <col min="777" max="777" width="7.375" style="3136" hidden="1" customWidth="1"/>
    <col min="778" max="778" width="11" style="3136" hidden="1" customWidth="1"/>
    <col min="779" max="779" width="12.375" style="3136" hidden="1" customWidth="1"/>
    <col min="780" max="780" width="12.625" style="3136" hidden="1" customWidth="1"/>
    <col min="781" max="781" width="12.375" style="3136" hidden="1" customWidth="1"/>
    <col min="782" max="782" width="5.25" style="3136" hidden="1" customWidth="1"/>
    <col min="783" max="783" width="7.5" style="3136" hidden="1" customWidth="1"/>
    <col min="784" max="784" width="1.875" style="3136" hidden="1" customWidth="1"/>
    <col min="785" max="977" width="9" style="3136" hidden="1" customWidth="1"/>
    <col min="978" max="1025" width="9" style="3136" hidden="1"/>
    <col min="1026" max="1026" width="2.875" style="3136" hidden="1" customWidth="1"/>
    <col min="1027" max="1027" width="2.625" style="3136" hidden="1" customWidth="1"/>
    <col min="1028" max="1028" width="18" style="3136" hidden="1" customWidth="1"/>
    <col min="1029" max="1029" width="12.5" style="3136" hidden="1" customWidth="1"/>
    <col min="1030" max="1030" width="9.25" style="3136" hidden="1" customWidth="1"/>
    <col min="1031" max="1031" width="6.875" style="3136" hidden="1" customWidth="1"/>
    <col min="1032" max="1032" width="5.125" style="3136" hidden="1" customWidth="1"/>
    <col min="1033" max="1033" width="7.375" style="3136" hidden="1" customWidth="1"/>
    <col min="1034" max="1034" width="11" style="3136" hidden="1" customWidth="1"/>
    <col min="1035" max="1035" width="12.375" style="3136" hidden="1" customWidth="1"/>
    <col min="1036" max="1036" width="12.625" style="3136" hidden="1" customWidth="1"/>
    <col min="1037" max="1037" width="12.375" style="3136" hidden="1" customWidth="1"/>
    <col min="1038" max="1038" width="5.25" style="3136" hidden="1" customWidth="1"/>
    <col min="1039" max="1039" width="7.5" style="3136" hidden="1" customWidth="1"/>
    <col min="1040" max="1040" width="1.875" style="3136" hidden="1" customWidth="1"/>
    <col min="1041" max="1233" width="9" style="3136" hidden="1" customWidth="1"/>
    <col min="1234" max="1281" width="9" style="3136" hidden="1"/>
    <col min="1282" max="1282" width="2.875" style="3136" hidden="1" customWidth="1"/>
    <col min="1283" max="1283" width="2.625" style="3136" hidden="1" customWidth="1"/>
    <col min="1284" max="1284" width="18" style="3136" hidden="1" customWidth="1"/>
    <col min="1285" max="1285" width="12.5" style="3136" hidden="1" customWidth="1"/>
    <col min="1286" max="1286" width="9.25" style="3136" hidden="1" customWidth="1"/>
    <col min="1287" max="1287" width="6.875" style="3136" hidden="1" customWidth="1"/>
    <col min="1288" max="1288" width="5.125" style="3136" hidden="1" customWidth="1"/>
    <col min="1289" max="1289" width="7.375" style="3136" hidden="1" customWidth="1"/>
    <col min="1290" max="1290" width="11" style="3136" hidden="1" customWidth="1"/>
    <col min="1291" max="1291" width="12.375" style="3136" hidden="1" customWidth="1"/>
    <col min="1292" max="1292" width="12.625" style="3136" hidden="1" customWidth="1"/>
    <col min="1293" max="1293" width="12.375" style="3136" hidden="1" customWidth="1"/>
    <col min="1294" max="1294" width="5.25" style="3136" hidden="1" customWidth="1"/>
    <col min="1295" max="1295" width="7.5" style="3136" hidden="1" customWidth="1"/>
    <col min="1296" max="1296" width="1.875" style="3136" hidden="1" customWidth="1"/>
    <col min="1297" max="1489" width="9" style="3136" hidden="1" customWidth="1"/>
    <col min="1490" max="1537" width="9" style="3136" hidden="1"/>
    <col min="1538" max="1538" width="2.875" style="3136" hidden="1" customWidth="1"/>
    <col min="1539" max="1539" width="2.625" style="3136" hidden="1" customWidth="1"/>
    <col min="1540" max="1540" width="18" style="3136" hidden="1" customWidth="1"/>
    <col min="1541" max="1541" width="12.5" style="3136" hidden="1" customWidth="1"/>
    <col min="1542" max="1542" width="9.25" style="3136" hidden="1" customWidth="1"/>
    <col min="1543" max="1543" width="6.875" style="3136" hidden="1" customWidth="1"/>
    <col min="1544" max="1544" width="5.125" style="3136" hidden="1" customWidth="1"/>
    <col min="1545" max="1545" width="7.375" style="3136" hidden="1" customWidth="1"/>
    <col min="1546" max="1546" width="11" style="3136" hidden="1" customWidth="1"/>
    <col min="1547" max="1547" width="12.375" style="3136" hidden="1" customWidth="1"/>
    <col min="1548" max="1548" width="12.625" style="3136" hidden="1" customWidth="1"/>
    <col min="1549" max="1549" width="12.375" style="3136" hidden="1" customWidth="1"/>
    <col min="1550" max="1550" width="5.25" style="3136" hidden="1" customWidth="1"/>
    <col min="1551" max="1551" width="7.5" style="3136" hidden="1" customWidth="1"/>
    <col min="1552" max="1552" width="1.875" style="3136" hidden="1" customWidth="1"/>
    <col min="1553" max="1745" width="9" style="3136" hidden="1" customWidth="1"/>
    <col min="1746" max="1793" width="9" style="3136" hidden="1"/>
    <col min="1794" max="1794" width="2.875" style="3136" hidden="1" customWidth="1"/>
    <col min="1795" max="1795" width="2.625" style="3136" hidden="1" customWidth="1"/>
    <col min="1796" max="1796" width="18" style="3136" hidden="1" customWidth="1"/>
    <col min="1797" max="1797" width="12.5" style="3136" hidden="1" customWidth="1"/>
    <col min="1798" max="1798" width="9.25" style="3136" hidden="1" customWidth="1"/>
    <col min="1799" max="1799" width="6.875" style="3136" hidden="1" customWidth="1"/>
    <col min="1800" max="1800" width="5.125" style="3136" hidden="1" customWidth="1"/>
    <col min="1801" max="1801" width="7.375" style="3136" hidden="1" customWidth="1"/>
    <col min="1802" max="1802" width="11" style="3136" hidden="1" customWidth="1"/>
    <col min="1803" max="1803" width="12.375" style="3136" hidden="1" customWidth="1"/>
    <col min="1804" max="1804" width="12.625" style="3136" hidden="1" customWidth="1"/>
    <col min="1805" max="1805" width="12.375" style="3136" hidden="1" customWidth="1"/>
    <col min="1806" max="1806" width="5.25" style="3136" hidden="1" customWidth="1"/>
    <col min="1807" max="1807" width="7.5" style="3136" hidden="1" customWidth="1"/>
    <col min="1808" max="1808" width="1.875" style="3136" hidden="1" customWidth="1"/>
    <col min="1809" max="2001" width="9" style="3136" hidden="1" customWidth="1"/>
    <col min="2002" max="2049" width="9" style="3136" hidden="1"/>
    <col min="2050" max="2050" width="2.875" style="3136" hidden="1" customWidth="1"/>
    <col min="2051" max="2051" width="2.625" style="3136" hidden="1" customWidth="1"/>
    <col min="2052" max="2052" width="18" style="3136" hidden="1" customWidth="1"/>
    <col min="2053" max="2053" width="12.5" style="3136" hidden="1" customWidth="1"/>
    <col min="2054" max="2054" width="9.25" style="3136" hidden="1" customWidth="1"/>
    <col min="2055" max="2055" width="6.875" style="3136" hidden="1" customWidth="1"/>
    <col min="2056" max="2056" width="5.125" style="3136" hidden="1" customWidth="1"/>
    <col min="2057" max="2057" width="7.375" style="3136" hidden="1" customWidth="1"/>
    <col min="2058" max="2058" width="11" style="3136" hidden="1" customWidth="1"/>
    <col min="2059" max="2059" width="12.375" style="3136" hidden="1" customWidth="1"/>
    <col min="2060" max="2060" width="12.625" style="3136" hidden="1" customWidth="1"/>
    <col min="2061" max="2061" width="12.375" style="3136" hidden="1" customWidth="1"/>
    <col min="2062" max="2062" width="5.25" style="3136" hidden="1" customWidth="1"/>
    <col min="2063" max="2063" width="7.5" style="3136" hidden="1" customWidth="1"/>
    <col min="2064" max="2064" width="1.875" style="3136" hidden="1" customWidth="1"/>
    <col min="2065" max="2257" width="9" style="3136" hidden="1" customWidth="1"/>
    <col min="2258" max="2305" width="9" style="3136" hidden="1"/>
    <col min="2306" max="2306" width="2.875" style="3136" hidden="1" customWidth="1"/>
    <col min="2307" max="2307" width="2.625" style="3136" hidden="1" customWidth="1"/>
    <col min="2308" max="2308" width="18" style="3136" hidden="1" customWidth="1"/>
    <col min="2309" max="2309" width="12.5" style="3136" hidden="1" customWidth="1"/>
    <col min="2310" max="2310" width="9.25" style="3136" hidden="1" customWidth="1"/>
    <col min="2311" max="2311" width="6.875" style="3136" hidden="1" customWidth="1"/>
    <col min="2312" max="2312" width="5.125" style="3136" hidden="1" customWidth="1"/>
    <col min="2313" max="2313" width="7.375" style="3136" hidden="1" customWidth="1"/>
    <col min="2314" max="2314" width="11" style="3136" hidden="1" customWidth="1"/>
    <col min="2315" max="2315" width="12.375" style="3136" hidden="1" customWidth="1"/>
    <col min="2316" max="2316" width="12.625" style="3136" hidden="1" customWidth="1"/>
    <col min="2317" max="2317" width="12.375" style="3136" hidden="1" customWidth="1"/>
    <col min="2318" max="2318" width="5.25" style="3136" hidden="1" customWidth="1"/>
    <col min="2319" max="2319" width="7.5" style="3136" hidden="1" customWidth="1"/>
    <col min="2320" max="2320" width="1.875" style="3136" hidden="1" customWidth="1"/>
    <col min="2321" max="2513" width="9" style="3136" hidden="1" customWidth="1"/>
    <col min="2514" max="2561" width="9" style="3136" hidden="1"/>
    <col min="2562" max="2562" width="2.875" style="3136" hidden="1" customWidth="1"/>
    <col min="2563" max="2563" width="2.625" style="3136" hidden="1" customWidth="1"/>
    <col min="2564" max="2564" width="18" style="3136" hidden="1" customWidth="1"/>
    <col min="2565" max="2565" width="12.5" style="3136" hidden="1" customWidth="1"/>
    <col min="2566" max="2566" width="9.25" style="3136" hidden="1" customWidth="1"/>
    <col min="2567" max="2567" width="6.875" style="3136" hidden="1" customWidth="1"/>
    <col min="2568" max="2568" width="5.125" style="3136" hidden="1" customWidth="1"/>
    <col min="2569" max="2569" width="7.375" style="3136" hidden="1" customWidth="1"/>
    <col min="2570" max="2570" width="11" style="3136" hidden="1" customWidth="1"/>
    <col min="2571" max="2571" width="12.375" style="3136" hidden="1" customWidth="1"/>
    <col min="2572" max="2572" width="12.625" style="3136" hidden="1" customWidth="1"/>
    <col min="2573" max="2573" width="12.375" style="3136" hidden="1" customWidth="1"/>
    <col min="2574" max="2574" width="5.25" style="3136" hidden="1" customWidth="1"/>
    <col min="2575" max="2575" width="7.5" style="3136" hidden="1" customWidth="1"/>
    <col min="2576" max="2576" width="1.875" style="3136" hidden="1" customWidth="1"/>
    <col min="2577" max="2769" width="9" style="3136" hidden="1" customWidth="1"/>
    <col min="2770" max="2817" width="9" style="3136" hidden="1"/>
    <col min="2818" max="2818" width="2.875" style="3136" hidden="1" customWidth="1"/>
    <col min="2819" max="2819" width="2.625" style="3136" hidden="1" customWidth="1"/>
    <col min="2820" max="2820" width="18" style="3136" hidden="1" customWidth="1"/>
    <col min="2821" max="2821" width="12.5" style="3136" hidden="1" customWidth="1"/>
    <col min="2822" max="2822" width="9.25" style="3136" hidden="1" customWidth="1"/>
    <col min="2823" max="2823" width="6.875" style="3136" hidden="1" customWidth="1"/>
    <col min="2824" max="2824" width="5.125" style="3136" hidden="1" customWidth="1"/>
    <col min="2825" max="2825" width="7.375" style="3136" hidden="1" customWidth="1"/>
    <col min="2826" max="2826" width="11" style="3136" hidden="1" customWidth="1"/>
    <col min="2827" max="2827" width="12.375" style="3136" hidden="1" customWidth="1"/>
    <col min="2828" max="2828" width="12.625" style="3136" hidden="1" customWidth="1"/>
    <col min="2829" max="2829" width="12.375" style="3136" hidden="1" customWidth="1"/>
    <col min="2830" max="2830" width="5.25" style="3136" hidden="1" customWidth="1"/>
    <col min="2831" max="2831" width="7.5" style="3136" hidden="1" customWidth="1"/>
    <col min="2832" max="2832" width="1.875" style="3136" hidden="1" customWidth="1"/>
    <col min="2833" max="3025" width="9" style="3136" hidden="1" customWidth="1"/>
    <col min="3026" max="3073" width="9" style="3136" hidden="1"/>
    <col min="3074" max="3074" width="2.875" style="3136" hidden="1" customWidth="1"/>
    <col min="3075" max="3075" width="2.625" style="3136" hidden="1" customWidth="1"/>
    <col min="3076" max="3076" width="18" style="3136" hidden="1" customWidth="1"/>
    <col min="3077" max="3077" width="12.5" style="3136" hidden="1" customWidth="1"/>
    <col min="3078" max="3078" width="9.25" style="3136" hidden="1" customWidth="1"/>
    <col min="3079" max="3079" width="6.875" style="3136" hidden="1" customWidth="1"/>
    <col min="3080" max="3080" width="5.125" style="3136" hidden="1" customWidth="1"/>
    <col min="3081" max="3081" width="7.375" style="3136" hidden="1" customWidth="1"/>
    <col min="3082" max="3082" width="11" style="3136" hidden="1" customWidth="1"/>
    <col min="3083" max="3083" width="12.375" style="3136" hidden="1" customWidth="1"/>
    <col min="3084" max="3084" width="12.625" style="3136" hidden="1" customWidth="1"/>
    <col min="3085" max="3085" width="12.375" style="3136" hidden="1" customWidth="1"/>
    <col min="3086" max="3086" width="5.25" style="3136" hidden="1" customWidth="1"/>
    <col min="3087" max="3087" width="7.5" style="3136" hidden="1" customWidth="1"/>
    <col min="3088" max="3088" width="1.875" style="3136" hidden="1" customWidth="1"/>
    <col min="3089" max="3281" width="9" style="3136" hidden="1" customWidth="1"/>
    <col min="3282" max="3329" width="9" style="3136" hidden="1"/>
    <col min="3330" max="3330" width="2.875" style="3136" hidden="1" customWidth="1"/>
    <col min="3331" max="3331" width="2.625" style="3136" hidden="1" customWidth="1"/>
    <col min="3332" max="3332" width="18" style="3136" hidden="1" customWidth="1"/>
    <col min="3333" max="3333" width="12.5" style="3136" hidden="1" customWidth="1"/>
    <col min="3334" max="3334" width="9.25" style="3136" hidden="1" customWidth="1"/>
    <col min="3335" max="3335" width="6.875" style="3136" hidden="1" customWidth="1"/>
    <col min="3336" max="3336" width="5.125" style="3136" hidden="1" customWidth="1"/>
    <col min="3337" max="3337" width="7.375" style="3136" hidden="1" customWidth="1"/>
    <col min="3338" max="3338" width="11" style="3136" hidden="1" customWidth="1"/>
    <col min="3339" max="3339" width="12.375" style="3136" hidden="1" customWidth="1"/>
    <col min="3340" max="3340" width="12.625" style="3136" hidden="1" customWidth="1"/>
    <col min="3341" max="3341" width="12.375" style="3136" hidden="1" customWidth="1"/>
    <col min="3342" max="3342" width="5.25" style="3136" hidden="1" customWidth="1"/>
    <col min="3343" max="3343" width="7.5" style="3136" hidden="1" customWidth="1"/>
    <col min="3344" max="3344" width="1.875" style="3136" hidden="1" customWidth="1"/>
    <col min="3345" max="3537" width="9" style="3136" hidden="1" customWidth="1"/>
    <col min="3538" max="3585" width="9" style="3136" hidden="1"/>
    <col min="3586" max="3586" width="2.875" style="3136" hidden="1" customWidth="1"/>
    <col min="3587" max="3587" width="2.625" style="3136" hidden="1" customWidth="1"/>
    <col min="3588" max="3588" width="18" style="3136" hidden="1" customWidth="1"/>
    <col min="3589" max="3589" width="12.5" style="3136" hidden="1" customWidth="1"/>
    <col min="3590" max="3590" width="9.25" style="3136" hidden="1" customWidth="1"/>
    <col min="3591" max="3591" width="6.875" style="3136" hidden="1" customWidth="1"/>
    <col min="3592" max="3592" width="5.125" style="3136" hidden="1" customWidth="1"/>
    <col min="3593" max="3593" width="7.375" style="3136" hidden="1" customWidth="1"/>
    <col min="3594" max="3594" width="11" style="3136" hidden="1" customWidth="1"/>
    <col min="3595" max="3595" width="12.375" style="3136" hidden="1" customWidth="1"/>
    <col min="3596" max="3596" width="12.625" style="3136" hidden="1" customWidth="1"/>
    <col min="3597" max="3597" width="12.375" style="3136" hidden="1" customWidth="1"/>
    <col min="3598" max="3598" width="5.25" style="3136" hidden="1" customWidth="1"/>
    <col min="3599" max="3599" width="7.5" style="3136" hidden="1" customWidth="1"/>
    <col min="3600" max="3600" width="1.875" style="3136" hidden="1" customWidth="1"/>
    <col min="3601" max="3793" width="9" style="3136" hidden="1" customWidth="1"/>
    <col min="3794" max="3841" width="9" style="3136" hidden="1"/>
    <col min="3842" max="3842" width="2.875" style="3136" hidden="1" customWidth="1"/>
    <col min="3843" max="3843" width="2.625" style="3136" hidden="1" customWidth="1"/>
    <col min="3844" max="3844" width="18" style="3136" hidden="1" customWidth="1"/>
    <col min="3845" max="3845" width="12.5" style="3136" hidden="1" customWidth="1"/>
    <col min="3846" max="3846" width="9.25" style="3136" hidden="1" customWidth="1"/>
    <col min="3847" max="3847" width="6.875" style="3136" hidden="1" customWidth="1"/>
    <col min="3848" max="3848" width="5.125" style="3136" hidden="1" customWidth="1"/>
    <col min="3849" max="3849" width="7.375" style="3136" hidden="1" customWidth="1"/>
    <col min="3850" max="3850" width="11" style="3136" hidden="1" customWidth="1"/>
    <col min="3851" max="3851" width="12.375" style="3136" hidden="1" customWidth="1"/>
    <col min="3852" max="3852" width="12.625" style="3136" hidden="1" customWidth="1"/>
    <col min="3853" max="3853" width="12.375" style="3136" hidden="1" customWidth="1"/>
    <col min="3854" max="3854" width="5.25" style="3136" hidden="1" customWidth="1"/>
    <col min="3855" max="3855" width="7.5" style="3136" hidden="1" customWidth="1"/>
    <col min="3856" max="3856" width="1.875" style="3136" hidden="1" customWidth="1"/>
    <col min="3857" max="4049" width="9" style="3136" hidden="1" customWidth="1"/>
    <col min="4050" max="4097" width="9" style="3136" hidden="1"/>
    <col min="4098" max="4098" width="2.875" style="3136" hidden="1" customWidth="1"/>
    <col min="4099" max="4099" width="2.625" style="3136" hidden="1" customWidth="1"/>
    <col min="4100" max="4100" width="18" style="3136" hidden="1" customWidth="1"/>
    <col min="4101" max="4101" width="12.5" style="3136" hidden="1" customWidth="1"/>
    <col min="4102" max="4102" width="9.25" style="3136" hidden="1" customWidth="1"/>
    <col min="4103" max="4103" width="6.875" style="3136" hidden="1" customWidth="1"/>
    <col min="4104" max="4104" width="5.125" style="3136" hidden="1" customWidth="1"/>
    <col min="4105" max="4105" width="7.375" style="3136" hidden="1" customWidth="1"/>
    <col min="4106" max="4106" width="11" style="3136" hidden="1" customWidth="1"/>
    <col min="4107" max="4107" width="12.375" style="3136" hidden="1" customWidth="1"/>
    <col min="4108" max="4108" width="12.625" style="3136" hidden="1" customWidth="1"/>
    <col min="4109" max="4109" width="12.375" style="3136" hidden="1" customWidth="1"/>
    <col min="4110" max="4110" width="5.25" style="3136" hidden="1" customWidth="1"/>
    <col min="4111" max="4111" width="7.5" style="3136" hidden="1" customWidth="1"/>
    <col min="4112" max="4112" width="1.875" style="3136" hidden="1" customWidth="1"/>
    <col min="4113" max="4305" width="9" style="3136" hidden="1" customWidth="1"/>
    <col min="4306" max="4353" width="9" style="3136" hidden="1"/>
    <col min="4354" max="4354" width="2.875" style="3136" hidden="1" customWidth="1"/>
    <col min="4355" max="4355" width="2.625" style="3136" hidden="1" customWidth="1"/>
    <col min="4356" max="4356" width="18" style="3136" hidden="1" customWidth="1"/>
    <col min="4357" max="4357" width="12.5" style="3136" hidden="1" customWidth="1"/>
    <col min="4358" max="4358" width="9.25" style="3136" hidden="1" customWidth="1"/>
    <col min="4359" max="4359" width="6.875" style="3136" hidden="1" customWidth="1"/>
    <col min="4360" max="4360" width="5.125" style="3136" hidden="1" customWidth="1"/>
    <col min="4361" max="4361" width="7.375" style="3136" hidden="1" customWidth="1"/>
    <col min="4362" max="4362" width="11" style="3136" hidden="1" customWidth="1"/>
    <col min="4363" max="4363" width="12.375" style="3136" hidden="1" customWidth="1"/>
    <col min="4364" max="4364" width="12.625" style="3136" hidden="1" customWidth="1"/>
    <col min="4365" max="4365" width="12.375" style="3136" hidden="1" customWidth="1"/>
    <col min="4366" max="4366" width="5.25" style="3136" hidden="1" customWidth="1"/>
    <col min="4367" max="4367" width="7.5" style="3136" hidden="1" customWidth="1"/>
    <col min="4368" max="4368" width="1.875" style="3136" hidden="1" customWidth="1"/>
    <col min="4369" max="4561" width="9" style="3136" hidden="1" customWidth="1"/>
    <col min="4562" max="4609" width="9" style="3136" hidden="1"/>
    <col min="4610" max="4610" width="2.875" style="3136" hidden="1" customWidth="1"/>
    <col min="4611" max="4611" width="2.625" style="3136" hidden="1" customWidth="1"/>
    <col min="4612" max="4612" width="18" style="3136" hidden="1" customWidth="1"/>
    <col min="4613" max="4613" width="12.5" style="3136" hidden="1" customWidth="1"/>
    <col min="4614" max="4614" width="9.25" style="3136" hidden="1" customWidth="1"/>
    <col min="4615" max="4615" width="6.875" style="3136" hidden="1" customWidth="1"/>
    <col min="4616" max="4616" width="5.125" style="3136" hidden="1" customWidth="1"/>
    <col min="4617" max="4617" width="7.375" style="3136" hidden="1" customWidth="1"/>
    <col min="4618" max="4618" width="11" style="3136" hidden="1" customWidth="1"/>
    <col min="4619" max="4619" width="12.375" style="3136" hidden="1" customWidth="1"/>
    <col min="4620" max="4620" width="12.625" style="3136" hidden="1" customWidth="1"/>
    <col min="4621" max="4621" width="12.375" style="3136" hidden="1" customWidth="1"/>
    <col min="4622" max="4622" width="5.25" style="3136" hidden="1" customWidth="1"/>
    <col min="4623" max="4623" width="7.5" style="3136" hidden="1" customWidth="1"/>
    <col min="4624" max="4624" width="1.875" style="3136" hidden="1" customWidth="1"/>
    <col min="4625" max="4817" width="9" style="3136" hidden="1" customWidth="1"/>
    <col min="4818" max="4865" width="9" style="3136" hidden="1"/>
    <col min="4866" max="4866" width="2.875" style="3136" hidden="1" customWidth="1"/>
    <col min="4867" max="4867" width="2.625" style="3136" hidden="1" customWidth="1"/>
    <col min="4868" max="4868" width="18" style="3136" hidden="1" customWidth="1"/>
    <col min="4869" max="4869" width="12.5" style="3136" hidden="1" customWidth="1"/>
    <col min="4870" max="4870" width="9.25" style="3136" hidden="1" customWidth="1"/>
    <col min="4871" max="4871" width="6.875" style="3136" hidden="1" customWidth="1"/>
    <col min="4872" max="4872" width="5.125" style="3136" hidden="1" customWidth="1"/>
    <col min="4873" max="4873" width="7.375" style="3136" hidden="1" customWidth="1"/>
    <col min="4874" max="4874" width="11" style="3136" hidden="1" customWidth="1"/>
    <col min="4875" max="4875" width="12.375" style="3136" hidden="1" customWidth="1"/>
    <col min="4876" max="4876" width="12.625" style="3136" hidden="1" customWidth="1"/>
    <col min="4877" max="4877" width="12.375" style="3136" hidden="1" customWidth="1"/>
    <col min="4878" max="4878" width="5.25" style="3136" hidden="1" customWidth="1"/>
    <col min="4879" max="4879" width="7.5" style="3136" hidden="1" customWidth="1"/>
    <col min="4880" max="4880" width="1.875" style="3136" hidden="1" customWidth="1"/>
    <col min="4881" max="5073" width="9" style="3136" hidden="1" customWidth="1"/>
    <col min="5074" max="5121" width="9" style="3136" hidden="1"/>
    <col min="5122" max="5122" width="2.875" style="3136" hidden="1" customWidth="1"/>
    <col min="5123" max="5123" width="2.625" style="3136" hidden="1" customWidth="1"/>
    <col min="5124" max="5124" width="18" style="3136" hidden="1" customWidth="1"/>
    <col min="5125" max="5125" width="12.5" style="3136" hidden="1" customWidth="1"/>
    <col min="5126" max="5126" width="9.25" style="3136" hidden="1" customWidth="1"/>
    <col min="5127" max="5127" width="6.875" style="3136" hidden="1" customWidth="1"/>
    <col min="5128" max="5128" width="5.125" style="3136" hidden="1" customWidth="1"/>
    <col min="5129" max="5129" width="7.375" style="3136" hidden="1" customWidth="1"/>
    <col min="5130" max="5130" width="11" style="3136" hidden="1" customWidth="1"/>
    <col min="5131" max="5131" width="12.375" style="3136" hidden="1" customWidth="1"/>
    <col min="5132" max="5132" width="12.625" style="3136" hidden="1" customWidth="1"/>
    <col min="5133" max="5133" width="12.375" style="3136" hidden="1" customWidth="1"/>
    <col min="5134" max="5134" width="5.25" style="3136" hidden="1" customWidth="1"/>
    <col min="5135" max="5135" width="7.5" style="3136" hidden="1" customWidth="1"/>
    <col min="5136" max="5136" width="1.875" style="3136" hidden="1" customWidth="1"/>
    <col min="5137" max="5329" width="9" style="3136" hidden="1" customWidth="1"/>
    <col min="5330" max="5377" width="9" style="3136" hidden="1"/>
    <col min="5378" max="5378" width="2.875" style="3136" hidden="1" customWidth="1"/>
    <col min="5379" max="5379" width="2.625" style="3136" hidden="1" customWidth="1"/>
    <col min="5380" max="5380" width="18" style="3136" hidden="1" customWidth="1"/>
    <col min="5381" max="5381" width="12.5" style="3136" hidden="1" customWidth="1"/>
    <col min="5382" max="5382" width="9.25" style="3136" hidden="1" customWidth="1"/>
    <col min="5383" max="5383" width="6.875" style="3136" hidden="1" customWidth="1"/>
    <col min="5384" max="5384" width="5.125" style="3136" hidden="1" customWidth="1"/>
    <col min="5385" max="5385" width="7.375" style="3136" hidden="1" customWidth="1"/>
    <col min="5386" max="5386" width="11" style="3136" hidden="1" customWidth="1"/>
    <col min="5387" max="5387" width="12.375" style="3136" hidden="1" customWidth="1"/>
    <col min="5388" max="5388" width="12.625" style="3136" hidden="1" customWidth="1"/>
    <col min="5389" max="5389" width="12.375" style="3136" hidden="1" customWidth="1"/>
    <col min="5390" max="5390" width="5.25" style="3136" hidden="1" customWidth="1"/>
    <col min="5391" max="5391" width="7.5" style="3136" hidden="1" customWidth="1"/>
    <col min="5392" max="5392" width="1.875" style="3136" hidden="1" customWidth="1"/>
    <col min="5393" max="5585" width="9" style="3136" hidden="1" customWidth="1"/>
    <col min="5586" max="5633" width="9" style="3136" hidden="1"/>
    <col min="5634" max="5634" width="2.875" style="3136" hidden="1" customWidth="1"/>
    <col min="5635" max="5635" width="2.625" style="3136" hidden="1" customWidth="1"/>
    <col min="5636" max="5636" width="18" style="3136" hidden="1" customWidth="1"/>
    <col min="5637" max="5637" width="12.5" style="3136" hidden="1" customWidth="1"/>
    <col min="5638" max="5638" width="9.25" style="3136" hidden="1" customWidth="1"/>
    <col min="5639" max="5639" width="6.875" style="3136" hidden="1" customWidth="1"/>
    <col min="5640" max="5640" width="5.125" style="3136" hidden="1" customWidth="1"/>
    <col min="5641" max="5641" width="7.375" style="3136" hidden="1" customWidth="1"/>
    <col min="5642" max="5642" width="11" style="3136" hidden="1" customWidth="1"/>
    <col min="5643" max="5643" width="12.375" style="3136" hidden="1" customWidth="1"/>
    <col min="5644" max="5644" width="12.625" style="3136" hidden="1" customWidth="1"/>
    <col min="5645" max="5645" width="12.375" style="3136" hidden="1" customWidth="1"/>
    <col min="5646" max="5646" width="5.25" style="3136" hidden="1" customWidth="1"/>
    <col min="5647" max="5647" width="7.5" style="3136" hidden="1" customWidth="1"/>
    <col min="5648" max="5648" width="1.875" style="3136" hidden="1" customWidth="1"/>
    <col min="5649" max="5841" width="9" style="3136" hidden="1" customWidth="1"/>
    <col min="5842" max="5889" width="9" style="3136" hidden="1"/>
    <col min="5890" max="5890" width="2.875" style="3136" hidden="1" customWidth="1"/>
    <col min="5891" max="5891" width="2.625" style="3136" hidden="1" customWidth="1"/>
    <col min="5892" max="5892" width="18" style="3136" hidden="1" customWidth="1"/>
    <col min="5893" max="5893" width="12.5" style="3136" hidden="1" customWidth="1"/>
    <col min="5894" max="5894" width="9.25" style="3136" hidden="1" customWidth="1"/>
    <col min="5895" max="5895" width="6.875" style="3136" hidden="1" customWidth="1"/>
    <col min="5896" max="5896" width="5.125" style="3136" hidden="1" customWidth="1"/>
    <col min="5897" max="5897" width="7.375" style="3136" hidden="1" customWidth="1"/>
    <col min="5898" max="5898" width="11" style="3136" hidden="1" customWidth="1"/>
    <col min="5899" max="5899" width="12.375" style="3136" hidden="1" customWidth="1"/>
    <col min="5900" max="5900" width="12.625" style="3136" hidden="1" customWidth="1"/>
    <col min="5901" max="5901" width="12.375" style="3136" hidden="1" customWidth="1"/>
    <col min="5902" max="5902" width="5.25" style="3136" hidden="1" customWidth="1"/>
    <col min="5903" max="5903" width="7.5" style="3136" hidden="1" customWidth="1"/>
    <col min="5904" max="5904" width="1.875" style="3136" hidden="1" customWidth="1"/>
    <col min="5905" max="6097" width="9" style="3136" hidden="1" customWidth="1"/>
    <col min="6098" max="6145" width="9" style="3136" hidden="1"/>
    <col min="6146" max="6146" width="2.875" style="3136" hidden="1" customWidth="1"/>
    <col min="6147" max="6147" width="2.625" style="3136" hidden="1" customWidth="1"/>
    <col min="6148" max="6148" width="18" style="3136" hidden="1" customWidth="1"/>
    <col min="6149" max="6149" width="12.5" style="3136" hidden="1" customWidth="1"/>
    <col min="6150" max="6150" width="9.25" style="3136" hidden="1" customWidth="1"/>
    <col min="6151" max="6151" width="6.875" style="3136" hidden="1" customWidth="1"/>
    <col min="6152" max="6152" width="5.125" style="3136" hidden="1" customWidth="1"/>
    <col min="6153" max="6153" width="7.375" style="3136" hidden="1" customWidth="1"/>
    <col min="6154" max="6154" width="11" style="3136" hidden="1" customWidth="1"/>
    <col min="6155" max="6155" width="12.375" style="3136" hidden="1" customWidth="1"/>
    <col min="6156" max="6156" width="12.625" style="3136" hidden="1" customWidth="1"/>
    <col min="6157" max="6157" width="12.375" style="3136" hidden="1" customWidth="1"/>
    <col min="6158" max="6158" width="5.25" style="3136" hidden="1" customWidth="1"/>
    <col min="6159" max="6159" width="7.5" style="3136" hidden="1" customWidth="1"/>
    <col min="6160" max="6160" width="1.875" style="3136" hidden="1" customWidth="1"/>
    <col min="6161" max="6353" width="9" style="3136" hidden="1" customWidth="1"/>
    <col min="6354" max="6401" width="9" style="3136" hidden="1"/>
    <col min="6402" max="6402" width="2.875" style="3136" hidden="1" customWidth="1"/>
    <col min="6403" max="6403" width="2.625" style="3136" hidden="1" customWidth="1"/>
    <col min="6404" max="6404" width="18" style="3136" hidden="1" customWidth="1"/>
    <col min="6405" max="6405" width="12.5" style="3136" hidden="1" customWidth="1"/>
    <col min="6406" max="6406" width="9.25" style="3136" hidden="1" customWidth="1"/>
    <col min="6407" max="6407" width="6.875" style="3136" hidden="1" customWidth="1"/>
    <col min="6408" max="6408" width="5.125" style="3136" hidden="1" customWidth="1"/>
    <col min="6409" max="6409" width="7.375" style="3136" hidden="1" customWidth="1"/>
    <col min="6410" max="6410" width="11" style="3136" hidden="1" customWidth="1"/>
    <col min="6411" max="6411" width="12.375" style="3136" hidden="1" customWidth="1"/>
    <col min="6412" max="6412" width="12.625" style="3136" hidden="1" customWidth="1"/>
    <col min="6413" max="6413" width="12.375" style="3136" hidden="1" customWidth="1"/>
    <col min="6414" max="6414" width="5.25" style="3136" hidden="1" customWidth="1"/>
    <col min="6415" max="6415" width="7.5" style="3136" hidden="1" customWidth="1"/>
    <col min="6416" max="6416" width="1.875" style="3136" hidden="1" customWidth="1"/>
    <col min="6417" max="6609" width="9" style="3136" hidden="1" customWidth="1"/>
    <col min="6610" max="6657" width="9" style="3136" hidden="1"/>
    <col min="6658" max="6658" width="2.875" style="3136" hidden="1" customWidth="1"/>
    <col min="6659" max="6659" width="2.625" style="3136" hidden="1" customWidth="1"/>
    <col min="6660" max="6660" width="18" style="3136" hidden="1" customWidth="1"/>
    <col min="6661" max="6661" width="12.5" style="3136" hidden="1" customWidth="1"/>
    <col min="6662" max="6662" width="9.25" style="3136" hidden="1" customWidth="1"/>
    <col min="6663" max="6663" width="6.875" style="3136" hidden="1" customWidth="1"/>
    <col min="6664" max="6664" width="5.125" style="3136" hidden="1" customWidth="1"/>
    <col min="6665" max="6665" width="7.375" style="3136" hidden="1" customWidth="1"/>
    <col min="6666" max="6666" width="11" style="3136" hidden="1" customWidth="1"/>
    <col min="6667" max="6667" width="12.375" style="3136" hidden="1" customWidth="1"/>
    <col min="6668" max="6668" width="12.625" style="3136" hidden="1" customWidth="1"/>
    <col min="6669" max="6669" width="12.375" style="3136" hidden="1" customWidth="1"/>
    <col min="6670" max="6670" width="5.25" style="3136" hidden="1" customWidth="1"/>
    <col min="6671" max="6671" width="7.5" style="3136" hidden="1" customWidth="1"/>
    <col min="6672" max="6672" width="1.875" style="3136" hidden="1" customWidth="1"/>
    <col min="6673" max="6865" width="9" style="3136" hidden="1" customWidth="1"/>
    <col min="6866" max="6913" width="9" style="3136" hidden="1"/>
    <col min="6914" max="6914" width="2.875" style="3136" hidden="1" customWidth="1"/>
    <col min="6915" max="6915" width="2.625" style="3136" hidden="1" customWidth="1"/>
    <col min="6916" max="6916" width="18" style="3136" hidden="1" customWidth="1"/>
    <col min="6917" max="6917" width="12.5" style="3136" hidden="1" customWidth="1"/>
    <col min="6918" max="6918" width="9.25" style="3136" hidden="1" customWidth="1"/>
    <col min="6919" max="6919" width="6.875" style="3136" hidden="1" customWidth="1"/>
    <col min="6920" max="6920" width="5.125" style="3136" hidden="1" customWidth="1"/>
    <col min="6921" max="6921" width="7.375" style="3136" hidden="1" customWidth="1"/>
    <col min="6922" max="6922" width="11" style="3136" hidden="1" customWidth="1"/>
    <col min="6923" max="6923" width="12.375" style="3136" hidden="1" customWidth="1"/>
    <col min="6924" max="6924" width="12.625" style="3136" hidden="1" customWidth="1"/>
    <col min="6925" max="6925" width="12.375" style="3136" hidden="1" customWidth="1"/>
    <col min="6926" max="6926" width="5.25" style="3136" hidden="1" customWidth="1"/>
    <col min="6927" max="6927" width="7.5" style="3136" hidden="1" customWidth="1"/>
    <col min="6928" max="6928" width="1.875" style="3136" hidden="1" customWidth="1"/>
    <col min="6929" max="7121" width="9" style="3136" hidden="1" customWidth="1"/>
    <col min="7122" max="7169" width="9" style="3136" hidden="1"/>
    <col min="7170" max="7170" width="2.875" style="3136" hidden="1" customWidth="1"/>
    <col min="7171" max="7171" width="2.625" style="3136" hidden="1" customWidth="1"/>
    <col min="7172" max="7172" width="18" style="3136" hidden="1" customWidth="1"/>
    <col min="7173" max="7173" width="12.5" style="3136" hidden="1" customWidth="1"/>
    <col min="7174" max="7174" width="9.25" style="3136" hidden="1" customWidth="1"/>
    <col min="7175" max="7175" width="6.875" style="3136" hidden="1" customWidth="1"/>
    <col min="7176" max="7176" width="5.125" style="3136" hidden="1" customWidth="1"/>
    <col min="7177" max="7177" width="7.375" style="3136" hidden="1" customWidth="1"/>
    <col min="7178" max="7178" width="11" style="3136" hidden="1" customWidth="1"/>
    <col min="7179" max="7179" width="12.375" style="3136" hidden="1" customWidth="1"/>
    <col min="7180" max="7180" width="12.625" style="3136" hidden="1" customWidth="1"/>
    <col min="7181" max="7181" width="12.375" style="3136" hidden="1" customWidth="1"/>
    <col min="7182" max="7182" width="5.25" style="3136" hidden="1" customWidth="1"/>
    <col min="7183" max="7183" width="7.5" style="3136" hidden="1" customWidth="1"/>
    <col min="7184" max="7184" width="1.875" style="3136" hidden="1" customWidth="1"/>
    <col min="7185" max="7377" width="9" style="3136" hidden="1" customWidth="1"/>
    <col min="7378" max="7425" width="9" style="3136" hidden="1"/>
    <col min="7426" max="7426" width="2.875" style="3136" hidden="1" customWidth="1"/>
    <col min="7427" max="7427" width="2.625" style="3136" hidden="1" customWidth="1"/>
    <col min="7428" max="7428" width="18" style="3136" hidden="1" customWidth="1"/>
    <col min="7429" max="7429" width="12.5" style="3136" hidden="1" customWidth="1"/>
    <col min="7430" max="7430" width="9.25" style="3136" hidden="1" customWidth="1"/>
    <col min="7431" max="7431" width="6.875" style="3136" hidden="1" customWidth="1"/>
    <col min="7432" max="7432" width="5.125" style="3136" hidden="1" customWidth="1"/>
    <col min="7433" max="7433" width="7.375" style="3136" hidden="1" customWidth="1"/>
    <col min="7434" max="7434" width="11" style="3136" hidden="1" customWidth="1"/>
    <col min="7435" max="7435" width="12.375" style="3136" hidden="1" customWidth="1"/>
    <col min="7436" max="7436" width="12.625" style="3136" hidden="1" customWidth="1"/>
    <col min="7437" max="7437" width="12.375" style="3136" hidden="1" customWidth="1"/>
    <col min="7438" max="7438" width="5.25" style="3136" hidden="1" customWidth="1"/>
    <col min="7439" max="7439" width="7.5" style="3136" hidden="1" customWidth="1"/>
    <col min="7440" max="7440" width="1.875" style="3136" hidden="1" customWidth="1"/>
    <col min="7441" max="7633" width="9" style="3136" hidden="1" customWidth="1"/>
    <col min="7634" max="7681" width="9" style="3136" hidden="1"/>
    <col min="7682" max="7682" width="2.875" style="3136" hidden="1" customWidth="1"/>
    <col min="7683" max="7683" width="2.625" style="3136" hidden="1" customWidth="1"/>
    <col min="7684" max="7684" width="18" style="3136" hidden="1" customWidth="1"/>
    <col min="7685" max="7685" width="12.5" style="3136" hidden="1" customWidth="1"/>
    <col min="7686" max="7686" width="9.25" style="3136" hidden="1" customWidth="1"/>
    <col min="7687" max="7687" width="6.875" style="3136" hidden="1" customWidth="1"/>
    <col min="7688" max="7688" width="5.125" style="3136" hidden="1" customWidth="1"/>
    <col min="7689" max="7689" width="7.375" style="3136" hidden="1" customWidth="1"/>
    <col min="7690" max="7690" width="11" style="3136" hidden="1" customWidth="1"/>
    <col min="7691" max="7691" width="12.375" style="3136" hidden="1" customWidth="1"/>
    <col min="7692" max="7692" width="12.625" style="3136" hidden="1" customWidth="1"/>
    <col min="7693" max="7693" width="12.375" style="3136" hidden="1" customWidth="1"/>
    <col min="7694" max="7694" width="5.25" style="3136" hidden="1" customWidth="1"/>
    <col min="7695" max="7695" width="7.5" style="3136" hidden="1" customWidth="1"/>
    <col min="7696" max="7696" width="1.875" style="3136" hidden="1" customWidth="1"/>
    <col min="7697" max="7889" width="9" style="3136" hidden="1" customWidth="1"/>
    <col min="7890" max="7937" width="9" style="3136" hidden="1"/>
    <col min="7938" max="7938" width="2.875" style="3136" hidden="1" customWidth="1"/>
    <col min="7939" max="7939" width="2.625" style="3136" hidden="1" customWidth="1"/>
    <col min="7940" max="7940" width="18" style="3136" hidden="1" customWidth="1"/>
    <col min="7941" max="7941" width="12.5" style="3136" hidden="1" customWidth="1"/>
    <col min="7942" max="7942" width="9.25" style="3136" hidden="1" customWidth="1"/>
    <col min="7943" max="7943" width="6.875" style="3136" hidden="1" customWidth="1"/>
    <col min="7944" max="7944" width="5.125" style="3136" hidden="1" customWidth="1"/>
    <col min="7945" max="7945" width="7.375" style="3136" hidden="1" customWidth="1"/>
    <col min="7946" max="7946" width="11" style="3136" hidden="1" customWidth="1"/>
    <col min="7947" max="7947" width="12.375" style="3136" hidden="1" customWidth="1"/>
    <col min="7948" max="7948" width="12.625" style="3136" hidden="1" customWidth="1"/>
    <col min="7949" max="7949" width="12.375" style="3136" hidden="1" customWidth="1"/>
    <col min="7950" max="7950" width="5.25" style="3136" hidden="1" customWidth="1"/>
    <col min="7951" max="7951" width="7.5" style="3136" hidden="1" customWidth="1"/>
    <col min="7952" max="7952" width="1.875" style="3136" hidden="1" customWidth="1"/>
    <col min="7953" max="8145" width="9" style="3136" hidden="1" customWidth="1"/>
    <col min="8146" max="8193" width="9" style="3136" hidden="1"/>
    <col min="8194" max="8194" width="2.875" style="3136" hidden="1" customWidth="1"/>
    <col min="8195" max="8195" width="2.625" style="3136" hidden="1" customWidth="1"/>
    <col min="8196" max="8196" width="18" style="3136" hidden="1" customWidth="1"/>
    <col min="8197" max="8197" width="12.5" style="3136" hidden="1" customWidth="1"/>
    <col min="8198" max="8198" width="9.25" style="3136" hidden="1" customWidth="1"/>
    <col min="8199" max="8199" width="6.875" style="3136" hidden="1" customWidth="1"/>
    <col min="8200" max="8200" width="5.125" style="3136" hidden="1" customWidth="1"/>
    <col min="8201" max="8201" width="7.375" style="3136" hidden="1" customWidth="1"/>
    <col min="8202" max="8202" width="11" style="3136" hidden="1" customWidth="1"/>
    <col min="8203" max="8203" width="12.375" style="3136" hidden="1" customWidth="1"/>
    <col min="8204" max="8204" width="12.625" style="3136" hidden="1" customWidth="1"/>
    <col min="8205" max="8205" width="12.375" style="3136" hidden="1" customWidth="1"/>
    <col min="8206" max="8206" width="5.25" style="3136" hidden="1" customWidth="1"/>
    <col min="8207" max="8207" width="7.5" style="3136" hidden="1" customWidth="1"/>
    <col min="8208" max="8208" width="1.875" style="3136" hidden="1" customWidth="1"/>
    <col min="8209" max="8401" width="9" style="3136" hidden="1" customWidth="1"/>
    <col min="8402" max="8449" width="9" style="3136" hidden="1"/>
    <col min="8450" max="8450" width="2.875" style="3136" hidden="1" customWidth="1"/>
    <col min="8451" max="8451" width="2.625" style="3136" hidden="1" customWidth="1"/>
    <col min="8452" max="8452" width="18" style="3136" hidden="1" customWidth="1"/>
    <col min="8453" max="8453" width="12.5" style="3136" hidden="1" customWidth="1"/>
    <col min="8454" max="8454" width="9.25" style="3136" hidden="1" customWidth="1"/>
    <col min="8455" max="8455" width="6.875" style="3136" hidden="1" customWidth="1"/>
    <col min="8456" max="8456" width="5.125" style="3136" hidden="1" customWidth="1"/>
    <col min="8457" max="8457" width="7.375" style="3136" hidden="1" customWidth="1"/>
    <col min="8458" max="8458" width="11" style="3136" hidden="1" customWidth="1"/>
    <col min="8459" max="8459" width="12.375" style="3136" hidden="1" customWidth="1"/>
    <col min="8460" max="8460" width="12.625" style="3136" hidden="1" customWidth="1"/>
    <col min="8461" max="8461" width="12.375" style="3136" hidden="1" customWidth="1"/>
    <col min="8462" max="8462" width="5.25" style="3136" hidden="1" customWidth="1"/>
    <col min="8463" max="8463" width="7.5" style="3136" hidden="1" customWidth="1"/>
    <col min="8464" max="8464" width="1.875" style="3136" hidden="1" customWidth="1"/>
    <col min="8465" max="8657" width="9" style="3136" hidden="1" customWidth="1"/>
    <col min="8658" max="8705" width="9" style="3136" hidden="1"/>
    <col min="8706" max="8706" width="2.875" style="3136" hidden="1" customWidth="1"/>
    <col min="8707" max="8707" width="2.625" style="3136" hidden="1" customWidth="1"/>
    <col min="8708" max="8708" width="18" style="3136" hidden="1" customWidth="1"/>
    <col min="8709" max="8709" width="12.5" style="3136" hidden="1" customWidth="1"/>
    <col min="8710" max="8710" width="9.25" style="3136" hidden="1" customWidth="1"/>
    <col min="8711" max="8711" width="6.875" style="3136" hidden="1" customWidth="1"/>
    <col min="8712" max="8712" width="5.125" style="3136" hidden="1" customWidth="1"/>
    <col min="8713" max="8713" width="7.375" style="3136" hidden="1" customWidth="1"/>
    <col min="8714" max="8714" width="11" style="3136" hidden="1" customWidth="1"/>
    <col min="8715" max="8715" width="12.375" style="3136" hidden="1" customWidth="1"/>
    <col min="8716" max="8716" width="12.625" style="3136" hidden="1" customWidth="1"/>
    <col min="8717" max="8717" width="12.375" style="3136" hidden="1" customWidth="1"/>
    <col min="8718" max="8718" width="5.25" style="3136" hidden="1" customWidth="1"/>
    <col min="8719" max="8719" width="7.5" style="3136" hidden="1" customWidth="1"/>
    <col min="8720" max="8720" width="1.875" style="3136" hidden="1" customWidth="1"/>
    <col min="8721" max="8913" width="9" style="3136" hidden="1" customWidth="1"/>
    <col min="8914" max="8961" width="9" style="3136" hidden="1"/>
    <col min="8962" max="8962" width="2.875" style="3136" hidden="1" customWidth="1"/>
    <col min="8963" max="8963" width="2.625" style="3136" hidden="1" customWidth="1"/>
    <col min="8964" max="8964" width="18" style="3136" hidden="1" customWidth="1"/>
    <col min="8965" max="8965" width="12.5" style="3136" hidden="1" customWidth="1"/>
    <col min="8966" max="8966" width="9.25" style="3136" hidden="1" customWidth="1"/>
    <col min="8967" max="8967" width="6.875" style="3136" hidden="1" customWidth="1"/>
    <col min="8968" max="8968" width="5.125" style="3136" hidden="1" customWidth="1"/>
    <col min="8969" max="8969" width="7.375" style="3136" hidden="1" customWidth="1"/>
    <col min="8970" max="8970" width="11" style="3136" hidden="1" customWidth="1"/>
    <col min="8971" max="8971" width="12.375" style="3136" hidden="1" customWidth="1"/>
    <col min="8972" max="8972" width="12.625" style="3136" hidden="1" customWidth="1"/>
    <col min="8973" max="8973" width="12.375" style="3136" hidden="1" customWidth="1"/>
    <col min="8974" max="8974" width="5.25" style="3136" hidden="1" customWidth="1"/>
    <col min="8975" max="8975" width="7.5" style="3136" hidden="1" customWidth="1"/>
    <col min="8976" max="8976" width="1.875" style="3136" hidden="1" customWidth="1"/>
    <col min="8977" max="9169" width="9" style="3136" hidden="1" customWidth="1"/>
    <col min="9170" max="9217" width="9" style="3136" hidden="1"/>
    <col min="9218" max="9218" width="2.875" style="3136" hidden="1" customWidth="1"/>
    <col min="9219" max="9219" width="2.625" style="3136" hidden="1" customWidth="1"/>
    <col min="9220" max="9220" width="18" style="3136" hidden="1" customWidth="1"/>
    <col min="9221" max="9221" width="12.5" style="3136" hidden="1" customWidth="1"/>
    <col min="9222" max="9222" width="9.25" style="3136" hidden="1" customWidth="1"/>
    <col min="9223" max="9223" width="6.875" style="3136" hidden="1" customWidth="1"/>
    <col min="9224" max="9224" width="5.125" style="3136" hidden="1" customWidth="1"/>
    <col min="9225" max="9225" width="7.375" style="3136" hidden="1" customWidth="1"/>
    <col min="9226" max="9226" width="11" style="3136" hidden="1" customWidth="1"/>
    <col min="9227" max="9227" width="12.375" style="3136" hidden="1" customWidth="1"/>
    <col min="9228" max="9228" width="12.625" style="3136" hidden="1" customWidth="1"/>
    <col min="9229" max="9229" width="12.375" style="3136" hidden="1" customWidth="1"/>
    <col min="9230" max="9230" width="5.25" style="3136" hidden="1" customWidth="1"/>
    <col min="9231" max="9231" width="7.5" style="3136" hidden="1" customWidth="1"/>
    <col min="9232" max="9232" width="1.875" style="3136" hidden="1" customWidth="1"/>
    <col min="9233" max="9425" width="9" style="3136" hidden="1" customWidth="1"/>
    <col min="9426" max="9473" width="9" style="3136" hidden="1"/>
    <col min="9474" max="9474" width="2.875" style="3136" hidden="1" customWidth="1"/>
    <col min="9475" max="9475" width="2.625" style="3136" hidden="1" customWidth="1"/>
    <col min="9476" max="9476" width="18" style="3136" hidden="1" customWidth="1"/>
    <col min="9477" max="9477" width="12.5" style="3136" hidden="1" customWidth="1"/>
    <col min="9478" max="9478" width="9.25" style="3136" hidden="1" customWidth="1"/>
    <col min="9479" max="9479" width="6.875" style="3136" hidden="1" customWidth="1"/>
    <col min="9480" max="9480" width="5.125" style="3136" hidden="1" customWidth="1"/>
    <col min="9481" max="9481" width="7.375" style="3136" hidden="1" customWidth="1"/>
    <col min="9482" max="9482" width="11" style="3136" hidden="1" customWidth="1"/>
    <col min="9483" max="9483" width="12.375" style="3136" hidden="1" customWidth="1"/>
    <col min="9484" max="9484" width="12.625" style="3136" hidden="1" customWidth="1"/>
    <col min="9485" max="9485" width="12.375" style="3136" hidden="1" customWidth="1"/>
    <col min="9486" max="9486" width="5.25" style="3136" hidden="1" customWidth="1"/>
    <col min="9487" max="9487" width="7.5" style="3136" hidden="1" customWidth="1"/>
    <col min="9488" max="9488" width="1.875" style="3136" hidden="1" customWidth="1"/>
    <col min="9489" max="9681" width="9" style="3136" hidden="1" customWidth="1"/>
    <col min="9682" max="9729" width="9" style="3136" hidden="1"/>
    <col min="9730" max="9730" width="2.875" style="3136" hidden="1" customWidth="1"/>
    <col min="9731" max="9731" width="2.625" style="3136" hidden="1" customWidth="1"/>
    <col min="9732" max="9732" width="18" style="3136" hidden="1" customWidth="1"/>
    <col min="9733" max="9733" width="12.5" style="3136" hidden="1" customWidth="1"/>
    <col min="9734" max="9734" width="9.25" style="3136" hidden="1" customWidth="1"/>
    <col min="9735" max="9735" width="6.875" style="3136" hidden="1" customWidth="1"/>
    <col min="9736" max="9736" width="5.125" style="3136" hidden="1" customWidth="1"/>
    <col min="9737" max="9737" width="7.375" style="3136" hidden="1" customWidth="1"/>
    <col min="9738" max="9738" width="11" style="3136" hidden="1" customWidth="1"/>
    <col min="9739" max="9739" width="12.375" style="3136" hidden="1" customWidth="1"/>
    <col min="9740" max="9740" width="12.625" style="3136" hidden="1" customWidth="1"/>
    <col min="9741" max="9741" width="12.375" style="3136" hidden="1" customWidth="1"/>
    <col min="9742" max="9742" width="5.25" style="3136" hidden="1" customWidth="1"/>
    <col min="9743" max="9743" width="7.5" style="3136" hidden="1" customWidth="1"/>
    <col min="9744" max="9744" width="1.875" style="3136" hidden="1" customWidth="1"/>
    <col min="9745" max="9937" width="9" style="3136" hidden="1" customWidth="1"/>
    <col min="9938" max="9985" width="9" style="3136" hidden="1"/>
    <col min="9986" max="9986" width="2.875" style="3136" hidden="1" customWidth="1"/>
    <col min="9987" max="9987" width="2.625" style="3136" hidden="1" customWidth="1"/>
    <col min="9988" max="9988" width="18" style="3136" hidden="1" customWidth="1"/>
    <col min="9989" max="9989" width="12.5" style="3136" hidden="1" customWidth="1"/>
    <col min="9990" max="9990" width="9.25" style="3136" hidden="1" customWidth="1"/>
    <col min="9991" max="9991" width="6.875" style="3136" hidden="1" customWidth="1"/>
    <col min="9992" max="9992" width="5.125" style="3136" hidden="1" customWidth="1"/>
    <col min="9993" max="9993" width="7.375" style="3136" hidden="1" customWidth="1"/>
    <col min="9994" max="9994" width="11" style="3136" hidden="1" customWidth="1"/>
    <col min="9995" max="9995" width="12.375" style="3136" hidden="1" customWidth="1"/>
    <col min="9996" max="9996" width="12.625" style="3136" hidden="1" customWidth="1"/>
    <col min="9997" max="9997" width="12.375" style="3136" hidden="1" customWidth="1"/>
    <col min="9998" max="9998" width="5.25" style="3136" hidden="1" customWidth="1"/>
    <col min="9999" max="9999" width="7.5" style="3136" hidden="1" customWidth="1"/>
    <col min="10000" max="10000" width="1.875" style="3136" hidden="1" customWidth="1"/>
    <col min="10001" max="10193" width="9" style="3136" hidden="1" customWidth="1"/>
    <col min="10194" max="10241" width="9" style="3136" hidden="1"/>
    <col min="10242" max="10242" width="2.875" style="3136" hidden="1" customWidth="1"/>
    <col min="10243" max="10243" width="2.625" style="3136" hidden="1" customWidth="1"/>
    <col min="10244" max="10244" width="18" style="3136" hidden="1" customWidth="1"/>
    <col min="10245" max="10245" width="12.5" style="3136" hidden="1" customWidth="1"/>
    <col min="10246" max="10246" width="9.25" style="3136" hidden="1" customWidth="1"/>
    <col min="10247" max="10247" width="6.875" style="3136" hidden="1" customWidth="1"/>
    <col min="10248" max="10248" width="5.125" style="3136" hidden="1" customWidth="1"/>
    <col min="10249" max="10249" width="7.375" style="3136" hidden="1" customWidth="1"/>
    <col min="10250" max="10250" width="11" style="3136" hidden="1" customWidth="1"/>
    <col min="10251" max="10251" width="12.375" style="3136" hidden="1" customWidth="1"/>
    <col min="10252" max="10252" width="12.625" style="3136" hidden="1" customWidth="1"/>
    <col min="10253" max="10253" width="12.375" style="3136" hidden="1" customWidth="1"/>
    <col min="10254" max="10254" width="5.25" style="3136" hidden="1" customWidth="1"/>
    <col min="10255" max="10255" width="7.5" style="3136" hidden="1" customWidth="1"/>
    <col min="10256" max="10256" width="1.875" style="3136" hidden="1" customWidth="1"/>
    <col min="10257" max="10449" width="9" style="3136" hidden="1" customWidth="1"/>
    <col min="10450" max="10497" width="9" style="3136" hidden="1"/>
    <col min="10498" max="10498" width="2.875" style="3136" hidden="1" customWidth="1"/>
    <col min="10499" max="10499" width="2.625" style="3136" hidden="1" customWidth="1"/>
    <col min="10500" max="10500" width="18" style="3136" hidden="1" customWidth="1"/>
    <col min="10501" max="10501" width="12.5" style="3136" hidden="1" customWidth="1"/>
    <col min="10502" max="10502" width="9.25" style="3136" hidden="1" customWidth="1"/>
    <col min="10503" max="10503" width="6.875" style="3136" hidden="1" customWidth="1"/>
    <col min="10504" max="10504" width="5.125" style="3136" hidden="1" customWidth="1"/>
    <col min="10505" max="10505" width="7.375" style="3136" hidden="1" customWidth="1"/>
    <col min="10506" max="10506" width="11" style="3136" hidden="1" customWidth="1"/>
    <col min="10507" max="10507" width="12.375" style="3136" hidden="1" customWidth="1"/>
    <col min="10508" max="10508" width="12.625" style="3136" hidden="1" customWidth="1"/>
    <col min="10509" max="10509" width="12.375" style="3136" hidden="1" customWidth="1"/>
    <col min="10510" max="10510" width="5.25" style="3136" hidden="1" customWidth="1"/>
    <col min="10511" max="10511" width="7.5" style="3136" hidden="1" customWidth="1"/>
    <col min="10512" max="10512" width="1.875" style="3136" hidden="1" customWidth="1"/>
    <col min="10513" max="10705" width="9" style="3136" hidden="1" customWidth="1"/>
    <col min="10706" max="10753" width="9" style="3136" hidden="1"/>
    <col min="10754" max="10754" width="2.875" style="3136" hidden="1" customWidth="1"/>
    <col min="10755" max="10755" width="2.625" style="3136" hidden="1" customWidth="1"/>
    <col min="10756" max="10756" width="18" style="3136" hidden="1" customWidth="1"/>
    <col min="10757" max="10757" width="12.5" style="3136" hidden="1" customWidth="1"/>
    <col min="10758" max="10758" width="9.25" style="3136" hidden="1" customWidth="1"/>
    <col min="10759" max="10759" width="6.875" style="3136" hidden="1" customWidth="1"/>
    <col min="10760" max="10760" width="5.125" style="3136" hidden="1" customWidth="1"/>
    <col min="10761" max="10761" width="7.375" style="3136" hidden="1" customWidth="1"/>
    <col min="10762" max="10762" width="11" style="3136" hidden="1" customWidth="1"/>
    <col min="10763" max="10763" width="12.375" style="3136" hidden="1" customWidth="1"/>
    <col min="10764" max="10764" width="12.625" style="3136" hidden="1" customWidth="1"/>
    <col min="10765" max="10765" width="12.375" style="3136" hidden="1" customWidth="1"/>
    <col min="10766" max="10766" width="5.25" style="3136" hidden="1" customWidth="1"/>
    <col min="10767" max="10767" width="7.5" style="3136" hidden="1" customWidth="1"/>
    <col min="10768" max="10768" width="1.875" style="3136" hidden="1" customWidth="1"/>
    <col min="10769" max="10961" width="9" style="3136" hidden="1" customWidth="1"/>
    <col min="10962" max="11009" width="9" style="3136" hidden="1"/>
    <col min="11010" max="11010" width="2.875" style="3136" hidden="1" customWidth="1"/>
    <col min="11011" max="11011" width="2.625" style="3136" hidden="1" customWidth="1"/>
    <col min="11012" max="11012" width="18" style="3136" hidden="1" customWidth="1"/>
    <col min="11013" max="11013" width="12.5" style="3136" hidden="1" customWidth="1"/>
    <col min="11014" max="11014" width="9.25" style="3136" hidden="1" customWidth="1"/>
    <col min="11015" max="11015" width="6.875" style="3136" hidden="1" customWidth="1"/>
    <col min="11016" max="11016" width="5.125" style="3136" hidden="1" customWidth="1"/>
    <col min="11017" max="11017" width="7.375" style="3136" hidden="1" customWidth="1"/>
    <col min="11018" max="11018" width="11" style="3136" hidden="1" customWidth="1"/>
    <col min="11019" max="11019" width="12.375" style="3136" hidden="1" customWidth="1"/>
    <col min="11020" max="11020" width="12.625" style="3136" hidden="1" customWidth="1"/>
    <col min="11021" max="11021" width="12.375" style="3136" hidden="1" customWidth="1"/>
    <col min="11022" max="11022" width="5.25" style="3136" hidden="1" customWidth="1"/>
    <col min="11023" max="11023" width="7.5" style="3136" hidden="1" customWidth="1"/>
    <col min="11024" max="11024" width="1.875" style="3136" hidden="1" customWidth="1"/>
    <col min="11025" max="11217" width="9" style="3136" hidden="1" customWidth="1"/>
    <col min="11218" max="11265" width="9" style="3136" hidden="1"/>
    <col min="11266" max="11266" width="2.875" style="3136" hidden="1" customWidth="1"/>
    <col min="11267" max="11267" width="2.625" style="3136" hidden="1" customWidth="1"/>
    <col min="11268" max="11268" width="18" style="3136" hidden="1" customWidth="1"/>
    <col min="11269" max="11269" width="12.5" style="3136" hidden="1" customWidth="1"/>
    <col min="11270" max="11270" width="9.25" style="3136" hidden="1" customWidth="1"/>
    <col min="11271" max="11271" width="6.875" style="3136" hidden="1" customWidth="1"/>
    <col min="11272" max="11272" width="5.125" style="3136" hidden="1" customWidth="1"/>
    <col min="11273" max="11273" width="7.375" style="3136" hidden="1" customWidth="1"/>
    <col min="11274" max="11274" width="11" style="3136" hidden="1" customWidth="1"/>
    <col min="11275" max="11275" width="12.375" style="3136" hidden="1" customWidth="1"/>
    <col min="11276" max="11276" width="12.625" style="3136" hidden="1" customWidth="1"/>
    <col min="11277" max="11277" width="12.375" style="3136" hidden="1" customWidth="1"/>
    <col min="11278" max="11278" width="5.25" style="3136" hidden="1" customWidth="1"/>
    <col min="11279" max="11279" width="7.5" style="3136" hidden="1" customWidth="1"/>
    <col min="11280" max="11280" width="1.875" style="3136" hidden="1" customWidth="1"/>
    <col min="11281" max="11473" width="9" style="3136" hidden="1" customWidth="1"/>
    <col min="11474" max="11521" width="9" style="3136" hidden="1"/>
    <col min="11522" max="11522" width="2.875" style="3136" hidden="1" customWidth="1"/>
    <col min="11523" max="11523" width="2.625" style="3136" hidden="1" customWidth="1"/>
    <col min="11524" max="11524" width="18" style="3136" hidden="1" customWidth="1"/>
    <col min="11525" max="11525" width="12.5" style="3136" hidden="1" customWidth="1"/>
    <col min="11526" max="11526" width="9.25" style="3136" hidden="1" customWidth="1"/>
    <col min="11527" max="11527" width="6.875" style="3136" hidden="1" customWidth="1"/>
    <col min="11528" max="11528" width="5.125" style="3136" hidden="1" customWidth="1"/>
    <col min="11529" max="11529" width="7.375" style="3136" hidden="1" customWidth="1"/>
    <col min="11530" max="11530" width="11" style="3136" hidden="1" customWidth="1"/>
    <col min="11531" max="11531" width="12.375" style="3136" hidden="1" customWidth="1"/>
    <col min="11532" max="11532" width="12.625" style="3136" hidden="1" customWidth="1"/>
    <col min="11533" max="11533" width="12.375" style="3136" hidden="1" customWidth="1"/>
    <col min="11534" max="11534" width="5.25" style="3136" hidden="1" customWidth="1"/>
    <col min="11535" max="11535" width="7.5" style="3136" hidden="1" customWidth="1"/>
    <col min="11536" max="11536" width="1.875" style="3136" hidden="1" customWidth="1"/>
    <col min="11537" max="11729" width="9" style="3136" hidden="1" customWidth="1"/>
    <col min="11730" max="11777" width="9" style="3136" hidden="1"/>
    <col min="11778" max="11778" width="2.875" style="3136" hidden="1" customWidth="1"/>
    <col min="11779" max="11779" width="2.625" style="3136" hidden="1" customWidth="1"/>
    <col min="11780" max="11780" width="18" style="3136" hidden="1" customWidth="1"/>
    <col min="11781" max="11781" width="12.5" style="3136" hidden="1" customWidth="1"/>
    <col min="11782" max="11782" width="9.25" style="3136" hidden="1" customWidth="1"/>
    <col min="11783" max="11783" width="6.875" style="3136" hidden="1" customWidth="1"/>
    <col min="11784" max="11784" width="5.125" style="3136" hidden="1" customWidth="1"/>
    <col min="11785" max="11785" width="7.375" style="3136" hidden="1" customWidth="1"/>
    <col min="11786" max="11786" width="11" style="3136" hidden="1" customWidth="1"/>
    <col min="11787" max="11787" width="12.375" style="3136" hidden="1" customWidth="1"/>
    <col min="11788" max="11788" width="12.625" style="3136" hidden="1" customWidth="1"/>
    <col min="11789" max="11789" width="12.375" style="3136" hidden="1" customWidth="1"/>
    <col min="11790" max="11790" width="5.25" style="3136" hidden="1" customWidth="1"/>
    <col min="11791" max="11791" width="7.5" style="3136" hidden="1" customWidth="1"/>
    <col min="11792" max="11792" width="1.875" style="3136" hidden="1" customWidth="1"/>
    <col min="11793" max="11985" width="9" style="3136" hidden="1" customWidth="1"/>
    <col min="11986" max="12033" width="9" style="3136" hidden="1"/>
    <col min="12034" max="12034" width="2.875" style="3136" hidden="1" customWidth="1"/>
    <col min="12035" max="12035" width="2.625" style="3136" hidden="1" customWidth="1"/>
    <col min="12036" max="12036" width="18" style="3136" hidden="1" customWidth="1"/>
    <col min="12037" max="12037" width="12.5" style="3136" hidden="1" customWidth="1"/>
    <col min="12038" max="12038" width="9.25" style="3136" hidden="1" customWidth="1"/>
    <col min="12039" max="12039" width="6.875" style="3136" hidden="1" customWidth="1"/>
    <col min="12040" max="12040" width="5.125" style="3136" hidden="1" customWidth="1"/>
    <col min="12041" max="12041" width="7.375" style="3136" hidden="1" customWidth="1"/>
    <col min="12042" max="12042" width="11" style="3136" hidden="1" customWidth="1"/>
    <col min="12043" max="12043" width="12.375" style="3136" hidden="1" customWidth="1"/>
    <col min="12044" max="12044" width="12.625" style="3136" hidden="1" customWidth="1"/>
    <col min="12045" max="12045" width="12.375" style="3136" hidden="1" customWidth="1"/>
    <col min="12046" max="12046" width="5.25" style="3136" hidden="1" customWidth="1"/>
    <col min="12047" max="12047" width="7.5" style="3136" hidden="1" customWidth="1"/>
    <col min="12048" max="12048" width="1.875" style="3136" hidden="1" customWidth="1"/>
    <col min="12049" max="12241" width="9" style="3136" hidden="1" customWidth="1"/>
    <col min="12242" max="12289" width="9" style="3136" hidden="1"/>
    <col min="12290" max="12290" width="2.875" style="3136" hidden="1" customWidth="1"/>
    <col min="12291" max="12291" width="2.625" style="3136" hidden="1" customWidth="1"/>
    <col min="12292" max="12292" width="18" style="3136" hidden="1" customWidth="1"/>
    <col min="12293" max="12293" width="12.5" style="3136" hidden="1" customWidth="1"/>
    <col min="12294" max="12294" width="9.25" style="3136" hidden="1" customWidth="1"/>
    <col min="12295" max="12295" width="6.875" style="3136" hidden="1" customWidth="1"/>
    <col min="12296" max="12296" width="5.125" style="3136" hidden="1" customWidth="1"/>
    <col min="12297" max="12297" width="7.375" style="3136" hidden="1" customWidth="1"/>
    <col min="12298" max="12298" width="11" style="3136" hidden="1" customWidth="1"/>
    <col min="12299" max="12299" width="12.375" style="3136" hidden="1" customWidth="1"/>
    <col min="12300" max="12300" width="12.625" style="3136" hidden="1" customWidth="1"/>
    <col min="12301" max="12301" width="12.375" style="3136" hidden="1" customWidth="1"/>
    <col min="12302" max="12302" width="5.25" style="3136" hidden="1" customWidth="1"/>
    <col min="12303" max="12303" width="7.5" style="3136" hidden="1" customWidth="1"/>
    <col min="12304" max="12304" width="1.875" style="3136" hidden="1" customWidth="1"/>
    <col min="12305" max="12497" width="9" style="3136" hidden="1" customWidth="1"/>
    <col min="12498" max="12545" width="9" style="3136" hidden="1"/>
    <col min="12546" max="12546" width="2.875" style="3136" hidden="1" customWidth="1"/>
    <col min="12547" max="12547" width="2.625" style="3136" hidden="1" customWidth="1"/>
    <col min="12548" max="12548" width="18" style="3136" hidden="1" customWidth="1"/>
    <col min="12549" max="12549" width="12.5" style="3136" hidden="1" customWidth="1"/>
    <col min="12550" max="12550" width="9.25" style="3136" hidden="1" customWidth="1"/>
    <col min="12551" max="12551" width="6.875" style="3136" hidden="1" customWidth="1"/>
    <col min="12552" max="12552" width="5.125" style="3136" hidden="1" customWidth="1"/>
    <col min="12553" max="12553" width="7.375" style="3136" hidden="1" customWidth="1"/>
    <col min="12554" max="12554" width="11" style="3136" hidden="1" customWidth="1"/>
    <col min="12555" max="12555" width="12.375" style="3136" hidden="1" customWidth="1"/>
    <col min="12556" max="12556" width="12.625" style="3136" hidden="1" customWidth="1"/>
    <col min="12557" max="12557" width="12.375" style="3136" hidden="1" customWidth="1"/>
    <col min="12558" max="12558" width="5.25" style="3136" hidden="1" customWidth="1"/>
    <col min="12559" max="12559" width="7.5" style="3136" hidden="1" customWidth="1"/>
    <col min="12560" max="12560" width="1.875" style="3136" hidden="1" customWidth="1"/>
    <col min="12561" max="12753" width="9" style="3136" hidden="1" customWidth="1"/>
    <col min="12754" max="12801" width="9" style="3136" hidden="1"/>
    <col min="12802" max="12802" width="2.875" style="3136" hidden="1" customWidth="1"/>
    <col min="12803" max="12803" width="2.625" style="3136" hidden="1" customWidth="1"/>
    <col min="12804" max="12804" width="18" style="3136" hidden="1" customWidth="1"/>
    <col min="12805" max="12805" width="12.5" style="3136" hidden="1" customWidth="1"/>
    <col min="12806" max="12806" width="9.25" style="3136" hidden="1" customWidth="1"/>
    <col min="12807" max="12807" width="6.875" style="3136" hidden="1" customWidth="1"/>
    <col min="12808" max="12808" width="5.125" style="3136" hidden="1" customWidth="1"/>
    <col min="12809" max="12809" width="7.375" style="3136" hidden="1" customWidth="1"/>
    <col min="12810" max="12810" width="11" style="3136" hidden="1" customWidth="1"/>
    <col min="12811" max="12811" width="12.375" style="3136" hidden="1" customWidth="1"/>
    <col min="12812" max="12812" width="12.625" style="3136" hidden="1" customWidth="1"/>
    <col min="12813" max="12813" width="12.375" style="3136" hidden="1" customWidth="1"/>
    <col min="12814" max="12814" width="5.25" style="3136" hidden="1" customWidth="1"/>
    <col min="12815" max="12815" width="7.5" style="3136" hidden="1" customWidth="1"/>
    <col min="12816" max="12816" width="1.875" style="3136" hidden="1" customWidth="1"/>
    <col min="12817" max="13009" width="9" style="3136" hidden="1" customWidth="1"/>
    <col min="13010" max="13057" width="9" style="3136" hidden="1"/>
    <col min="13058" max="13058" width="2.875" style="3136" hidden="1" customWidth="1"/>
    <col min="13059" max="13059" width="2.625" style="3136" hidden="1" customWidth="1"/>
    <col min="13060" max="13060" width="18" style="3136" hidden="1" customWidth="1"/>
    <col min="13061" max="13061" width="12.5" style="3136" hidden="1" customWidth="1"/>
    <col min="13062" max="13062" width="9.25" style="3136" hidden="1" customWidth="1"/>
    <col min="13063" max="13063" width="6.875" style="3136" hidden="1" customWidth="1"/>
    <col min="13064" max="13064" width="5.125" style="3136" hidden="1" customWidth="1"/>
    <col min="13065" max="13065" width="7.375" style="3136" hidden="1" customWidth="1"/>
    <col min="13066" max="13066" width="11" style="3136" hidden="1" customWidth="1"/>
    <col min="13067" max="13067" width="12.375" style="3136" hidden="1" customWidth="1"/>
    <col min="13068" max="13068" width="12.625" style="3136" hidden="1" customWidth="1"/>
    <col min="13069" max="13069" width="12.375" style="3136" hidden="1" customWidth="1"/>
    <col min="13070" max="13070" width="5.25" style="3136" hidden="1" customWidth="1"/>
    <col min="13071" max="13071" width="7.5" style="3136" hidden="1" customWidth="1"/>
    <col min="13072" max="13072" width="1.875" style="3136" hidden="1" customWidth="1"/>
    <col min="13073" max="13265" width="9" style="3136" hidden="1" customWidth="1"/>
    <col min="13266" max="13313" width="9" style="3136" hidden="1"/>
    <col min="13314" max="13314" width="2.875" style="3136" hidden="1" customWidth="1"/>
    <col min="13315" max="13315" width="2.625" style="3136" hidden="1" customWidth="1"/>
    <col min="13316" max="13316" width="18" style="3136" hidden="1" customWidth="1"/>
    <col min="13317" max="13317" width="12.5" style="3136" hidden="1" customWidth="1"/>
    <col min="13318" max="13318" width="9.25" style="3136" hidden="1" customWidth="1"/>
    <col min="13319" max="13319" width="6.875" style="3136" hidden="1" customWidth="1"/>
    <col min="13320" max="13320" width="5.125" style="3136" hidden="1" customWidth="1"/>
    <col min="13321" max="13321" width="7.375" style="3136" hidden="1" customWidth="1"/>
    <col min="13322" max="13322" width="11" style="3136" hidden="1" customWidth="1"/>
    <col min="13323" max="13323" width="12.375" style="3136" hidden="1" customWidth="1"/>
    <col min="13324" max="13324" width="12.625" style="3136" hidden="1" customWidth="1"/>
    <col min="13325" max="13325" width="12.375" style="3136" hidden="1" customWidth="1"/>
    <col min="13326" max="13326" width="5.25" style="3136" hidden="1" customWidth="1"/>
    <col min="13327" max="13327" width="7.5" style="3136" hidden="1" customWidth="1"/>
    <col min="13328" max="13328" width="1.875" style="3136" hidden="1" customWidth="1"/>
    <col min="13329" max="13521" width="9" style="3136" hidden="1" customWidth="1"/>
    <col min="13522" max="13569" width="9" style="3136" hidden="1"/>
    <col min="13570" max="13570" width="2.875" style="3136" hidden="1" customWidth="1"/>
    <col min="13571" max="13571" width="2.625" style="3136" hidden="1" customWidth="1"/>
    <col min="13572" max="13572" width="18" style="3136" hidden="1" customWidth="1"/>
    <col min="13573" max="13573" width="12.5" style="3136" hidden="1" customWidth="1"/>
    <col min="13574" max="13574" width="9.25" style="3136" hidden="1" customWidth="1"/>
    <col min="13575" max="13575" width="6.875" style="3136" hidden="1" customWidth="1"/>
    <col min="13576" max="13576" width="5.125" style="3136" hidden="1" customWidth="1"/>
    <col min="13577" max="13577" width="7.375" style="3136" hidden="1" customWidth="1"/>
    <col min="13578" max="13578" width="11" style="3136" hidden="1" customWidth="1"/>
    <col min="13579" max="13579" width="12.375" style="3136" hidden="1" customWidth="1"/>
    <col min="13580" max="13580" width="12.625" style="3136" hidden="1" customWidth="1"/>
    <col min="13581" max="13581" width="12.375" style="3136" hidden="1" customWidth="1"/>
    <col min="13582" max="13582" width="5.25" style="3136" hidden="1" customWidth="1"/>
    <col min="13583" max="13583" width="7.5" style="3136" hidden="1" customWidth="1"/>
    <col min="13584" max="13584" width="1.875" style="3136" hidden="1" customWidth="1"/>
    <col min="13585" max="13777" width="9" style="3136" hidden="1" customWidth="1"/>
    <col min="13778" max="13825" width="9" style="3136" hidden="1"/>
    <col min="13826" max="13826" width="2.875" style="3136" hidden="1" customWidth="1"/>
    <col min="13827" max="13827" width="2.625" style="3136" hidden="1" customWidth="1"/>
    <col min="13828" max="13828" width="18" style="3136" hidden="1" customWidth="1"/>
    <col min="13829" max="13829" width="12.5" style="3136" hidden="1" customWidth="1"/>
    <col min="13830" max="13830" width="9.25" style="3136" hidden="1" customWidth="1"/>
    <col min="13831" max="13831" width="6.875" style="3136" hidden="1" customWidth="1"/>
    <col min="13832" max="13832" width="5.125" style="3136" hidden="1" customWidth="1"/>
    <col min="13833" max="13833" width="7.375" style="3136" hidden="1" customWidth="1"/>
    <col min="13834" max="13834" width="11" style="3136" hidden="1" customWidth="1"/>
    <col min="13835" max="13835" width="12.375" style="3136" hidden="1" customWidth="1"/>
    <col min="13836" max="13836" width="12.625" style="3136" hidden="1" customWidth="1"/>
    <col min="13837" max="13837" width="12.375" style="3136" hidden="1" customWidth="1"/>
    <col min="13838" max="13838" width="5.25" style="3136" hidden="1" customWidth="1"/>
    <col min="13839" max="13839" width="7.5" style="3136" hidden="1" customWidth="1"/>
    <col min="13840" max="13840" width="1.875" style="3136" hidden="1" customWidth="1"/>
    <col min="13841" max="14033" width="9" style="3136" hidden="1" customWidth="1"/>
    <col min="14034" max="14081" width="9" style="3136" hidden="1"/>
    <col min="14082" max="14082" width="2.875" style="3136" hidden="1" customWidth="1"/>
    <col min="14083" max="14083" width="2.625" style="3136" hidden="1" customWidth="1"/>
    <col min="14084" max="14084" width="18" style="3136" hidden="1" customWidth="1"/>
    <col min="14085" max="14085" width="12.5" style="3136" hidden="1" customWidth="1"/>
    <col min="14086" max="14086" width="9.25" style="3136" hidden="1" customWidth="1"/>
    <col min="14087" max="14087" width="6.875" style="3136" hidden="1" customWidth="1"/>
    <col min="14088" max="14088" width="5.125" style="3136" hidden="1" customWidth="1"/>
    <col min="14089" max="14089" width="7.375" style="3136" hidden="1" customWidth="1"/>
    <col min="14090" max="14090" width="11" style="3136" hidden="1" customWidth="1"/>
    <col min="14091" max="14091" width="12.375" style="3136" hidden="1" customWidth="1"/>
    <col min="14092" max="14092" width="12.625" style="3136" hidden="1" customWidth="1"/>
    <col min="14093" max="14093" width="12.375" style="3136" hidden="1" customWidth="1"/>
    <col min="14094" max="14094" width="5.25" style="3136" hidden="1" customWidth="1"/>
    <col min="14095" max="14095" width="7.5" style="3136" hidden="1" customWidth="1"/>
    <col min="14096" max="14096" width="1.875" style="3136" hidden="1" customWidth="1"/>
    <col min="14097" max="14289" width="9" style="3136" hidden="1" customWidth="1"/>
    <col min="14290" max="14337" width="9" style="3136" hidden="1"/>
    <col min="14338" max="14338" width="2.875" style="3136" hidden="1" customWidth="1"/>
    <col min="14339" max="14339" width="2.625" style="3136" hidden="1" customWidth="1"/>
    <col min="14340" max="14340" width="18" style="3136" hidden="1" customWidth="1"/>
    <col min="14341" max="14341" width="12.5" style="3136" hidden="1" customWidth="1"/>
    <col min="14342" max="14342" width="9.25" style="3136" hidden="1" customWidth="1"/>
    <col min="14343" max="14343" width="6.875" style="3136" hidden="1" customWidth="1"/>
    <col min="14344" max="14344" width="5.125" style="3136" hidden="1" customWidth="1"/>
    <col min="14345" max="14345" width="7.375" style="3136" hidden="1" customWidth="1"/>
    <col min="14346" max="14346" width="11" style="3136" hidden="1" customWidth="1"/>
    <col min="14347" max="14347" width="12.375" style="3136" hidden="1" customWidth="1"/>
    <col min="14348" max="14348" width="12.625" style="3136" hidden="1" customWidth="1"/>
    <col min="14349" max="14349" width="12.375" style="3136" hidden="1" customWidth="1"/>
    <col min="14350" max="14350" width="5.25" style="3136" hidden="1" customWidth="1"/>
    <col min="14351" max="14351" width="7.5" style="3136" hidden="1" customWidth="1"/>
    <col min="14352" max="14352" width="1.875" style="3136" hidden="1" customWidth="1"/>
    <col min="14353" max="14545" width="9" style="3136" hidden="1" customWidth="1"/>
    <col min="14546" max="14593" width="9" style="3136" hidden="1"/>
    <col min="14594" max="14594" width="2.875" style="3136" hidden="1" customWidth="1"/>
    <col min="14595" max="14595" width="2.625" style="3136" hidden="1" customWidth="1"/>
    <col min="14596" max="14596" width="18" style="3136" hidden="1" customWidth="1"/>
    <col min="14597" max="14597" width="12.5" style="3136" hidden="1" customWidth="1"/>
    <col min="14598" max="14598" width="9.25" style="3136" hidden="1" customWidth="1"/>
    <col min="14599" max="14599" width="6.875" style="3136" hidden="1" customWidth="1"/>
    <col min="14600" max="14600" width="5.125" style="3136" hidden="1" customWidth="1"/>
    <col min="14601" max="14601" width="7.375" style="3136" hidden="1" customWidth="1"/>
    <col min="14602" max="14602" width="11" style="3136" hidden="1" customWidth="1"/>
    <col min="14603" max="14603" width="12.375" style="3136" hidden="1" customWidth="1"/>
    <col min="14604" max="14604" width="12.625" style="3136" hidden="1" customWidth="1"/>
    <col min="14605" max="14605" width="12.375" style="3136" hidden="1" customWidth="1"/>
    <col min="14606" max="14606" width="5.25" style="3136" hidden="1" customWidth="1"/>
    <col min="14607" max="14607" width="7.5" style="3136" hidden="1" customWidth="1"/>
    <col min="14608" max="14608" width="1.875" style="3136" hidden="1" customWidth="1"/>
    <col min="14609" max="14801" width="9" style="3136" hidden="1" customWidth="1"/>
    <col min="14802" max="14849" width="9" style="3136" hidden="1"/>
    <col min="14850" max="14850" width="2.875" style="3136" hidden="1" customWidth="1"/>
    <col min="14851" max="14851" width="2.625" style="3136" hidden="1" customWidth="1"/>
    <col min="14852" max="14852" width="18" style="3136" hidden="1" customWidth="1"/>
    <col min="14853" max="14853" width="12.5" style="3136" hidden="1" customWidth="1"/>
    <col min="14854" max="14854" width="9.25" style="3136" hidden="1" customWidth="1"/>
    <col min="14855" max="14855" width="6.875" style="3136" hidden="1" customWidth="1"/>
    <col min="14856" max="14856" width="5.125" style="3136" hidden="1" customWidth="1"/>
    <col min="14857" max="14857" width="7.375" style="3136" hidden="1" customWidth="1"/>
    <col min="14858" max="14858" width="11" style="3136" hidden="1" customWidth="1"/>
    <col min="14859" max="14859" width="12.375" style="3136" hidden="1" customWidth="1"/>
    <col min="14860" max="14860" width="12.625" style="3136" hidden="1" customWidth="1"/>
    <col min="14861" max="14861" width="12.375" style="3136" hidden="1" customWidth="1"/>
    <col min="14862" max="14862" width="5.25" style="3136" hidden="1" customWidth="1"/>
    <col min="14863" max="14863" width="7.5" style="3136" hidden="1" customWidth="1"/>
    <col min="14864" max="14864" width="1.875" style="3136" hidden="1" customWidth="1"/>
    <col min="14865" max="15057" width="9" style="3136" hidden="1" customWidth="1"/>
    <col min="15058" max="15105" width="9" style="3136" hidden="1"/>
    <col min="15106" max="15106" width="2.875" style="3136" hidden="1" customWidth="1"/>
    <col min="15107" max="15107" width="2.625" style="3136" hidden="1" customWidth="1"/>
    <col min="15108" max="15108" width="18" style="3136" hidden="1" customWidth="1"/>
    <col min="15109" max="15109" width="12.5" style="3136" hidden="1" customWidth="1"/>
    <col min="15110" max="15110" width="9.25" style="3136" hidden="1" customWidth="1"/>
    <col min="15111" max="15111" width="6.875" style="3136" hidden="1" customWidth="1"/>
    <col min="15112" max="15112" width="5.125" style="3136" hidden="1" customWidth="1"/>
    <col min="15113" max="15113" width="7.375" style="3136" hidden="1" customWidth="1"/>
    <col min="15114" max="15114" width="11" style="3136" hidden="1" customWidth="1"/>
    <col min="15115" max="15115" width="12.375" style="3136" hidden="1" customWidth="1"/>
    <col min="15116" max="15116" width="12.625" style="3136" hidden="1" customWidth="1"/>
    <col min="15117" max="15117" width="12.375" style="3136" hidden="1" customWidth="1"/>
    <col min="15118" max="15118" width="5.25" style="3136" hidden="1" customWidth="1"/>
    <col min="15119" max="15119" width="7.5" style="3136" hidden="1" customWidth="1"/>
    <col min="15120" max="15120" width="1.875" style="3136" hidden="1" customWidth="1"/>
    <col min="15121" max="15313" width="9" style="3136" hidden="1" customWidth="1"/>
    <col min="15314" max="15361" width="9" style="3136" hidden="1"/>
    <col min="15362" max="15362" width="2.875" style="3136" hidden="1" customWidth="1"/>
    <col min="15363" max="15363" width="2.625" style="3136" hidden="1" customWidth="1"/>
    <col min="15364" max="15364" width="18" style="3136" hidden="1" customWidth="1"/>
    <col min="15365" max="15365" width="12.5" style="3136" hidden="1" customWidth="1"/>
    <col min="15366" max="15366" width="9.25" style="3136" hidden="1" customWidth="1"/>
    <col min="15367" max="15367" width="6.875" style="3136" hidden="1" customWidth="1"/>
    <col min="15368" max="15368" width="5.125" style="3136" hidden="1" customWidth="1"/>
    <col min="15369" max="15369" width="7.375" style="3136" hidden="1" customWidth="1"/>
    <col min="15370" max="15370" width="11" style="3136" hidden="1" customWidth="1"/>
    <col min="15371" max="15371" width="12.375" style="3136" hidden="1" customWidth="1"/>
    <col min="15372" max="15372" width="12.625" style="3136" hidden="1" customWidth="1"/>
    <col min="15373" max="15373" width="12.375" style="3136" hidden="1" customWidth="1"/>
    <col min="15374" max="15374" width="5.25" style="3136" hidden="1" customWidth="1"/>
    <col min="15375" max="15375" width="7.5" style="3136" hidden="1" customWidth="1"/>
    <col min="15376" max="15376" width="1.875" style="3136" hidden="1" customWidth="1"/>
    <col min="15377" max="15569" width="9" style="3136" hidden="1" customWidth="1"/>
    <col min="15570" max="15617" width="9" style="3136" hidden="1"/>
    <col min="15618" max="15618" width="2.875" style="3136" hidden="1" customWidth="1"/>
    <col min="15619" max="15619" width="2.625" style="3136" hidden="1" customWidth="1"/>
    <col min="15620" max="15620" width="18" style="3136" hidden="1" customWidth="1"/>
    <col min="15621" max="15621" width="12.5" style="3136" hidden="1" customWidth="1"/>
    <col min="15622" max="15622" width="9.25" style="3136" hidden="1" customWidth="1"/>
    <col min="15623" max="15623" width="6.875" style="3136" hidden="1" customWidth="1"/>
    <col min="15624" max="15624" width="5.125" style="3136" hidden="1" customWidth="1"/>
    <col min="15625" max="15625" width="7.375" style="3136" hidden="1" customWidth="1"/>
    <col min="15626" max="15626" width="11" style="3136" hidden="1" customWidth="1"/>
    <col min="15627" max="15627" width="12.375" style="3136" hidden="1" customWidth="1"/>
    <col min="15628" max="15628" width="12.625" style="3136" hidden="1" customWidth="1"/>
    <col min="15629" max="15629" width="12.375" style="3136" hidden="1" customWidth="1"/>
    <col min="15630" max="15630" width="5.25" style="3136" hidden="1" customWidth="1"/>
    <col min="15631" max="15631" width="7.5" style="3136" hidden="1" customWidth="1"/>
    <col min="15632" max="15632" width="1.875" style="3136" hidden="1" customWidth="1"/>
    <col min="15633" max="15825" width="9" style="3136" hidden="1" customWidth="1"/>
    <col min="15826" max="15873" width="9" style="3136" hidden="1"/>
    <col min="15874" max="15874" width="2.875" style="3136" hidden="1" customWidth="1"/>
    <col min="15875" max="15875" width="2.625" style="3136" hidden="1" customWidth="1"/>
    <col min="15876" max="15876" width="18" style="3136" hidden="1" customWidth="1"/>
    <col min="15877" max="15877" width="12.5" style="3136" hidden="1" customWidth="1"/>
    <col min="15878" max="15878" width="9.25" style="3136" hidden="1" customWidth="1"/>
    <col min="15879" max="15879" width="6.875" style="3136" hidden="1" customWidth="1"/>
    <col min="15880" max="15880" width="5.125" style="3136" hidden="1" customWidth="1"/>
    <col min="15881" max="15881" width="7.375" style="3136" hidden="1" customWidth="1"/>
    <col min="15882" max="15882" width="11" style="3136" hidden="1" customWidth="1"/>
    <col min="15883" max="15883" width="12.375" style="3136" hidden="1" customWidth="1"/>
    <col min="15884" max="15884" width="12.625" style="3136" hidden="1" customWidth="1"/>
    <col min="15885" max="15885" width="12.375" style="3136" hidden="1" customWidth="1"/>
    <col min="15886" max="15886" width="5.25" style="3136" hidden="1" customWidth="1"/>
    <col min="15887" max="15887" width="7.5" style="3136" hidden="1" customWidth="1"/>
    <col min="15888" max="15888" width="1.875" style="3136" hidden="1" customWidth="1"/>
    <col min="15889" max="16081" width="9" style="3136" hidden="1" customWidth="1"/>
    <col min="16082" max="16129" width="9" style="3136" hidden="1"/>
    <col min="16130" max="16130" width="2.875" style="3136" hidden="1" customWidth="1"/>
    <col min="16131" max="16131" width="2.625" style="3136" hidden="1" customWidth="1"/>
    <col min="16132" max="16132" width="18" style="3136" hidden="1" customWidth="1"/>
    <col min="16133" max="16133" width="12.5" style="3136" hidden="1" customWidth="1"/>
    <col min="16134" max="16134" width="9.25" style="3136" hidden="1" customWidth="1"/>
    <col min="16135" max="16135" width="6.875" style="3136" hidden="1" customWidth="1"/>
    <col min="16136" max="16136" width="5.125" style="3136" hidden="1" customWidth="1"/>
    <col min="16137" max="16137" width="7.375" style="3136" hidden="1" customWidth="1"/>
    <col min="16138" max="16138" width="11" style="3136" hidden="1" customWidth="1"/>
    <col min="16139" max="16139" width="12.375" style="3136" hidden="1" customWidth="1"/>
    <col min="16140" max="16140" width="12.625" style="3136" hidden="1" customWidth="1"/>
    <col min="16141" max="16141" width="12.375" style="3136" hidden="1" customWidth="1"/>
    <col min="16142" max="16142" width="5.25" style="3136" hidden="1" customWidth="1"/>
    <col min="16143" max="16143" width="7.5" style="3136" hidden="1" customWidth="1"/>
    <col min="16144" max="16144" width="1.875" style="3136" hidden="1" customWidth="1"/>
    <col min="16145" max="16337" width="9" style="3136" hidden="1" customWidth="1"/>
    <col min="16338" max="16384" width="9" style="3136" hidden="1"/>
  </cols>
  <sheetData>
    <row r="1" spans="1:20" s="2954" customFormat="1" ht="12" customHeight="1">
      <c r="A1" s="2953"/>
      <c r="B1" s="2953"/>
      <c r="C1" s="2953"/>
      <c r="D1" s="2953"/>
      <c r="E1" s="2953"/>
      <c r="F1" s="2953"/>
      <c r="G1" s="2953"/>
      <c r="H1" s="2953"/>
      <c r="I1" s="2953"/>
      <c r="J1" s="2953"/>
      <c r="K1" s="2953"/>
      <c r="L1" s="2953"/>
      <c r="M1" s="2953"/>
      <c r="N1" s="2953"/>
      <c r="O1" s="2953"/>
      <c r="P1" s="2953"/>
      <c r="Q1" s="1188"/>
      <c r="R1" s="1188"/>
    </row>
    <row r="2" spans="1:20" s="2954" customFormat="1" ht="12" customHeight="1">
      <c r="A2" s="2955"/>
      <c r="B2" s="2955"/>
      <c r="C2" s="2955"/>
      <c r="D2" s="2955"/>
      <c r="E2" s="2955"/>
      <c r="F2" s="2955"/>
      <c r="G2" s="2955"/>
      <c r="H2" s="2955"/>
      <c r="I2" s="2955"/>
      <c r="J2" s="2955"/>
      <c r="K2" s="2955"/>
      <c r="L2" s="2955"/>
      <c r="M2" s="2956"/>
      <c r="N2" s="2957"/>
      <c r="O2" s="2958"/>
      <c r="P2" s="2958"/>
      <c r="Q2" s="2959"/>
      <c r="R2" s="1188"/>
    </row>
    <row r="3" spans="1:20" s="2954" customFormat="1" ht="12" customHeight="1">
      <c r="A3" s="2955"/>
      <c r="B3" s="2960"/>
      <c r="C3" s="2960"/>
      <c r="D3" s="2960"/>
      <c r="E3" s="2960"/>
      <c r="F3" s="2960"/>
      <c r="G3" s="2960"/>
      <c r="H3" s="2961"/>
      <c r="I3" s="2961"/>
      <c r="J3" s="2962"/>
      <c r="K3" s="2962"/>
      <c r="L3" s="2960"/>
      <c r="M3" s="2963"/>
      <c r="N3" s="2964"/>
      <c r="O3" s="2958"/>
      <c r="P3" s="2958"/>
      <c r="Q3" s="2959"/>
      <c r="R3" s="1188"/>
    </row>
    <row r="4" spans="1:20" s="2954" customFormat="1" ht="12" customHeight="1">
      <c r="A4" s="2955"/>
      <c r="B4" s="2960"/>
      <c r="C4" s="2960"/>
      <c r="D4" s="2960"/>
      <c r="E4" s="2960"/>
      <c r="F4" s="2960"/>
      <c r="G4" s="2960"/>
      <c r="H4" s="2961"/>
      <c r="I4" s="2961"/>
      <c r="J4" s="2962"/>
      <c r="K4" s="2962"/>
      <c r="L4" s="2960"/>
      <c r="M4" s="2963"/>
      <c r="N4" s="2964"/>
      <c r="O4" s="2958"/>
      <c r="P4" s="2958"/>
      <c r="Q4" s="2959"/>
      <c r="R4" s="1188"/>
    </row>
    <row r="5" spans="1:20" s="2954" customFormat="1" ht="12" customHeight="1">
      <c r="A5" s="2955"/>
      <c r="B5" s="2960"/>
      <c r="C5" s="2960"/>
      <c r="D5" s="2960"/>
      <c r="E5" s="2960"/>
      <c r="F5" s="2960"/>
      <c r="G5" s="2960"/>
      <c r="H5" s="2961"/>
      <c r="I5" s="2961"/>
      <c r="J5" s="2962"/>
      <c r="K5" s="2962"/>
      <c r="L5" s="2960"/>
      <c r="M5" s="2963"/>
      <c r="N5" s="2964"/>
      <c r="O5" s="2958"/>
      <c r="P5" s="2958"/>
      <c r="Q5" s="2959"/>
      <c r="R5" s="2965" t="s">
        <v>3607</v>
      </c>
      <c r="S5" s="2966" t="s">
        <v>606</v>
      </c>
      <c r="T5" s="2966" t="s">
        <v>3680</v>
      </c>
    </row>
    <row r="6" spans="1:20" s="2954" customFormat="1" ht="7.5" customHeight="1">
      <c r="A6" s="2955"/>
      <c r="B6" s="2960"/>
      <c r="C6" s="2967"/>
      <c r="D6" s="2967"/>
      <c r="E6" s="2968"/>
      <c r="F6" s="2960"/>
      <c r="G6" s="2960"/>
      <c r="H6" s="2953"/>
      <c r="I6" s="2953"/>
      <c r="J6" s="2953"/>
      <c r="K6" s="2953"/>
      <c r="L6" s="2953"/>
      <c r="M6" s="2953"/>
      <c r="N6" s="2969"/>
      <c r="O6" s="2958"/>
      <c r="P6" s="2958"/>
      <c r="Q6" s="2959"/>
      <c r="R6" s="2965" t="s">
        <v>3681</v>
      </c>
      <c r="S6" s="2966" t="s">
        <v>3681</v>
      </c>
      <c r="T6" s="2966" t="s">
        <v>3608</v>
      </c>
    </row>
    <row r="7" spans="1:20" s="2954" customFormat="1" ht="12" customHeight="1" thickBot="1">
      <c r="A7" s="2955"/>
      <c r="B7" s="2960"/>
      <c r="C7" s="2967"/>
      <c r="D7" s="3990"/>
      <c r="E7" s="3990"/>
      <c r="F7" s="3990"/>
      <c r="G7" s="3990"/>
      <c r="H7" s="2953"/>
      <c r="I7" s="2970"/>
      <c r="J7" s="3991"/>
      <c r="K7" s="3991"/>
      <c r="L7" s="3991"/>
      <c r="M7" s="2953"/>
      <c r="N7" s="2953"/>
      <c r="O7" s="2958"/>
      <c r="P7" s="2958"/>
      <c r="Q7" s="2959"/>
      <c r="R7" s="2965" t="s">
        <v>3682</v>
      </c>
      <c r="S7" s="2966" t="s">
        <v>3682</v>
      </c>
      <c r="T7" s="2966" t="s">
        <v>3683</v>
      </c>
    </row>
    <row r="8" spans="1:20" s="2954" customFormat="1" ht="15" customHeight="1" thickBot="1">
      <c r="A8" s="2955"/>
      <c r="B8" s="2971" t="s">
        <v>3609</v>
      </c>
      <c r="C8" s="2972"/>
      <c r="D8" s="2973"/>
      <c r="E8" s="260"/>
      <c r="F8" s="260"/>
      <c r="G8" s="260"/>
      <c r="H8" s="260"/>
      <c r="I8" s="260"/>
      <c r="J8" s="2972"/>
      <c r="K8" s="2972"/>
      <c r="L8" s="2972"/>
      <c r="M8" s="2972"/>
      <c r="N8" s="2974"/>
      <c r="O8" s="2958"/>
      <c r="P8" s="2958"/>
      <c r="Q8" s="2959"/>
      <c r="R8" s="2965" t="s">
        <v>606</v>
      </c>
      <c r="S8" s="2966" t="s">
        <v>3607</v>
      </c>
      <c r="T8" s="2966" t="s">
        <v>3684</v>
      </c>
    </row>
    <row r="9" spans="1:20" s="2954" customFormat="1" ht="18" customHeight="1">
      <c r="A9" s="2975"/>
      <c r="B9" s="2976"/>
      <c r="C9" s="2977" t="s">
        <v>3610</v>
      </c>
      <c r="D9" s="3992" t="str">
        <f>メイン!C11</f>
        <v>○○ビル</v>
      </c>
      <c r="E9" s="3992"/>
      <c r="F9" s="3992"/>
      <c r="G9" s="3992"/>
      <c r="H9" s="3992"/>
      <c r="I9" s="3993" t="s">
        <v>3685</v>
      </c>
      <c r="J9" s="3995" t="e">
        <f>結果!S13</f>
        <v>#DIV/0!</v>
      </c>
      <c r="K9" s="3995" t="e">
        <f>CHOOSE(結果!$S$15*5,"C","B-","B+","A","S")</f>
        <v>#DIV/0!</v>
      </c>
      <c r="L9" s="3997" t="e">
        <f>VLOOKUP(K9,S5:T9,2)</f>
        <v>#DIV/0!</v>
      </c>
      <c r="M9" s="3997"/>
      <c r="N9" s="3998"/>
      <c r="O9" s="2958"/>
      <c r="P9" s="2958"/>
      <c r="Q9" s="2959"/>
      <c r="R9" s="2965" t="s">
        <v>3686</v>
      </c>
      <c r="S9" s="2966" t="s">
        <v>3686</v>
      </c>
      <c r="T9" s="2966" t="s">
        <v>3687</v>
      </c>
    </row>
    <row r="10" spans="1:20" s="2954" customFormat="1" ht="18" customHeight="1" thickBot="1">
      <c r="A10" s="2975"/>
      <c r="B10" s="2978"/>
      <c r="C10" s="2979" t="s">
        <v>3611</v>
      </c>
      <c r="D10" s="3246">
        <f>メイン!C19</f>
        <v>0</v>
      </c>
      <c r="E10" s="2980" t="s">
        <v>1963</v>
      </c>
      <c r="F10" s="2953"/>
      <c r="G10" s="2980"/>
      <c r="H10" s="2953"/>
      <c r="I10" s="3994"/>
      <c r="J10" s="3996"/>
      <c r="K10" s="3996"/>
      <c r="L10" s="3997"/>
      <c r="M10" s="3997"/>
      <c r="N10" s="3998"/>
      <c r="O10" s="2958"/>
      <c r="P10" s="2958"/>
      <c r="Q10" s="2959"/>
      <c r="R10" s="1188"/>
      <c r="T10" s="2981"/>
    </row>
    <row r="11" spans="1:20" s="2954" customFormat="1" ht="18" customHeight="1">
      <c r="A11" s="2975"/>
      <c r="B11" s="2978"/>
      <c r="C11" s="2979" t="s">
        <v>3612</v>
      </c>
      <c r="D11" s="3999" t="str">
        <f>メイン!C20</f>
        <v>○○</v>
      </c>
      <c r="E11" s="3999"/>
      <c r="F11" s="3999"/>
      <c r="G11" s="3999"/>
      <c r="H11" s="3999"/>
      <c r="I11" s="2982" t="s">
        <v>3613</v>
      </c>
      <c r="J11" s="2953"/>
      <c r="K11" s="4000" t="str">
        <f>メイン!C6</f>
        <v>CASBEE京都-既存(2015年版)</v>
      </c>
      <c r="L11" s="4000"/>
      <c r="M11" s="4000"/>
      <c r="N11" s="4001"/>
      <c r="O11" s="2958"/>
      <c r="P11" s="2958"/>
      <c r="Q11" s="2959"/>
      <c r="R11" s="1188"/>
      <c r="T11" s="2981"/>
    </row>
    <row r="12" spans="1:20" s="2954" customFormat="1" ht="18" customHeight="1" thickBot="1">
      <c r="A12" s="2975"/>
      <c r="B12" s="2983"/>
      <c r="C12" s="2984"/>
      <c r="D12" s="4002" t="str">
        <f>メイン!C21</f>
        <v/>
      </c>
      <c r="E12" s="4002"/>
      <c r="F12" s="4002"/>
      <c r="G12" s="4002"/>
      <c r="H12" s="4002"/>
      <c r="I12" s="2985" t="s">
        <v>3688</v>
      </c>
      <c r="J12" s="2986"/>
      <c r="K12" s="4003" t="str">
        <f>メイン!C5</f>
        <v>CASBEE京都-既存2015(v.1.0)</v>
      </c>
      <c r="L12" s="4003"/>
      <c r="M12" s="4003"/>
      <c r="N12" s="4004"/>
      <c r="O12" s="2958"/>
      <c r="P12" s="2958"/>
      <c r="Q12" s="2959"/>
      <c r="R12" s="1188"/>
      <c r="T12" s="2981"/>
    </row>
    <row r="13" spans="1:20" s="2954" customFormat="1" ht="6" customHeight="1" thickBot="1">
      <c r="A13" s="2955"/>
      <c r="B13" s="2955"/>
      <c r="C13" s="2955"/>
      <c r="D13" s="2955"/>
      <c r="E13" s="2955"/>
      <c r="F13" s="2955"/>
      <c r="G13" s="2955"/>
      <c r="H13" s="2955"/>
      <c r="I13" s="2955"/>
      <c r="J13" s="2955"/>
      <c r="K13" s="2955"/>
      <c r="L13" s="2955"/>
      <c r="M13" s="2956"/>
      <c r="N13" s="2957"/>
      <c r="O13" s="2958"/>
      <c r="P13" s="2958"/>
      <c r="Q13" s="2959"/>
      <c r="R13" s="1188"/>
    </row>
    <row r="14" spans="1:20" s="2954" customFormat="1" ht="15" customHeight="1" thickBot="1">
      <c r="A14" s="2955"/>
      <c r="B14" s="2987" t="s">
        <v>3614</v>
      </c>
      <c r="C14" s="2988"/>
      <c r="D14" s="2988"/>
      <c r="E14" s="2989"/>
      <c r="F14" s="2990"/>
      <c r="G14" s="2991"/>
      <c r="H14" s="2991"/>
      <c r="I14" s="2991"/>
      <c r="J14" s="2991"/>
      <c r="K14" s="2991"/>
      <c r="L14" s="2991"/>
      <c r="M14" s="2992"/>
      <c r="N14" s="2993"/>
      <c r="O14" s="2958"/>
      <c r="P14" s="2958"/>
      <c r="Q14" s="2959"/>
      <c r="R14" s="1188"/>
    </row>
    <row r="15" spans="1:20" s="2954" customFormat="1" ht="15" customHeight="1" thickBot="1">
      <c r="A15" s="2955"/>
      <c r="B15" s="2994" t="s">
        <v>3689</v>
      </c>
      <c r="C15" s="2995"/>
      <c r="D15" s="2995"/>
      <c r="E15" s="2996"/>
      <c r="F15" s="4005"/>
      <c r="G15" s="4005"/>
      <c r="H15" s="4006"/>
      <c r="I15" s="2997" t="s">
        <v>3615</v>
      </c>
      <c r="J15" s="2995"/>
      <c r="K15" s="2995"/>
      <c r="L15" s="2995"/>
      <c r="M15" s="2995"/>
      <c r="N15" s="2998"/>
      <c r="O15" s="2958"/>
      <c r="P15" s="2958"/>
      <c r="Q15" s="2959"/>
      <c r="R15" s="1188"/>
    </row>
    <row r="16" spans="1:20" s="2954" customFormat="1" ht="13.5" customHeight="1" thickBot="1">
      <c r="A16" s="2955"/>
      <c r="B16" s="2999"/>
      <c r="C16" s="3988"/>
      <c r="D16" s="3988"/>
      <c r="E16" s="3988"/>
      <c r="F16" s="3989"/>
      <c r="G16" s="3989"/>
      <c r="H16" s="3000"/>
      <c r="I16" s="3001"/>
      <c r="J16" s="3001"/>
      <c r="K16" s="3001"/>
      <c r="L16" s="3001"/>
      <c r="M16" s="3002"/>
      <c r="N16" s="3003"/>
      <c r="O16" s="3004"/>
      <c r="P16" s="3004"/>
      <c r="Q16" s="3005" t="e">
        <f>ROUND(M27,1)</f>
        <v>#DIV/0!</v>
      </c>
      <c r="R16" s="1188"/>
    </row>
    <row r="17" spans="1:18" s="2954" customFormat="1" ht="29.25" customHeight="1" thickBot="1">
      <c r="A17" s="2955"/>
      <c r="B17" s="3006"/>
      <c r="C17" s="3982" t="s">
        <v>3690</v>
      </c>
      <c r="D17" s="3982"/>
      <c r="E17" s="3982"/>
      <c r="F17" s="3983"/>
      <c r="G17" s="3983"/>
      <c r="H17" s="3007"/>
      <c r="I17" s="3008"/>
      <c r="J17" s="3008"/>
      <c r="K17" s="3008"/>
      <c r="L17" s="3008"/>
      <c r="M17" s="3009"/>
      <c r="N17" s="3010"/>
      <c r="O17" s="3011"/>
      <c r="P17" s="3011"/>
      <c r="Q17" s="3012" t="e">
        <f>IF(Q16&gt;N27*0.85,5,IF(Q16&gt;N27*0.7,4,IF(Q16&gt;N27*0.55,3,IF(Q16&gt;N27*0.4,2,1))))</f>
        <v>#DIV/0!</v>
      </c>
      <c r="R17" s="1188"/>
    </row>
    <row r="18" spans="1:18" s="2954" customFormat="1" ht="13.5" customHeight="1" thickBot="1">
      <c r="A18" s="2955"/>
      <c r="B18" s="3013"/>
      <c r="C18" s="3984"/>
      <c r="D18" s="3984"/>
      <c r="E18" s="3984"/>
      <c r="F18" s="3985"/>
      <c r="G18" s="3985"/>
      <c r="H18" s="3014"/>
      <c r="I18" s="3015"/>
      <c r="J18" s="3015"/>
      <c r="K18" s="3015"/>
      <c r="L18" s="3015"/>
      <c r="M18" s="3016"/>
      <c r="N18" s="3017"/>
      <c r="O18" s="3011"/>
      <c r="P18" s="3011"/>
      <c r="Q18" s="3018"/>
      <c r="R18" s="1188"/>
    </row>
    <row r="19" spans="1:18" s="2954" customFormat="1" ht="13.5" customHeight="1" thickBot="1">
      <c r="A19" s="2955"/>
      <c r="B19" s="3019"/>
      <c r="C19" s="3986"/>
      <c r="D19" s="3986"/>
      <c r="E19" s="3986"/>
      <c r="F19" s="3987"/>
      <c r="G19" s="3987"/>
      <c r="H19" s="3020"/>
      <c r="I19" s="3001"/>
      <c r="J19" s="3001"/>
      <c r="K19" s="3001"/>
      <c r="L19" s="3001"/>
      <c r="M19" s="3002"/>
      <c r="N19" s="3003"/>
      <c r="O19" s="3011"/>
      <c r="P19" s="3011"/>
      <c r="Q19" s="3021" t="e">
        <f>ROUND($M$50,1)</f>
        <v>#DIV/0!</v>
      </c>
      <c r="R19" s="1188"/>
    </row>
    <row r="20" spans="1:18" s="2954" customFormat="1" ht="29.25" customHeight="1" thickBot="1">
      <c r="A20" s="2955"/>
      <c r="B20" s="3022"/>
      <c r="C20" s="3976" t="s">
        <v>3691</v>
      </c>
      <c r="D20" s="3976"/>
      <c r="E20" s="3976"/>
      <c r="F20" s="3977"/>
      <c r="G20" s="3977"/>
      <c r="H20" s="3023"/>
      <c r="I20" s="3008"/>
      <c r="J20" s="3008"/>
      <c r="K20" s="3008"/>
      <c r="L20" s="3008"/>
      <c r="M20" s="3009"/>
      <c r="N20" s="3010"/>
      <c r="O20" s="3011"/>
      <c r="P20" s="3011"/>
      <c r="Q20" s="3024" t="e">
        <f>IF(Q19&gt;N50*0.85,5,IF(Q19&gt;N50*0.7,4,IF(Q19&gt;N50*0.55,3,IF(Q19&gt;N50*0.4,2,1))))</f>
        <v>#DIV/0!</v>
      </c>
      <c r="R20" s="1188"/>
    </row>
    <row r="21" spans="1:18" s="2954" customFormat="1" ht="13.5" customHeight="1" thickBot="1">
      <c r="A21" s="2955"/>
      <c r="B21" s="3025"/>
      <c r="C21" s="3978"/>
      <c r="D21" s="3978"/>
      <c r="E21" s="3978"/>
      <c r="F21" s="3979"/>
      <c r="G21" s="3979"/>
      <c r="H21" s="3026"/>
      <c r="I21" s="3015"/>
      <c r="J21" s="3015"/>
      <c r="K21" s="3015"/>
      <c r="L21" s="3015"/>
      <c r="M21" s="3016"/>
      <c r="N21" s="3017"/>
      <c r="O21" s="3011"/>
      <c r="P21" s="3011"/>
      <c r="Q21" s="3018"/>
      <c r="R21" s="1188"/>
    </row>
    <row r="22" spans="1:18" s="2954" customFormat="1" ht="13.5" customHeight="1" thickBot="1">
      <c r="A22" s="2955"/>
      <c r="B22" s="3027"/>
      <c r="C22" s="3980"/>
      <c r="D22" s="3980"/>
      <c r="E22" s="3980"/>
      <c r="F22" s="3981"/>
      <c r="G22" s="3981"/>
      <c r="H22" s="3028"/>
      <c r="I22" s="3001"/>
      <c r="J22" s="3001"/>
      <c r="K22" s="3001"/>
      <c r="L22" s="3001"/>
      <c r="M22" s="3002"/>
      <c r="N22" s="3003"/>
      <c r="O22" s="3011"/>
      <c r="P22" s="3011"/>
      <c r="Q22" s="3029" t="e">
        <f>ROUND($M$67,1)</f>
        <v>#DIV/0!</v>
      </c>
      <c r="R22" s="1188"/>
    </row>
    <row r="23" spans="1:18" s="2954" customFormat="1" ht="29.25" customHeight="1" thickBot="1">
      <c r="A23" s="2955"/>
      <c r="B23" s="3030"/>
      <c r="C23" s="3973" t="s">
        <v>3692</v>
      </c>
      <c r="D23" s="3973"/>
      <c r="E23" s="3973"/>
      <c r="F23" s="3973"/>
      <c r="G23" s="3973"/>
      <c r="H23" s="3028"/>
      <c r="I23" s="3008"/>
      <c r="J23" s="3008"/>
      <c r="K23" s="3008"/>
      <c r="L23" s="3008"/>
      <c r="M23" s="3009"/>
      <c r="N23" s="3010"/>
      <c r="O23" s="3011"/>
      <c r="P23" s="3011"/>
      <c r="Q23" s="3031" t="e">
        <f>IF(Q22&gt;N67*0.85,5,IF(Q22&gt;N67*0.7,4,IF(Q22&gt;N67*0.55,3,IF(Q22&gt;N67*0.4,2,1))))</f>
        <v>#DIV/0!</v>
      </c>
      <c r="R23" s="1188"/>
    </row>
    <row r="24" spans="1:18" s="2954" customFormat="1" ht="13.5" customHeight="1" thickBot="1">
      <c r="A24" s="2955"/>
      <c r="B24" s="3032"/>
      <c r="C24" s="3974"/>
      <c r="D24" s="3974"/>
      <c r="E24" s="3974"/>
      <c r="F24" s="3975"/>
      <c r="G24" s="3975"/>
      <c r="H24" s="3033"/>
      <c r="I24" s="3034"/>
      <c r="J24" s="3034"/>
      <c r="K24" s="3034"/>
      <c r="L24" s="3034"/>
      <c r="M24" s="3035"/>
      <c r="N24" s="3036"/>
      <c r="O24" s="3011"/>
      <c r="P24" s="3011"/>
      <c r="Q24" s="3037"/>
      <c r="R24" s="1188"/>
    </row>
    <row r="25" spans="1:18" s="2954" customFormat="1" ht="6" customHeight="1" thickBot="1">
      <c r="A25" s="2955"/>
      <c r="B25" s="2960"/>
      <c r="C25" s="2960"/>
      <c r="D25" s="2960"/>
      <c r="E25" s="2960"/>
      <c r="F25" s="2960"/>
      <c r="G25" s="2960"/>
      <c r="H25" s="2960"/>
      <c r="I25" s="2960"/>
      <c r="J25" s="2960"/>
      <c r="K25" s="2960"/>
      <c r="L25" s="2960"/>
      <c r="M25" s="3038"/>
      <c r="N25" s="3009"/>
      <c r="O25" s="2958"/>
      <c r="P25" s="2958"/>
      <c r="Q25" s="2959"/>
      <c r="R25" s="1188"/>
    </row>
    <row r="26" spans="1:18" s="2954" customFormat="1" ht="15" customHeight="1">
      <c r="A26" s="2955"/>
      <c r="B26" s="3039" t="s">
        <v>3616</v>
      </c>
      <c r="C26" s="3040"/>
      <c r="D26" s="3040"/>
      <c r="E26" s="3041"/>
      <c r="F26" s="3042"/>
      <c r="G26" s="3041"/>
      <c r="H26" s="3043"/>
      <c r="I26" s="3044"/>
      <c r="J26" s="3041"/>
      <c r="K26" s="3041"/>
      <c r="L26" s="3041"/>
      <c r="M26" s="3041"/>
      <c r="N26" s="3045"/>
      <c r="O26" s="2958"/>
      <c r="P26" s="2958"/>
      <c r="Q26" s="2959"/>
      <c r="R26" s="1188"/>
    </row>
    <row r="27" spans="1:18" s="2954" customFormat="1" ht="15" customHeight="1">
      <c r="A27" s="2955"/>
      <c r="B27" s="3046">
        <v>1</v>
      </c>
      <c r="C27" s="3047" t="s">
        <v>3617</v>
      </c>
      <c r="D27" s="3047"/>
      <c r="E27" s="3048"/>
      <c r="F27" s="3048"/>
      <c r="G27" s="3048"/>
      <c r="H27" s="3048"/>
      <c r="I27" s="3048"/>
      <c r="J27" s="3048"/>
      <c r="K27" s="3048"/>
      <c r="L27" s="3049" t="s">
        <v>3618</v>
      </c>
      <c r="M27" s="3050" t="e">
        <f>SUM(M28,M38,M45)</f>
        <v>#DIV/0!</v>
      </c>
      <c r="N27" s="3207" t="e">
        <f>SUM(N28,N38,N45)</f>
        <v>#DIV/0!</v>
      </c>
      <c r="O27" s="2958"/>
      <c r="P27" s="2958"/>
      <c r="Q27" s="2959"/>
      <c r="R27" s="1188"/>
    </row>
    <row r="28" spans="1:18" s="2954" customFormat="1" ht="15" customHeight="1" thickBot="1">
      <c r="A28" s="2955"/>
      <c r="B28" s="3051"/>
      <c r="C28" s="3052" t="s">
        <v>3619</v>
      </c>
      <c r="D28" s="3053"/>
      <c r="E28" s="3054"/>
      <c r="F28" s="3054"/>
      <c r="G28" s="3054"/>
      <c r="H28" s="3054"/>
      <c r="I28" s="3054"/>
      <c r="J28" s="3054"/>
      <c r="K28" s="3054"/>
      <c r="L28" s="3055" t="s">
        <v>3620</v>
      </c>
      <c r="M28" s="3056" t="e">
        <f>SUM(Q29,N34:N35,N30)</f>
        <v>#DIV/0!</v>
      </c>
      <c r="N28" s="3208" t="e">
        <f>20-SUM(Q30:Q35)</f>
        <v>#DIV/0!</v>
      </c>
      <c r="O28" s="2958"/>
      <c r="P28" s="2958"/>
      <c r="Q28" s="3063" t="s">
        <v>3623</v>
      </c>
      <c r="R28" s="1188"/>
    </row>
    <row r="29" spans="1:18" s="2954" customFormat="1" ht="12" customHeight="1" thickBot="1">
      <c r="A29" s="2955"/>
      <c r="B29" s="3057"/>
      <c r="C29" s="3058" t="s">
        <v>3621</v>
      </c>
      <c r="D29" s="3058"/>
      <c r="E29" s="3059"/>
      <c r="F29" s="3059"/>
      <c r="G29" s="3059"/>
      <c r="H29" s="3060"/>
      <c r="I29" s="3061" t="s">
        <v>3622</v>
      </c>
      <c r="J29" s="3059"/>
      <c r="K29" s="3059"/>
      <c r="L29" s="3059"/>
      <c r="M29" s="3059"/>
      <c r="N29" s="3062"/>
      <c r="O29" s="2958"/>
      <c r="P29" s="2958"/>
      <c r="Q29" s="3066">
        <f>AVERAGE(H30:H34)</f>
        <v>3</v>
      </c>
      <c r="R29" s="1188"/>
    </row>
    <row r="30" spans="1:18" s="2954" customFormat="1" ht="12" customHeight="1" thickBot="1">
      <c r="A30" s="2955"/>
      <c r="B30" s="3057"/>
      <c r="C30" s="3059" t="s">
        <v>3624</v>
      </c>
      <c r="D30" s="3059"/>
      <c r="E30" s="3064"/>
      <c r="F30" s="3059"/>
      <c r="G30" s="164" t="s">
        <v>3693</v>
      </c>
      <c r="H30" s="3247">
        <f>IF(スコア!O103=0,"対象外",スコア!O103)</f>
        <v>3</v>
      </c>
      <c r="I30" s="3059" t="s">
        <v>3625</v>
      </c>
      <c r="J30" s="3065"/>
      <c r="K30" s="3065"/>
      <c r="L30" s="3059"/>
      <c r="M30" s="164" t="s">
        <v>3693</v>
      </c>
      <c r="N30" s="3248">
        <f>IF(スコア!O80=0,"対象外",スコア!O80)</f>
        <v>3</v>
      </c>
      <c r="O30" s="2958"/>
      <c r="P30" s="2958"/>
      <c r="Q30" s="3184">
        <f>IF(H30="対象外",5,0)</f>
        <v>0</v>
      </c>
      <c r="R30" s="1188"/>
    </row>
    <row r="31" spans="1:18" s="2954" customFormat="1" ht="12" customHeight="1" thickBot="1">
      <c r="A31" s="2955"/>
      <c r="B31" s="3057"/>
      <c r="C31" s="3059" t="s">
        <v>3626</v>
      </c>
      <c r="D31" s="3059"/>
      <c r="E31" s="3064"/>
      <c r="F31" s="3059"/>
      <c r="G31" s="164" t="s">
        <v>3693</v>
      </c>
      <c r="H31" s="3249">
        <f>IF(スコア!O104=0,"対象外",スコア!O104)</f>
        <v>3</v>
      </c>
      <c r="I31" s="3948" t="s">
        <v>3694</v>
      </c>
      <c r="J31" s="3949"/>
      <c r="K31" s="3949"/>
      <c r="L31" s="3949"/>
      <c r="M31" s="3949"/>
      <c r="N31" s="3950"/>
      <c r="O31" s="2958"/>
      <c r="P31" s="2958"/>
      <c r="Q31" s="3184"/>
      <c r="R31" s="1188"/>
    </row>
    <row r="32" spans="1:18" s="2954" customFormat="1" ht="12" customHeight="1" thickBot="1">
      <c r="A32" s="2955"/>
      <c r="B32" s="3057"/>
      <c r="C32" s="3059" t="s">
        <v>3627</v>
      </c>
      <c r="D32" s="3059"/>
      <c r="E32" s="3064"/>
      <c r="F32" s="3059"/>
      <c r="G32" s="164" t="s">
        <v>3693</v>
      </c>
      <c r="H32" s="3249">
        <f>IF(スコア!O105=0,"対象外",スコア!O105)</f>
        <v>3</v>
      </c>
      <c r="I32" s="3951"/>
      <c r="J32" s="3952"/>
      <c r="K32" s="3952"/>
      <c r="L32" s="3952"/>
      <c r="M32" s="3952"/>
      <c r="N32" s="3953"/>
      <c r="O32" s="2958"/>
      <c r="P32" s="2958"/>
      <c r="Q32" s="3184">
        <f>IF(N30="対象外",5,0)</f>
        <v>0</v>
      </c>
      <c r="R32" s="1188"/>
    </row>
    <row r="33" spans="1:20" s="2954" customFormat="1" ht="12" customHeight="1" thickBot="1">
      <c r="A33" s="2955"/>
      <c r="B33" s="3057"/>
      <c r="C33" s="3059" t="s">
        <v>3628</v>
      </c>
      <c r="D33" s="3059"/>
      <c r="E33" s="3064"/>
      <c r="F33" s="3059"/>
      <c r="G33" s="164" t="s">
        <v>3693</v>
      </c>
      <c r="H33" s="3247">
        <f>IF(スコア!O106=0,"対象外",スコア!O106)</f>
        <v>3</v>
      </c>
      <c r="I33" s="3058" t="s">
        <v>3629</v>
      </c>
      <c r="J33" s="3065"/>
      <c r="K33" s="3065"/>
      <c r="L33" s="3059"/>
      <c r="M33" s="164"/>
      <c r="N33" s="3067"/>
      <c r="O33" s="2958"/>
      <c r="P33" s="2958"/>
      <c r="Q33" s="3206"/>
      <c r="R33" s="1188"/>
    </row>
    <row r="34" spans="1:20" s="2954" customFormat="1" ht="12" customHeight="1" thickBot="1">
      <c r="A34" s="2955"/>
      <c r="B34" s="3057"/>
      <c r="C34" s="3068" t="s">
        <v>3630</v>
      </c>
      <c r="D34" s="3059"/>
      <c r="E34" s="3064"/>
      <c r="F34" s="3059"/>
      <c r="G34" s="164" t="s">
        <v>3693</v>
      </c>
      <c r="H34" s="3247">
        <f>IF(スコア!O107=0,"対象外",スコア!O107)</f>
        <v>3</v>
      </c>
      <c r="I34" s="3059" t="s">
        <v>3631</v>
      </c>
      <c r="J34" s="3065"/>
      <c r="K34" s="3065"/>
      <c r="L34" s="3059"/>
      <c r="M34" s="164" t="s">
        <v>3693</v>
      </c>
      <c r="N34" s="3247">
        <f>IF(スコア!O66=0,"対象外",スコア!O66)</f>
        <v>3</v>
      </c>
      <c r="O34" s="2958"/>
      <c r="P34" s="2958"/>
      <c r="Q34" s="3184">
        <f>IF(N34="対象外",5,0)</f>
        <v>0</v>
      </c>
      <c r="R34" s="1188"/>
    </row>
    <row r="35" spans="1:20" s="2954" customFormat="1" ht="12" customHeight="1" thickBot="1">
      <c r="A35" s="2955"/>
      <c r="B35" s="3057"/>
      <c r="C35" s="3068"/>
      <c r="D35" s="3059" t="s">
        <v>3695</v>
      </c>
      <c r="E35" s="3064"/>
      <c r="F35" s="3059"/>
      <c r="G35" s="164"/>
      <c r="H35" s="3069"/>
      <c r="I35" s="3059" t="s">
        <v>3632</v>
      </c>
      <c r="J35" s="3065"/>
      <c r="K35" s="3065"/>
      <c r="L35" s="3059"/>
      <c r="M35" s="164" t="s">
        <v>3693</v>
      </c>
      <c r="N35" s="3248" t="e">
        <f>IF(重み!$D$7=重み!$E$7,IF(スコア!O100&gt;=スコア!Q100,IF(スコア!O100=0,"対象外",スコア!O100),IF(スコア!Q100=0,"対象外",スコア!Q100)),IF(重み!$D$7&gt;重み!$E$7,IF(スコア!O100=0,"対象外",スコア!O100),IF(スコア!Q100=0,"対象外",スコア!Q100)))</f>
        <v>#DIV/0!</v>
      </c>
      <c r="O35" s="2958"/>
      <c r="P35" s="2958"/>
      <c r="Q35" s="3184" t="e">
        <f>IF(N35="対象外",5,0)</f>
        <v>#DIV/0!</v>
      </c>
      <c r="R35" s="1188"/>
    </row>
    <row r="36" spans="1:20" s="2954" customFormat="1" ht="12" customHeight="1">
      <c r="A36" s="2955"/>
      <c r="B36" s="3070"/>
      <c r="C36" s="3970" t="s">
        <v>3633</v>
      </c>
      <c r="D36" s="3970"/>
      <c r="E36" s="3970"/>
      <c r="F36" s="3970"/>
      <c r="G36" s="3970"/>
      <c r="H36" s="3970"/>
      <c r="I36" s="3970" t="s">
        <v>3694</v>
      </c>
      <c r="J36" s="3970"/>
      <c r="K36" s="3970"/>
      <c r="L36" s="3970"/>
      <c r="M36" s="3970"/>
      <c r="N36" s="3970"/>
      <c r="O36" s="2958"/>
      <c r="P36" s="2958"/>
      <c r="Q36" s="2959"/>
      <c r="R36" s="1188"/>
    </row>
    <row r="37" spans="1:20" s="2954" customFormat="1" ht="12" customHeight="1" thickBot="1">
      <c r="A37" s="2955"/>
      <c r="B37" s="3070"/>
      <c r="C37" s="3971"/>
      <c r="D37" s="3971"/>
      <c r="E37" s="3971"/>
      <c r="F37" s="3971"/>
      <c r="G37" s="3971"/>
      <c r="H37" s="3971"/>
      <c r="I37" s="3971"/>
      <c r="J37" s="3971"/>
      <c r="K37" s="3971"/>
      <c r="L37" s="3971"/>
      <c r="M37" s="3971"/>
      <c r="N37" s="3971"/>
      <c r="O37" s="2958"/>
      <c r="P37" s="2958"/>
      <c r="Q37" s="2959"/>
      <c r="R37" s="1188"/>
    </row>
    <row r="38" spans="1:20" s="2954" customFormat="1" ht="15" customHeight="1" thickBot="1">
      <c r="A38" s="2955"/>
      <c r="B38" s="3051"/>
      <c r="C38" s="3071" t="s">
        <v>3634</v>
      </c>
      <c r="D38" s="3072"/>
      <c r="E38" s="3073"/>
      <c r="F38" s="3073"/>
      <c r="G38" s="3073"/>
      <c r="H38" s="3073"/>
      <c r="I38" s="3073"/>
      <c r="J38" s="3073"/>
      <c r="K38" s="3073"/>
      <c r="L38" s="3074" t="s">
        <v>3620</v>
      </c>
      <c r="M38" s="3075">
        <f>SUM(N39:N42)</f>
        <v>12</v>
      </c>
      <c r="N38" s="3209">
        <f>20-SUM(Q39:Q42)</f>
        <v>20</v>
      </c>
      <c r="O38" s="2958"/>
      <c r="P38" s="2958"/>
      <c r="Q38" s="2959"/>
      <c r="R38" s="1188"/>
    </row>
    <row r="39" spans="1:20" s="2954" customFormat="1" ht="12" customHeight="1" thickBot="1">
      <c r="A39" s="2955"/>
      <c r="B39" s="3057"/>
      <c r="C39" s="3059" t="s">
        <v>3635</v>
      </c>
      <c r="D39" s="3059"/>
      <c r="E39" s="3064"/>
      <c r="F39" s="3059"/>
      <c r="G39" s="2953"/>
      <c r="H39" s="2953"/>
      <c r="I39" s="3059"/>
      <c r="J39" s="3065"/>
      <c r="K39" s="3065"/>
      <c r="L39" s="3059"/>
      <c r="M39" s="3076" t="s">
        <v>3636</v>
      </c>
      <c r="N39" s="3247">
        <f>IF(スコア!O147=0,"対象外",スコア!O147)</f>
        <v>3</v>
      </c>
      <c r="O39" s="2958"/>
      <c r="P39" s="2958"/>
      <c r="Q39" s="3205">
        <f>IF(N39="対象外",5,0)</f>
        <v>0</v>
      </c>
      <c r="R39" s="1188"/>
    </row>
    <row r="40" spans="1:20" s="2954" customFormat="1" ht="12" customHeight="1" thickBot="1">
      <c r="A40" s="2955"/>
      <c r="B40" s="3057"/>
      <c r="C40" s="3059" t="s">
        <v>3637</v>
      </c>
      <c r="D40" s="3059"/>
      <c r="E40" s="3064"/>
      <c r="F40" s="3059"/>
      <c r="G40" s="2953"/>
      <c r="H40" s="2953"/>
      <c r="I40" s="3059"/>
      <c r="J40" s="3065"/>
      <c r="K40" s="3065"/>
      <c r="L40" s="3059"/>
      <c r="M40" s="3076" t="s">
        <v>3636</v>
      </c>
      <c r="N40" s="3247">
        <f>IF(スコア!O149=0,"対象外",スコア!O149)</f>
        <v>3</v>
      </c>
      <c r="O40" s="2958"/>
      <c r="P40" s="2958"/>
      <c r="Q40" s="3205">
        <f>IF(N40="対象外",5,0)</f>
        <v>0</v>
      </c>
      <c r="R40" s="1188"/>
    </row>
    <row r="41" spans="1:20" s="2954" customFormat="1" ht="12" customHeight="1" thickBot="1">
      <c r="A41" s="2955"/>
      <c r="B41" s="3057"/>
      <c r="C41" s="3059" t="s">
        <v>3724</v>
      </c>
      <c r="D41" s="3059"/>
      <c r="E41" s="3064"/>
      <c r="F41" s="3059"/>
      <c r="G41" s="2953"/>
      <c r="H41" s="2953"/>
      <c r="I41" s="3059"/>
      <c r="J41" s="3065"/>
      <c r="K41" s="3065"/>
      <c r="L41" s="3059"/>
      <c r="M41" s="3076" t="s">
        <v>3636</v>
      </c>
      <c r="N41" s="3247">
        <f>IF(スコア!O150=0,"対象外",スコア!O150)</f>
        <v>3</v>
      </c>
      <c r="O41" s="2958"/>
      <c r="P41" s="2958"/>
      <c r="Q41" s="3205">
        <f>IF(N41="対象外",5,0)</f>
        <v>0</v>
      </c>
      <c r="R41" s="1189"/>
      <c r="S41" s="3077"/>
      <c r="T41" s="3077"/>
    </row>
    <row r="42" spans="1:20" s="2954" customFormat="1" ht="12" customHeight="1" thickBot="1">
      <c r="A42" s="2955"/>
      <c r="B42" s="3057"/>
      <c r="C42" s="3068" t="s">
        <v>3638</v>
      </c>
      <c r="D42" s="3059"/>
      <c r="E42" s="3064"/>
      <c r="F42" s="3059"/>
      <c r="G42" s="3078"/>
      <c r="H42" s="3078"/>
      <c r="I42" s="3059"/>
      <c r="J42" s="3065"/>
      <c r="K42" s="3065"/>
      <c r="L42" s="3059"/>
      <c r="M42" s="3079" t="s">
        <v>3693</v>
      </c>
      <c r="N42" s="3248">
        <f>IF(スコア!O152=0,"対象外",スコア!O152)</f>
        <v>3</v>
      </c>
      <c r="O42" s="2958"/>
      <c r="P42" s="2958"/>
      <c r="Q42" s="3205">
        <f>IF(N42="対象外",5,0)</f>
        <v>0</v>
      </c>
      <c r="R42" s="1189"/>
      <c r="S42" s="3077"/>
      <c r="T42" s="3077"/>
    </row>
    <row r="43" spans="1:20" s="2954" customFormat="1" ht="12" customHeight="1">
      <c r="A43" s="2955"/>
      <c r="B43" s="3070" t="s">
        <v>3696</v>
      </c>
      <c r="C43" s="3948" t="s">
        <v>3639</v>
      </c>
      <c r="D43" s="3949"/>
      <c r="E43" s="3949"/>
      <c r="F43" s="3949"/>
      <c r="G43" s="3949"/>
      <c r="H43" s="3949"/>
      <c r="I43" s="3949"/>
      <c r="J43" s="3949"/>
      <c r="K43" s="3949"/>
      <c r="L43" s="3949"/>
      <c r="M43" s="3949"/>
      <c r="N43" s="3950"/>
      <c r="O43" s="2958"/>
      <c r="P43" s="2958"/>
      <c r="Q43" s="2959"/>
      <c r="R43" s="1189"/>
      <c r="S43" s="3077"/>
      <c r="T43" s="3077"/>
    </row>
    <row r="44" spans="1:20" s="2954" customFormat="1" ht="12" customHeight="1" thickBot="1">
      <c r="A44" s="2955"/>
      <c r="B44" s="3070"/>
      <c r="C44" s="3951"/>
      <c r="D44" s="3952"/>
      <c r="E44" s="3952"/>
      <c r="F44" s="3952"/>
      <c r="G44" s="3952"/>
      <c r="H44" s="3952"/>
      <c r="I44" s="3952"/>
      <c r="J44" s="3952"/>
      <c r="K44" s="3952"/>
      <c r="L44" s="3952"/>
      <c r="M44" s="3952"/>
      <c r="N44" s="3953"/>
      <c r="O44" s="2958"/>
      <c r="P44" s="2958"/>
      <c r="Q44" s="2959"/>
      <c r="R44" s="1188"/>
    </row>
    <row r="45" spans="1:20" s="2954" customFormat="1" ht="15" customHeight="1" thickBot="1">
      <c r="A45" s="2955"/>
      <c r="B45" s="3080"/>
      <c r="C45" s="3081" t="s">
        <v>3640</v>
      </c>
      <c r="D45" s="3081"/>
      <c r="E45" s="3082"/>
      <c r="F45" s="3082"/>
      <c r="G45" s="3082"/>
      <c r="H45" s="3082"/>
      <c r="I45" s="3082"/>
      <c r="J45" s="3082"/>
      <c r="K45" s="3082"/>
      <c r="L45" s="3074" t="s">
        <v>3620</v>
      </c>
      <c r="M45" s="3083">
        <f>COUNTIF(N46:N48,"○")</f>
        <v>0</v>
      </c>
      <c r="N45" s="3210">
        <f>3-SUM(Q46:Q48)</f>
        <v>1</v>
      </c>
      <c r="O45" s="3084"/>
      <c r="P45" s="3115"/>
      <c r="Q45" s="3085"/>
      <c r="R45" s="1188"/>
    </row>
    <row r="46" spans="1:20" s="2954" customFormat="1" ht="12" customHeight="1" thickBot="1">
      <c r="A46" s="2955"/>
      <c r="B46" s="3080"/>
      <c r="C46" s="3911" t="s">
        <v>3641</v>
      </c>
      <c r="D46" s="3911"/>
      <c r="E46" s="3911"/>
      <c r="F46" s="3965" t="s">
        <v>3763</v>
      </c>
      <c r="G46" s="3966"/>
      <c r="H46" s="3966"/>
      <c r="I46" s="3966"/>
      <c r="J46" s="3966"/>
      <c r="K46" s="3966"/>
      <c r="L46" s="3966"/>
      <c r="M46" s="3967"/>
      <c r="N46" s="3247" t="str">
        <f>IF(採点LR2!G37="○",IF(採点LR2!G50="○","○",""),"対象外")</f>
        <v>対象外</v>
      </c>
      <c r="O46" s="2958"/>
      <c r="P46" s="2958"/>
      <c r="Q46" s="3205">
        <f>IF(N46="対象外",1,0)</f>
        <v>1</v>
      </c>
      <c r="R46" s="1188"/>
    </row>
    <row r="47" spans="1:20" s="2954" customFormat="1" ht="12" customHeight="1" thickBot="1">
      <c r="A47" s="2955"/>
      <c r="B47" s="3080"/>
      <c r="C47" s="3911" t="s">
        <v>3643</v>
      </c>
      <c r="D47" s="3911"/>
      <c r="E47" s="3911"/>
      <c r="F47" s="3907" t="s">
        <v>3765</v>
      </c>
      <c r="G47" s="3968"/>
      <c r="H47" s="3968"/>
      <c r="I47" s="3968"/>
      <c r="J47" s="3968"/>
      <c r="K47" s="3968"/>
      <c r="L47" s="3968"/>
      <c r="M47" s="3968"/>
      <c r="N47" s="3247" t="str">
        <f>IF(採点LR2!G37="○",IF(採点LR2!G89="○","○",""),"対象外")</f>
        <v>対象外</v>
      </c>
      <c r="O47" s="2958"/>
      <c r="P47" s="2958"/>
      <c r="Q47" s="3205">
        <f>IF(N47="対象外",1,0)</f>
        <v>1</v>
      </c>
      <c r="R47" s="1188"/>
    </row>
    <row r="48" spans="1:20" s="2954" customFormat="1" ht="12" customHeight="1" thickBot="1">
      <c r="A48" s="2955"/>
      <c r="B48" s="3080"/>
      <c r="C48" s="3911" t="s">
        <v>3725</v>
      </c>
      <c r="D48" s="3911"/>
      <c r="E48" s="3911"/>
      <c r="F48" s="3907" t="s">
        <v>3644</v>
      </c>
      <c r="G48" s="3968"/>
      <c r="H48" s="3968"/>
      <c r="I48" s="3968"/>
      <c r="J48" s="3968"/>
      <c r="K48" s="3968"/>
      <c r="L48" s="3968"/>
      <c r="M48" s="3225"/>
      <c r="N48" s="3247" t="str">
        <f>採点LR2!G151</f>
        <v>　</v>
      </c>
      <c r="O48" s="2958"/>
      <c r="P48" s="2958"/>
      <c r="Q48" s="3205">
        <f>IF(N48="対象外",1,0)</f>
        <v>0</v>
      </c>
      <c r="R48" s="1188"/>
    </row>
    <row r="49" spans="1:18" s="2954" customFormat="1" ht="12" customHeight="1">
      <c r="A49" s="2955"/>
      <c r="B49" s="3086"/>
      <c r="C49" s="3915"/>
      <c r="D49" s="3968"/>
      <c r="E49" s="3226"/>
      <c r="F49" s="3226"/>
      <c r="G49" s="3087"/>
      <c r="H49" s="3226"/>
      <c r="I49" s="3226"/>
      <c r="J49" s="3226"/>
      <c r="K49" s="3226"/>
      <c r="L49" s="3226"/>
      <c r="M49" s="3226"/>
      <c r="N49" s="3088"/>
      <c r="O49" s="2958"/>
      <c r="P49" s="2958"/>
      <c r="Q49" s="3085"/>
      <c r="R49" s="1188"/>
    </row>
    <row r="50" spans="1:18" s="2954" customFormat="1" ht="15" customHeight="1">
      <c r="A50" s="2955"/>
      <c r="B50" s="3089">
        <v>2</v>
      </c>
      <c r="C50" s="3090" t="s">
        <v>3645</v>
      </c>
      <c r="D50" s="3090"/>
      <c r="E50" s="3091"/>
      <c r="F50" s="3091"/>
      <c r="G50" s="3091"/>
      <c r="H50" s="3091"/>
      <c r="I50" s="3091"/>
      <c r="J50" s="3091"/>
      <c r="K50" s="3091"/>
      <c r="L50" s="3092" t="s">
        <v>3618</v>
      </c>
      <c r="M50" s="3092" t="e">
        <f>SUM(G51,M51,M58,M64)</f>
        <v>#DIV/0!</v>
      </c>
      <c r="N50" s="3211" t="e">
        <f>SUM(H51,N51,N58,N64)</f>
        <v>#DIV/0!</v>
      </c>
      <c r="O50" s="2958"/>
      <c r="P50" s="2958"/>
      <c r="Q50" s="2959"/>
      <c r="R50" s="1188"/>
    </row>
    <row r="51" spans="1:18" s="2954" customFormat="1" ht="15" customHeight="1">
      <c r="A51" s="2955"/>
      <c r="B51" s="3093"/>
      <c r="C51" s="3094" t="s">
        <v>3646</v>
      </c>
      <c r="D51" s="3094"/>
      <c r="E51" s="3095"/>
      <c r="F51" s="3055" t="s">
        <v>3697</v>
      </c>
      <c r="G51" s="3055" t="e">
        <f>SUM(H53:H55)</f>
        <v>#DIV/0!</v>
      </c>
      <c r="H51" s="3213" t="e">
        <f>15-SUM(Q51:Q53)</f>
        <v>#DIV/0!</v>
      </c>
      <c r="I51" s="3053" t="s">
        <v>3647</v>
      </c>
      <c r="J51" s="3054"/>
      <c r="K51" s="3054"/>
      <c r="L51" s="3055" t="s">
        <v>3697</v>
      </c>
      <c r="M51" s="3055">
        <f>SUM(N53:N55)</f>
        <v>9</v>
      </c>
      <c r="N51" s="3212">
        <f>15-SUM(Q54:Q56)</f>
        <v>15</v>
      </c>
      <c r="O51" s="2958"/>
      <c r="P51" s="2958"/>
      <c r="Q51" s="3205" t="e">
        <f>IF(H53="対象外",5,0)</f>
        <v>#DIV/0!</v>
      </c>
      <c r="R51" s="1188"/>
    </row>
    <row r="52" spans="1:18" s="2954" customFormat="1" ht="12" customHeight="1" thickBot="1">
      <c r="A52" s="2955"/>
      <c r="B52" s="3096"/>
      <c r="C52" s="3097" t="s">
        <v>3648</v>
      </c>
      <c r="D52" s="3097"/>
      <c r="E52" s="3098"/>
      <c r="F52" s="3098"/>
      <c r="G52" s="3098"/>
      <c r="H52" s="3060"/>
      <c r="I52" s="3058" t="s">
        <v>3649</v>
      </c>
      <c r="J52" s="3059"/>
      <c r="K52" s="3059"/>
      <c r="L52" s="3059"/>
      <c r="M52" s="3059"/>
      <c r="N52" s="3062"/>
      <c r="O52" s="2958"/>
      <c r="P52" s="2958"/>
      <c r="Q52" s="3205">
        <f>IF(H54="対象外",5,0)</f>
        <v>0</v>
      </c>
      <c r="R52" s="1188"/>
    </row>
    <row r="53" spans="1:18" s="2954" customFormat="1" ht="12" customHeight="1" thickBot="1">
      <c r="A53" s="2955"/>
      <c r="B53" s="3096"/>
      <c r="C53" s="3059" t="s">
        <v>3650</v>
      </c>
      <c r="D53" s="3059"/>
      <c r="E53" s="3064"/>
      <c r="F53" s="3059"/>
      <c r="G53" s="3076" t="s">
        <v>3636</v>
      </c>
      <c r="H53" s="3247" t="e">
        <f>IF(重み!$D$7=重み!$E$7,IF(スコア!O68&gt;=スコア!Q68,IF(スコア!O68=0,"対象外",スコア!O68),IF(スコア!Q68=0,"対象外",スコア!Q68)),IF(重み!$D$7&gt;重み!$E$7,IF(スコア!O68=0,"対象外",スコア!O68),IF(スコア!Q68=0,"対象外",スコア!Q68)))</f>
        <v>#DIV/0!</v>
      </c>
      <c r="I53" s="3059" t="s">
        <v>3651</v>
      </c>
      <c r="J53" s="3059"/>
      <c r="K53" s="3059"/>
      <c r="L53" s="3059"/>
      <c r="M53" s="164" t="s">
        <v>3693</v>
      </c>
      <c r="N53" s="3247">
        <f>IF(スコア!O113=0,"対象外",スコア!O113)</f>
        <v>3</v>
      </c>
      <c r="O53" s="2958"/>
      <c r="P53" s="2958"/>
      <c r="Q53" s="3205">
        <f>IF(H55="対象外",5,0)</f>
        <v>0</v>
      </c>
      <c r="R53" s="1188"/>
    </row>
    <row r="54" spans="1:18" s="2954" customFormat="1" ht="12" customHeight="1" thickBot="1">
      <c r="A54" s="2955"/>
      <c r="B54" s="3096"/>
      <c r="C54" s="3059" t="s">
        <v>3652</v>
      </c>
      <c r="D54" s="3059"/>
      <c r="E54" s="3064"/>
      <c r="F54" s="3059"/>
      <c r="G54" s="3076" t="s">
        <v>3636</v>
      </c>
      <c r="H54" s="3247">
        <f>IF(スコア!O110=0,"対象外",スコア!O110)</f>
        <v>3</v>
      </c>
      <c r="I54" s="3059" t="s">
        <v>3653</v>
      </c>
      <c r="J54" s="3059"/>
      <c r="K54" s="3059"/>
      <c r="L54" s="3059"/>
      <c r="M54" s="164" t="s">
        <v>3693</v>
      </c>
      <c r="N54" s="3247">
        <f>IF(スコア!O163=0,"対象外",スコア!O163)</f>
        <v>3</v>
      </c>
      <c r="O54" s="2958"/>
      <c r="P54" s="2958"/>
      <c r="Q54" s="3205">
        <f>IF(N53="対象外",5,0)</f>
        <v>0</v>
      </c>
      <c r="R54" s="1188"/>
    </row>
    <row r="55" spans="1:18" s="2954" customFormat="1" ht="12" customHeight="1" thickBot="1">
      <c r="A55" s="2955"/>
      <c r="B55" s="3096"/>
      <c r="C55" s="3068" t="s">
        <v>3654</v>
      </c>
      <c r="D55" s="3059"/>
      <c r="E55" s="3064"/>
      <c r="F55" s="3059"/>
      <c r="G55" s="3099" t="s">
        <v>3636</v>
      </c>
      <c r="H55" s="3248">
        <f>IF(スコア!O114=0,"対象外",スコア!O114)</f>
        <v>3</v>
      </c>
      <c r="I55" s="3969" t="s">
        <v>3655</v>
      </c>
      <c r="J55" s="3969"/>
      <c r="K55" s="3969"/>
      <c r="L55" s="3969"/>
      <c r="M55" s="164" t="s">
        <v>3693</v>
      </c>
      <c r="N55" s="3248">
        <f>IF(スコア!O180=0,"対象外",スコア!O180)</f>
        <v>3</v>
      </c>
      <c r="O55" s="2958"/>
      <c r="P55" s="2958"/>
      <c r="Q55" s="3205">
        <f>IF(N54="対象外",5,0)</f>
        <v>0</v>
      </c>
      <c r="R55" s="1188"/>
    </row>
    <row r="56" spans="1:18" s="2954" customFormat="1" ht="12" customHeight="1">
      <c r="A56" s="2955"/>
      <c r="B56" s="3100"/>
      <c r="C56" s="3970" t="s">
        <v>3639</v>
      </c>
      <c r="D56" s="3970"/>
      <c r="E56" s="3970"/>
      <c r="F56" s="3970"/>
      <c r="G56" s="3970"/>
      <c r="H56" s="3970"/>
      <c r="I56" s="3970" t="s">
        <v>3639</v>
      </c>
      <c r="J56" s="3970"/>
      <c r="K56" s="3970"/>
      <c r="L56" s="3970"/>
      <c r="M56" s="3970"/>
      <c r="N56" s="3970"/>
      <c r="O56" s="2958"/>
      <c r="P56" s="2958"/>
      <c r="Q56" s="3205">
        <f>IF(N55="対象外",5,0)</f>
        <v>0</v>
      </c>
      <c r="R56" s="1188"/>
    </row>
    <row r="57" spans="1:18" s="2954" customFormat="1" ht="12" customHeight="1" thickBot="1">
      <c r="A57" s="2955"/>
      <c r="B57" s="3100"/>
      <c r="C57" s="3971"/>
      <c r="D57" s="3971"/>
      <c r="E57" s="3971"/>
      <c r="F57" s="3971"/>
      <c r="G57" s="3971"/>
      <c r="H57" s="3971"/>
      <c r="I57" s="3971"/>
      <c r="J57" s="3971"/>
      <c r="K57" s="3971"/>
      <c r="L57" s="3971"/>
      <c r="M57" s="3971"/>
      <c r="N57" s="3971"/>
      <c r="O57" s="2958"/>
      <c r="P57" s="2958"/>
      <c r="Q57" s="2959"/>
      <c r="R57" s="1188"/>
    </row>
    <row r="58" spans="1:18" s="2954" customFormat="1" ht="15" customHeight="1">
      <c r="A58" s="2955"/>
      <c r="B58" s="3093"/>
      <c r="C58" s="3094" t="s">
        <v>3656</v>
      </c>
      <c r="D58" s="3094"/>
      <c r="E58" s="3095"/>
      <c r="F58" s="3095"/>
      <c r="G58" s="3095"/>
      <c r="H58" s="3095"/>
      <c r="I58" s="3095"/>
      <c r="J58" s="3095"/>
      <c r="K58" s="3095"/>
      <c r="L58" s="3074" t="s">
        <v>3697</v>
      </c>
      <c r="M58" s="3074" t="e">
        <f>SUM(N60:N61)</f>
        <v>#DIV/0!</v>
      </c>
      <c r="N58" s="3214" t="e">
        <f>10-SUM(Q60:Q61)</f>
        <v>#DIV/0!</v>
      </c>
      <c r="O58" s="2958"/>
      <c r="P58" s="2958"/>
      <c r="Q58" s="2959"/>
      <c r="R58" s="1188"/>
    </row>
    <row r="59" spans="1:18" s="2954" customFormat="1" ht="12" customHeight="1" thickBot="1">
      <c r="A59" s="2955"/>
      <c r="B59" s="3096"/>
      <c r="C59" s="3097" t="s">
        <v>3657</v>
      </c>
      <c r="D59" s="3097"/>
      <c r="E59" s="3098"/>
      <c r="F59" s="3098"/>
      <c r="G59" s="3098"/>
      <c r="H59" s="3098"/>
      <c r="I59" s="3097"/>
      <c r="J59" s="3098"/>
      <c r="K59" s="3098"/>
      <c r="L59" s="3098"/>
      <c r="M59" s="3098"/>
      <c r="N59" s="3062"/>
      <c r="O59" s="3084"/>
      <c r="P59" s="3115"/>
      <c r="Q59" s="3085"/>
      <c r="R59" s="1188"/>
    </row>
    <row r="60" spans="1:18" s="2954" customFormat="1" ht="12" customHeight="1" thickBot="1">
      <c r="A60" s="2955"/>
      <c r="B60" s="3096"/>
      <c r="C60" s="3059" t="s">
        <v>3658</v>
      </c>
      <c r="D60" s="3059"/>
      <c r="E60" s="3064"/>
      <c r="F60" s="3059"/>
      <c r="G60" s="2953"/>
      <c r="H60" s="2953"/>
      <c r="I60" s="3059"/>
      <c r="J60" s="3065"/>
      <c r="K60" s="3065"/>
      <c r="L60" s="3059"/>
      <c r="M60" s="3076" t="s">
        <v>3636</v>
      </c>
      <c r="N60" s="3247" t="e">
        <f>IF(重み!$D$7=重み!$E$7,IF(スコア!O70&gt;=スコア!Q70,IF(スコア!O70=0,"対象外",スコア!O70),IF(スコア!Q70=0,"対象外",スコア!Q70)),IF(重み!$D$7&gt;重み!$E$7,IF(スコア!O70=0,"対象外",スコア!O70),IF(スコア!Q70=0,"対象外",スコア!Q70)))</f>
        <v>#DIV/0!</v>
      </c>
      <c r="O60" s="2958"/>
      <c r="P60" s="2958"/>
      <c r="Q60" s="3205" t="e">
        <f>IF(N60="対象外",5,0)</f>
        <v>#DIV/0!</v>
      </c>
      <c r="R60" s="1188"/>
    </row>
    <row r="61" spans="1:18" s="2954" customFormat="1" ht="12" customHeight="1" thickBot="1">
      <c r="A61" s="2955"/>
      <c r="B61" s="3096"/>
      <c r="C61" s="3059" t="s">
        <v>3651</v>
      </c>
      <c r="D61" s="3059"/>
      <c r="E61" s="3064"/>
      <c r="F61" s="3059"/>
      <c r="G61" s="2953"/>
      <c r="H61" s="2953"/>
      <c r="I61" s="3059"/>
      <c r="J61" s="3065"/>
      <c r="K61" s="3065"/>
      <c r="L61" s="3059"/>
      <c r="M61" s="3076" t="s">
        <v>3636</v>
      </c>
      <c r="N61" s="3248">
        <f>IF(スコア!O113=0,"対象外",スコア!O113)</f>
        <v>3</v>
      </c>
      <c r="O61" s="2958"/>
      <c r="P61" s="2958"/>
      <c r="Q61" s="3205">
        <f>IF(N61="対象外",5,0)</f>
        <v>0</v>
      </c>
      <c r="R61" s="1188"/>
    </row>
    <row r="62" spans="1:18" s="2954" customFormat="1" ht="12" customHeight="1">
      <c r="A62" s="2955"/>
      <c r="B62" s="3100"/>
      <c r="C62" s="3948" t="s">
        <v>3639</v>
      </c>
      <c r="D62" s="3949"/>
      <c r="E62" s="3949"/>
      <c r="F62" s="3949"/>
      <c r="G62" s="3949"/>
      <c r="H62" s="3949"/>
      <c r="I62" s="3949"/>
      <c r="J62" s="3949"/>
      <c r="K62" s="3949"/>
      <c r="L62" s="3949"/>
      <c r="M62" s="3949"/>
      <c r="N62" s="3950"/>
      <c r="O62" s="2958"/>
      <c r="P62" s="2958"/>
      <c r="Q62" s="1188"/>
      <c r="R62" s="1188"/>
    </row>
    <row r="63" spans="1:18" s="2954" customFormat="1" ht="12" customHeight="1" thickBot="1">
      <c r="A63" s="2955"/>
      <c r="B63" s="3100"/>
      <c r="C63" s="3951"/>
      <c r="D63" s="3952"/>
      <c r="E63" s="3952"/>
      <c r="F63" s="3952"/>
      <c r="G63" s="3952"/>
      <c r="H63" s="3952"/>
      <c r="I63" s="3952"/>
      <c r="J63" s="3952"/>
      <c r="K63" s="3952"/>
      <c r="L63" s="3952"/>
      <c r="M63" s="3952"/>
      <c r="N63" s="3953"/>
      <c r="O63" s="2958"/>
      <c r="P63" s="2958"/>
      <c r="Q63" s="2959"/>
      <c r="R63" s="1188"/>
    </row>
    <row r="64" spans="1:18" s="2954" customFormat="1" ht="15" customHeight="1" thickBot="1">
      <c r="A64" s="2955"/>
      <c r="B64" s="3101"/>
      <c r="C64" s="3081" t="s">
        <v>3659</v>
      </c>
      <c r="D64" s="3081"/>
      <c r="E64" s="3082"/>
      <c r="F64" s="3082"/>
      <c r="G64" s="3082"/>
      <c r="H64" s="3082"/>
      <c r="I64" s="3082"/>
      <c r="J64" s="3082"/>
      <c r="K64" s="3082"/>
      <c r="L64" s="3074" t="s">
        <v>3620</v>
      </c>
      <c r="M64" s="3083">
        <f>COUNTIF(N65:N66,"○")</f>
        <v>0</v>
      </c>
      <c r="N64" s="3210" t="e">
        <f>2-SUM(Q65:Q67)</f>
        <v>#DIV/0!</v>
      </c>
      <c r="O64" s="2958"/>
      <c r="P64" s="2958"/>
      <c r="Q64" s="2959"/>
      <c r="R64" s="1188"/>
    </row>
    <row r="65" spans="1:22" s="2954" customFormat="1" ht="13.5" thickBot="1">
      <c r="A65" s="2955"/>
      <c r="B65" s="3101"/>
      <c r="C65" s="3961" t="s">
        <v>3660</v>
      </c>
      <c r="D65" s="3962"/>
      <c r="E65" s="3962"/>
      <c r="F65" s="3962"/>
      <c r="G65" s="3963" t="s">
        <v>3434</v>
      </c>
      <c r="H65" s="3963"/>
      <c r="I65" s="3963"/>
      <c r="J65" s="3963"/>
      <c r="K65" s="3963"/>
      <c r="L65" s="3963"/>
      <c r="M65" s="3964"/>
      <c r="N65" s="3247" t="e">
        <f>IF(重み!$D$7=重み!$E$7,IF(OR(採点Q2!F51="○",採点Q2!M51="○"),"○",""),IF(重み!$D$7&gt;重み!$E$7,IF(採点Q2!F51="○","○",""),IF(採点Q2!M51="○","○","")))</f>
        <v>#DIV/0!</v>
      </c>
      <c r="O65" s="2958"/>
      <c r="P65" s="2958"/>
      <c r="Q65" s="3205" t="e">
        <f>IF(N65="対象外",1,0)</f>
        <v>#DIV/0!</v>
      </c>
      <c r="R65" s="1188"/>
    </row>
    <row r="66" spans="1:22" s="2954" customFormat="1" ht="26.25" customHeight="1" thickBot="1">
      <c r="A66" s="2955"/>
      <c r="B66" s="3102"/>
      <c r="C66" s="3972" t="s">
        <v>3698</v>
      </c>
      <c r="D66" s="3972"/>
      <c r="E66" s="3972"/>
      <c r="F66" s="3972"/>
      <c r="G66" s="3947" t="s">
        <v>3661</v>
      </c>
      <c r="H66" s="3947"/>
      <c r="I66" s="3947"/>
      <c r="J66" s="3947"/>
      <c r="K66" s="3947"/>
      <c r="L66" s="3947"/>
      <c r="M66" s="3947"/>
      <c r="N66" s="3247" t="str">
        <f>採点LR3!F242</f>
        <v>　</v>
      </c>
      <c r="O66" s="2958"/>
      <c r="P66" s="2958"/>
      <c r="Q66" s="3205">
        <f>IF(N66="対象外",1,0)</f>
        <v>0</v>
      </c>
      <c r="R66" s="1188"/>
    </row>
    <row r="67" spans="1:22" s="2954" customFormat="1" ht="15" customHeight="1">
      <c r="A67" s="2955"/>
      <c r="B67" s="3103">
        <v>3</v>
      </c>
      <c r="C67" s="3104" t="s">
        <v>3662</v>
      </c>
      <c r="D67" s="3104"/>
      <c r="E67" s="3105"/>
      <c r="F67" s="3105"/>
      <c r="G67" s="3105"/>
      <c r="H67" s="3105"/>
      <c r="I67" s="3105"/>
      <c r="J67" s="3105"/>
      <c r="K67" s="3105"/>
      <c r="L67" s="3106" t="s">
        <v>3663</v>
      </c>
      <c r="M67" s="3106" t="e">
        <f>SUM(M74,M68,M81)</f>
        <v>#DIV/0!</v>
      </c>
      <c r="N67" s="3215" t="e">
        <f>SUM(N68,N74,N81)</f>
        <v>#DIV/0!</v>
      </c>
      <c r="O67" s="2958"/>
      <c r="P67" s="2958"/>
      <c r="Q67" s="2959"/>
      <c r="R67" s="1188"/>
    </row>
    <row r="68" spans="1:22" s="2954" customFormat="1" ht="15" customHeight="1" thickBot="1">
      <c r="A68" s="2955"/>
      <c r="B68" s="3103"/>
      <c r="C68" s="3052" t="s">
        <v>3664</v>
      </c>
      <c r="D68" s="3053"/>
      <c r="E68" s="3054"/>
      <c r="F68" s="3054"/>
      <c r="G68" s="3055"/>
      <c r="H68" s="3054"/>
      <c r="I68" s="3054"/>
      <c r="J68" s="3055"/>
      <c r="K68" s="3055"/>
      <c r="L68" s="3055" t="s">
        <v>3663</v>
      </c>
      <c r="M68" s="3055" t="e">
        <f>SUM(N69:N71)</f>
        <v>#DIV/0!</v>
      </c>
      <c r="N68" s="3209" t="e">
        <f>15-SUM(Q69:Q71)</f>
        <v>#DIV/0!</v>
      </c>
      <c r="O68" s="2958"/>
      <c r="P68" s="2958"/>
      <c r="Q68" s="2959"/>
      <c r="R68" s="1188"/>
    </row>
    <row r="69" spans="1:22" s="2954" customFormat="1" ht="12" customHeight="1" thickBot="1">
      <c r="A69" s="2955"/>
      <c r="B69" s="3107"/>
      <c r="C69" s="3059" t="s">
        <v>3658</v>
      </c>
      <c r="D69" s="3059"/>
      <c r="E69" s="3108"/>
      <c r="F69" s="3108"/>
      <c r="G69" s="3108"/>
      <c r="H69" s="3109"/>
      <c r="I69" s="3108"/>
      <c r="J69" s="3108"/>
      <c r="K69" s="3108"/>
      <c r="L69" s="3108"/>
      <c r="M69" s="3076" t="s">
        <v>3636</v>
      </c>
      <c r="N69" s="3247" t="e">
        <f>IF(重み!$D$7=重み!$E$7,IF(スコア!O70&gt;=スコア!Q70,IF(スコア!O70=0,"対象外",スコア!O70),IF(スコア!Q70=0,"対象外",スコア!Q70)),IF(重み!$D$7&gt;重み!$E$7,IF(スコア!O70=0,"対象外",スコア!O70),IF(スコア!Q70=0,"対象外",スコア!Q70)))</f>
        <v>#DIV/0!</v>
      </c>
      <c r="O69" s="2958"/>
      <c r="P69" s="2958"/>
      <c r="Q69" s="3205" t="e">
        <f>IF(N69="対象外",5,0)</f>
        <v>#DIV/0!</v>
      </c>
      <c r="R69" s="1188"/>
    </row>
    <row r="70" spans="1:22" s="2954" customFormat="1" ht="12" customHeight="1" thickBot="1">
      <c r="A70" s="2955"/>
      <c r="B70" s="3107"/>
      <c r="C70" s="3059" t="s">
        <v>3651</v>
      </c>
      <c r="D70" s="3059"/>
      <c r="E70" s="3109"/>
      <c r="F70" s="3109"/>
      <c r="G70" s="3109"/>
      <c r="H70" s="3109"/>
      <c r="I70" s="3109"/>
      <c r="J70" s="3109"/>
      <c r="K70" s="3109"/>
      <c r="L70" s="3109"/>
      <c r="M70" s="3076" t="s">
        <v>3636</v>
      </c>
      <c r="N70" s="3247">
        <f>IF(スコア!O113=0,"対象外",スコア!O113)</f>
        <v>3</v>
      </c>
      <c r="O70" s="2958"/>
      <c r="P70" s="2958"/>
      <c r="Q70" s="3205">
        <f>IF(N70="対象外",5,0)</f>
        <v>0</v>
      </c>
      <c r="R70" s="1188"/>
    </row>
    <row r="71" spans="1:22" s="2954" customFormat="1" ht="12" customHeight="1" thickBot="1">
      <c r="A71" s="2955"/>
      <c r="B71" s="3107"/>
      <c r="C71" s="3059" t="s">
        <v>3665</v>
      </c>
      <c r="D71" s="3059"/>
      <c r="E71" s="3109"/>
      <c r="F71" s="3109"/>
      <c r="G71" s="3109"/>
      <c r="H71" s="3109"/>
      <c r="I71" s="3109"/>
      <c r="J71" s="3109"/>
      <c r="K71" s="3109"/>
      <c r="L71" s="3109"/>
      <c r="M71" s="3076" t="s">
        <v>3636</v>
      </c>
      <c r="N71" s="3248">
        <f>IF(スコア!O151=0,"対象外",スコア!O151)</f>
        <v>3</v>
      </c>
      <c r="O71" s="2958"/>
      <c r="P71" s="2958"/>
      <c r="Q71" s="3205">
        <f>IF(N71="対象外",5,0)</f>
        <v>0</v>
      </c>
      <c r="R71" s="1188"/>
    </row>
    <row r="72" spans="1:22" s="2954" customFormat="1" ht="12" customHeight="1">
      <c r="A72" s="2955"/>
      <c r="B72" s="3103"/>
      <c r="C72" s="3948" t="s">
        <v>3639</v>
      </c>
      <c r="D72" s="3949"/>
      <c r="E72" s="3949"/>
      <c r="F72" s="3949"/>
      <c r="G72" s="3949"/>
      <c r="H72" s="3949"/>
      <c r="I72" s="3949"/>
      <c r="J72" s="3949"/>
      <c r="K72" s="3949"/>
      <c r="L72" s="3949"/>
      <c r="M72" s="3949"/>
      <c r="N72" s="3950"/>
      <c r="O72" s="2958"/>
      <c r="P72" s="2958"/>
      <c r="Q72" s="3206"/>
      <c r="R72" s="1188"/>
    </row>
    <row r="73" spans="1:22" s="2954" customFormat="1" ht="12" customHeight="1" thickBot="1">
      <c r="A73" s="2955"/>
      <c r="B73" s="3103"/>
      <c r="C73" s="3951"/>
      <c r="D73" s="3952"/>
      <c r="E73" s="3952"/>
      <c r="F73" s="3952"/>
      <c r="G73" s="3952"/>
      <c r="H73" s="3952"/>
      <c r="I73" s="3952"/>
      <c r="J73" s="3952"/>
      <c r="K73" s="3952"/>
      <c r="L73" s="3952"/>
      <c r="M73" s="3952"/>
      <c r="N73" s="3953"/>
      <c r="O73" s="3110"/>
      <c r="P73" s="3115"/>
      <c r="Q73" s="3216"/>
      <c r="R73" s="1188"/>
    </row>
    <row r="74" spans="1:22" s="2954" customFormat="1" ht="15" customHeight="1" thickBot="1">
      <c r="A74" s="2955"/>
      <c r="B74" s="3111"/>
      <c r="C74" s="3112" t="s">
        <v>3699</v>
      </c>
      <c r="D74" s="3113"/>
      <c r="E74" s="3073"/>
      <c r="F74" s="3073"/>
      <c r="G74" s="3074"/>
      <c r="H74" s="3114"/>
      <c r="I74" s="3073"/>
      <c r="J74" s="3074"/>
      <c r="K74" s="3074"/>
      <c r="L74" s="3074" t="s">
        <v>3663</v>
      </c>
      <c r="M74" s="3074" t="e">
        <f>SUM(H75:H78,N75:N76)</f>
        <v>#DIV/0!</v>
      </c>
      <c r="N74" s="3217" t="e">
        <f>30-SUM(Q74:Q79)</f>
        <v>#DIV/0!</v>
      </c>
      <c r="O74" s="3115"/>
      <c r="P74" s="3115"/>
      <c r="Q74" s="3205" t="e">
        <f>IF(H75="対象外",5,0)</f>
        <v>#DIV/0!</v>
      </c>
      <c r="R74" s="1188"/>
    </row>
    <row r="75" spans="1:22" s="2954" customFormat="1" ht="12" customHeight="1" thickBot="1">
      <c r="A75" s="2955"/>
      <c r="B75" s="3116"/>
      <c r="C75" s="3059" t="s">
        <v>3666</v>
      </c>
      <c r="D75" s="3059"/>
      <c r="E75" s="3059"/>
      <c r="F75" s="3059"/>
      <c r="G75" s="164" t="s">
        <v>3636</v>
      </c>
      <c r="H75" s="3247" t="e">
        <f>IF(重み!$D$7=重み!$E$7,IF(スコア!O36&gt;=スコア!Q36,IF(スコア!O36=0,"対象外",スコア!O36),IF(スコア!Q36=0,"対象外",スコア!Q36)),IF(重み!$D$7&gt;重み!$E$7,IF(スコア!O36=0,"対象外",スコア!O36),IF(スコア!Q36=0,"対象外",スコア!Q36)))</f>
        <v>#DIV/0!</v>
      </c>
      <c r="I75" s="3059" t="s">
        <v>3728</v>
      </c>
      <c r="J75" s="3059"/>
      <c r="K75" s="3059"/>
      <c r="L75" s="3059"/>
      <c r="M75" s="164" t="s">
        <v>3636</v>
      </c>
      <c r="N75" s="3250" t="e">
        <f>IF(スコア!O119=0,"対象外",スコア!O119)</f>
        <v>#DIV/0!</v>
      </c>
      <c r="O75" s="2958"/>
      <c r="P75" s="2958"/>
      <c r="Q75" s="3205" t="e">
        <f>IF(H76="対象外",5,0)</f>
        <v>#DIV/0!</v>
      </c>
      <c r="S75" s="3118"/>
      <c r="T75" s="3118"/>
      <c r="U75" s="3118"/>
      <c r="V75" s="3118"/>
    </row>
    <row r="76" spans="1:22" s="3077" customFormat="1" ht="12" customHeight="1" thickBot="1">
      <c r="A76" s="3119"/>
      <c r="B76" s="3116"/>
      <c r="C76" s="3059" t="s">
        <v>3667</v>
      </c>
      <c r="D76" s="3059"/>
      <c r="E76" s="3059"/>
      <c r="F76" s="3059"/>
      <c r="G76" s="164" t="s">
        <v>3636</v>
      </c>
      <c r="H76" s="3247" t="e">
        <f>IF(重み!$D$7=重み!$E$7,IF(スコア!O38&gt;=スコア!Q38,IF(スコア!O38=0,"対象外",スコア!O38),IF(スコア!Q38=0,"対象外",スコア!Q38)),IF(重み!$D$7&gt;重み!$E$7,IF(スコア!O38=0,"対象外",スコア!O38),IF(スコア!Q38=0,"対象外",スコア!Q38)))</f>
        <v>#DIV/0!</v>
      </c>
      <c r="I76" s="3059" t="s">
        <v>3729</v>
      </c>
      <c r="J76" s="3059"/>
      <c r="K76" s="3059"/>
      <c r="L76" s="3059"/>
      <c r="M76" s="164" t="s">
        <v>3636</v>
      </c>
      <c r="N76" s="3251">
        <f>IF(スコア!O144=0,"対象外",スコア!O144)</f>
        <v>3</v>
      </c>
      <c r="O76" s="2958"/>
      <c r="P76" s="2958"/>
      <c r="Q76" s="3205" t="e">
        <f>IF(H77="対象外",5,0)</f>
        <v>#DIV/0!</v>
      </c>
      <c r="S76" s="3121"/>
      <c r="T76" s="3118"/>
      <c r="U76" s="3121"/>
      <c r="V76" s="3121"/>
    </row>
    <row r="77" spans="1:22" s="2954" customFormat="1" ht="12" customHeight="1" thickBot="1">
      <c r="A77" s="2955"/>
      <c r="B77" s="3116"/>
      <c r="C77" s="3059" t="s">
        <v>3727</v>
      </c>
      <c r="D77" s="3059"/>
      <c r="E77" s="3059"/>
      <c r="F77" s="3059"/>
      <c r="G77" s="164" t="s">
        <v>3636</v>
      </c>
      <c r="H77" s="3247" t="e">
        <f>IF(重み!$D$7=重み!$E$7,IF(スコア!O41&gt;=スコア!Q41,IF(スコア!O41=0,"対象外",スコア!O41),IF(スコア!Q41=0,"対象外",スコア!Q41)),IF(重み!$D$7&gt;重み!$E$7,IF(スコア!O41=0,"対象外",スコア!O41),IF(スコア!Q41=0,"対象外",スコア!Q41)))</f>
        <v>#DIV/0!</v>
      </c>
      <c r="I77" s="3059"/>
      <c r="J77" s="3059"/>
      <c r="K77" s="3059"/>
      <c r="L77" s="3059"/>
      <c r="M77" s="164"/>
      <c r="N77" s="3252"/>
      <c r="O77" s="2958"/>
      <c r="P77" s="2958"/>
      <c r="Q77" s="3205" t="e">
        <f>IF(H78="対象外",5,0)</f>
        <v>#DIV/0!</v>
      </c>
      <c r="S77" s="3118"/>
      <c r="T77" s="3118"/>
      <c r="U77" s="3118"/>
      <c r="V77" s="3118"/>
    </row>
    <row r="78" spans="1:22" s="3077" customFormat="1" ht="12" customHeight="1" thickBot="1">
      <c r="A78" s="3065"/>
      <c r="B78" s="3116"/>
      <c r="C78" s="3068" t="s">
        <v>3668</v>
      </c>
      <c r="D78" s="3059"/>
      <c r="E78" s="3059"/>
      <c r="F78" s="3059"/>
      <c r="G78" s="164" t="s">
        <v>3636</v>
      </c>
      <c r="H78" s="3248" t="e">
        <f>IF(重み!$D$7=重み!$E$7,IF(スコア!O55&gt;=スコア!Q55,IF(スコア!O55=0,"対象外",スコア!O55),IF(スコア!Q55=0,"対象外",スコア!Q55)),IF(重み!$D$7&gt;重み!$E$7,IF(スコア!O55=0,"対象外",スコア!O55),IF(スコア!Q55=0,"対象外",スコア!Q55)))</f>
        <v>#DIV/0!</v>
      </c>
      <c r="I78" s="3059"/>
      <c r="J78" s="3059"/>
      <c r="K78" s="3059"/>
      <c r="L78" s="3059"/>
      <c r="M78" s="164"/>
      <c r="N78" s="3253"/>
      <c r="O78" s="2958"/>
      <c r="P78" s="2958"/>
      <c r="Q78" s="3205" t="e">
        <f>IF(N75="対象外",5,0)</f>
        <v>#DIV/0!</v>
      </c>
      <c r="S78" s="3121"/>
      <c r="T78" s="3118"/>
      <c r="U78" s="3121"/>
      <c r="V78" s="3121"/>
    </row>
    <row r="79" spans="1:22" s="3077" customFormat="1" ht="12" customHeight="1">
      <c r="A79" s="3122"/>
      <c r="B79" s="3123"/>
      <c r="C79" s="3948" t="s">
        <v>3639</v>
      </c>
      <c r="D79" s="3949"/>
      <c r="E79" s="3949"/>
      <c r="F79" s="3949"/>
      <c r="G79" s="3949"/>
      <c r="H79" s="3949"/>
      <c r="I79" s="3949"/>
      <c r="J79" s="3949"/>
      <c r="K79" s="3949"/>
      <c r="L79" s="3949"/>
      <c r="M79" s="3949"/>
      <c r="N79" s="3950"/>
      <c r="O79" s="2958"/>
      <c r="P79" s="2958"/>
      <c r="Q79" s="3205">
        <f>IF(N76="対象外",5,0)</f>
        <v>0</v>
      </c>
      <c r="S79" s="3121"/>
      <c r="T79" s="3118"/>
      <c r="U79" s="3121"/>
      <c r="V79" s="3121"/>
    </row>
    <row r="80" spans="1:22" s="3077" customFormat="1" ht="12" customHeight="1" thickBot="1">
      <c r="A80" s="3122"/>
      <c r="B80" s="3124"/>
      <c r="C80" s="3951"/>
      <c r="D80" s="3952"/>
      <c r="E80" s="3952"/>
      <c r="F80" s="3952"/>
      <c r="G80" s="3952"/>
      <c r="H80" s="3952"/>
      <c r="I80" s="3952"/>
      <c r="J80" s="3952"/>
      <c r="K80" s="3952"/>
      <c r="L80" s="3952"/>
      <c r="M80" s="3952"/>
      <c r="N80" s="3953"/>
      <c r="O80" s="2958"/>
      <c r="P80" s="2958"/>
      <c r="Q80" s="3205"/>
      <c r="S80" s="3121"/>
      <c r="T80" s="3118"/>
      <c r="U80" s="3121"/>
      <c r="V80" s="3121"/>
    </row>
    <row r="81" spans="1:21" s="2954" customFormat="1" ht="15" customHeight="1" thickBot="1">
      <c r="A81" s="2975"/>
      <c r="B81" s="3125"/>
      <c r="C81" s="3126" t="s">
        <v>3659</v>
      </c>
      <c r="D81" s="3081"/>
      <c r="E81" s="3082"/>
      <c r="F81" s="3082"/>
      <c r="G81" s="3082"/>
      <c r="H81" s="3082"/>
      <c r="I81" s="3082"/>
      <c r="J81" s="3082"/>
      <c r="K81" s="3082"/>
      <c r="L81" s="3127" t="s">
        <v>3663</v>
      </c>
      <c r="M81" s="3083">
        <f>COUNTIF(N82:N86,"○")+3</f>
        <v>3</v>
      </c>
      <c r="N81" s="3210" t="e">
        <f>8-SUM(Q82:Q86)</f>
        <v>#DIV/0!</v>
      </c>
      <c r="O81" s="2958"/>
      <c r="P81" s="2958"/>
      <c r="Q81" s="3206"/>
      <c r="R81" s="1188"/>
    </row>
    <row r="82" spans="1:21" s="2954" customFormat="1" ht="12" customHeight="1" thickBot="1">
      <c r="A82" s="2955"/>
      <c r="B82" s="3125"/>
      <c r="C82" s="3954" t="s">
        <v>3669</v>
      </c>
      <c r="D82" s="3955"/>
      <c r="E82" s="3228"/>
      <c r="F82" s="3955" t="s">
        <v>3642</v>
      </c>
      <c r="G82" s="3956"/>
      <c r="H82" s="3956"/>
      <c r="I82" s="3956"/>
      <c r="J82" s="3956"/>
      <c r="K82" s="3956"/>
      <c r="L82" s="3956"/>
      <c r="M82" s="3957"/>
      <c r="N82" s="3247" t="str">
        <f>採点LR2!G164</f>
        <v>　</v>
      </c>
      <c r="O82" s="2958"/>
      <c r="P82" s="2958"/>
      <c r="Q82" s="3205">
        <f>IF(N82="対象外",1,0)</f>
        <v>0</v>
      </c>
      <c r="R82" s="1188"/>
    </row>
    <row r="83" spans="1:21" s="2954" customFormat="1" ht="12" customHeight="1" thickBot="1">
      <c r="A83" s="2955"/>
      <c r="B83" s="3125"/>
      <c r="C83" s="3911" t="s">
        <v>3705</v>
      </c>
      <c r="D83" s="3911"/>
      <c r="E83" s="3228"/>
      <c r="F83" s="3912" t="s">
        <v>3706</v>
      </c>
      <c r="G83" s="3913"/>
      <c r="H83" s="3913"/>
      <c r="I83" s="3913"/>
      <c r="J83" s="3913"/>
      <c r="K83" s="3913"/>
      <c r="L83" s="3913"/>
      <c r="M83" s="3914"/>
      <c r="N83" s="3247" t="e">
        <f>IF(重み!$D$7=重み!$E$7,IF(OR(採点Q1!F292="○",採点Q1!K292="○"),"○",""),IF(重み!$D$7&gt;重み!$E$7,IF(採点Q1!F292="○","○",""),IF(採点Q1!K292="○","○","")))</f>
        <v>#DIV/0!</v>
      </c>
      <c r="O83" s="2958"/>
      <c r="P83" s="2958"/>
      <c r="Q83" s="3205" t="e">
        <f>IF(N83="対象外",1,0)</f>
        <v>#DIV/0!</v>
      </c>
      <c r="R83" s="1188"/>
    </row>
    <row r="84" spans="1:21" s="2954" customFormat="1" ht="12" customHeight="1" thickBot="1">
      <c r="A84" s="2955"/>
      <c r="B84" s="3125"/>
      <c r="C84" s="3915" t="s">
        <v>3730</v>
      </c>
      <c r="D84" s="3916"/>
      <c r="E84" s="3229"/>
      <c r="F84" s="3917" t="s">
        <v>3706</v>
      </c>
      <c r="G84" s="3918"/>
      <c r="H84" s="3918"/>
      <c r="I84" s="3918"/>
      <c r="J84" s="3918"/>
      <c r="K84" s="3918"/>
      <c r="L84" s="3918"/>
      <c r="M84" s="3914"/>
      <c r="N84" s="3247" t="e">
        <f>IF(重み!$D$7=重み!$E$7,IF(OR(採点Q1!F314="○",採点Q1!K314="○"),"○",""),IF(重み!$D$7&gt;重み!$E$7,IF(採点Q1!F314="○","○",""),IF(採点Q1!K314="○","○","")))</f>
        <v>#DIV/0!</v>
      </c>
      <c r="O84" s="2958"/>
      <c r="P84" s="2958"/>
      <c r="Q84" s="3205" t="e">
        <f t="shared" ref="Q84" si="0">IF(N84="対象外",1,0)</f>
        <v>#DIV/0!</v>
      </c>
      <c r="R84" s="1188"/>
    </row>
    <row r="85" spans="1:21" ht="12" customHeight="1" thickBot="1">
      <c r="A85" s="2955"/>
      <c r="B85" s="3125"/>
      <c r="C85" s="3942" t="s">
        <v>3731</v>
      </c>
      <c r="D85" s="3943"/>
      <c r="E85" s="3943"/>
      <c r="F85" s="3917" t="s">
        <v>3732</v>
      </c>
      <c r="G85" s="3918"/>
      <c r="H85" s="3918"/>
      <c r="I85" s="3918"/>
      <c r="J85" s="3918"/>
      <c r="K85" s="3918"/>
      <c r="L85" s="3918"/>
      <c r="M85" s="3946"/>
      <c r="N85" s="3250" t="str">
        <f>採点LR1!G88</f>
        <v/>
      </c>
      <c r="O85" s="2958"/>
      <c r="P85" s="2958"/>
      <c r="Q85" s="3205">
        <f>IF(N85="対象外",4,0)</f>
        <v>0</v>
      </c>
      <c r="R85" s="3182"/>
      <c r="S85" s="3182"/>
      <c r="T85" s="2953"/>
      <c r="U85" s="2953"/>
    </row>
    <row r="86" spans="1:21" ht="12" customHeight="1" thickBot="1">
      <c r="A86" s="2955"/>
      <c r="B86" s="3128"/>
      <c r="C86" s="3944"/>
      <c r="D86" s="3945"/>
      <c r="E86" s="3945"/>
      <c r="F86" s="3958" t="s">
        <v>3733</v>
      </c>
      <c r="G86" s="3959"/>
      <c r="H86" s="3959"/>
      <c r="I86" s="3959"/>
      <c r="J86" s="3959"/>
      <c r="K86" s="3959"/>
      <c r="L86" s="3959"/>
      <c r="M86" s="3960"/>
      <c r="N86" s="3254" t="str">
        <f>採点LR1!G89</f>
        <v>　</v>
      </c>
      <c r="O86" s="2958"/>
      <c r="P86" s="2958"/>
      <c r="Q86" s="3205">
        <f>IF(N86="対象外",1,0)</f>
        <v>0</v>
      </c>
      <c r="R86" s="3182"/>
      <c r="S86" s="3182"/>
      <c r="T86" s="2953"/>
      <c r="U86" s="2953"/>
    </row>
    <row r="87" spans="1:21" s="2954" customFormat="1" ht="6" customHeight="1" thickBot="1">
      <c r="A87" s="2955"/>
      <c r="B87" s="3129"/>
      <c r="C87" s="3225"/>
      <c r="D87" s="3225"/>
      <c r="E87" s="3225"/>
      <c r="F87" s="3225"/>
      <c r="G87" s="3225"/>
      <c r="H87" s="3225"/>
      <c r="I87" s="3225"/>
      <c r="J87" s="3225"/>
      <c r="K87" s="3225"/>
      <c r="L87" s="3225"/>
      <c r="M87" s="3225"/>
      <c r="N87" s="3130"/>
      <c r="O87" s="2958"/>
      <c r="P87" s="2958"/>
      <c r="Q87" s="2959"/>
      <c r="R87" s="1188"/>
    </row>
    <row r="88" spans="1:21" ht="15" customHeight="1" thickBot="1">
      <c r="A88" s="2955"/>
      <c r="B88" s="2987" t="s">
        <v>3670</v>
      </c>
      <c r="C88" s="2988"/>
      <c r="D88" s="3131"/>
      <c r="E88" s="3131"/>
      <c r="F88" s="3132"/>
      <c r="G88" s="3131"/>
      <c r="H88" s="319"/>
      <c r="I88" s="3133"/>
      <c r="J88" s="3134"/>
      <c r="K88" s="3131"/>
      <c r="L88" s="3131"/>
      <c r="M88" s="3131"/>
      <c r="N88" s="3135"/>
      <c r="O88" s="2958"/>
      <c r="P88" s="2958"/>
      <c r="Q88" s="2959" t="e">
        <f>IF(採点Q3!G47="○",TRUE,FALSE)</f>
        <v>#DIV/0!</v>
      </c>
      <c r="R88" s="3117" t="s">
        <v>3700</v>
      </c>
    </row>
    <row r="89" spans="1:21" ht="12" customHeight="1">
      <c r="A89" s="2955"/>
      <c r="B89" s="3140"/>
      <c r="C89" s="3919"/>
      <c r="D89" s="3920"/>
      <c r="E89" s="3920"/>
      <c r="F89" s="3920"/>
      <c r="G89" s="3920"/>
      <c r="H89" s="3920"/>
      <c r="I89" s="3920"/>
      <c r="J89" s="3920"/>
      <c r="K89" s="3921"/>
      <c r="L89" s="3137" t="s">
        <v>3707</v>
      </c>
      <c r="M89" s="3924">
        <f>COUNTIF(Q88:Q93,"TRUE")</f>
        <v>0</v>
      </c>
      <c r="N89" s="3925"/>
      <c r="O89" s="2958"/>
      <c r="P89" s="2958"/>
      <c r="Q89" s="2959" t="e">
        <f>IF(採点Q3!G48="○",TRUE,FALSE)</f>
        <v>#DIV/0!</v>
      </c>
      <c r="R89" s="3120" t="s">
        <v>3739</v>
      </c>
    </row>
    <row r="90" spans="1:21" ht="12" customHeight="1">
      <c r="A90" s="2955"/>
      <c r="B90" s="3140"/>
      <c r="C90" s="3920"/>
      <c r="D90" s="3920"/>
      <c r="E90" s="3920"/>
      <c r="F90" s="3920"/>
      <c r="G90" s="3920"/>
      <c r="H90" s="3920"/>
      <c r="I90" s="3920"/>
      <c r="J90" s="3920"/>
      <c r="K90" s="3921"/>
      <c r="L90" s="3928" t="s">
        <v>3671</v>
      </c>
      <c r="M90" s="3926"/>
      <c r="N90" s="3927"/>
      <c r="O90" s="2958"/>
      <c r="P90" s="2958"/>
      <c r="Q90" s="2959" t="e">
        <f>IF(採点Q3!G49="○",TRUE,FALSE)</f>
        <v>#DIV/0!</v>
      </c>
      <c r="R90" s="3117" t="s">
        <v>3701</v>
      </c>
    </row>
    <row r="91" spans="1:21" ht="12" customHeight="1" thickBot="1">
      <c r="A91" s="2955"/>
      <c r="B91" s="3142"/>
      <c r="C91" s="3922"/>
      <c r="D91" s="3922"/>
      <c r="E91" s="3922"/>
      <c r="F91" s="3922"/>
      <c r="G91" s="3922"/>
      <c r="H91" s="3922"/>
      <c r="I91" s="3922"/>
      <c r="J91" s="3922"/>
      <c r="K91" s="3923"/>
      <c r="L91" s="3929"/>
      <c r="M91" s="3926"/>
      <c r="N91" s="3927"/>
      <c r="O91" s="2958"/>
      <c r="P91" s="2958"/>
      <c r="Q91" s="2959" t="e">
        <f>IF(採点Q3!G50="○",TRUE,FALSE)</f>
        <v>#DIV/0!</v>
      </c>
      <c r="R91" s="3117" t="s">
        <v>3702</v>
      </c>
    </row>
    <row r="92" spans="1:21" s="2954" customFormat="1" ht="6" customHeight="1" thickBot="1">
      <c r="A92" s="2955"/>
      <c r="B92" s="2955"/>
      <c r="C92" s="2955"/>
      <c r="D92" s="2955"/>
      <c r="E92" s="2955"/>
      <c r="F92" s="2955"/>
      <c r="G92" s="2955"/>
      <c r="H92" s="2955"/>
      <c r="I92" s="2955"/>
      <c r="J92" s="2955"/>
      <c r="K92" s="2955"/>
      <c r="L92" s="2955"/>
      <c r="M92" s="3138"/>
      <c r="N92" s="3139"/>
      <c r="O92" s="2958"/>
      <c r="P92" s="2958"/>
      <c r="Q92" s="2959" t="e">
        <f>IF(採点Q3!G51="○",TRUE,FALSE)</f>
        <v>#DIV/0!</v>
      </c>
      <c r="R92" s="3117" t="s">
        <v>3703</v>
      </c>
    </row>
    <row r="93" spans="1:21" s="2954" customFormat="1" ht="15" customHeight="1" thickBot="1">
      <c r="A93" s="2955"/>
      <c r="B93" s="2987" t="s">
        <v>3672</v>
      </c>
      <c r="C93" s="2988"/>
      <c r="D93" s="2988"/>
      <c r="E93" s="3131"/>
      <c r="F93" s="3132"/>
      <c r="G93" s="3131"/>
      <c r="H93" s="319"/>
      <c r="I93" s="3133"/>
      <c r="J93" s="3131"/>
      <c r="K93" s="3131"/>
      <c r="L93" s="3131"/>
      <c r="M93" s="3131"/>
      <c r="N93" s="3135"/>
      <c r="O93" s="2958"/>
      <c r="P93" s="2958"/>
      <c r="Q93" s="2959" t="e">
        <f>IF(採点Q3!G52="○",TRUE,FALSE)</f>
        <v>#DIV/0!</v>
      </c>
      <c r="R93" s="3117" t="s">
        <v>3704</v>
      </c>
    </row>
    <row r="94" spans="1:21" s="2954" customFormat="1" ht="12" customHeight="1" thickBot="1">
      <c r="A94" s="2955"/>
      <c r="B94" s="3140"/>
      <c r="C94" s="3227" t="s">
        <v>3708</v>
      </c>
      <c r="D94" s="3227"/>
      <c r="E94" s="3225"/>
      <c r="F94" s="3225"/>
      <c r="G94" s="1150"/>
      <c r="H94" s="3078"/>
      <c r="I94" s="3078"/>
      <c r="J94" s="3255" t="e">
        <f>CO2計算!L136</f>
        <v>#DIV/0!</v>
      </c>
      <c r="K94" s="3141" t="s">
        <v>3673</v>
      </c>
      <c r="L94" s="3137" t="s">
        <v>3709</v>
      </c>
      <c r="M94" s="3930" t="e">
        <f>IF(($J$96/$J$95)*100&lt;0,"＋"&amp;+ROUND(ABS(($J$96/$J$95)*100),1),ROUND(($J$96/$J$95)*100,1))&amp;"％"</f>
        <v>#DIV/0!</v>
      </c>
      <c r="N94" s="3931"/>
      <c r="O94" s="2958"/>
      <c r="P94" s="2958"/>
      <c r="Q94" s="1188"/>
      <c r="R94" s="1188"/>
    </row>
    <row r="95" spans="1:21" s="2954" customFormat="1" ht="12" customHeight="1" thickBot="1">
      <c r="A95" s="2955"/>
      <c r="B95" s="3140"/>
      <c r="C95" s="3227" t="s">
        <v>3674</v>
      </c>
      <c r="D95" s="3227"/>
      <c r="E95" s="3225"/>
      <c r="F95" s="3225"/>
      <c r="G95" s="1150"/>
      <c r="H95" s="3078"/>
      <c r="I95" s="3078"/>
      <c r="J95" s="3255" t="e">
        <f>CO2計算!O136</f>
        <v>#DIV/0!</v>
      </c>
      <c r="K95" s="3141" t="s">
        <v>3673</v>
      </c>
      <c r="L95" s="3928" t="s">
        <v>3710</v>
      </c>
      <c r="M95" s="3932"/>
      <c r="N95" s="3933"/>
      <c r="O95" s="2958"/>
      <c r="P95" s="2958"/>
      <c r="Q95" s="2959"/>
      <c r="R95" s="1188"/>
    </row>
    <row r="96" spans="1:21" s="2954" customFormat="1" ht="12" customHeight="1" thickBot="1">
      <c r="A96" s="2955"/>
      <c r="B96" s="3142"/>
      <c r="C96" s="3143" t="s">
        <v>3675</v>
      </c>
      <c r="D96" s="3143"/>
      <c r="E96" s="3230"/>
      <c r="F96" s="3230"/>
      <c r="G96" s="3144"/>
      <c r="H96" s="2986"/>
      <c r="I96" s="2986"/>
      <c r="J96" s="3218" t="e">
        <f>+J94-J95</f>
        <v>#DIV/0!</v>
      </c>
      <c r="K96" s="3145" t="s">
        <v>3673</v>
      </c>
      <c r="L96" s="3929"/>
      <c r="M96" s="3934"/>
      <c r="N96" s="3935"/>
      <c r="O96" s="2958"/>
      <c r="P96" s="2958"/>
      <c r="Q96" s="2959"/>
      <c r="R96" s="1188"/>
    </row>
    <row r="97" spans="1:18" s="2954" customFormat="1" ht="6" customHeight="1" thickBot="1">
      <c r="A97" s="2955"/>
      <c r="B97" s="2955"/>
      <c r="C97" s="2955"/>
      <c r="D97" s="2955"/>
      <c r="E97" s="2955"/>
      <c r="F97" s="2955"/>
      <c r="G97" s="2955"/>
      <c r="H97" s="2955"/>
      <c r="I97" s="2955"/>
      <c r="J97" s="2955"/>
      <c r="K97" s="2955"/>
      <c r="L97" s="2955"/>
      <c r="M97" s="2956"/>
      <c r="N97" s="2957"/>
      <c r="O97" s="2958"/>
      <c r="P97" s="2958"/>
      <c r="Q97" s="2959"/>
      <c r="R97" s="1188"/>
    </row>
    <row r="98" spans="1:18" s="2954" customFormat="1" ht="15" customHeight="1" thickBot="1">
      <c r="A98" s="2955"/>
      <c r="B98" s="2987" t="s">
        <v>3676</v>
      </c>
      <c r="C98" s="2988"/>
      <c r="D98" s="2988"/>
      <c r="E98" s="3131"/>
      <c r="F98" s="3132"/>
      <c r="G98" s="3131"/>
      <c r="H98" s="319"/>
      <c r="I98" s="3133"/>
      <c r="J98" s="3146"/>
      <c r="K98" s="3131"/>
      <c r="L98" s="3131"/>
      <c r="M98" s="3131"/>
      <c r="N98" s="3135"/>
      <c r="O98" s="2958"/>
      <c r="P98" s="2958"/>
      <c r="Q98" s="1188"/>
      <c r="R98" s="1188"/>
    </row>
    <row r="99" spans="1:18" s="2954" customFormat="1" ht="12" customHeight="1" thickBot="1">
      <c r="A99" s="2955"/>
      <c r="B99" s="3140"/>
      <c r="C99" s="3227" t="s">
        <v>3711</v>
      </c>
      <c r="D99" s="3227"/>
      <c r="E99" s="3225"/>
      <c r="F99" s="3225"/>
      <c r="G99" s="1150"/>
      <c r="H99" s="2953"/>
      <c r="I99" s="2953"/>
      <c r="J99" s="3147"/>
      <c r="K99" s="3148" t="s">
        <v>3712</v>
      </c>
      <c r="L99" s="3149" t="s">
        <v>3713</v>
      </c>
      <c r="M99" s="3936" t="str">
        <f>ROUND($J$99/($Q$99+$J$100)*100,1)&amp;"％"</f>
        <v>0％</v>
      </c>
      <c r="N99" s="3937"/>
      <c r="O99" s="2958"/>
      <c r="P99" s="2958"/>
      <c r="Q99" s="3150">
        <f>IF(OR(J99="",J99=0),1,J99)</f>
        <v>1</v>
      </c>
      <c r="R99" s="1188"/>
    </row>
    <row r="100" spans="1:18" s="2954" customFormat="1" ht="12" customHeight="1" thickBot="1">
      <c r="A100" s="2955"/>
      <c r="B100" s="3142"/>
      <c r="C100" s="3143" t="s">
        <v>3714</v>
      </c>
      <c r="D100" s="3143"/>
      <c r="E100" s="3230"/>
      <c r="F100" s="3230"/>
      <c r="G100" s="3144"/>
      <c r="H100" s="2986"/>
      <c r="I100" s="2986"/>
      <c r="J100" s="3151"/>
      <c r="K100" s="3152" t="s">
        <v>3712</v>
      </c>
      <c r="L100" s="3153" t="s">
        <v>3710</v>
      </c>
      <c r="M100" s="3938"/>
      <c r="N100" s="3939"/>
      <c r="O100" s="2958"/>
      <c r="P100" s="2958"/>
      <c r="Q100" s="3154"/>
      <c r="R100" s="1188"/>
    </row>
    <row r="101" spans="1:18" s="2954" customFormat="1" ht="8.1" customHeight="1" thickBot="1">
      <c r="A101" s="2955"/>
      <c r="B101" s="3129"/>
      <c r="C101" s="3227"/>
      <c r="D101" s="3227"/>
      <c r="E101" s="3227"/>
      <c r="F101" s="3225"/>
      <c r="G101" s="3225"/>
      <c r="H101" s="1150"/>
      <c r="I101" s="3155"/>
      <c r="J101" s="3156"/>
      <c r="K101" s="3141"/>
      <c r="L101" s="3157"/>
      <c r="M101" s="3157"/>
      <c r="N101" s="3158"/>
      <c r="O101" s="2958"/>
      <c r="P101" s="2958"/>
      <c r="Q101" s="3085"/>
      <c r="R101" s="1188"/>
    </row>
    <row r="102" spans="1:18" s="2954" customFormat="1" ht="15" customHeight="1" thickBot="1">
      <c r="A102" s="2955"/>
      <c r="B102" s="2987" t="s">
        <v>3677</v>
      </c>
      <c r="C102" s="2988"/>
      <c r="D102" s="2988"/>
      <c r="E102" s="3131"/>
      <c r="F102" s="3132"/>
      <c r="G102" s="3131"/>
      <c r="H102" s="319"/>
      <c r="I102" s="3133"/>
      <c r="J102" s="3146"/>
      <c r="K102" s="3131"/>
      <c r="L102" s="3131"/>
      <c r="M102" s="3131"/>
      <c r="N102" s="3135"/>
      <c r="O102" s="2958"/>
      <c r="P102" s="2958"/>
      <c r="Q102" s="3018"/>
      <c r="R102" s="1188"/>
    </row>
    <row r="103" spans="1:18" s="2954" customFormat="1" ht="12" customHeight="1">
      <c r="A103" s="2955"/>
      <c r="B103" s="3140"/>
      <c r="C103" s="3227" t="s">
        <v>3715</v>
      </c>
      <c r="D103" s="3227"/>
      <c r="E103" s="3225"/>
      <c r="F103" s="3940"/>
      <c r="G103" s="3940"/>
      <c r="H103" s="3159"/>
      <c r="I103" s="3224" t="s">
        <v>3716</v>
      </c>
      <c r="J103" s="3155"/>
      <c r="K103" s="3160"/>
      <c r="L103" s="3161"/>
      <c r="M103" s="3940"/>
      <c r="N103" s="3941"/>
      <c r="O103" s="2958"/>
      <c r="P103" s="2958"/>
      <c r="Q103" s="3162"/>
      <c r="R103" s="1188"/>
    </row>
    <row r="104" spans="1:18" s="2954" customFormat="1" ht="12" customHeight="1">
      <c r="A104" s="2955"/>
      <c r="B104" s="3140"/>
      <c r="C104" s="3227" t="s">
        <v>3717</v>
      </c>
      <c r="D104" s="3227"/>
      <c r="E104" s="3225"/>
      <c r="F104" s="3907"/>
      <c r="G104" s="3907"/>
      <c r="H104" s="3159"/>
      <c r="I104" s="3224" t="s">
        <v>3718</v>
      </c>
      <c r="J104" s="3155"/>
      <c r="K104" s="3141"/>
      <c r="L104" s="3163"/>
      <c r="M104" s="3907"/>
      <c r="N104" s="3908"/>
      <c r="O104" s="2958"/>
      <c r="P104" s="2958"/>
      <c r="Q104" s="3162"/>
      <c r="R104" s="1188"/>
    </row>
    <row r="105" spans="1:18" s="2954" customFormat="1" ht="12" customHeight="1">
      <c r="A105" s="2955"/>
      <c r="B105" s="3140"/>
      <c r="C105" s="3227" t="s">
        <v>3719</v>
      </c>
      <c r="D105" s="3227"/>
      <c r="E105" s="3225"/>
      <c r="F105" s="3907"/>
      <c r="G105" s="3907"/>
      <c r="H105" s="3159"/>
      <c r="I105" s="3227" t="s">
        <v>3720</v>
      </c>
      <c r="J105" s="3155"/>
      <c r="K105" s="3141"/>
      <c r="L105" s="3163"/>
      <c r="M105" s="3907"/>
      <c r="N105" s="3908"/>
      <c r="O105" s="2958"/>
      <c r="P105" s="2958"/>
      <c r="Q105" s="3162"/>
      <c r="R105" s="1188"/>
    </row>
    <row r="106" spans="1:18" s="2954" customFormat="1" ht="12" customHeight="1">
      <c r="A106" s="2955"/>
      <c r="B106" s="3140"/>
      <c r="C106" s="3227" t="s">
        <v>3721</v>
      </c>
      <c r="D106" s="3227"/>
      <c r="E106" s="3225"/>
      <c r="F106" s="3907"/>
      <c r="G106" s="3907"/>
      <c r="H106" s="3159"/>
      <c r="I106" s="3227" t="s">
        <v>3722</v>
      </c>
      <c r="J106" s="3155"/>
      <c r="K106" s="3141"/>
      <c r="L106" s="3163"/>
      <c r="M106" s="3907"/>
      <c r="N106" s="3908"/>
      <c r="O106" s="2958"/>
      <c r="P106" s="2958"/>
      <c r="Q106" s="3162"/>
      <c r="R106" s="1188"/>
    </row>
    <row r="107" spans="1:18" s="2954" customFormat="1" ht="12" customHeight="1" thickBot="1">
      <c r="A107" s="2955"/>
      <c r="B107" s="3142"/>
      <c r="C107" s="3143" t="s">
        <v>3723</v>
      </c>
      <c r="D107" s="3143"/>
      <c r="E107" s="3230"/>
      <c r="F107" s="3909"/>
      <c r="G107" s="3909"/>
      <c r="H107" s="3164"/>
      <c r="I107" s="3165"/>
      <c r="J107" s="3166"/>
      <c r="K107" s="3145"/>
      <c r="L107" s="3167"/>
      <c r="M107" s="3909"/>
      <c r="N107" s="3910"/>
      <c r="O107" s="2958"/>
      <c r="P107" s="2958"/>
      <c r="Q107" s="2959"/>
      <c r="R107" s="1188"/>
    </row>
    <row r="108" spans="1:18" s="2954" customFormat="1" ht="12" customHeight="1">
      <c r="A108" s="2955"/>
      <c r="B108" s="3129"/>
      <c r="C108" s="3227"/>
      <c r="D108" s="3227"/>
      <c r="E108" s="3225"/>
      <c r="F108" s="3225"/>
      <c r="G108" s="1150"/>
      <c r="H108" s="3078"/>
      <c r="I108" s="3078"/>
      <c r="J108" s="3155"/>
      <c r="K108" s="3141"/>
      <c r="L108" s="3168"/>
      <c r="M108" s="3169"/>
      <c r="N108" s="3169"/>
      <c r="O108" s="2958"/>
      <c r="P108" s="2958"/>
      <c r="Q108" s="2959"/>
      <c r="R108" s="1188"/>
    </row>
    <row r="109" spans="1:18" s="2954" customFormat="1" ht="12" customHeight="1">
      <c r="A109" s="2955"/>
      <c r="B109" s="2955"/>
      <c r="D109" s="3171" t="s">
        <v>3678</v>
      </c>
      <c r="E109" s="3170"/>
      <c r="F109" s="2953"/>
      <c r="G109" s="2953"/>
      <c r="H109" s="2953"/>
      <c r="I109" s="3172" t="s">
        <v>3679</v>
      </c>
      <c r="J109" s="2953"/>
      <c r="K109" s="2953"/>
      <c r="M109" s="2955"/>
      <c r="N109" s="2957"/>
      <c r="O109" s="2958"/>
      <c r="P109" s="2958"/>
      <c r="Q109" s="3173"/>
      <c r="R109" s="1188"/>
    </row>
    <row r="110" spans="1:18" s="2954" customFormat="1" ht="14.25" customHeight="1">
      <c r="A110" s="2955"/>
      <c r="B110" s="2955"/>
      <c r="C110" s="3174"/>
      <c r="D110" s="2953"/>
      <c r="E110" s="2953"/>
      <c r="F110" s="2955"/>
      <c r="G110" s="3175"/>
      <c r="H110" s="2953"/>
      <c r="I110" s="2953"/>
      <c r="J110" s="2955"/>
      <c r="K110" s="2955"/>
      <c r="L110" s="2955"/>
      <c r="M110" s="2955"/>
      <c r="N110" s="2957"/>
      <c r="O110" s="2958"/>
      <c r="P110" s="2958"/>
      <c r="Q110" s="2959"/>
      <c r="R110" s="1188"/>
    </row>
    <row r="111" spans="1:18" ht="12" hidden="1" customHeight="1">
      <c r="A111" s="2966"/>
      <c r="B111" s="2966"/>
      <c r="N111" s="3176"/>
      <c r="O111" s="3177"/>
      <c r="P111" s="3177"/>
      <c r="Q111" s="2959"/>
    </row>
    <row r="112" spans="1:18" ht="8.1" hidden="1" customHeight="1">
      <c r="A112" s="2966"/>
      <c r="N112" s="3178"/>
      <c r="O112" s="3177"/>
      <c r="P112" s="3177"/>
      <c r="Q112" s="2959"/>
    </row>
    <row r="113" spans="1:17" ht="7.5" hidden="1" customHeight="1">
      <c r="A113" s="2966"/>
      <c r="N113" s="2966"/>
      <c r="O113" s="3177"/>
      <c r="P113" s="3177"/>
      <c r="Q113" s="2959"/>
    </row>
    <row r="114" spans="1:17" ht="12" hidden="1" customHeight="1">
      <c r="A114" s="2966"/>
      <c r="N114" s="2966"/>
      <c r="O114" s="3177"/>
      <c r="P114" s="3177"/>
      <c r="Q114" s="2959"/>
    </row>
    <row r="115" spans="1:17" ht="12" hidden="1" customHeight="1">
      <c r="A115" s="2966"/>
      <c r="O115" s="3177"/>
      <c r="P115" s="3177"/>
      <c r="Q115" s="2959"/>
    </row>
    <row r="116" spans="1:17" ht="12" hidden="1" customHeight="1">
      <c r="A116" s="2966"/>
      <c r="B116" s="2966"/>
      <c r="C116" s="2966"/>
      <c r="D116" s="2966"/>
      <c r="E116" s="2966"/>
      <c r="F116" s="2966"/>
      <c r="G116" s="2966"/>
      <c r="H116" s="2966"/>
      <c r="I116" s="2966"/>
      <c r="J116" s="2966"/>
      <c r="K116" s="2966"/>
      <c r="L116" s="2966"/>
      <c r="M116" s="3179"/>
      <c r="N116" s="3180"/>
      <c r="O116" s="3177"/>
      <c r="P116" s="3177"/>
      <c r="Q116" s="2959"/>
    </row>
    <row r="117" spans="1:17" ht="12" hidden="1" customHeight="1">
      <c r="A117" s="2966"/>
      <c r="B117" s="2966"/>
      <c r="C117" s="3181"/>
      <c r="D117" s="3181"/>
      <c r="F117" s="2966"/>
      <c r="G117" s="2966"/>
      <c r="H117" s="2966"/>
      <c r="I117" s="2966"/>
      <c r="J117" s="2966"/>
      <c r="K117" s="2966"/>
      <c r="L117" s="2966"/>
      <c r="M117" s="3179"/>
      <c r="N117" s="3180"/>
    </row>
    <row r="118" spans="1:17" ht="12" hidden="1" customHeight="1">
      <c r="A118" s="2966"/>
      <c r="B118" s="2966"/>
      <c r="E118" s="2966"/>
      <c r="F118" s="2966"/>
      <c r="G118" s="2966"/>
      <c r="H118" s="2966"/>
      <c r="I118" s="2966"/>
      <c r="J118" s="2966"/>
      <c r="K118" s="2966"/>
      <c r="L118" s="2966"/>
      <c r="M118" s="3179"/>
      <c r="N118" s="3180"/>
    </row>
    <row r="119" spans="1:17" ht="12" hidden="1" customHeight="1">
      <c r="A119" s="2966"/>
      <c r="B119" s="2966"/>
      <c r="C119" s="2966"/>
      <c r="D119" s="2966"/>
      <c r="E119" s="2966"/>
      <c r="F119" s="2966"/>
      <c r="G119" s="2966"/>
      <c r="H119" s="2966"/>
      <c r="I119" s="2966"/>
      <c r="J119" s="2966"/>
      <c r="K119" s="2966"/>
      <c r="L119" s="2966"/>
      <c r="M119" s="3179"/>
      <c r="N119" s="3180"/>
    </row>
    <row r="120" spans="1:17" ht="12" hidden="1" customHeight="1">
      <c r="B120" s="2966"/>
      <c r="C120" s="2966"/>
      <c r="D120" s="2966"/>
      <c r="E120" s="2966"/>
      <c r="F120" s="2966"/>
      <c r="G120" s="2966"/>
      <c r="H120" s="2966"/>
      <c r="I120" s="2966"/>
      <c r="J120" s="2966"/>
      <c r="K120" s="2966"/>
      <c r="L120" s="2966"/>
      <c r="M120" s="3179"/>
      <c r="N120" s="3180"/>
    </row>
    <row r="121" spans="1:17" ht="12" hidden="1" customHeight="1">
      <c r="B121" s="2966"/>
      <c r="C121" s="2966"/>
      <c r="D121" s="2966"/>
      <c r="E121" s="2966"/>
      <c r="F121" s="2966"/>
      <c r="G121" s="2966"/>
      <c r="H121" s="2966"/>
      <c r="I121" s="2966"/>
      <c r="J121" s="2966"/>
      <c r="K121" s="2966"/>
      <c r="L121" s="2966"/>
      <c r="M121" s="3179"/>
      <c r="N121" s="3180"/>
    </row>
    <row r="122" spans="1:17" ht="12" hidden="1" customHeight="1">
      <c r="B122" s="2966"/>
      <c r="C122" s="2966"/>
      <c r="D122" s="2966"/>
      <c r="E122" s="2966"/>
      <c r="F122" s="2966"/>
      <c r="G122" s="2966"/>
      <c r="H122" s="2966"/>
      <c r="I122" s="2966"/>
      <c r="J122" s="2966"/>
      <c r="K122" s="2966"/>
      <c r="L122" s="2966"/>
      <c r="M122" s="3179"/>
      <c r="N122" s="3180"/>
    </row>
  </sheetData>
  <sheetProtection password="CC47" sheet="1" objects="1" scenarios="1"/>
  <mergeCells count="75">
    <mergeCell ref="C16:E16"/>
    <mergeCell ref="F16:G16"/>
    <mergeCell ref="D7:G7"/>
    <mergeCell ref="J7:L7"/>
    <mergeCell ref="D9:H9"/>
    <mergeCell ref="I9:I10"/>
    <mergeCell ref="J9:J10"/>
    <mergeCell ref="K9:K10"/>
    <mergeCell ref="L9:N10"/>
    <mergeCell ref="D11:H11"/>
    <mergeCell ref="K11:N11"/>
    <mergeCell ref="D12:H12"/>
    <mergeCell ref="K12:N12"/>
    <mergeCell ref="F15:H15"/>
    <mergeCell ref="C17:E17"/>
    <mergeCell ref="F17:G17"/>
    <mergeCell ref="C18:E18"/>
    <mergeCell ref="F18:G18"/>
    <mergeCell ref="C19:E19"/>
    <mergeCell ref="F19:G19"/>
    <mergeCell ref="C20:E20"/>
    <mergeCell ref="F20:G20"/>
    <mergeCell ref="C21:E21"/>
    <mergeCell ref="F21:G21"/>
    <mergeCell ref="C22:E22"/>
    <mergeCell ref="F22:G22"/>
    <mergeCell ref="C23:G23"/>
    <mergeCell ref="C24:E24"/>
    <mergeCell ref="F24:G24"/>
    <mergeCell ref="I31:N32"/>
    <mergeCell ref="C36:H37"/>
    <mergeCell ref="I36:N37"/>
    <mergeCell ref="F86:M86"/>
    <mergeCell ref="C65:F65"/>
    <mergeCell ref="G65:M65"/>
    <mergeCell ref="C43:N44"/>
    <mergeCell ref="C46:E46"/>
    <mergeCell ref="F46:M46"/>
    <mergeCell ref="C47:E47"/>
    <mergeCell ref="F47:M47"/>
    <mergeCell ref="C48:E48"/>
    <mergeCell ref="F48:L48"/>
    <mergeCell ref="C49:D49"/>
    <mergeCell ref="I55:L55"/>
    <mergeCell ref="C56:H57"/>
    <mergeCell ref="I56:N57"/>
    <mergeCell ref="C62:N63"/>
    <mergeCell ref="C66:F66"/>
    <mergeCell ref="G66:M66"/>
    <mergeCell ref="C72:N73"/>
    <mergeCell ref="C79:N80"/>
    <mergeCell ref="C82:D82"/>
    <mergeCell ref="F82:M82"/>
    <mergeCell ref="F104:G104"/>
    <mergeCell ref="M104:N104"/>
    <mergeCell ref="C83:D83"/>
    <mergeCell ref="F83:M83"/>
    <mergeCell ref="C84:D84"/>
    <mergeCell ref="F84:M84"/>
    <mergeCell ref="C89:K91"/>
    <mergeCell ref="M89:N91"/>
    <mergeCell ref="L90:L91"/>
    <mergeCell ref="M94:N96"/>
    <mergeCell ref="L95:L96"/>
    <mergeCell ref="M99:N100"/>
    <mergeCell ref="F103:G103"/>
    <mergeCell ref="M103:N103"/>
    <mergeCell ref="C85:E86"/>
    <mergeCell ref="F85:M85"/>
    <mergeCell ref="F105:G105"/>
    <mergeCell ref="M105:N105"/>
    <mergeCell ref="F106:G106"/>
    <mergeCell ref="M106:N106"/>
    <mergeCell ref="F107:G107"/>
    <mergeCell ref="M107:N107"/>
  </mergeCells>
  <phoneticPr fontId="21"/>
  <conditionalFormatting sqref="M22:N24">
    <cfRule type="expression" dxfId="8" priority="1" stopIfTrue="1">
      <formula>$E$22&gt;=#REF!</formula>
    </cfRule>
    <cfRule type="expression" dxfId="7" priority="2" stopIfTrue="1">
      <formula>$E$22&gt;=#REF!</formula>
    </cfRule>
  </conditionalFormatting>
  <conditionalFormatting sqref="M16:N18">
    <cfRule type="expression" dxfId="6" priority="3" stopIfTrue="1">
      <formula>$E$16&gt;=#REF!</formula>
    </cfRule>
    <cfRule type="expression" dxfId="5" priority="4" stopIfTrue="1">
      <formula>$E$16&gt;=#REF!</formula>
    </cfRule>
  </conditionalFormatting>
  <conditionalFormatting sqref="M19:N21">
    <cfRule type="expression" dxfId="4" priority="5" stopIfTrue="1">
      <formula>$E$19&gt;=#REF!</formula>
    </cfRule>
    <cfRule type="expression" dxfId="3" priority="6" stopIfTrue="1">
      <formula>$E$19&gt;=#REF!</formula>
    </cfRule>
  </conditionalFormatting>
  <dataValidations count="4">
    <dataValidation type="list" allowBlank="1" showInputMessage="1" showErrorMessage="1" sqref="WVW983124:WVW983126 JK46:JK48 TG46:TG48 ADC46:ADC48 AMY46:AMY48 AWU46:AWU48 BGQ46:BGQ48 BQM46:BQM48 CAI46:CAI48 CKE46:CKE48 CUA46:CUA48 DDW46:DDW48 DNS46:DNS48 DXO46:DXO48 EHK46:EHK48 ERG46:ERG48 FBC46:FBC48 FKY46:FKY48 FUU46:FUU48 GEQ46:GEQ48 GOM46:GOM48 GYI46:GYI48 HIE46:HIE48 HSA46:HSA48 IBW46:IBW48 ILS46:ILS48 IVO46:IVO48 JFK46:JFK48 JPG46:JPG48 JZC46:JZC48 KIY46:KIY48 KSU46:KSU48 LCQ46:LCQ48 LMM46:LMM48 LWI46:LWI48 MGE46:MGE48 MQA46:MQA48 MZW46:MZW48 NJS46:NJS48 NTO46:NTO48 ODK46:ODK48 ONG46:ONG48 OXC46:OXC48 PGY46:PGY48 PQU46:PQU48 QAQ46:QAQ48 QKM46:QKM48 QUI46:QUI48 REE46:REE48 ROA46:ROA48 RXW46:RXW48 SHS46:SHS48 SRO46:SRO48 TBK46:TBK48 TLG46:TLG48 TVC46:TVC48 UEY46:UEY48 UOU46:UOU48 UYQ46:UYQ48 VIM46:VIM48 VSI46:VSI48 WCE46:WCE48 WMA46:WMA48 WVW46:WVW48 N65584:N65586 JK65584:JK65586 TG65584:TG65586 ADC65584:ADC65586 AMY65584:AMY65586 AWU65584:AWU65586 BGQ65584:BGQ65586 BQM65584:BQM65586 CAI65584:CAI65586 CKE65584:CKE65586 CUA65584:CUA65586 DDW65584:DDW65586 DNS65584:DNS65586 DXO65584:DXO65586 EHK65584:EHK65586 ERG65584:ERG65586 FBC65584:FBC65586 FKY65584:FKY65586 FUU65584:FUU65586 GEQ65584:GEQ65586 GOM65584:GOM65586 GYI65584:GYI65586 HIE65584:HIE65586 HSA65584:HSA65586 IBW65584:IBW65586 ILS65584:ILS65586 IVO65584:IVO65586 JFK65584:JFK65586 JPG65584:JPG65586 JZC65584:JZC65586 KIY65584:KIY65586 KSU65584:KSU65586 LCQ65584:LCQ65586 LMM65584:LMM65586 LWI65584:LWI65586 MGE65584:MGE65586 MQA65584:MQA65586 MZW65584:MZW65586 NJS65584:NJS65586 NTO65584:NTO65586 ODK65584:ODK65586 ONG65584:ONG65586 OXC65584:OXC65586 PGY65584:PGY65586 PQU65584:PQU65586 QAQ65584:QAQ65586 QKM65584:QKM65586 QUI65584:QUI65586 REE65584:REE65586 ROA65584:ROA65586 RXW65584:RXW65586 SHS65584:SHS65586 SRO65584:SRO65586 TBK65584:TBK65586 TLG65584:TLG65586 TVC65584:TVC65586 UEY65584:UEY65586 UOU65584:UOU65586 UYQ65584:UYQ65586 VIM65584:VIM65586 VSI65584:VSI65586 WCE65584:WCE65586 WMA65584:WMA65586 WVW65584:WVW65586 N131120:N131122 JK131120:JK131122 TG131120:TG131122 ADC131120:ADC131122 AMY131120:AMY131122 AWU131120:AWU131122 BGQ131120:BGQ131122 BQM131120:BQM131122 CAI131120:CAI131122 CKE131120:CKE131122 CUA131120:CUA131122 DDW131120:DDW131122 DNS131120:DNS131122 DXO131120:DXO131122 EHK131120:EHK131122 ERG131120:ERG131122 FBC131120:FBC131122 FKY131120:FKY131122 FUU131120:FUU131122 GEQ131120:GEQ131122 GOM131120:GOM131122 GYI131120:GYI131122 HIE131120:HIE131122 HSA131120:HSA131122 IBW131120:IBW131122 ILS131120:ILS131122 IVO131120:IVO131122 JFK131120:JFK131122 JPG131120:JPG131122 JZC131120:JZC131122 KIY131120:KIY131122 KSU131120:KSU131122 LCQ131120:LCQ131122 LMM131120:LMM131122 LWI131120:LWI131122 MGE131120:MGE131122 MQA131120:MQA131122 MZW131120:MZW131122 NJS131120:NJS131122 NTO131120:NTO131122 ODK131120:ODK131122 ONG131120:ONG131122 OXC131120:OXC131122 PGY131120:PGY131122 PQU131120:PQU131122 QAQ131120:QAQ131122 QKM131120:QKM131122 QUI131120:QUI131122 REE131120:REE131122 ROA131120:ROA131122 RXW131120:RXW131122 SHS131120:SHS131122 SRO131120:SRO131122 TBK131120:TBK131122 TLG131120:TLG131122 TVC131120:TVC131122 UEY131120:UEY131122 UOU131120:UOU131122 UYQ131120:UYQ131122 VIM131120:VIM131122 VSI131120:VSI131122 WCE131120:WCE131122 WMA131120:WMA131122 WVW131120:WVW131122 N196656:N196658 JK196656:JK196658 TG196656:TG196658 ADC196656:ADC196658 AMY196656:AMY196658 AWU196656:AWU196658 BGQ196656:BGQ196658 BQM196656:BQM196658 CAI196656:CAI196658 CKE196656:CKE196658 CUA196656:CUA196658 DDW196656:DDW196658 DNS196656:DNS196658 DXO196656:DXO196658 EHK196656:EHK196658 ERG196656:ERG196658 FBC196656:FBC196658 FKY196656:FKY196658 FUU196656:FUU196658 GEQ196656:GEQ196658 GOM196656:GOM196658 GYI196656:GYI196658 HIE196656:HIE196658 HSA196656:HSA196658 IBW196656:IBW196658 ILS196656:ILS196658 IVO196656:IVO196658 JFK196656:JFK196658 JPG196656:JPG196658 JZC196656:JZC196658 KIY196656:KIY196658 KSU196656:KSU196658 LCQ196656:LCQ196658 LMM196656:LMM196658 LWI196656:LWI196658 MGE196656:MGE196658 MQA196656:MQA196658 MZW196656:MZW196658 NJS196656:NJS196658 NTO196656:NTO196658 ODK196656:ODK196658 ONG196656:ONG196658 OXC196656:OXC196658 PGY196656:PGY196658 PQU196656:PQU196658 QAQ196656:QAQ196658 QKM196656:QKM196658 QUI196656:QUI196658 REE196656:REE196658 ROA196656:ROA196658 RXW196656:RXW196658 SHS196656:SHS196658 SRO196656:SRO196658 TBK196656:TBK196658 TLG196656:TLG196658 TVC196656:TVC196658 UEY196656:UEY196658 UOU196656:UOU196658 UYQ196656:UYQ196658 VIM196656:VIM196658 VSI196656:VSI196658 WCE196656:WCE196658 WMA196656:WMA196658 WVW196656:WVW196658 N262192:N262194 JK262192:JK262194 TG262192:TG262194 ADC262192:ADC262194 AMY262192:AMY262194 AWU262192:AWU262194 BGQ262192:BGQ262194 BQM262192:BQM262194 CAI262192:CAI262194 CKE262192:CKE262194 CUA262192:CUA262194 DDW262192:DDW262194 DNS262192:DNS262194 DXO262192:DXO262194 EHK262192:EHK262194 ERG262192:ERG262194 FBC262192:FBC262194 FKY262192:FKY262194 FUU262192:FUU262194 GEQ262192:GEQ262194 GOM262192:GOM262194 GYI262192:GYI262194 HIE262192:HIE262194 HSA262192:HSA262194 IBW262192:IBW262194 ILS262192:ILS262194 IVO262192:IVO262194 JFK262192:JFK262194 JPG262192:JPG262194 JZC262192:JZC262194 KIY262192:KIY262194 KSU262192:KSU262194 LCQ262192:LCQ262194 LMM262192:LMM262194 LWI262192:LWI262194 MGE262192:MGE262194 MQA262192:MQA262194 MZW262192:MZW262194 NJS262192:NJS262194 NTO262192:NTO262194 ODK262192:ODK262194 ONG262192:ONG262194 OXC262192:OXC262194 PGY262192:PGY262194 PQU262192:PQU262194 QAQ262192:QAQ262194 QKM262192:QKM262194 QUI262192:QUI262194 REE262192:REE262194 ROA262192:ROA262194 RXW262192:RXW262194 SHS262192:SHS262194 SRO262192:SRO262194 TBK262192:TBK262194 TLG262192:TLG262194 TVC262192:TVC262194 UEY262192:UEY262194 UOU262192:UOU262194 UYQ262192:UYQ262194 VIM262192:VIM262194 VSI262192:VSI262194 WCE262192:WCE262194 WMA262192:WMA262194 WVW262192:WVW262194 N327728:N327730 JK327728:JK327730 TG327728:TG327730 ADC327728:ADC327730 AMY327728:AMY327730 AWU327728:AWU327730 BGQ327728:BGQ327730 BQM327728:BQM327730 CAI327728:CAI327730 CKE327728:CKE327730 CUA327728:CUA327730 DDW327728:DDW327730 DNS327728:DNS327730 DXO327728:DXO327730 EHK327728:EHK327730 ERG327728:ERG327730 FBC327728:FBC327730 FKY327728:FKY327730 FUU327728:FUU327730 GEQ327728:GEQ327730 GOM327728:GOM327730 GYI327728:GYI327730 HIE327728:HIE327730 HSA327728:HSA327730 IBW327728:IBW327730 ILS327728:ILS327730 IVO327728:IVO327730 JFK327728:JFK327730 JPG327728:JPG327730 JZC327728:JZC327730 KIY327728:KIY327730 KSU327728:KSU327730 LCQ327728:LCQ327730 LMM327728:LMM327730 LWI327728:LWI327730 MGE327728:MGE327730 MQA327728:MQA327730 MZW327728:MZW327730 NJS327728:NJS327730 NTO327728:NTO327730 ODK327728:ODK327730 ONG327728:ONG327730 OXC327728:OXC327730 PGY327728:PGY327730 PQU327728:PQU327730 QAQ327728:QAQ327730 QKM327728:QKM327730 QUI327728:QUI327730 REE327728:REE327730 ROA327728:ROA327730 RXW327728:RXW327730 SHS327728:SHS327730 SRO327728:SRO327730 TBK327728:TBK327730 TLG327728:TLG327730 TVC327728:TVC327730 UEY327728:UEY327730 UOU327728:UOU327730 UYQ327728:UYQ327730 VIM327728:VIM327730 VSI327728:VSI327730 WCE327728:WCE327730 WMA327728:WMA327730 WVW327728:WVW327730 N393264:N393266 JK393264:JK393266 TG393264:TG393266 ADC393264:ADC393266 AMY393264:AMY393266 AWU393264:AWU393266 BGQ393264:BGQ393266 BQM393264:BQM393266 CAI393264:CAI393266 CKE393264:CKE393266 CUA393264:CUA393266 DDW393264:DDW393266 DNS393264:DNS393266 DXO393264:DXO393266 EHK393264:EHK393266 ERG393264:ERG393266 FBC393264:FBC393266 FKY393264:FKY393266 FUU393264:FUU393266 GEQ393264:GEQ393266 GOM393264:GOM393266 GYI393264:GYI393266 HIE393264:HIE393266 HSA393264:HSA393266 IBW393264:IBW393266 ILS393264:ILS393266 IVO393264:IVO393266 JFK393264:JFK393266 JPG393264:JPG393266 JZC393264:JZC393266 KIY393264:KIY393266 KSU393264:KSU393266 LCQ393264:LCQ393266 LMM393264:LMM393266 LWI393264:LWI393266 MGE393264:MGE393266 MQA393264:MQA393266 MZW393264:MZW393266 NJS393264:NJS393266 NTO393264:NTO393266 ODK393264:ODK393266 ONG393264:ONG393266 OXC393264:OXC393266 PGY393264:PGY393266 PQU393264:PQU393266 QAQ393264:QAQ393266 QKM393264:QKM393266 QUI393264:QUI393266 REE393264:REE393266 ROA393264:ROA393266 RXW393264:RXW393266 SHS393264:SHS393266 SRO393264:SRO393266 TBK393264:TBK393266 TLG393264:TLG393266 TVC393264:TVC393266 UEY393264:UEY393266 UOU393264:UOU393266 UYQ393264:UYQ393266 VIM393264:VIM393266 VSI393264:VSI393266 WCE393264:WCE393266 WMA393264:WMA393266 WVW393264:WVW393266 N458800:N458802 JK458800:JK458802 TG458800:TG458802 ADC458800:ADC458802 AMY458800:AMY458802 AWU458800:AWU458802 BGQ458800:BGQ458802 BQM458800:BQM458802 CAI458800:CAI458802 CKE458800:CKE458802 CUA458800:CUA458802 DDW458800:DDW458802 DNS458800:DNS458802 DXO458800:DXO458802 EHK458800:EHK458802 ERG458800:ERG458802 FBC458800:FBC458802 FKY458800:FKY458802 FUU458800:FUU458802 GEQ458800:GEQ458802 GOM458800:GOM458802 GYI458800:GYI458802 HIE458800:HIE458802 HSA458800:HSA458802 IBW458800:IBW458802 ILS458800:ILS458802 IVO458800:IVO458802 JFK458800:JFK458802 JPG458800:JPG458802 JZC458800:JZC458802 KIY458800:KIY458802 KSU458800:KSU458802 LCQ458800:LCQ458802 LMM458800:LMM458802 LWI458800:LWI458802 MGE458800:MGE458802 MQA458800:MQA458802 MZW458800:MZW458802 NJS458800:NJS458802 NTO458800:NTO458802 ODK458800:ODK458802 ONG458800:ONG458802 OXC458800:OXC458802 PGY458800:PGY458802 PQU458800:PQU458802 QAQ458800:QAQ458802 QKM458800:QKM458802 QUI458800:QUI458802 REE458800:REE458802 ROA458800:ROA458802 RXW458800:RXW458802 SHS458800:SHS458802 SRO458800:SRO458802 TBK458800:TBK458802 TLG458800:TLG458802 TVC458800:TVC458802 UEY458800:UEY458802 UOU458800:UOU458802 UYQ458800:UYQ458802 VIM458800:VIM458802 VSI458800:VSI458802 WCE458800:WCE458802 WMA458800:WMA458802 WVW458800:WVW458802 N524336:N524338 JK524336:JK524338 TG524336:TG524338 ADC524336:ADC524338 AMY524336:AMY524338 AWU524336:AWU524338 BGQ524336:BGQ524338 BQM524336:BQM524338 CAI524336:CAI524338 CKE524336:CKE524338 CUA524336:CUA524338 DDW524336:DDW524338 DNS524336:DNS524338 DXO524336:DXO524338 EHK524336:EHK524338 ERG524336:ERG524338 FBC524336:FBC524338 FKY524336:FKY524338 FUU524336:FUU524338 GEQ524336:GEQ524338 GOM524336:GOM524338 GYI524336:GYI524338 HIE524336:HIE524338 HSA524336:HSA524338 IBW524336:IBW524338 ILS524336:ILS524338 IVO524336:IVO524338 JFK524336:JFK524338 JPG524336:JPG524338 JZC524336:JZC524338 KIY524336:KIY524338 KSU524336:KSU524338 LCQ524336:LCQ524338 LMM524336:LMM524338 LWI524336:LWI524338 MGE524336:MGE524338 MQA524336:MQA524338 MZW524336:MZW524338 NJS524336:NJS524338 NTO524336:NTO524338 ODK524336:ODK524338 ONG524336:ONG524338 OXC524336:OXC524338 PGY524336:PGY524338 PQU524336:PQU524338 QAQ524336:QAQ524338 QKM524336:QKM524338 QUI524336:QUI524338 REE524336:REE524338 ROA524336:ROA524338 RXW524336:RXW524338 SHS524336:SHS524338 SRO524336:SRO524338 TBK524336:TBK524338 TLG524336:TLG524338 TVC524336:TVC524338 UEY524336:UEY524338 UOU524336:UOU524338 UYQ524336:UYQ524338 VIM524336:VIM524338 VSI524336:VSI524338 WCE524336:WCE524338 WMA524336:WMA524338 WVW524336:WVW524338 N589872:N589874 JK589872:JK589874 TG589872:TG589874 ADC589872:ADC589874 AMY589872:AMY589874 AWU589872:AWU589874 BGQ589872:BGQ589874 BQM589872:BQM589874 CAI589872:CAI589874 CKE589872:CKE589874 CUA589872:CUA589874 DDW589872:DDW589874 DNS589872:DNS589874 DXO589872:DXO589874 EHK589872:EHK589874 ERG589872:ERG589874 FBC589872:FBC589874 FKY589872:FKY589874 FUU589872:FUU589874 GEQ589872:GEQ589874 GOM589872:GOM589874 GYI589872:GYI589874 HIE589872:HIE589874 HSA589872:HSA589874 IBW589872:IBW589874 ILS589872:ILS589874 IVO589872:IVO589874 JFK589872:JFK589874 JPG589872:JPG589874 JZC589872:JZC589874 KIY589872:KIY589874 KSU589872:KSU589874 LCQ589872:LCQ589874 LMM589872:LMM589874 LWI589872:LWI589874 MGE589872:MGE589874 MQA589872:MQA589874 MZW589872:MZW589874 NJS589872:NJS589874 NTO589872:NTO589874 ODK589872:ODK589874 ONG589872:ONG589874 OXC589872:OXC589874 PGY589872:PGY589874 PQU589872:PQU589874 QAQ589872:QAQ589874 QKM589872:QKM589874 QUI589872:QUI589874 REE589872:REE589874 ROA589872:ROA589874 RXW589872:RXW589874 SHS589872:SHS589874 SRO589872:SRO589874 TBK589872:TBK589874 TLG589872:TLG589874 TVC589872:TVC589874 UEY589872:UEY589874 UOU589872:UOU589874 UYQ589872:UYQ589874 VIM589872:VIM589874 VSI589872:VSI589874 WCE589872:WCE589874 WMA589872:WMA589874 WVW589872:WVW589874 N655408:N655410 JK655408:JK655410 TG655408:TG655410 ADC655408:ADC655410 AMY655408:AMY655410 AWU655408:AWU655410 BGQ655408:BGQ655410 BQM655408:BQM655410 CAI655408:CAI655410 CKE655408:CKE655410 CUA655408:CUA655410 DDW655408:DDW655410 DNS655408:DNS655410 DXO655408:DXO655410 EHK655408:EHK655410 ERG655408:ERG655410 FBC655408:FBC655410 FKY655408:FKY655410 FUU655408:FUU655410 GEQ655408:GEQ655410 GOM655408:GOM655410 GYI655408:GYI655410 HIE655408:HIE655410 HSA655408:HSA655410 IBW655408:IBW655410 ILS655408:ILS655410 IVO655408:IVO655410 JFK655408:JFK655410 JPG655408:JPG655410 JZC655408:JZC655410 KIY655408:KIY655410 KSU655408:KSU655410 LCQ655408:LCQ655410 LMM655408:LMM655410 LWI655408:LWI655410 MGE655408:MGE655410 MQA655408:MQA655410 MZW655408:MZW655410 NJS655408:NJS655410 NTO655408:NTO655410 ODK655408:ODK655410 ONG655408:ONG655410 OXC655408:OXC655410 PGY655408:PGY655410 PQU655408:PQU655410 QAQ655408:QAQ655410 QKM655408:QKM655410 QUI655408:QUI655410 REE655408:REE655410 ROA655408:ROA655410 RXW655408:RXW655410 SHS655408:SHS655410 SRO655408:SRO655410 TBK655408:TBK655410 TLG655408:TLG655410 TVC655408:TVC655410 UEY655408:UEY655410 UOU655408:UOU655410 UYQ655408:UYQ655410 VIM655408:VIM655410 VSI655408:VSI655410 WCE655408:WCE655410 WMA655408:WMA655410 WVW655408:WVW655410 N720944:N720946 JK720944:JK720946 TG720944:TG720946 ADC720944:ADC720946 AMY720944:AMY720946 AWU720944:AWU720946 BGQ720944:BGQ720946 BQM720944:BQM720946 CAI720944:CAI720946 CKE720944:CKE720946 CUA720944:CUA720946 DDW720944:DDW720946 DNS720944:DNS720946 DXO720944:DXO720946 EHK720944:EHK720946 ERG720944:ERG720946 FBC720944:FBC720946 FKY720944:FKY720946 FUU720944:FUU720946 GEQ720944:GEQ720946 GOM720944:GOM720946 GYI720944:GYI720946 HIE720944:HIE720946 HSA720944:HSA720946 IBW720944:IBW720946 ILS720944:ILS720946 IVO720944:IVO720946 JFK720944:JFK720946 JPG720944:JPG720946 JZC720944:JZC720946 KIY720944:KIY720946 KSU720944:KSU720946 LCQ720944:LCQ720946 LMM720944:LMM720946 LWI720944:LWI720946 MGE720944:MGE720946 MQA720944:MQA720946 MZW720944:MZW720946 NJS720944:NJS720946 NTO720944:NTO720946 ODK720944:ODK720946 ONG720944:ONG720946 OXC720944:OXC720946 PGY720944:PGY720946 PQU720944:PQU720946 QAQ720944:QAQ720946 QKM720944:QKM720946 QUI720944:QUI720946 REE720944:REE720946 ROA720944:ROA720946 RXW720944:RXW720946 SHS720944:SHS720946 SRO720944:SRO720946 TBK720944:TBK720946 TLG720944:TLG720946 TVC720944:TVC720946 UEY720944:UEY720946 UOU720944:UOU720946 UYQ720944:UYQ720946 VIM720944:VIM720946 VSI720944:VSI720946 WCE720944:WCE720946 WMA720944:WMA720946 WVW720944:WVW720946 N786480:N786482 JK786480:JK786482 TG786480:TG786482 ADC786480:ADC786482 AMY786480:AMY786482 AWU786480:AWU786482 BGQ786480:BGQ786482 BQM786480:BQM786482 CAI786480:CAI786482 CKE786480:CKE786482 CUA786480:CUA786482 DDW786480:DDW786482 DNS786480:DNS786482 DXO786480:DXO786482 EHK786480:EHK786482 ERG786480:ERG786482 FBC786480:FBC786482 FKY786480:FKY786482 FUU786480:FUU786482 GEQ786480:GEQ786482 GOM786480:GOM786482 GYI786480:GYI786482 HIE786480:HIE786482 HSA786480:HSA786482 IBW786480:IBW786482 ILS786480:ILS786482 IVO786480:IVO786482 JFK786480:JFK786482 JPG786480:JPG786482 JZC786480:JZC786482 KIY786480:KIY786482 KSU786480:KSU786482 LCQ786480:LCQ786482 LMM786480:LMM786482 LWI786480:LWI786482 MGE786480:MGE786482 MQA786480:MQA786482 MZW786480:MZW786482 NJS786480:NJS786482 NTO786480:NTO786482 ODK786480:ODK786482 ONG786480:ONG786482 OXC786480:OXC786482 PGY786480:PGY786482 PQU786480:PQU786482 QAQ786480:QAQ786482 QKM786480:QKM786482 QUI786480:QUI786482 REE786480:REE786482 ROA786480:ROA786482 RXW786480:RXW786482 SHS786480:SHS786482 SRO786480:SRO786482 TBK786480:TBK786482 TLG786480:TLG786482 TVC786480:TVC786482 UEY786480:UEY786482 UOU786480:UOU786482 UYQ786480:UYQ786482 VIM786480:VIM786482 VSI786480:VSI786482 WCE786480:WCE786482 WMA786480:WMA786482 WVW786480:WVW786482 N852016:N852018 JK852016:JK852018 TG852016:TG852018 ADC852016:ADC852018 AMY852016:AMY852018 AWU852016:AWU852018 BGQ852016:BGQ852018 BQM852016:BQM852018 CAI852016:CAI852018 CKE852016:CKE852018 CUA852016:CUA852018 DDW852016:DDW852018 DNS852016:DNS852018 DXO852016:DXO852018 EHK852016:EHK852018 ERG852016:ERG852018 FBC852016:FBC852018 FKY852016:FKY852018 FUU852016:FUU852018 GEQ852016:GEQ852018 GOM852016:GOM852018 GYI852016:GYI852018 HIE852016:HIE852018 HSA852016:HSA852018 IBW852016:IBW852018 ILS852016:ILS852018 IVO852016:IVO852018 JFK852016:JFK852018 JPG852016:JPG852018 JZC852016:JZC852018 KIY852016:KIY852018 KSU852016:KSU852018 LCQ852016:LCQ852018 LMM852016:LMM852018 LWI852016:LWI852018 MGE852016:MGE852018 MQA852016:MQA852018 MZW852016:MZW852018 NJS852016:NJS852018 NTO852016:NTO852018 ODK852016:ODK852018 ONG852016:ONG852018 OXC852016:OXC852018 PGY852016:PGY852018 PQU852016:PQU852018 QAQ852016:QAQ852018 QKM852016:QKM852018 QUI852016:QUI852018 REE852016:REE852018 ROA852016:ROA852018 RXW852016:RXW852018 SHS852016:SHS852018 SRO852016:SRO852018 TBK852016:TBK852018 TLG852016:TLG852018 TVC852016:TVC852018 UEY852016:UEY852018 UOU852016:UOU852018 UYQ852016:UYQ852018 VIM852016:VIM852018 VSI852016:VSI852018 WCE852016:WCE852018 WMA852016:WMA852018 WVW852016:WVW852018 N917552:N917554 JK917552:JK917554 TG917552:TG917554 ADC917552:ADC917554 AMY917552:AMY917554 AWU917552:AWU917554 BGQ917552:BGQ917554 BQM917552:BQM917554 CAI917552:CAI917554 CKE917552:CKE917554 CUA917552:CUA917554 DDW917552:DDW917554 DNS917552:DNS917554 DXO917552:DXO917554 EHK917552:EHK917554 ERG917552:ERG917554 FBC917552:FBC917554 FKY917552:FKY917554 FUU917552:FUU917554 GEQ917552:GEQ917554 GOM917552:GOM917554 GYI917552:GYI917554 HIE917552:HIE917554 HSA917552:HSA917554 IBW917552:IBW917554 ILS917552:ILS917554 IVO917552:IVO917554 JFK917552:JFK917554 JPG917552:JPG917554 JZC917552:JZC917554 KIY917552:KIY917554 KSU917552:KSU917554 LCQ917552:LCQ917554 LMM917552:LMM917554 LWI917552:LWI917554 MGE917552:MGE917554 MQA917552:MQA917554 MZW917552:MZW917554 NJS917552:NJS917554 NTO917552:NTO917554 ODK917552:ODK917554 ONG917552:ONG917554 OXC917552:OXC917554 PGY917552:PGY917554 PQU917552:PQU917554 QAQ917552:QAQ917554 QKM917552:QKM917554 QUI917552:QUI917554 REE917552:REE917554 ROA917552:ROA917554 RXW917552:RXW917554 SHS917552:SHS917554 SRO917552:SRO917554 TBK917552:TBK917554 TLG917552:TLG917554 TVC917552:TVC917554 UEY917552:UEY917554 UOU917552:UOU917554 UYQ917552:UYQ917554 VIM917552:VIM917554 VSI917552:VSI917554 WCE917552:WCE917554 WMA917552:WMA917554 WVW917552:WVW917554 N983088:N983090 JK983088:JK983090 TG983088:TG983090 ADC983088:ADC983090 AMY983088:AMY983090 AWU983088:AWU983090 BGQ983088:BGQ983090 BQM983088:BQM983090 CAI983088:CAI983090 CKE983088:CKE983090 CUA983088:CUA983090 DDW983088:DDW983090 DNS983088:DNS983090 DXO983088:DXO983090 EHK983088:EHK983090 ERG983088:ERG983090 FBC983088:FBC983090 FKY983088:FKY983090 FUU983088:FUU983090 GEQ983088:GEQ983090 GOM983088:GOM983090 GYI983088:GYI983090 HIE983088:HIE983090 HSA983088:HSA983090 IBW983088:IBW983090 ILS983088:ILS983090 IVO983088:IVO983090 JFK983088:JFK983090 JPG983088:JPG983090 JZC983088:JZC983090 KIY983088:KIY983090 KSU983088:KSU983090 LCQ983088:LCQ983090 LMM983088:LMM983090 LWI983088:LWI983090 MGE983088:MGE983090 MQA983088:MQA983090 MZW983088:MZW983090 NJS983088:NJS983090 NTO983088:NTO983090 ODK983088:ODK983090 ONG983088:ONG983090 OXC983088:OXC983090 PGY983088:PGY983090 PQU983088:PQU983090 QAQ983088:QAQ983090 QKM983088:QKM983090 QUI983088:QUI983090 REE983088:REE983090 ROA983088:ROA983090 RXW983088:RXW983090 SHS983088:SHS983090 SRO983088:SRO983090 TBK983088:TBK983090 TLG983088:TLG983090 TVC983088:TVC983090 UEY983088:UEY983090 UOU983088:UOU983090 UYQ983088:UYQ983090 VIM983088:VIM983090 VSI983088:VSI983090 WCE983088:WCE983090 WMA983088:WMA983090 WVW983088:WVW983090 WMA983124:WMA983126 JK65:JK66 TG65:TG66 ADC65:ADC66 AMY65:AMY66 AWU65:AWU66 BGQ65:BGQ66 BQM65:BQM66 CAI65:CAI66 CKE65:CKE66 CUA65:CUA66 DDW65:DDW66 DNS65:DNS66 DXO65:DXO66 EHK65:EHK66 ERG65:ERG66 FBC65:FBC66 FKY65:FKY66 FUU65:FUU66 GEQ65:GEQ66 GOM65:GOM66 GYI65:GYI66 HIE65:HIE66 HSA65:HSA66 IBW65:IBW66 ILS65:ILS66 IVO65:IVO66 JFK65:JFK66 JPG65:JPG66 JZC65:JZC66 KIY65:KIY66 KSU65:KSU66 LCQ65:LCQ66 LMM65:LMM66 LWI65:LWI66 MGE65:MGE66 MQA65:MQA66 MZW65:MZW66 NJS65:NJS66 NTO65:NTO66 ODK65:ODK66 ONG65:ONG66 OXC65:OXC66 PGY65:PGY66 PQU65:PQU66 QAQ65:QAQ66 QKM65:QKM66 QUI65:QUI66 REE65:REE66 ROA65:ROA66 RXW65:RXW66 SHS65:SHS66 SRO65:SRO66 TBK65:TBK66 TLG65:TLG66 TVC65:TVC66 UEY65:UEY66 UOU65:UOU66 UYQ65:UYQ66 VIM65:VIM66 VSI65:VSI66 WCE65:WCE66 WMA65:WMA66 WVW65:WVW66 N65603:N65604 JK65603:JK65604 TG65603:TG65604 ADC65603:ADC65604 AMY65603:AMY65604 AWU65603:AWU65604 BGQ65603:BGQ65604 BQM65603:BQM65604 CAI65603:CAI65604 CKE65603:CKE65604 CUA65603:CUA65604 DDW65603:DDW65604 DNS65603:DNS65604 DXO65603:DXO65604 EHK65603:EHK65604 ERG65603:ERG65604 FBC65603:FBC65604 FKY65603:FKY65604 FUU65603:FUU65604 GEQ65603:GEQ65604 GOM65603:GOM65604 GYI65603:GYI65604 HIE65603:HIE65604 HSA65603:HSA65604 IBW65603:IBW65604 ILS65603:ILS65604 IVO65603:IVO65604 JFK65603:JFK65604 JPG65603:JPG65604 JZC65603:JZC65604 KIY65603:KIY65604 KSU65603:KSU65604 LCQ65603:LCQ65604 LMM65603:LMM65604 LWI65603:LWI65604 MGE65603:MGE65604 MQA65603:MQA65604 MZW65603:MZW65604 NJS65603:NJS65604 NTO65603:NTO65604 ODK65603:ODK65604 ONG65603:ONG65604 OXC65603:OXC65604 PGY65603:PGY65604 PQU65603:PQU65604 QAQ65603:QAQ65604 QKM65603:QKM65604 QUI65603:QUI65604 REE65603:REE65604 ROA65603:ROA65604 RXW65603:RXW65604 SHS65603:SHS65604 SRO65603:SRO65604 TBK65603:TBK65604 TLG65603:TLG65604 TVC65603:TVC65604 UEY65603:UEY65604 UOU65603:UOU65604 UYQ65603:UYQ65604 VIM65603:VIM65604 VSI65603:VSI65604 WCE65603:WCE65604 WMA65603:WMA65604 WVW65603:WVW65604 N131139:N131140 JK131139:JK131140 TG131139:TG131140 ADC131139:ADC131140 AMY131139:AMY131140 AWU131139:AWU131140 BGQ131139:BGQ131140 BQM131139:BQM131140 CAI131139:CAI131140 CKE131139:CKE131140 CUA131139:CUA131140 DDW131139:DDW131140 DNS131139:DNS131140 DXO131139:DXO131140 EHK131139:EHK131140 ERG131139:ERG131140 FBC131139:FBC131140 FKY131139:FKY131140 FUU131139:FUU131140 GEQ131139:GEQ131140 GOM131139:GOM131140 GYI131139:GYI131140 HIE131139:HIE131140 HSA131139:HSA131140 IBW131139:IBW131140 ILS131139:ILS131140 IVO131139:IVO131140 JFK131139:JFK131140 JPG131139:JPG131140 JZC131139:JZC131140 KIY131139:KIY131140 KSU131139:KSU131140 LCQ131139:LCQ131140 LMM131139:LMM131140 LWI131139:LWI131140 MGE131139:MGE131140 MQA131139:MQA131140 MZW131139:MZW131140 NJS131139:NJS131140 NTO131139:NTO131140 ODK131139:ODK131140 ONG131139:ONG131140 OXC131139:OXC131140 PGY131139:PGY131140 PQU131139:PQU131140 QAQ131139:QAQ131140 QKM131139:QKM131140 QUI131139:QUI131140 REE131139:REE131140 ROA131139:ROA131140 RXW131139:RXW131140 SHS131139:SHS131140 SRO131139:SRO131140 TBK131139:TBK131140 TLG131139:TLG131140 TVC131139:TVC131140 UEY131139:UEY131140 UOU131139:UOU131140 UYQ131139:UYQ131140 VIM131139:VIM131140 VSI131139:VSI131140 WCE131139:WCE131140 WMA131139:WMA131140 WVW131139:WVW131140 N196675:N196676 JK196675:JK196676 TG196675:TG196676 ADC196675:ADC196676 AMY196675:AMY196676 AWU196675:AWU196676 BGQ196675:BGQ196676 BQM196675:BQM196676 CAI196675:CAI196676 CKE196675:CKE196676 CUA196675:CUA196676 DDW196675:DDW196676 DNS196675:DNS196676 DXO196675:DXO196676 EHK196675:EHK196676 ERG196675:ERG196676 FBC196675:FBC196676 FKY196675:FKY196676 FUU196675:FUU196676 GEQ196675:GEQ196676 GOM196675:GOM196676 GYI196675:GYI196676 HIE196675:HIE196676 HSA196675:HSA196676 IBW196675:IBW196676 ILS196675:ILS196676 IVO196675:IVO196676 JFK196675:JFK196676 JPG196675:JPG196676 JZC196675:JZC196676 KIY196675:KIY196676 KSU196675:KSU196676 LCQ196675:LCQ196676 LMM196675:LMM196676 LWI196675:LWI196676 MGE196675:MGE196676 MQA196675:MQA196676 MZW196675:MZW196676 NJS196675:NJS196676 NTO196675:NTO196676 ODK196675:ODK196676 ONG196675:ONG196676 OXC196675:OXC196676 PGY196675:PGY196676 PQU196675:PQU196676 QAQ196675:QAQ196676 QKM196675:QKM196676 QUI196675:QUI196676 REE196675:REE196676 ROA196675:ROA196676 RXW196675:RXW196676 SHS196675:SHS196676 SRO196675:SRO196676 TBK196675:TBK196676 TLG196675:TLG196676 TVC196675:TVC196676 UEY196675:UEY196676 UOU196675:UOU196676 UYQ196675:UYQ196676 VIM196675:VIM196676 VSI196675:VSI196676 WCE196675:WCE196676 WMA196675:WMA196676 WVW196675:WVW196676 N262211:N262212 JK262211:JK262212 TG262211:TG262212 ADC262211:ADC262212 AMY262211:AMY262212 AWU262211:AWU262212 BGQ262211:BGQ262212 BQM262211:BQM262212 CAI262211:CAI262212 CKE262211:CKE262212 CUA262211:CUA262212 DDW262211:DDW262212 DNS262211:DNS262212 DXO262211:DXO262212 EHK262211:EHK262212 ERG262211:ERG262212 FBC262211:FBC262212 FKY262211:FKY262212 FUU262211:FUU262212 GEQ262211:GEQ262212 GOM262211:GOM262212 GYI262211:GYI262212 HIE262211:HIE262212 HSA262211:HSA262212 IBW262211:IBW262212 ILS262211:ILS262212 IVO262211:IVO262212 JFK262211:JFK262212 JPG262211:JPG262212 JZC262211:JZC262212 KIY262211:KIY262212 KSU262211:KSU262212 LCQ262211:LCQ262212 LMM262211:LMM262212 LWI262211:LWI262212 MGE262211:MGE262212 MQA262211:MQA262212 MZW262211:MZW262212 NJS262211:NJS262212 NTO262211:NTO262212 ODK262211:ODK262212 ONG262211:ONG262212 OXC262211:OXC262212 PGY262211:PGY262212 PQU262211:PQU262212 QAQ262211:QAQ262212 QKM262211:QKM262212 QUI262211:QUI262212 REE262211:REE262212 ROA262211:ROA262212 RXW262211:RXW262212 SHS262211:SHS262212 SRO262211:SRO262212 TBK262211:TBK262212 TLG262211:TLG262212 TVC262211:TVC262212 UEY262211:UEY262212 UOU262211:UOU262212 UYQ262211:UYQ262212 VIM262211:VIM262212 VSI262211:VSI262212 WCE262211:WCE262212 WMA262211:WMA262212 WVW262211:WVW262212 N327747:N327748 JK327747:JK327748 TG327747:TG327748 ADC327747:ADC327748 AMY327747:AMY327748 AWU327747:AWU327748 BGQ327747:BGQ327748 BQM327747:BQM327748 CAI327747:CAI327748 CKE327747:CKE327748 CUA327747:CUA327748 DDW327747:DDW327748 DNS327747:DNS327748 DXO327747:DXO327748 EHK327747:EHK327748 ERG327747:ERG327748 FBC327747:FBC327748 FKY327747:FKY327748 FUU327747:FUU327748 GEQ327747:GEQ327748 GOM327747:GOM327748 GYI327747:GYI327748 HIE327747:HIE327748 HSA327747:HSA327748 IBW327747:IBW327748 ILS327747:ILS327748 IVO327747:IVO327748 JFK327747:JFK327748 JPG327747:JPG327748 JZC327747:JZC327748 KIY327747:KIY327748 KSU327747:KSU327748 LCQ327747:LCQ327748 LMM327747:LMM327748 LWI327747:LWI327748 MGE327747:MGE327748 MQA327747:MQA327748 MZW327747:MZW327748 NJS327747:NJS327748 NTO327747:NTO327748 ODK327747:ODK327748 ONG327747:ONG327748 OXC327747:OXC327748 PGY327747:PGY327748 PQU327747:PQU327748 QAQ327747:QAQ327748 QKM327747:QKM327748 QUI327747:QUI327748 REE327747:REE327748 ROA327747:ROA327748 RXW327747:RXW327748 SHS327747:SHS327748 SRO327747:SRO327748 TBK327747:TBK327748 TLG327747:TLG327748 TVC327747:TVC327748 UEY327747:UEY327748 UOU327747:UOU327748 UYQ327747:UYQ327748 VIM327747:VIM327748 VSI327747:VSI327748 WCE327747:WCE327748 WMA327747:WMA327748 WVW327747:WVW327748 N393283:N393284 JK393283:JK393284 TG393283:TG393284 ADC393283:ADC393284 AMY393283:AMY393284 AWU393283:AWU393284 BGQ393283:BGQ393284 BQM393283:BQM393284 CAI393283:CAI393284 CKE393283:CKE393284 CUA393283:CUA393284 DDW393283:DDW393284 DNS393283:DNS393284 DXO393283:DXO393284 EHK393283:EHK393284 ERG393283:ERG393284 FBC393283:FBC393284 FKY393283:FKY393284 FUU393283:FUU393284 GEQ393283:GEQ393284 GOM393283:GOM393284 GYI393283:GYI393284 HIE393283:HIE393284 HSA393283:HSA393284 IBW393283:IBW393284 ILS393283:ILS393284 IVO393283:IVO393284 JFK393283:JFK393284 JPG393283:JPG393284 JZC393283:JZC393284 KIY393283:KIY393284 KSU393283:KSU393284 LCQ393283:LCQ393284 LMM393283:LMM393284 LWI393283:LWI393284 MGE393283:MGE393284 MQA393283:MQA393284 MZW393283:MZW393284 NJS393283:NJS393284 NTO393283:NTO393284 ODK393283:ODK393284 ONG393283:ONG393284 OXC393283:OXC393284 PGY393283:PGY393284 PQU393283:PQU393284 QAQ393283:QAQ393284 QKM393283:QKM393284 QUI393283:QUI393284 REE393283:REE393284 ROA393283:ROA393284 RXW393283:RXW393284 SHS393283:SHS393284 SRO393283:SRO393284 TBK393283:TBK393284 TLG393283:TLG393284 TVC393283:TVC393284 UEY393283:UEY393284 UOU393283:UOU393284 UYQ393283:UYQ393284 VIM393283:VIM393284 VSI393283:VSI393284 WCE393283:WCE393284 WMA393283:WMA393284 WVW393283:WVW393284 N458819:N458820 JK458819:JK458820 TG458819:TG458820 ADC458819:ADC458820 AMY458819:AMY458820 AWU458819:AWU458820 BGQ458819:BGQ458820 BQM458819:BQM458820 CAI458819:CAI458820 CKE458819:CKE458820 CUA458819:CUA458820 DDW458819:DDW458820 DNS458819:DNS458820 DXO458819:DXO458820 EHK458819:EHK458820 ERG458819:ERG458820 FBC458819:FBC458820 FKY458819:FKY458820 FUU458819:FUU458820 GEQ458819:GEQ458820 GOM458819:GOM458820 GYI458819:GYI458820 HIE458819:HIE458820 HSA458819:HSA458820 IBW458819:IBW458820 ILS458819:ILS458820 IVO458819:IVO458820 JFK458819:JFK458820 JPG458819:JPG458820 JZC458819:JZC458820 KIY458819:KIY458820 KSU458819:KSU458820 LCQ458819:LCQ458820 LMM458819:LMM458820 LWI458819:LWI458820 MGE458819:MGE458820 MQA458819:MQA458820 MZW458819:MZW458820 NJS458819:NJS458820 NTO458819:NTO458820 ODK458819:ODK458820 ONG458819:ONG458820 OXC458819:OXC458820 PGY458819:PGY458820 PQU458819:PQU458820 QAQ458819:QAQ458820 QKM458819:QKM458820 QUI458819:QUI458820 REE458819:REE458820 ROA458819:ROA458820 RXW458819:RXW458820 SHS458819:SHS458820 SRO458819:SRO458820 TBK458819:TBK458820 TLG458819:TLG458820 TVC458819:TVC458820 UEY458819:UEY458820 UOU458819:UOU458820 UYQ458819:UYQ458820 VIM458819:VIM458820 VSI458819:VSI458820 WCE458819:WCE458820 WMA458819:WMA458820 WVW458819:WVW458820 N524355:N524356 JK524355:JK524356 TG524355:TG524356 ADC524355:ADC524356 AMY524355:AMY524356 AWU524355:AWU524356 BGQ524355:BGQ524356 BQM524355:BQM524356 CAI524355:CAI524356 CKE524355:CKE524356 CUA524355:CUA524356 DDW524355:DDW524356 DNS524355:DNS524356 DXO524355:DXO524356 EHK524355:EHK524356 ERG524355:ERG524356 FBC524355:FBC524356 FKY524355:FKY524356 FUU524355:FUU524356 GEQ524355:GEQ524356 GOM524355:GOM524356 GYI524355:GYI524356 HIE524355:HIE524356 HSA524355:HSA524356 IBW524355:IBW524356 ILS524355:ILS524356 IVO524355:IVO524356 JFK524355:JFK524356 JPG524355:JPG524356 JZC524355:JZC524356 KIY524355:KIY524356 KSU524355:KSU524356 LCQ524355:LCQ524356 LMM524355:LMM524356 LWI524355:LWI524356 MGE524355:MGE524356 MQA524355:MQA524356 MZW524355:MZW524356 NJS524355:NJS524356 NTO524355:NTO524356 ODK524355:ODK524356 ONG524355:ONG524356 OXC524355:OXC524356 PGY524355:PGY524356 PQU524355:PQU524356 QAQ524355:QAQ524356 QKM524355:QKM524356 QUI524355:QUI524356 REE524355:REE524356 ROA524355:ROA524356 RXW524355:RXW524356 SHS524355:SHS524356 SRO524355:SRO524356 TBK524355:TBK524356 TLG524355:TLG524356 TVC524355:TVC524356 UEY524355:UEY524356 UOU524355:UOU524356 UYQ524355:UYQ524356 VIM524355:VIM524356 VSI524355:VSI524356 WCE524355:WCE524356 WMA524355:WMA524356 WVW524355:WVW524356 N589891:N589892 JK589891:JK589892 TG589891:TG589892 ADC589891:ADC589892 AMY589891:AMY589892 AWU589891:AWU589892 BGQ589891:BGQ589892 BQM589891:BQM589892 CAI589891:CAI589892 CKE589891:CKE589892 CUA589891:CUA589892 DDW589891:DDW589892 DNS589891:DNS589892 DXO589891:DXO589892 EHK589891:EHK589892 ERG589891:ERG589892 FBC589891:FBC589892 FKY589891:FKY589892 FUU589891:FUU589892 GEQ589891:GEQ589892 GOM589891:GOM589892 GYI589891:GYI589892 HIE589891:HIE589892 HSA589891:HSA589892 IBW589891:IBW589892 ILS589891:ILS589892 IVO589891:IVO589892 JFK589891:JFK589892 JPG589891:JPG589892 JZC589891:JZC589892 KIY589891:KIY589892 KSU589891:KSU589892 LCQ589891:LCQ589892 LMM589891:LMM589892 LWI589891:LWI589892 MGE589891:MGE589892 MQA589891:MQA589892 MZW589891:MZW589892 NJS589891:NJS589892 NTO589891:NTO589892 ODK589891:ODK589892 ONG589891:ONG589892 OXC589891:OXC589892 PGY589891:PGY589892 PQU589891:PQU589892 QAQ589891:QAQ589892 QKM589891:QKM589892 QUI589891:QUI589892 REE589891:REE589892 ROA589891:ROA589892 RXW589891:RXW589892 SHS589891:SHS589892 SRO589891:SRO589892 TBK589891:TBK589892 TLG589891:TLG589892 TVC589891:TVC589892 UEY589891:UEY589892 UOU589891:UOU589892 UYQ589891:UYQ589892 VIM589891:VIM589892 VSI589891:VSI589892 WCE589891:WCE589892 WMA589891:WMA589892 WVW589891:WVW589892 N655427:N655428 JK655427:JK655428 TG655427:TG655428 ADC655427:ADC655428 AMY655427:AMY655428 AWU655427:AWU655428 BGQ655427:BGQ655428 BQM655427:BQM655428 CAI655427:CAI655428 CKE655427:CKE655428 CUA655427:CUA655428 DDW655427:DDW655428 DNS655427:DNS655428 DXO655427:DXO655428 EHK655427:EHK655428 ERG655427:ERG655428 FBC655427:FBC655428 FKY655427:FKY655428 FUU655427:FUU655428 GEQ655427:GEQ655428 GOM655427:GOM655428 GYI655427:GYI655428 HIE655427:HIE655428 HSA655427:HSA655428 IBW655427:IBW655428 ILS655427:ILS655428 IVO655427:IVO655428 JFK655427:JFK655428 JPG655427:JPG655428 JZC655427:JZC655428 KIY655427:KIY655428 KSU655427:KSU655428 LCQ655427:LCQ655428 LMM655427:LMM655428 LWI655427:LWI655428 MGE655427:MGE655428 MQA655427:MQA655428 MZW655427:MZW655428 NJS655427:NJS655428 NTO655427:NTO655428 ODK655427:ODK655428 ONG655427:ONG655428 OXC655427:OXC655428 PGY655427:PGY655428 PQU655427:PQU655428 QAQ655427:QAQ655428 QKM655427:QKM655428 QUI655427:QUI655428 REE655427:REE655428 ROA655427:ROA655428 RXW655427:RXW655428 SHS655427:SHS655428 SRO655427:SRO655428 TBK655427:TBK655428 TLG655427:TLG655428 TVC655427:TVC655428 UEY655427:UEY655428 UOU655427:UOU655428 UYQ655427:UYQ655428 VIM655427:VIM655428 VSI655427:VSI655428 WCE655427:WCE655428 WMA655427:WMA655428 WVW655427:WVW655428 N720963:N720964 JK720963:JK720964 TG720963:TG720964 ADC720963:ADC720964 AMY720963:AMY720964 AWU720963:AWU720964 BGQ720963:BGQ720964 BQM720963:BQM720964 CAI720963:CAI720964 CKE720963:CKE720964 CUA720963:CUA720964 DDW720963:DDW720964 DNS720963:DNS720964 DXO720963:DXO720964 EHK720963:EHK720964 ERG720963:ERG720964 FBC720963:FBC720964 FKY720963:FKY720964 FUU720963:FUU720964 GEQ720963:GEQ720964 GOM720963:GOM720964 GYI720963:GYI720964 HIE720963:HIE720964 HSA720963:HSA720964 IBW720963:IBW720964 ILS720963:ILS720964 IVO720963:IVO720964 JFK720963:JFK720964 JPG720963:JPG720964 JZC720963:JZC720964 KIY720963:KIY720964 KSU720963:KSU720964 LCQ720963:LCQ720964 LMM720963:LMM720964 LWI720963:LWI720964 MGE720963:MGE720964 MQA720963:MQA720964 MZW720963:MZW720964 NJS720963:NJS720964 NTO720963:NTO720964 ODK720963:ODK720964 ONG720963:ONG720964 OXC720963:OXC720964 PGY720963:PGY720964 PQU720963:PQU720964 QAQ720963:QAQ720964 QKM720963:QKM720964 QUI720963:QUI720964 REE720963:REE720964 ROA720963:ROA720964 RXW720963:RXW720964 SHS720963:SHS720964 SRO720963:SRO720964 TBK720963:TBK720964 TLG720963:TLG720964 TVC720963:TVC720964 UEY720963:UEY720964 UOU720963:UOU720964 UYQ720963:UYQ720964 VIM720963:VIM720964 VSI720963:VSI720964 WCE720963:WCE720964 WMA720963:WMA720964 WVW720963:WVW720964 N786499:N786500 JK786499:JK786500 TG786499:TG786500 ADC786499:ADC786500 AMY786499:AMY786500 AWU786499:AWU786500 BGQ786499:BGQ786500 BQM786499:BQM786500 CAI786499:CAI786500 CKE786499:CKE786500 CUA786499:CUA786500 DDW786499:DDW786500 DNS786499:DNS786500 DXO786499:DXO786500 EHK786499:EHK786500 ERG786499:ERG786500 FBC786499:FBC786500 FKY786499:FKY786500 FUU786499:FUU786500 GEQ786499:GEQ786500 GOM786499:GOM786500 GYI786499:GYI786500 HIE786499:HIE786500 HSA786499:HSA786500 IBW786499:IBW786500 ILS786499:ILS786500 IVO786499:IVO786500 JFK786499:JFK786500 JPG786499:JPG786500 JZC786499:JZC786500 KIY786499:KIY786500 KSU786499:KSU786500 LCQ786499:LCQ786500 LMM786499:LMM786500 LWI786499:LWI786500 MGE786499:MGE786500 MQA786499:MQA786500 MZW786499:MZW786500 NJS786499:NJS786500 NTO786499:NTO786500 ODK786499:ODK786500 ONG786499:ONG786500 OXC786499:OXC786500 PGY786499:PGY786500 PQU786499:PQU786500 QAQ786499:QAQ786500 QKM786499:QKM786500 QUI786499:QUI786500 REE786499:REE786500 ROA786499:ROA786500 RXW786499:RXW786500 SHS786499:SHS786500 SRO786499:SRO786500 TBK786499:TBK786500 TLG786499:TLG786500 TVC786499:TVC786500 UEY786499:UEY786500 UOU786499:UOU786500 UYQ786499:UYQ786500 VIM786499:VIM786500 VSI786499:VSI786500 WCE786499:WCE786500 WMA786499:WMA786500 WVW786499:WVW786500 N852035:N852036 JK852035:JK852036 TG852035:TG852036 ADC852035:ADC852036 AMY852035:AMY852036 AWU852035:AWU852036 BGQ852035:BGQ852036 BQM852035:BQM852036 CAI852035:CAI852036 CKE852035:CKE852036 CUA852035:CUA852036 DDW852035:DDW852036 DNS852035:DNS852036 DXO852035:DXO852036 EHK852035:EHK852036 ERG852035:ERG852036 FBC852035:FBC852036 FKY852035:FKY852036 FUU852035:FUU852036 GEQ852035:GEQ852036 GOM852035:GOM852036 GYI852035:GYI852036 HIE852035:HIE852036 HSA852035:HSA852036 IBW852035:IBW852036 ILS852035:ILS852036 IVO852035:IVO852036 JFK852035:JFK852036 JPG852035:JPG852036 JZC852035:JZC852036 KIY852035:KIY852036 KSU852035:KSU852036 LCQ852035:LCQ852036 LMM852035:LMM852036 LWI852035:LWI852036 MGE852035:MGE852036 MQA852035:MQA852036 MZW852035:MZW852036 NJS852035:NJS852036 NTO852035:NTO852036 ODK852035:ODK852036 ONG852035:ONG852036 OXC852035:OXC852036 PGY852035:PGY852036 PQU852035:PQU852036 QAQ852035:QAQ852036 QKM852035:QKM852036 QUI852035:QUI852036 REE852035:REE852036 ROA852035:ROA852036 RXW852035:RXW852036 SHS852035:SHS852036 SRO852035:SRO852036 TBK852035:TBK852036 TLG852035:TLG852036 TVC852035:TVC852036 UEY852035:UEY852036 UOU852035:UOU852036 UYQ852035:UYQ852036 VIM852035:VIM852036 VSI852035:VSI852036 WCE852035:WCE852036 WMA852035:WMA852036 WVW852035:WVW852036 N917571:N917572 JK917571:JK917572 TG917571:TG917572 ADC917571:ADC917572 AMY917571:AMY917572 AWU917571:AWU917572 BGQ917571:BGQ917572 BQM917571:BQM917572 CAI917571:CAI917572 CKE917571:CKE917572 CUA917571:CUA917572 DDW917571:DDW917572 DNS917571:DNS917572 DXO917571:DXO917572 EHK917571:EHK917572 ERG917571:ERG917572 FBC917571:FBC917572 FKY917571:FKY917572 FUU917571:FUU917572 GEQ917571:GEQ917572 GOM917571:GOM917572 GYI917571:GYI917572 HIE917571:HIE917572 HSA917571:HSA917572 IBW917571:IBW917572 ILS917571:ILS917572 IVO917571:IVO917572 JFK917571:JFK917572 JPG917571:JPG917572 JZC917571:JZC917572 KIY917571:KIY917572 KSU917571:KSU917572 LCQ917571:LCQ917572 LMM917571:LMM917572 LWI917571:LWI917572 MGE917571:MGE917572 MQA917571:MQA917572 MZW917571:MZW917572 NJS917571:NJS917572 NTO917571:NTO917572 ODK917571:ODK917572 ONG917571:ONG917572 OXC917571:OXC917572 PGY917571:PGY917572 PQU917571:PQU917572 QAQ917571:QAQ917572 QKM917571:QKM917572 QUI917571:QUI917572 REE917571:REE917572 ROA917571:ROA917572 RXW917571:RXW917572 SHS917571:SHS917572 SRO917571:SRO917572 TBK917571:TBK917572 TLG917571:TLG917572 TVC917571:TVC917572 UEY917571:UEY917572 UOU917571:UOU917572 UYQ917571:UYQ917572 VIM917571:VIM917572 VSI917571:VSI917572 WCE917571:WCE917572 WMA917571:WMA917572 WVW917571:WVW917572 N983107:N983108 JK983107:JK983108 TG983107:TG983108 ADC983107:ADC983108 AMY983107:AMY983108 AWU983107:AWU983108 BGQ983107:BGQ983108 BQM983107:BQM983108 CAI983107:CAI983108 CKE983107:CKE983108 CUA983107:CUA983108 DDW983107:DDW983108 DNS983107:DNS983108 DXO983107:DXO983108 EHK983107:EHK983108 ERG983107:ERG983108 FBC983107:FBC983108 FKY983107:FKY983108 FUU983107:FUU983108 GEQ983107:GEQ983108 GOM983107:GOM983108 GYI983107:GYI983108 HIE983107:HIE983108 HSA983107:HSA983108 IBW983107:IBW983108 ILS983107:ILS983108 IVO983107:IVO983108 JFK983107:JFK983108 JPG983107:JPG983108 JZC983107:JZC983108 KIY983107:KIY983108 KSU983107:KSU983108 LCQ983107:LCQ983108 LMM983107:LMM983108 LWI983107:LWI983108 MGE983107:MGE983108 MQA983107:MQA983108 MZW983107:MZW983108 NJS983107:NJS983108 NTO983107:NTO983108 ODK983107:ODK983108 ONG983107:ONG983108 OXC983107:OXC983108 PGY983107:PGY983108 PQU983107:PQU983108 QAQ983107:QAQ983108 QKM983107:QKM983108 QUI983107:QUI983108 REE983107:REE983108 ROA983107:ROA983108 RXW983107:RXW983108 SHS983107:SHS983108 SRO983107:SRO983108 TBK983107:TBK983108 TLG983107:TLG983108 TVC983107:TVC983108 UEY983107:UEY983108 UOU983107:UOU983108 UYQ983107:UYQ983108 VIM983107:VIM983108 VSI983107:VSI983108 WCE983107:WCE983108 WMA983107:WMA983108 WVW983107:WVW983108 WCE983124:WCE983126 TG82:TG84 ADC82:ADC84 AMY82:AMY84 AWU82:AWU84 BGQ82:BGQ84 BQM82:BQM84 CAI82:CAI84 CKE82:CKE84 CUA82:CUA84 DDW82:DDW84 DNS82:DNS84 DXO82:DXO84 EHK82:EHK84 ERG82:ERG84 FBC82:FBC84 FKY82:FKY84 FUU82:FUU84 GEQ82:GEQ84 GOM82:GOM84 GYI82:GYI84 HIE82:HIE84 HSA82:HSA84 IBW82:IBW84 ILS82:ILS84 IVO82:IVO84 JFK82:JFK84 JPG82:JPG84 JZC82:JZC84 KIY82:KIY84 KSU82:KSU84 LCQ82:LCQ84 LMM82:LMM84 LWI82:LWI84 MGE82:MGE84 MQA82:MQA84 MZW82:MZW84 NJS82:NJS84 NTO82:NTO84 ODK82:ODK84 ONG82:ONG84 OXC82:OXC84 PGY82:PGY84 PQU82:PQU84 QAQ82:QAQ84 QKM82:QKM84 QUI82:QUI84 REE82:REE84 ROA82:ROA84 RXW82:RXW84 SHS82:SHS84 SRO82:SRO84 TBK82:TBK84 TLG82:TLG84 TVC82:TVC84 UEY82:UEY84 UOU82:UOU84 UYQ82:UYQ84 VIM82:VIM84 VSI82:VSI84 WCE82:WCE84 WMA82:WMA84 WVW82:WVW84 VSI983124:VSI983126 N65620:N65622 JK65620:JK65622 TG65620:TG65622 ADC65620:ADC65622 AMY65620:AMY65622 AWU65620:AWU65622 BGQ65620:BGQ65622 BQM65620:BQM65622 CAI65620:CAI65622 CKE65620:CKE65622 CUA65620:CUA65622 DDW65620:DDW65622 DNS65620:DNS65622 DXO65620:DXO65622 EHK65620:EHK65622 ERG65620:ERG65622 FBC65620:FBC65622 FKY65620:FKY65622 FUU65620:FUU65622 GEQ65620:GEQ65622 GOM65620:GOM65622 GYI65620:GYI65622 HIE65620:HIE65622 HSA65620:HSA65622 IBW65620:IBW65622 ILS65620:ILS65622 IVO65620:IVO65622 JFK65620:JFK65622 JPG65620:JPG65622 JZC65620:JZC65622 KIY65620:KIY65622 KSU65620:KSU65622 LCQ65620:LCQ65622 LMM65620:LMM65622 LWI65620:LWI65622 MGE65620:MGE65622 MQA65620:MQA65622 MZW65620:MZW65622 NJS65620:NJS65622 NTO65620:NTO65622 ODK65620:ODK65622 ONG65620:ONG65622 OXC65620:OXC65622 PGY65620:PGY65622 PQU65620:PQU65622 QAQ65620:QAQ65622 QKM65620:QKM65622 QUI65620:QUI65622 REE65620:REE65622 ROA65620:ROA65622 RXW65620:RXW65622 SHS65620:SHS65622 SRO65620:SRO65622 TBK65620:TBK65622 TLG65620:TLG65622 TVC65620:TVC65622 UEY65620:UEY65622 UOU65620:UOU65622 UYQ65620:UYQ65622 VIM65620:VIM65622 VSI65620:VSI65622 WCE65620:WCE65622 WMA65620:WMA65622 WVW65620:WVW65622 N131156:N131158 JK131156:JK131158 TG131156:TG131158 ADC131156:ADC131158 AMY131156:AMY131158 AWU131156:AWU131158 BGQ131156:BGQ131158 BQM131156:BQM131158 CAI131156:CAI131158 CKE131156:CKE131158 CUA131156:CUA131158 DDW131156:DDW131158 DNS131156:DNS131158 DXO131156:DXO131158 EHK131156:EHK131158 ERG131156:ERG131158 FBC131156:FBC131158 FKY131156:FKY131158 FUU131156:FUU131158 GEQ131156:GEQ131158 GOM131156:GOM131158 GYI131156:GYI131158 HIE131156:HIE131158 HSA131156:HSA131158 IBW131156:IBW131158 ILS131156:ILS131158 IVO131156:IVO131158 JFK131156:JFK131158 JPG131156:JPG131158 JZC131156:JZC131158 KIY131156:KIY131158 KSU131156:KSU131158 LCQ131156:LCQ131158 LMM131156:LMM131158 LWI131156:LWI131158 MGE131156:MGE131158 MQA131156:MQA131158 MZW131156:MZW131158 NJS131156:NJS131158 NTO131156:NTO131158 ODK131156:ODK131158 ONG131156:ONG131158 OXC131156:OXC131158 PGY131156:PGY131158 PQU131156:PQU131158 QAQ131156:QAQ131158 QKM131156:QKM131158 QUI131156:QUI131158 REE131156:REE131158 ROA131156:ROA131158 RXW131156:RXW131158 SHS131156:SHS131158 SRO131156:SRO131158 TBK131156:TBK131158 TLG131156:TLG131158 TVC131156:TVC131158 UEY131156:UEY131158 UOU131156:UOU131158 UYQ131156:UYQ131158 VIM131156:VIM131158 VSI131156:VSI131158 WCE131156:WCE131158 WMA131156:WMA131158 WVW131156:WVW131158 N196692:N196694 JK196692:JK196694 TG196692:TG196694 ADC196692:ADC196694 AMY196692:AMY196694 AWU196692:AWU196694 BGQ196692:BGQ196694 BQM196692:BQM196694 CAI196692:CAI196694 CKE196692:CKE196694 CUA196692:CUA196694 DDW196692:DDW196694 DNS196692:DNS196694 DXO196692:DXO196694 EHK196692:EHK196694 ERG196692:ERG196694 FBC196692:FBC196694 FKY196692:FKY196694 FUU196692:FUU196694 GEQ196692:GEQ196694 GOM196692:GOM196694 GYI196692:GYI196694 HIE196692:HIE196694 HSA196692:HSA196694 IBW196692:IBW196694 ILS196692:ILS196694 IVO196692:IVO196694 JFK196692:JFK196694 JPG196692:JPG196694 JZC196692:JZC196694 KIY196692:KIY196694 KSU196692:KSU196694 LCQ196692:LCQ196694 LMM196692:LMM196694 LWI196692:LWI196694 MGE196692:MGE196694 MQA196692:MQA196694 MZW196692:MZW196694 NJS196692:NJS196694 NTO196692:NTO196694 ODK196692:ODK196694 ONG196692:ONG196694 OXC196692:OXC196694 PGY196692:PGY196694 PQU196692:PQU196694 QAQ196692:QAQ196694 QKM196692:QKM196694 QUI196692:QUI196694 REE196692:REE196694 ROA196692:ROA196694 RXW196692:RXW196694 SHS196692:SHS196694 SRO196692:SRO196694 TBK196692:TBK196694 TLG196692:TLG196694 TVC196692:TVC196694 UEY196692:UEY196694 UOU196692:UOU196694 UYQ196692:UYQ196694 VIM196692:VIM196694 VSI196692:VSI196694 WCE196692:WCE196694 WMA196692:WMA196694 WVW196692:WVW196694 N262228:N262230 JK262228:JK262230 TG262228:TG262230 ADC262228:ADC262230 AMY262228:AMY262230 AWU262228:AWU262230 BGQ262228:BGQ262230 BQM262228:BQM262230 CAI262228:CAI262230 CKE262228:CKE262230 CUA262228:CUA262230 DDW262228:DDW262230 DNS262228:DNS262230 DXO262228:DXO262230 EHK262228:EHK262230 ERG262228:ERG262230 FBC262228:FBC262230 FKY262228:FKY262230 FUU262228:FUU262230 GEQ262228:GEQ262230 GOM262228:GOM262230 GYI262228:GYI262230 HIE262228:HIE262230 HSA262228:HSA262230 IBW262228:IBW262230 ILS262228:ILS262230 IVO262228:IVO262230 JFK262228:JFK262230 JPG262228:JPG262230 JZC262228:JZC262230 KIY262228:KIY262230 KSU262228:KSU262230 LCQ262228:LCQ262230 LMM262228:LMM262230 LWI262228:LWI262230 MGE262228:MGE262230 MQA262228:MQA262230 MZW262228:MZW262230 NJS262228:NJS262230 NTO262228:NTO262230 ODK262228:ODK262230 ONG262228:ONG262230 OXC262228:OXC262230 PGY262228:PGY262230 PQU262228:PQU262230 QAQ262228:QAQ262230 QKM262228:QKM262230 QUI262228:QUI262230 REE262228:REE262230 ROA262228:ROA262230 RXW262228:RXW262230 SHS262228:SHS262230 SRO262228:SRO262230 TBK262228:TBK262230 TLG262228:TLG262230 TVC262228:TVC262230 UEY262228:UEY262230 UOU262228:UOU262230 UYQ262228:UYQ262230 VIM262228:VIM262230 VSI262228:VSI262230 WCE262228:WCE262230 WMA262228:WMA262230 WVW262228:WVW262230 N327764:N327766 JK327764:JK327766 TG327764:TG327766 ADC327764:ADC327766 AMY327764:AMY327766 AWU327764:AWU327766 BGQ327764:BGQ327766 BQM327764:BQM327766 CAI327764:CAI327766 CKE327764:CKE327766 CUA327764:CUA327766 DDW327764:DDW327766 DNS327764:DNS327766 DXO327764:DXO327766 EHK327764:EHK327766 ERG327764:ERG327766 FBC327764:FBC327766 FKY327764:FKY327766 FUU327764:FUU327766 GEQ327764:GEQ327766 GOM327764:GOM327766 GYI327764:GYI327766 HIE327764:HIE327766 HSA327764:HSA327766 IBW327764:IBW327766 ILS327764:ILS327766 IVO327764:IVO327766 JFK327764:JFK327766 JPG327764:JPG327766 JZC327764:JZC327766 KIY327764:KIY327766 KSU327764:KSU327766 LCQ327764:LCQ327766 LMM327764:LMM327766 LWI327764:LWI327766 MGE327764:MGE327766 MQA327764:MQA327766 MZW327764:MZW327766 NJS327764:NJS327766 NTO327764:NTO327766 ODK327764:ODK327766 ONG327764:ONG327766 OXC327764:OXC327766 PGY327764:PGY327766 PQU327764:PQU327766 QAQ327764:QAQ327766 QKM327764:QKM327766 QUI327764:QUI327766 REE327764:REE327766 ROA327764:ROA327766 RXW327764:RXW327766 SHS327764:SHS327766 SRO327764:SRO327766 TBK327764:TBK327766 TLG327764:TLG327766 TVC327764:TVC327766 UEY327764:UEY327766 UOU327764:UOU327766 UYQ327764:UYQ327766 VIM327764:VIM327766 VSI327764:VSI327766 WCE327764:WCE327766 WMA327764:WMA327766 WVW327764:WVW327766 N393300:N393302 JK393300:JK393302 TG393300:TG393302 ADC393300:ADC393302 AMY393300:AMY393302 AWU393300:AWU393302 BGQ393300:BGQ393302 BQM393300:BQM393302 CAI393300:CAI393302 CKE393300:CKE393302 CUA393300:CUA393302 DDW393300:DDW393302 DNS393300:DNS393302 DXO393300:DXO393302 EHK393300:EHK393302 ERG393300:ERG393302 FBC393300:FBC393302 FKY393300:FKY393302 FUU393300:FUU393302 GEQ393300:GEQ393302 GOM393300:GOM393302 GYI393300:GYI393302 HIE393300:HIE393302 HSA393300:HSA393302 IBW393300:IBW393302 ILS393300:ILS393302 IVO393300:IVO393302 JFK393300:JFK393302 JPG393300:JPG393302 JZC393300:JZC393302 KIY393300:KIY393302 KSU393300:KSU393302 LCQ393300:LCQ393302 LMM393300:LMM393302 LWI393300:LWI393302 MGE393300:MGE393302 MQA393300:MQA393302 MZW393300:MZW393302 NJS393300:NJS393302 NTO393300:NTO393302 ODK393300:ODK393302 ONG393300:ONG393302 OXC393300:OXC393302 PGY393300:PGY393302 PQU393300:PQU393302 QAQ393300:QAQ393302 QKM393300:QKM393302 QUI393300:QUI393302 REE393300:REE393302 ROA393300:ROA393302 RXW393300:RXW393302 SHS393300:SHS393302 SRO393300:SRO393302 TBK393300:TBK393302 TLG393300:TLG393302 TVC393300:TVC393302 UEY393300:UEY393302 UOU393300:UOU393302 UYQ393300:UYQ393302 VIM393300:VIM393302 VSI393300:VSI393302 WCE393300:WCE393302 WMA393300:WMA393302 WVW393300:WVW393302 N458836:N458838 JK458836:JK458838 TG458836:TG458838 ADC458836:ADC458838 AMY458836:AMY458838 AWU458836:AWU458838 BGQ458836:BGQ458838 BQM458836:BQM458838 CAI458836:CAI458838 CKE458836:CKE458838 CUA458836:CUA458838 DDW458836:DDW458838 DNS458836:DNS458838 DXO458836:DXO458838 EHK458836:EHK458838 ERG458836:ERG458838 FBC458836:FBC458838 FKY458836:FKY458838 FUU458836:FUU458838 GEQ458836:GEQ458838 GOM458836:GOM458838 GYI458836:GYI458838 HIE458836:HIE458838 HSA458836:HSA458838 IBW458836:IBW458838 ILS458836:ILS458838 IVO458836:IVO458838 JFK458836:JFK458838 JPG458836:JPG458838 JZC458836:JZC458838 KIY458836:KIY458838 KSU458836:KSU458838 LCQ458836:LCQ458838 LMM458836:LMM458838 LWI458836:LWI458838 MGE458836:MGE458838 MQA458836:MQA458838 MZW458836:MZW458838 NJS458836:NJS458838 NTO458836:NTO458838 ODK458836:ODK458838 ONG458836:ONG458838 OXC458836:OXC458838 PGY458836:PGY458838 PQU458836:PQU458838 QAQ458836:QAQ458838 QKM458836:QKM458838 QUI458836:QUI458838 REE458836:REE458838 ROA458836:ROA458838 RXW458836:RXW458838 SHS458836:SHS458838 SRO458836:SRO458838 TBK458836:TBK458838 TLG458836:TLG458838 TVC458836:TVC458838 UEY458836:UEY458838 UOU458836:UOU458838 UYQ458836:UYQ458838 VIM458836:VIM458838 VSI458836:VSI458838 WCE458836:WCE458838 WMA458836:WMA458838 WVW458836:WVW458838 N524372:N524374 JK524372:JK524374 TG524372:TG524374 ADC524372:ADC524374 AMY524372:AMY524374 AWU524372:AWU524374 BGQ524372:BGQ524374 BQM524372:BQM524374 CAI524372:CAI524374 CKE524372:CKE524374 CUA524372:CUA524374 DDW524372:DDW524374 DNS524372:DNS524374 DXO524372:DXO524374 EHK524372:EHK524374 ERG524372:ERG524374 FBC524372:FBC524374 FKY524372:FKY524374 FUU524372:FUU524374 GEQ524372:GEQ524374 GOM524372:GOM524374 GYI524372:GYI524374 HIE524372:HIE524374 HSA524372:HSA524374 IBW524372:IBW524374 ILS524372:ILS524374 IVO524372:IVO524374 JFK524372:JFK524374 JPG524372:JPG524374 JZC524372:JZC524374 KIY524372:KIY524374 KSU524372:KSU524374 LCQ524372:LCQ524374 LMM524372:LMM524374 LWI524372:LWI524374 MGE524372:MGE524374 MQA524372:MQA524374 MZW524372:MZW524374 NJS524372:NJS524374 NTO524372:NTO524374 ODK524372:ODK524374 ONG524372:ONG524374 OXC524372:OXC524374 PGY524372:PGY524374 PQU524372:PQU524374 QAQ524372:QAQ524374 QKM524372:QKM524374 QUI524372:QUI524374 REE524372:REE524374 ROA524372:ROA524374 RXW524372:RXW524374 SHS524372:SHS524374 SRO524372:SRO524374 TBK524372:TBK524374 TLG524372:TLG524374 TVC524372:TVC524374 UEY524372:UEY524374 UOU524372:UOU524374 UYQ524372:UYQ524374 VIM524372:VIM524374 VSI524372:VSI524374 WCE524372:WCE524374 WMA524372:WMA524374 WVW524372:WVW524374 N589908:N589910 JK589908:JK589910 TG589908:TG589910 ADC589908:ADC589910 AMY589908:AMY589910 AWU589908:AWU589910 BGQ589908:BGQ589910 BQM589908:BQM589910 CAI589908:CAI589910 CKE589908:CKE589910 CUA589908:CUA589910 DDW589908:DDW589910 DNS589908:DNS589910 DXO589908:DXO589910 EHK589908:EHK589910 ERG589908:ERG589910 FBC589908:FBC589910 FKY589908:FKY589910 FUU589908:FUU589910 GEQ589908:GEQ589910 GOM589908:GOM589910 GYI589908:GYI589910 HIE589908:HIE589910 HSA589908:HSA589910 IBW589908:IBW589910 ILS589908:ILS589910 IVO589908:IVO589910 JFK589908:JFK589910 JPG589908:JPG589910 JZC589908:JZC589910 KIY589908:KIY589910 KSU589908:KSU589910 LCQ589908:LCQ589910 LMM589908:LMM589910 LWI589908:LWI589910 MGE589908:MGE589910 MQA589908:MQA589910 MZW589908:MZW589910 NJS589908:NJS589910 NTO589908:NTO589910 ODK589908:ODK589910 ONG589908:ONG589910 OXC589908:OXC589910 PGY589908:PGY589910 PQU589908:PQU589910 QAQ589908:QAQ589910 QKM589908:QKM589910 QUI589908:QUI589910 REE589908:REE589910 ROA589908:ROA589910 RXW589908:RXW589910 SHS589908:SHS589910 SRO589908:SRO589910 TBK589908:TBK589910 TLG589908:TLG589910 TVC589908:TVC589910 UEY589908:UEY589910 UOU589908:UOU589910 UYQ589908:UYQ589910 VIM589908:VIM589910 VSI589908:VSI589910 WCE589908:WCE589910 WMA589908:WMA589910 WVW589908:WVW589910 N655444:N655446 JK655444:JK655446 TG655444:TG655446 ADC655444:ADC655446 AMY655444:AMY655446 AWU655444:AWU655446 BGQ655444:BGQ655446 BQM655444:BQM655446 CAI655444:CAI655446 CKE655444:CKE655446 CUA655444:CUA655446 DDW655444:DDW655446 DNS655444:DNS655446 DXO655444:DXO655446 EHK655444:EHK655446 ERG655444:ERG655446 FBC655444:FBC655446 FKY655444:FKY655446 FUU655444:FUU655446 GEQ655444:GEQ655446 GOM655444:GOM655446 GYI655444:GYI655446 HIE655444:HIE655446 HSA655444:HSA655446 IBW655444:IBW655446 ILS655444:ILS655446 IVO655444:IVO655446 JFK655444:JFK655446 JPG655444:JPG655446 JZC655444:JZC655446 KIY655444:KIY655446 KSU655444:KSU655446 LCQ655444:LCQ655446 LMM655444:LMM655446 LWI655444:LWI655446 MGE655444:MGE655446 MQA655444:MQA655446 MZW655444:MZW655446 NJS655444:NJS655446 NTO655444:NTO655446 ODK655444:ODK655446 ONG655444:ONG655446 OXC655444:OXC655446 PGY655444:PGY655446 PQU655444:PQU655446 QAQ655444:QAQ655446 QKM655444:QKM655446 QUI655444:QUI655446 REE655444:REE655446 ROA655444:ROA655446 RXW655444:RXW655446 SHS655444:SHS655446 SRO655444:SRO655446 TBK655444:TBK655446 TLG655444:TLG655446 TVC655444:TVC655446 UEY655444:UEY655446 UOU655444:UOU655446 UYQ655444:UYQ655446 VIM655444:VIM655446 VSI655444:VSI655446 WCE655444:WCE655446 WMA655444:WMA655446 WVW655444:WVW655446 N720980:N720982 JK720980:JK720982 TG720980:TG720982 ADC720980:ADC720982 AMY720980:AMY720982 AWU720980:AWU720982 BGQ720980:BGQ720982 BQM720980:BQM720982 CAI720980:CAI720982 CKE720980:CKE720982 CUA720980:CUA720982 DDW720980:DDW720982 DNS720980:DNS720982 DXO720980:DXO720982 EHK720980:EHK720982 ERG720980:ERG720982 FBC720980:FBC720982 FKY720980:FKY720982 FUU720980:FUU720982 GEQ720980:GEQ720982 GOM720980:GOM720982 GYI720980:GYI720982 HIE720980:HIE720982 HSA720980:HSA720982 IBW720980:IBW720982 ILS720980:ILS720982 IVO720980:IVO720982 JFK720980:JFK720982 JPG720980:JPG720982 JZC720980:JZC720982 KIY720980:KIY720982 KSU720980:KSU720982 LCQ720980:LCQ720982 LMM720980:LMM720982 LWI720980:LWI720982 MGE720980:MGE720982 MQA720980:MQA720982 MZW720980:MZW720982 NJS720980:NJS720982 NTO720980:NTO720982 ODK720980:ODK720982 ONG720980:ONG720982 OXC720980:OXC720982 PGY720980:PGY720982 PQU720980:PQU720982 QAQ720980:QAQ720982 QKM720980:QKM720982 QUI720980:QUI720982 REE720980:REE720982 ROA720980:ROA720982 RXW720980:RXW720982 SHS720980:SHS720982 SRO720980:SRO720982 TBK720980:TBK720982 TLG720980:TLG720982 TVC720980:TVC720982 UEY720980:UEY720982 UOU720980:UOU720982 UYQ720980:UYQ720982 VIM720980:VIM720982 VSI720980:VSI720982 WCE720980:WCE720982 WMA720980:WMA720982 WVW720980:WVW720982 N786516:N786518 JK786516:JK786518 TG786516:TG786518 ADC786516:ADC786518 AMY786516:AMY786518 AWU786516:AWU786518 BGQ786516:BGQ786518 BQM786516:BQM786518 CAI786516:CAI786518 CKE786516:CKE786518 CUA786516:CUA786518 DDW786516:DDW786518 DNS786516:DNS786518 DXO786516:DXO786518 EHK786516:EHK786518 ERG786516:ERG786518 FBC786516:FBC786518 FKY786516:FKY786518 FUU786516:FUU786518 GEQ786516:GEQ786518 GOM786516:GOM786518 GYI786516:GYI786518 HIE786516:HIE786518 HSA786516:HSA786518 IBW786516:IBW786518 ILS786516:ILS786518 IVO786516:IVO786518 JFK786516:JFK786518 JPG786516:JPG786518 JZC786516:JZC786518 KIY786516:KIY786518 KSU786516:KSU786518 LCQ786516:LCQ786518 LMM786516:LMM786518 LWI786516:LWI786518 MGE786516:MGE786518 MQA786516:MQA786518 MZW786516:MZW786518 NJS786516:NJS786518 NTO786516:NTO786518 ODK786516:ODK786518 ONG786516:ONG786518 OXC786516:OXC786518 PGY786516:PGY786518 PQU786516:PQU786518 QAQ786516:QAQ786518 QKM786516:QKM786518 QUI786516:QUI786518 REE786516:REE786518 ROA786516:ROA786518 RXW786516:RXW786518 SHS786516:SHS786518 SRO786516:SRO786518 TBK786516:TBK786518 TLG786516:TLG786518 TVC786516:TVC786518 UEY786516:UEY786518 UOU786516:UOU786518 UYQ786516:UYQ786518 VIM786516:VIM786518 VSI786516:VSI786518 WCE786516:WCE786518 WMA786516:WMA786518 WVW786516:WVW786518 N852052:N852054 JK852052:JK852054 TG852052:TG852054 ADC852052:ADC852054 AMY852052:AMY852054 AWU852052:AWU852054 BGQ852052:BGQ852054 BQM852052:BQM852054 CAI852052:CAI852054 CKE852052:CKE852054 CUA852052:CUA852054 DDW852052:DDW852054 DNS852052:DNS852054 DXO852052:DXO852054 EHK852052:EHK852054 ERG852052:ERG852054 FBC852052:FBC852054 FKY852052:FKY852054 FUU852052:FUU852054 GEQ852052:GEQ852054 GOM852052:GOM852054 GYI852052:GYI852054 HIE852052:HIE852054 HSA852052:HSA852054 IBW852052:IBW852054 ILS852052:ILS852054 IVO852052:IVO852054 JFK852052:JFK852054 JPG852052:JPG852054 JZC852052:JZC852054 KIY852052:KIY852054 KSU852052:KSU852054 LCQ852052:LCQ852054 LMM852052:LMM852054 LWI852052:LWI852054 MGE852052:MGE852054 MQA852052:MQA852054 MZW852052:MZW852054 NJS852052:NJS852054 NTO852052:NTO852054 ODK852052:ODK852054 ONG852052:ONG852054 OXC852052:OXC852054 PGY852052:PGY852054 PQU852052:PQU852054 QAQ852052:QAQ852054 QKM852052:QKM852054 QUI852052:QUI852054 REE852052:REE852054 ROA852052:ROA852054 RXW852052:RXW852054 SHS852052:SHS852054 SRO852052:SRO852054 TBK852052:TBK852054 TLG852052:TLG852054 TVC852052:TVC852054 UEY852052:UEY852054 UOU852052:UOU852054 UYQ852052:UYQ852054 VIM852052:VIM852054 VSI852052:VSI852054 WCE852052:WCE852054 WMA852052:WMA852054 WVW852052:WVW852054 N917588:N917590 JK917588:JK917590 TG917588:TG917590 ADC917588:ADC917590 AMY917588:AMY917590 AWU917588:AWU917590 BGQ917588:BGQ917590 BQM917588:BQM917590 CAI917588:CAI917590 CKE917588:CKE917590 CUA917588:CUA917590 DDW917588:DDW917590 DNS917588:DNS917590 DXO917588:DXO917590 EHK917588:EHK917590 ERG917588:ERG917590 FBC917588:FBC917590 FKY917588:FKY917590 FUU917588:FUU917590 GEQ917588:GEQ917590 GOM917588:GOM917590 GYI917588:GYI917590 HIE917588:HIE917590 HSA917588:HSA917590 IBW917588:IBW917590 ILS917588:ILS917590 IVO917588:IVO917590 JFK917588:JFK917590 JPG917588:JPG917590 JZC917588:JZC917590 KIY917588:KIY917590 KSU917588:KSU917590 LCQ917588:LCQ917590 LMM917588:LMM917590 LWI917588:LWI917590 MGE917588:MGE917590 MQA917588:MQA917590 MZW917588:MZW917590 NJS917588:NJS917590 NTO917588:NTO917590 ODK917588:ODK917590 ONG917588:ONG917590 OXC917588:OXC917590 PGY917588:PGY917590 PQU917588:PQU917590 QAQ917588:QAQ917590 QKM917588:QKM917590 QUI917588:QUI917590 REE917588:REE917590 ROA917588:ROA917590 RXW917588:RXW917590 SHS917588:SHS917590 SRO917588:SRO917590 TBK917588:TBK917590 TLG917588:TLG917590 TVC917588:TVC917590 UEY917588:UEY917590 UOU917588:UOU917590 UYQ917588:UYQ917590 VIM917588:VIM917590 VSI917588:VSI917590 WCE917588:WCE917590 WMA917588:WMA917590 WVW917588:WVW917590 N983124:N983126 JK983124:JK983126 TG983124:TG983126 ADC983124:ADC983126 AMY983124:AMY983126 AWU983124:AWU983126 BGQ983124:BGQ983126 BQM983124:BQM983126 CAI983124:CAI983126 CKE983124:CKE983126 CUA983124:CUA983126 DDW983124:DDW983126 DNS983124:DNS983126 DXO983124:DXO983126 EHK983124:EHK983126 ERG983124:ERG983126 FBC983124:FBC983126 FKY983124:FKY983126 FUU983124:FUU983126 GEQ983124:GEQ983126 GOM983124:GOM983126 GYI983124:GYI983126 HIE983124:HIE983126 HSA983124:HSA983126 IBW983124:IBW983126 ILS983124:ILS983126 IVO983124:IVO983126 JFK983124:JFK983126 JPG983124:JPG983126 JZC983124:JZC983126 KIY983124:KIY983126 KSU983124:KSU983126 LCQ983124:LCQ983126 LMM983124:LMM983126 LWI983124:LWI983126 MGE983124:MGE983126 MQA983124:MQA983126 MZW983124:MZW983126 NJS983124:NJS983126 NTO983124:NTO983126 ODK983124:ODK983126 ONG983124:ONG983126 OXC983124:OXC983126 PGY983124:PGY983126 PQU983124:PQU983126 QAQ983124:QAQ983126 QKM983124:QKM983126 QUI983124:QUI983126 REE983124:REE983126 ROA983124:ROA983126 RXW983124:RXW983126 SHS983124:SHS983126 SRO983124:SRO983126 TBK983124:TBK983126 TLG983124:TLG983126 TVC983124:TVC983126 UEY983124:UEY983126 UOU983124:UOU983126 UYQ983124:UYQ983126 VIM983124:VIM983126 JK82:JK84">
      <formula1>"○,　"</formula1>
    </dataValidation>
    <dataValidation type="whole" operator="greaterThanOrEqual" allowBlank="1" showInputMessage="1" showErrorMessage="1" sqref="J99:J100 JG99:JG100 TC99:TC100 ACY99:ACY100 AMU99:AMU100 AWQ99:AWQ100 BGM99:BGM100 BQI99:BQI100 CAE99:CAE100 CKA99:CKA100 CTW99:CTW100 DDS99:DDS100 DNO99:DNO100 DXK99:DXK100 EHG99:EHG100 ERC99:ERC100 FAY99:FAY100 FKU99:FKU100 FUQ99:FUQ100 GEM99:GEM100 GOI99:GOI100 GYE99:GYE100 HIA99:HIA100 HRW99:HRW100 IBS99:IBS100 ILO99:ILO100 IVK99:IVK100 JFG99:JFG100 JPC99:JPC100 JYY99:JYY100 KIU99:KIU100 KSQ99:KSQ100 LCM99:LCM100 LMI99:LMI100 LWE99:LWE100 MGA99:MGA100 MPW99:MPW100 MZS99:MZS100 NJO99:NJO100 NTK99:NTK100 ODG99:ODG100 ONC99:ONC100 OWY99:OWY100 PGU99:PGU100 PQQ99:PQQ100 QAM99:QAM100 QKI99:QKI100 QUE99:QUE100 REA99:REA100 RNW99:RNW100 RXS99:RXS100 SHO99:SHO100 SRK99:SRK100 TBG99:TBG100 TLC99:TLC100 TUY99:TUY100 UEU99:UEU100 UOQ99:UOQ100 UYM99:UYM100 VII99:VII100 VSE99:VSE100 WCA99:WCA100 WLW99:WLW100 WVS99:WVS100 J65635:J65636 JG65635:JG65636 TC65635:TC65636 ACY65635:ACY65636 AMU65635:AMU65636 AWQ65635:AWQ65636 BGM65635:BGM65636 BQI65635:BQI65636 CAE65635:CAE65636 CKA65635:CKA65636 CTW65635:CTW65636 DDS65635:DDS65636 DNO65635:DNO65636 DXK65635:DXK65636 EHG65635:EHG65636 ERC65635:ERC65636 FAY65635:FAY65636 FKU65635:FKU65636 FUQ65635:FUQ65636 GEM65635:GEM65636 GOI65635:GOI65636 GYE65635:GYE65636 HIA65635:HIA65636 HRW65635:HRW65636 IBS65635:IBS65636 ILO65635:ILO65636 IVK65635:IVK65636 JFG65635:JFG65636 JPC65635:JPC65636 JYY65635:JYY65636 KIU65635:KIU65636 KSQ65635:KSQ65636 LCM65635:LCM65636 LMI65635:LMI65636 LWE65635:LWE65636 MGA65635:MGA65636 MPW65635:MPW65636 MZS65635:MZS65636 NJO65635:NJO65636 NTK65635:NTK65636 ODG65635:ODG65636 ONC65635:ONC65636 OWY65635:OWY65636 PGU65635:PGU65636 PQQ65635:PQQ65636 QAM65635:QAM65636 QKI65635:QKI65636 QUE65635:QUE65636 REA65635:REA65636 RNW65635:RNW65636 RXS65635:RXS65636 SHO65635:SHO65636 SRK65635:SRK65636 TBG65635:TBG65636 TLC65635:TLC65636 TUY65635:TUY65636 UEU65635:UEU65636 UOQ65635:UOQ65636 UYM65635:UYM65636 VII65635:VII65636 VSE65635:VSE65636 WCA65635:WCA65636 WLW65635:WLW65636 WVS65635:WVS65636 J131171:J131172 JG131171:JG131172 TC131171:TC131172 ACY131171:ACY131172 AMU131171:AMU131172 AWQ131171:AWQ131172 BGM131171:BGM131172 BQI131171:BQI131172 CAE131171:CAE131172 CKA131171:CKA131172 CTW131171:CTW131172 DDS131171:DDS131172 DNO131171:DNO131172 DXK131171:DXK131172 EHG131171:EHG131172 ERC131171:ERC131172 FAY131171:FAY131172 FKU131171:FKU131172 FUQ131171:FUQ131172 GEM131171:GEM131172 GOI131171:GOI131172 GYE131171:GYE131172 HIA131171:HIA131172 HRW131171:HRW131172 IBS131171:IBS131172 ILO131171:ILO131172 IVK131171:IVK131172 JFG131171:JFG131172 JPC131171:JPC131172 JYY131171:JYY131172 KIU131171:KIU131172 KSQ131171:KSQ131172 LCM131171:LCM131172 LMI131171:LMI131172 LWE131171:LWE131172 MGA131171:MGA131172 MPW131171:MPW131172 MZS131171:MZS131172 NJO131171:NJO131172 NTK131171:NTK131172 ODG131171:ODG131172 ONC131171:ONC131172 OWY131171:OWY131172 PGU131171:PGU131172 PQQ131171:PQQ131172 QAM131171:QAM131172 QKI131171:QKI131172 QUE131171:QUE131172 REA131171:REA131172 RNW131171:RNW131172 RXS131171:RXS131172 SHO131171:SHO131172 SRK131171:SRK131172 TBG131171:TBG131172 TLC131171:TLC131172 TUY131171:TUY131172 UEU131171:UEU131172 UOQ131171:UOQ131172 UYM131171:UYM131172 VII131171:VII131172 VSE131171:VSE131172 WCA131171:WCA131172 WLW131171:WLW131172 WVS131171:WVS131172 J196707:J196708 JG196707:JG196708 TC196707:TC196708 ACY196707:ACY196708 AMU196707:AMU196708 AWQ196707:AWQ196708 BGM196707:BGM196708 BQI196707:BQI196708 CAE196707:CAE196708 CKA196707:CKA196708 CTW196707:CTW196708 DDS196707:DDS196708 DNO196707:DNO196708 DXK196707:DXK196708 EHG196707:EHG196708 ERC196707:ERC196708 FAY196707:FAY196708 FKU196707:FKU196708 FUQ196707:FUQ196708 GEM196707:GEM196708 GOI196707:GOI196708 GYE196707:GYE196708 HIA196707:HIA196708 HRW196707:HRW196708 IBS196707:IBS196708 ILO196707:ILO196708 IVK196707:IVK196708 JFG196707:JFG196708 JPC196707:JPC196708 JYY196707:JYY196708 KIU196707:KIU196708 KSQ196707:KSQ196708 LCM196707:LCM196708 LMI196707:LMI196708 LWE196707:LWE196708 MGA196707:MGA196708 MPW196707:MPW196708 MZS196707:MZS196708 NJO196707:NJO196708 NTK196707:NTK196708 ODG196707:ODG196708 ONC196707:ONC196708 OWY196707:OWY196708 PGU196707:PGU196708 PQQ196707:PQQ196708 QAM196707:QAM196708 QKI196707:QKI196708 QUE196707:QUE196708 REA196707:REA196708 RNW196707:RNW196708 RXS196707:RXS196708 SHO196707:SHO196708 SRK196707:SRK196708 TBG196707:TBG196708 TLC196707:TLC196708 TUY196707:TUY196708 UEU196707:UEU196708 UOQ196707:UOQ196708 UYM196707:UYM196708 VII196707:VII196708 VSE196707:VSE196708 WCA196707:WCA196708 WLW196707:WLW196708 WVS196707:WVS196708 J262243:J262244 JG262243:JG262244 TC262243:TC262244 ACY262243:ACY262244 AMU262243:AMU262244 AWQ262243:AWQ262244 BGM262243:BGM262244 BQI262243:BQI262244 CAE262243:CAE262244 CKA262243:CKA262244 CTW262243:CTW262244 DDS262243:DDS262244 DNO262243:DNO262244 DXK262243:DXK262244 EHG262243:EHG262244 ERC262243:ERC262244 FAY262243:FAY262244 FKU262243:FKU262244 FUQ262243:FUQ262244 GEM262243:GEM262244 GOI262243:GOI262244 GYE262243:GYE262244 HIA262243:HIA262244 HRW262243:HRW262244 IBS262243:IBS262244 ILO262243:ILO262244 IVK262243:IVK262244 JFG262243:JFG262244 JPC262243:JPC262244 JYY262243:JYY262244 KIU262243:KIU262244 KSQ262243:KSQ262244 LCM262243:LCM262244 LMI262243:LMI262244 LWE262243:LWE262244 MGA262243:MGA262244 MPW262243:MPW262244 MZS262243:MZS262244 NJO262243:NJO262244 NTK262243:NTK262244 ODG262243:ODG262244 ONC262243:ONC262244 OWY262243:OWY262244 PGU262243:PGU262244 PQQ262243:PQQ262244 QAM262243:QAM262244 QKI262243:QKI262244 QUE262243:QUE262244 REA262243:REA262244 RNW262243:RNW262244 RXS262243:RXS262244 SHO262243:SHO262244 SRK262243:SRK262244 TBG262243:TBG262244 TLC262243:TLC262244 TUY262243:TUY262244 UEU262243:UEU262244 UOQ262243:UOQ262244 UYM262243:UYM262244 VII262243:VII262244 VSE262243:VSE262244 WCA262243:WCA262244 WLW262243:WLW262244 WVS262243:WVS262244 J327779:J327780 JG327779:JG327780 TC327779:TC327780 ACY327779:ACY327780 AMU327779:AMU327780 AWQ327779:AWQ327780 BGM327779:BGM327780 BQI327779:BQI327780 CAE327779:CAE327780 CKA327779:CKA327780 CTW327779:CTW327780 DDS327779:DDS327780 DNO327779:DNO327780 DXK327779:DXK327780 EHG327779:EHG327780 ERC327779:ERC327780 FAY327779:FAY327780 FKU327779:FKU327780 FUQ327779:FUQ327780 GEM327779:GEM327780 GOI327779:GOI327780 GYE327779:GYE327780 HIA327779:HIA327780 HRW327779:HRW327780 IBS327779:IBS327780 ILO327779:ILO327780 IVK327779:IVK327780 JFG327779:JFG327780 JPC327779:JPC327780 JYY327779:JYY327780 KIU327779:KIU327780 KSQ327779:KSQ327780 LCM327779:LCM327780 LMI327779:LMI327780 LWE327779:LWE327780 MGA327779:MGA327780 MPW327779:MPW327780 MZS327779:MZS327780 NJO327779:NJO327780 NTK327779:NTK327780 ODG327779:ODG327780 ONC327779:ONC327780 OWY327779:OWY327780 PGU327779:PGU327780 PQQ327779:PQQ327780 QAM327779:QAM327780 QKI327779:QKI327780 QUE327779:QUE327780 REA327779:REA327780 RNW327779:RNW327780 RXS327779:RXS327780 SHO327779:SHO327780 SRK327779:SRK327780 TBG327779:TBG327780 TLC327779:TLC327780 TUY327779:TUY327780 UEU327779:UEU327780 UOQ327779:UOQ327780 UYM327779:UYM327780 VII327779:VII327780 VSE327779:VSE327780 WCA327779:WCA327780 WLW327779:WLW327780 WVS327779:WVS327780 J393315:J393316 JG393315:JG393316 TC393315:TC393316 ACY393315:ACY393316 AMU393315:AMU393316 AWQ393315:AWQ393316 BGM393315:BGM393316 BQI393315:BQI393316 CAE393315:CAE393316 CKA393315:CKA393316 CTW393315:CTW393316 DDS393315:DDS393316 DNO393315:DNO393316 DXK393315:DXK393316 EHG393315:EHG393316 ERC393315:ERC393316 FAY393315:FAY393316 FKU393315:FKU393316 FUQ393315:FUQ393316 GEM393315:GEM393316 GOI393315:GOI393316 GYE393315:GYE393316 HIA393315:HIA393316 HRW393315:HRW393316 IBS393315:IBS393316 ILO393315:ILO393316 IVK393315:IVK393316 JFG393315:JFG393316 JPC393315:JPC393316 JYY393315:JYY393316 KIU393315:KIU393316 KSQ393315:KSQ393316 LCM393315:LCM393316 LMI393315:LMI393316 LWE393315:LWE393316 MGA393315:MGA393316 MPW393315:MPW393316 MZS393315:MZS393316 NJO393315:NJO393316 NTK393315:NTK393316 ODG393315:ODG393316 ONC393315:ONC393316 OWY393315:OWY393316 PGU393315:PGU393316 PQQ393315:PQQ393316 QAM393315:QAM393316 QKI393315:QKI393316 QUE393315:QUE393316 REA393315:REA393316 RNW393315:RNW393316 RXS393315:RXS393316 SHO393315:SHO393316 SRK393315:SRK393316 TBG393315:TBG393316 TLC393315:TLC393316 TUY393315:TUY393316 UEU393315:UEU393316 UOQ393315:UOQ393316 UYM393315:UYM393316 VII393315:VII393316 VSE393315:VSE393316 WCA393315:WCA393316 WLW393315:WLW393316 WVS393315:WVS393316 J458851:J458852 JG458851:JG458852 TC458851:TC458852 ACY458851:ACY458852 AMU458851:AMU458852 AWQ458851:AWQ458852 BGM458851:BGM458852 BQI458851:BQI458852 CAE458851:CAE458852 CKA458851:CKA458852 CTW458851:CTW458852 DDS458851:DDS458852 DNO458851:DNO458852 DXK458851:DXK458852 EHG458851:EHG458852 ERC458851:ERC458852 FAY458851:FAY458852 FKU458851:FKU458852 FUQ458851:FUQ458852 GEM458851:GEM458852 GOI458851:GOI458852 GYE458851:GYE458852 HIA458851:HIA458852 HRW458851:HRW458852 IBS458851:IBS458852 ILO458851:ILO458852 IVK458851:IVK458852 JFG458851:JFG458852 JPC458851:JPC458852 JYY458851:JYY458852 KIU458851:KIU458852 KSQ458851:KSQ458852 LCM458851:LCM458852 LMI458851:LMI458852 LWE458851:LWE458852 MGA458851:MGA458852 MPW458851:MPW458852 MZS458851:MZS458852 NJO458851:NJO458852 NTK458851:NTK458852 ODG458851:ODG458852 ONC458851:ONC458852 OWY458851:OWY458852 PGU458851:PGU458852 PQQ458851:PQQ458852 QAM458851:QAM458852 QKI458851:QKI458852 QUE458851:QUE458852 REA458851:REA458852 RNW458851:RNW458852 RXS458851:RXS458852 SHO458851:SHO458852 SRK458851:SRK458852 TBG458851:TBG458852 TLC458851:TLC458852 TUY458851:TUY458852 UEU458851:UEU458852 UOQ458851:UOQ458852 UYM458851:UYM458852 VII458851:VII458852 VSE458851:VSE458852 WCA458851:WCA458852 WLW458851:WLW458852 WVS458851:WVS458852 J524387:J524388 JG524387:JG524388 TC524387:TC524388 ACY524387:ACY524388 AMU524387:AMU524388 AWQ524387:AWQ524388 BGM524387:BGM524388 BQI524387:BQI524388 CAE524387:CAE524388 CKA524387:CKA524388 CTW524387:CTW524388 DDS524387:DDS524388 DNO524387:DNO524388 DXK524387:DXK524388 EHG524387:EHG524388 ERC524387:ERC524388 FAY524387:FAY524388 FKU524387:FKU524388 FUQ524387:FUQ524388 GEM524387:GEM524388 GOI524387:GOI524388 GYE524387:GYE524388 HIA524387:HIA524388 HRW524387:HRW524388 IBS524387:IBS524388 ILO524387:ILO524388 IVK524387:IVK524388 JFG524387:JFG524388 JPC524387:JPC524388 JYY524387:JYY524388 KIU524387:KIU524388 KSQ524387:KSQ524388 LCM524387:LCM524388 LMI524387:LMI524388 LWE524387:LWE524388 MGA524387:MGA524388 MPW524387:MPW524388 MZS524387:MZS524388 NJO524387:NJO524388 NTK524387:NTK524388 ODG524387:ODG524388 ONC524387:ONC524388 OWY524387:OWY524388 PGU524387:PGU524388 PQQ524387:PQQ524388 QAM524387:QAM524388 QKI524387:QKI524388 QUE524387:QUE524388 REA524387:REA524388 RNW524387:RNW524388 RXS524387:RXS524388 SHO524387:SHO524388 SRK524387:SRK524388 TBG524387:TBG524388 TLC524387:TLC524388 TUY524387:TUY524388 UEU524387:UEU524388 UOQ524387:UOQ524388 UYM524387:UYM524388 VII524387:VII524388 VSE524387:VSE524388 WCA524387:WCA524388 WLW524387:WLW524388 WVS524387:WVS524388 J589923:J589924 JG589923:JG589924 TC589923:TC589924 ACY589923:ACY589924 AMU589923:AMU589924 AWQ589923:AWQ589924 BGM589923:BGM589924 BQI589923:BQI589924 CAE589923:CAE589924 CKA589923:CKA589924 CTW589923:CTW589924 DDS589923:DDS589924 DNO589923:DNO589924 DXK589923:DXK589924 EHG589923:EHG589924 ERC589923:ERC589924 FAY589923:FAY589924 FKU589923:FKU589924 FUQ589923:FUQ589924 GEM589923:GEM589924 GOI589923:GOI589924 GYE589923:GYE589924 HIA589923:HIA589924 HRW589923:HRW589924 IBS589923:IBS589924 ILO589923:ILO589924 IVK589923:IVK589924 JFG589923:JFG589924 JPC589923:JPC589924 JYY589923:JYY589924 KIU589923:KIU589924 KSQ589923:KSQ589924 LCM589923:LCM589924 LMI589923:LMI589924 LWE589923:LWE589924 MGA589923:MGA589924 MPW589923:MPW589924 MZS589923:MZS589924 NJO589923:NJO589924 NTK589923:NTK589924 ODG589923:ODG589924 ONC589923:ONC589924 OWY589923:OWY589924 PGU589923:PGU589924 PQQ589923:PQQ589924 QAM589923:QAM589924 QKI589923:QKI589924 QUE589923:QUE589924 REA589923:REA589924 RNW589923:RNW589924 RXS589923:RXS589924 SHO589923:SHO589924 SRK589923:SRK589924 TBG589923:TBG589924 TLC589923:TLC589924 TUY589923:TUY589924 UEU589923:UEU589924 UOQ589923:UOQ589924 UYM589923:UYM589924 VII589923:VII589924 VSE589923:VSE589924 WCA589923:WCA589924 WLW589923:WLW589924 WVS589923:WVS589924 J655459:J655460 JG655459:JG655460 TC655459:TC655460 ACY655459:ACY655460 AMU655459:AMU655460 AWQ655459:AWQ655460 BGM655459:BGM655460 BQI655459:BQI655460 CAE655459:CAE655460 CKA655459:CKA655460 CTW655459:CTW655460 DDS655459:DDS655460 DNO655459:DNO655460 DXK655459:DXK655460 EHG655459:EHG655460 ERC655459:ERC655460 FAY655459:FAY655460 FKU655459:FKU655460 FUQ655459:FUQ655460 GEM655459:GEM655460 GOI655459:GOI655460 GYE655459:GYE655460 HIA655459:HIA655460 HRW655459:HRW655460 IBS655459:IBS655460 ILO655459:ILO655460 IVK655459:IVK655460 JFG655459:JFG655460 JPC655459:JPC655460 JYY655459:JYY655460 KIU655459:KIU655460 KSQ655459:KSQ655460 LCM655459:LCM655460 LMI655459:LMI655460 LWE655459:LWE655460 MGA655459:MGA655460 MPW655459:MPW655460 MZS655459:MZS655460 NJO655459:NJO655460 NTK655459:NTK655460 ODG655459:ODG655460 ONC655459:ONC655460 OWY655459:OWY655460 PGU655459:PGU655460 PQQ655459:PQQ655460 QAM655459:QAM655460 QKI655459:QKI655460 QUE655459:QUE655460 REA655459:REA655460 RNW655459:RNW655460 RXS655459:RXS655460 SHO655459:SHO655460 SRK655459:SRK655460 TBG655459:TBG655460 TLC655459:TLC655460 TUY655459:TUY655460 UEU655459:UEU655460 UOQ655459:UOQ655460 UYM655459:UYM655460 VII655459:VII655460 VSE655459:VSE655460 WCA655459:WCA655460 WLW655459:WLW655460 WVS655459:WVS655460 J720995:J720996 JG720995:JG720996 TC720995:TC720996 ACY720995:ACY720996 AMU720995:AMU720996 AWQ720995:AWQ720996 BGM720995:BGM720996 BQI720995:BQI720996 CAE720995:CAE720996 CKA720995:CKA720996 CTW720995:CTW720996 DDS720995:DDS720996 DNO720995:DNO720996 DXK720995:DXK720996 EHG720995:EHG720996 ERC720995:ERC720996 FAY720995:FAY720996 FKU720995:FKU720996 FUQ720995:FUQ720996 GEM720995:GEM720996 GOI720995:GOI720996 GYE720995:GYE720996 HIA720995:HIA720996 HRW720995:HRW720996 IBS720995:IBS720996 ILO720995:ILO720996 IVK720995:IVK720996 JFG720995:JFG720996 JPC720995:JPC720996 JYY720995:JYY720996 KIU720995:KIU720996 KSQ720995:KSQ720996 LCM720995:LCM720996 LMI720995:LMI720996 LWE720995:LWE720996 MGA720995:MGA720996 MPW720995:MPW720996 MZS720995:MZS720996 NJO720995:NJO720996 NTK720995:NTK720996 ODG720995:ODG720996 ONC720995:ONC720996 OWY720995:OWY720996 PGU720995:PGU720996 PQQ720995:PQQ720996 QAM720995:QAM720996 QKI720995:QKI720996 QUE720995:QUE720996 REA720995:REA720996 RNW720995:RNW720996 RXS720995:RXS720996 SHO720995:SHO720996 SRK720995:SRK720996 TBG720995:TBG720996 TLC720995:TLC720996 TUY720995:TUY720996 UEU720995:UEU720996 UOQ720995:UOQ720996 UYM720995:UYM720996 VII720995:VII720996 VSE720995:VSE720996 WCA720995:WCA720996 WLW720995:WLW720996 WVS720995:WVS720996 J786531:J786532 JG786531:JG786532 TC786531:TC786532 ACY786531:ACY786532 AMU786531:AMU786532 AWQ786531:AWQ786532 BGM786531:BGM786532 BQI786531:BQI786532 CAE786531:CAE786532 CKA786531:CKA786532 CTW786531:CTW786532 DDS786531:DDS786532 DNO786531:DNO786532 DXK786531:DXK786532 EHG786531:EHG786532 ERC786531:ERC786532 FAY786531:FAY786532 FKU786531:FKU786532 FUQ786531:FUQ786532 GEM786531:GEM786532 GOI786531:GOI786532 GYE786531:GYE786532 HIA786531:HIA786532 HRW786531:HRW786532 IBS786531:IBS786532 ILO786531:ILO786532 IVK786531:IVK786532 JFG786531:JFG786532 JPC786531:JPC786532 JYY786531:JYY786532 KIU786531:KIU786532 KSQ786531:KSQ786532 LCM786531:LCM786532 LMI786531:LMI786532 LWE786531:LWE786532 MGA786531:MGA786532 MPW786531:MPW786532 MZS786531:MZS786532 NJO786531:NJO786532 NTK786531:NTK786532 ODG786531:ODG786532 ONC786531:ONC786532 OWY786531:OWY786532 PGU786531:PGU786532 PQQ786531:PQQ786532 QAM786531:QAM786532 QKI786531:QKI786532 QUE786531:QUE786532 REA786531:REA786532 RNW786531:RNW786532 RXS786531:RXS786532 SHO786531:SHO786532 SRK786531:SRK786532 TBG786531:TBG786532 TLC786531:TLC786532 TUY786531:TUY786532 UEU786531:UEU786532 UOQ786531:UOQ786532 UYM786531:UYM786532 VII786531:VII786532 VSE786531:VSE786532 WCA786531:WCA786532 WLW786531:WLW786532 WVS786531:WVS786532 J852067:J852068 JG852067:JG852068 TC852067:TC852068 ACY852067:ACY852068 AMU852067:AMU852068 AWQ852067:AWQ852068 BGM852067:BGM852068 BQI852067:BQI852068 CAE852067:CAE852068 CKA852067:CKA852068 CTW852067:CTW852068 DDS852067:DDS852068 DNO852067:DNO852068 DXK852067:DXK852068 EHG852067:EHG852068 ERC852067:ERC852068 FAY852067:FAY852068 FKU852067:FKU852068 FUQ852067:FUQ852068 GEM852067:GEM852068 GOI852067:GOI852068 GYE852067:GYE852068 HIA852067:HIA852068 HRW852067:HRW852068 IBS852067:IBS852068 ILO852067:ILO852068 IVK852067:IVK852068 JFG852067:JFG852068 JPC852067:JPC852068 JYY852067:JYY852068 KIU852067:KIU852068 KSQ852067:KSQ852068 LCM852067:LCM852068 LMI852067:LMI852068 LWE852067:LWE852068 MGA852067:MGA852068 MPW852067:MPW852068 MZS852067:MZS852068 NJO852067:NJO852068 NTK852067:NTK852068 ODG852067:ODG852068 ONC852067:ONC852068 OWY852067:OWY852068 PGU852067:PGU852068 PQQ852067:PQQ852068 QAM852067:QAM852068 QKI852067:QKI852068 QUE852067:QUE852068 REA852067:REA852068 RNW852067:RNW852068 RXS852067:RXS852068 SHO852067:SHO852068 SRK852067:SRK852068 TBG852067:TBG852068 TLC852067:TLC852068 TUY852067:TUY852068 UEU852067:UEU852068 UOQ852067:UOQ852068 UYM852067:UYM852068 VII852067:VII852068 VSE852067:VSE852068 WCA852067:WCA852068 WLW852067:WLW852068 WVS852067:WVS852068 J917603:J917604 JG917603:JG917604 TC917603:TC917604 ACY917603:ACY917604 AMU917603:AMU917604 AWQ917603:AWQ917604 BGM917603:BGM917604 BQI917603:BQI917604 CAE917603:CAE917604 CKA917603:CKA917604 CTW917603:CTW917604 DDS917603:DDS917604 DNO917603:DNO917604 DXK917603:DXK917604 EHG917603:EHG917604 ERC917603:ERC917604 FAY917603:FAY917604 FKU917603:FKU917604 FUQ917603:FUQ917604 GEM917603:GEM917604 GOI917603:GOI917604 GYE917603:GYE917604 HIA917603:HIA917604 HRW917603:HRW917604 IBS917603:IBS917604 ILO917603:ILO917604 IVK917603:IVK917604 JFG917603:JFG917604 JPC917603:JPC917604 JYY917603:JYY917604 KIU917603:KIU917604 KSQ917603:KSQ917604 LCM917603:LCM917604 LMI917603:LMI917604 LWE917603:LWE917604 MGA917603:MGA917604 MPW917603:MPW917604 MZS917603:MZS917604 NJO917603:NJO917604 NTK917603:NTK917604 ODG917603:ODG917604 ONC917603:ONC917604 OWY917603:OWY917604 PGU917603:PGU917604 PQQ917603:PQQ917604 QAM917603:QAM917604 QKI917603:QKI917604 QUE917603:QUE917604 REA917603:REA917604 RNW917603:RNW917604 RXS917603:RXS917604 SHO917603:SHO917604 SRK917603:SRK917604 TBG917603:TBG917604 TLC917603:TLC917604 TUY917603:TUY917604 UEU917603:UEU917604 UOQ917603:UOQ917604 UYM917603:UYM917604 VII917603:VII917604 VSE917603:VSE917604 WCA917603:WCA917604 WLW917603:WLW917604 WVS917603:WVS917604 J983139:J983140 JG983139:JG983140 TC983139:TC983140 ACY983139:ACY983140 AMU983139:AMU983140 AWQ983139:AWQ983140 BGM983139:BGM983140 BQI983139:BQI983140 CAE983139:CAE983140 CKA983139:CKA983140 CTW983139:CTW983140 DDS983139:DDS983140 DNO983139:DNO983140 DXK983139:DXK983140 EHG983139:EHG983140 ERC983139:ERC983140 FAY983139:FAY983140 FKU983139:FKU983140 FUQ983139:FUQ983140 GEM983139:GEM983140 GOI983139:GOI983140 GYE983139:GYE983140 HIA983139:HIA983140 HRW983139:HRW983140 IBS983139:IBS983140 ILO983139:ILO983140 IVK983139:IVK983140 JFG983139:JFG983140 JPC983139:JPC983140 JYY983139:JYY983140 KIU983139:KIU983140 KSQ983139:KSQ983140 LCM983139:LCM983140 LMI983139:LMI983140 LWE983139:LWE983140 MGA983139:MGA983140 MPW983139:MPW983140 MZS983139:MZS983140 NJO983139:NJO983140 NTK983139:NTK983140 ODG983139:ODG983140 ONC983139:ONC983140 OWY983139:OWY983140 PGU983139:PGU983140 PQQ983139:PQQ983140 QAM983139:QAM983140 QKI983139:QKI983140 QUE983139:QUE983140 REA983139:REA983140 RNW983139:RNW983140 RXS983139:RXS983140 SHO983139:SHO983140 SRK983139:SRK983140 TBG983139:TBG983140 TLC983139:TLC983140 TUY983139:TUY983140 UEU983139:UEU983140 UOQ983139:UOQ983140 UYM983139:UYM983140 VII983139:VII983140 VSE983139:VSE983140 WCA983139:WCA983140 WLW983139:WLW983140 WVS983139:WVS983140 WVS983143:WVS983148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J65630:J65631 JG65630:JG65631 TC65630:TC65631 ACY65630:ACY65631 AMU65630:AMU65631 AWQ65630:AWQ65631 BGM65630:BGM65631 BQI65630:BQI65631 CAE65630:CAE65631 CKA65630:CKA65631 CTW65630:CTW65631 DDS65630:DDS65631 DNO65630:DNO65631 DXK65630:DXK65631 EHG65630:EHG65631 ERC65630:ERC65631 FAY65630:FAY65631 FKU65630:FKU65631 FUQ65630:FUQ65631 GEM65630:GEM65631 GOI65630:GOI65631 GYE65630:GYE65631 HIA65630:HIA65631 HRW65630:HRW65631 IBS65630:IBS65631 ILO65630:ILO65631 IVK65630:IVK65631 JFG65630:JFG65631 JPC65630:JPC65631 JYY65630:JYY65631 KIU65630:KIU65631 KSQ65630:KSQ65631 LCM65630:LCM65631 LMI65630:LMI65631 LWE65630:LWE65631 MGA65630:MGA65631 MPW65630:MPW65631 MZS65630:MZS65631 NJO65630:NJO65631 NTK65630:NTK65631 ODG65630:ODG65631 ONC65630:ONC65631 OWY65630:OWY65631 PGU65630:PGU65631 PQQ65630:PQQ65631 QAM65630:QAM65631 QKI65630:QKI65631 QUE65630:QUE65631 REA65630:REA65631 RNW65630:RNW65631 RXS65630:RXS65631 SHO65630:SHO65631 SRK65630:SRK65631 TBG65630:TBG65631 TLC65630:TLC65631 TUY65630:TUY65631 UEU65630:UEU65631 UOQ65630:UOQ65631 UYM65630:UYM65631 VII65630:VII65631 VSE65630:VSE65631 WCA65630:WCA65631 WLW65630:WLW65631 WVS65630:WVS65631 J131166:J131167 JG131166:JG131167 TC131166:TC131167 ACY131166:ACY131167 AMU131166:AMU131167 AWQ131166:AWQ131167 BGM131166:BGM131167 BQI131166:BQI131167 CAE131166:CAE131167 CKA131166:CKA131167 CTW131166:CTW131167 DDS131166:DDS131167 DNO131166:DNO131167 DXK131166:DXK131167 EHG131166:EHG131167 ERC131166:ERC131167 FAY131166:FAY131167 FKU131166:FKU131167 FUQ131166:FUQ131167 GEM131166:GEM131167 GOI131166:GOI131167 GYE131166:GYE131167 HIA131166:HIA131167 HRW131166:HRW131167 IBS131166:IBS131167 ILO131166:ILO131167 IVK131166:IVK131167 JFG131166:JFG131167 JPC131166:JPC131167 JYY131166:JYY131167 KIU131166:KIU131167 KSQ131166:KSQ131167 LCM131166:LCM131167 LMI131166:LMI131167 LWE131166:LWE131167 MGA131166:MGA131167 MPW131166:MPW131167 MZS131166:MZS131167 NJO131166:NJO131167 NTK131166:NTK131167 ODG131166:ODG131167 ONC131166:ONC131167 OWY131166:OWY131167 PGU131166:PGU131167 PQQ131166:PQQ131167 QAM131166:QAM131167 QKI131166:QKI131167 QUE131166:QUE131167 REA131166:REA131167 RNW131166:RNW131167 RXS131166:RXS131167 SHO131166:SHO131167 SRK131166:SRK131167 TBG131166:TBG131167 TLC131166:TLC131167 TUY131166:TUY131167 UEU131166:UEU131167 UOQ131166:UOQ131167 UYM131166:UYM131167 VII131166:VII131167 VSE131166:VSE131167 WCA131166:WCA131167 WLW131166:WLW131167 WVS131166:WVS131167 J196702:J196703 JG196702:JG196703 TC196702:TC196703 ACY196702:ACY196703 AMU196702:AMU196703 AWQ196702:AWQ196703 BGM196702:BGM196703 BQI196702:BQI196703 CAE196702:CAE196703 CKA196702:CKA196703 CTW196702:CTW196703 DDS196702:DDS196703 DNO196702:DNO196703 DXK196702:DXK196703 EHG196702:EHG196703 ERC196702:ERC196703 FAY196702:FAY196703 FKU196702:FKU196703 FUQ196702:FUQ196703 GEM196702:GEM196703 GOI196702:GOI196703 GYE196702:GYE196703 HIA196702:HIA196703 HRW196702:HRW196703 IBS196702:IBS196703 ILO196702:ILO196703 IVK196702:IVK196703 JFG196702:JFG196703 JPC196702:JPC196703 JYY196702:JYY196703 KIU196702:KIU196703 KSQ196702:KSQ196703 LCM196702:LCM196703 LMI196702:LMI196703 LWE196702:LWE196703 MGA196702:MGA196703 MPW196702:MPW196703 MZS196702:MZS196703 NJO196702:NJO196703 NTK196702:NTK196703 ODG196702:ODG196703 ONC196702:ONC196703 OWY196702:OWY196703 PGU196702:PGU196703 PQQ196702:PQQ196703 QAM196702:QAM196703 QKI196702:QKI196703 QUE196702:QUE196703 REA196702:REA196703 RNW196702:RNW196703 RXS196702:RXS196703 SHO196702:SHO196703 SRK196702:SRK196703 TBG196702:TBG196703 TLC196702:TLC196703 TUY196702:TUY196703 UEU196702:UEU196703 UOQ196702:UOQ196703 UYM196702:UYM196703 VII196702:VII196703 VSE196702:VSE196703 WCA196702:WCA196703 WLW196702:WLW196703 WVS196702:WVS196703 J262238:J262239 JG262238:JG262239 TC262238:TC262239 ACY262238:ACY262239 AMU262238:AMU262239 AWQ262238:AWQ262239 BGM262238:BGM262239 BQI262238:BQI262239 CAE262238:CAE262239 CKA262238:CKA262239 CTW262238:CTW262239 DDS262238:DDS262239 DNO262238:DNO262239 DXK262238:DXK262239 EHG262238:EHG262239 ERC262238:ERC262239 FAY262238:FAY262239 FKU262238:FKU262239 FUQ262238:FUQ262239 GEM262238:GEM262239 GOI262238:GOI262239 GYE262238:GYE262239 HIA262238:HIA262239 HRW262238:HRW262239 IBS262238:IBS262239 ILO262238:ILO262239 IVK262238:IVK262239 JFG262238:JFG262239 JPC262238:JPC262239 JYY262238:JYY262239 KIU262238:KIU262239 KSQ262238:KSQ262239 LCM262238:LCM262239 LMI262238:LMI262239 LWE262238:LWE262239 MGA262238:MGA262239 MPW262238:MPW262239 MZS262238:MZS262239 NJO262238:NJO262239 NTK262238:NTK262239 ODG262238:ODG262239 ONC262238:ONC262239 OWY262238:OWY262239 PGU262238:PGU262239 PQQ262238:PQQ262239 QAM262238:QAM262239 QKI262238:QKI262239 QUE262238:QUE262239 REA262238:REA262239 RNW262238:RNW262239 RXS262238:RXS262239 SHO262238:SHO262239 SRK262238:SRK262239 TBG262238:TBG262239 TLC262238:TLC262239 TUY262238:TUY262239 UEU262238:UEU262239 UOQ262238:UOQ262239 UYM262238:UYM262239 VII262238:VII262239 VSE262238:VSE262239 WCA262238:WCA262239 WLW262238:WLW262239 WVS262238:WVS262239 J327774:J327775 JG327774:JG327775 TC327774:TC327775 ACY327774:ACY327775 AMU327774:AMU327775 AWQ327774:AWQ327775 BGM327774:BGM327775 BQI327774:BQI327775 CAE327774:CAE327775 CKA327774:CKA327775 CTW327774:CTW327775 DDS327774:DDS327775 DNO327774:DNO327775 DXK327774:DXK327775 EHG327774:EHG327775 ERC327774:ERC327775 FAY327774:FAY327775 FKU327774:FKU327775 FUQ327774:FUQ327775 GEM327774:GEM327775 GOI327774:GOI327775 GYE327774:GYE327775 HIA327774:HIA327775 HRW327774:HRW327775 IBS327774:IBS327775 ILO327774:ILO327775 IVK327774:IVK327775 JFG327774:JFG327775 JPC327774:JPC327775 JYY327774:JYY327775 KIU327774:KIU327775 KSQ327774:KSQ327775 LCM327774:LCM327775 LMI327774:LMI327775 LWE327774:LWE327775 MGA327774:MGA327775 MPW327774:MPW327775 MZS327774:MZS327775 NJO327774:NJO327775 NTK327774:NTK327775 ODG327774:ODG327775 ONC327774:ONC327775 OWY327774:OWY327775 PGU327774:PGU327775 PQQ327774:PQQ327775 QAM327774:QAM327775 QKI327774:QKI327775 QUE327774:QUE327775 REA327774:REA327775 RNW327774:RNW327775 RXS327774:RXS327775 SHO327774:SHO327775 SRK327774:SRK327775 TBG327774:TBG327775 TLC327774:TLC327775 TUY327774:TUY327775 UEU327774:UEU327775 UOQ327774:UOQ327775 UYM327774:UYM327775 VII327774:VII327775 VSE327774:VSE327775 WCA327774:WCA327775 WLW327774:WLW327775 WVS327774:WVS327775 J393310:J393311 JG393310:JG393311 TC393310:TC393311 ACY393310:ACY393311 AMU393310:AMU393311 AWQ393310:AWQ393311 BGM393310:BGM393311 BQI393310:BQI393311 CAE393310:CAE393311 CKA393310:CKA393311 CTW393310:CTW393311 DDS393310:DDS393311 DNO393310:DNO393311 DXK393310:DXK393311 EHG393310:EHG393311 ERC393310:ERC393311 FAY393310:FAY393311 FKU393310:FKU393311 FUQ393310:FUQ393311 GEM393310:GEM393311 GOI393310:GOI393311 GYE393310:GYE393311 HIA393310:HIA393311 HRW393310:HRW393311 IBS393310:IBS393311 ILO393310:ILO393311 IVK393310:IVK393311 JFG393310:JFG393311 JPC393310:JPC393311 JYY393310:JYY393311 KIU393310:KIU393311 KSQ393310:KSQ393311 LCM393310:LCM393311 LMI393310:LMI393311 LWE393310:LWE393311 MGA393310:MGA393311 MPW393310:MPW393311 MZS393310:MZS393311 NJO393310:NJO393311 NTK393310:NTK393311 ODG393310:ODG393311 ONC393310:ONC393311 OWY393310:OWY393311 PGU393310:PGU393311 PQQ393310:PQQ393311 QAM393310:QAM393311 QKI393310:QKI393311 QUE393310:QUE393311 REA393310:REA393311 RNW393310:RNW393311 RXS393310:RXS393311 SHO393310:SHO393311 SRK393310:SRK393311 TBG393310:TBG393311 TLC393310:TLC393311 TUY393310:TUY393311 UEU393310:UEU393311 UOQ393310:UOQ393311 UYM393310:UYM393311 VII393310:VII393311 VSE393310:VSE393311 WCA393310:WCA393311 WLW393310:WLW393311 WVS393310:WVS393311 J458846:J458847 JG458846:JG458847 TC458846:TC458847 ACY458846:ACY458847 AMU458846:AMU458847 AWQ458846:AWQ458847 BGM458846:BGM458847 BQI458846:BQI458847 CAE458846:CAE458847 CKA458846:CKA458847 CTW458846:CTW458847 DDS458846:DDS458847 DNO458846:DNO458847 DXK458846:DXK458847 EHG458846:EHG458847 ERC458846:ERC458847 FAY458846:FAY458847 FKU458846:FKU458847 FUQ458846:FUQ458847 GEM458846:GEM458847 GOI458846:GOI458847 GYE458846:GYE458847 HIA458846:HIA458847 HRW458846:HRW458847 IBS458846:IBS458847 ILO458846:ILO458847 IVK458846:IVK458847 JFG458846:JFG458847 JPC458846:JPC458847 JYY458846:JYY458847 KIU458846:KIU458847 KSQ458846:KSQ458847 LCM458846:LCM458847 LMI458846:LMI458847 LWE458846:LWE458847 MGA458846:MGA458847 MPW458846:MPW458847 MZS458846:MZS458847 NJO458846:NJO458847 NTK458846:NTK458847 ODG458846:ODG458847 ONC458846:ONC458847 OWY458846:OWY458847 PGU458846:PGU458847 PQQ458846:PQQ458847 QAM458846:QAM458847 QKI458846:QKI458847 QUE458846:QUE458847 REA458846:REA458847 RNW458846:RNW458847 RXS458846:RXS458847 SHO458846:SHO458847 SRK458846:SRK458847 TBG458846:TBG458847 TLC458846:TLC458847 TUY458846:TUY458847 UEU458846:UEU458847 UOQ458846:UOQ458847 UYM458846:UYM458847 VII458846:VII458847 VSE458846:VSE458847 WCA458846:WCA458847 WLW458846:WLW458847 WVS458846:WVS458847 J524382:J524383 JG524382:JG524383 TC524382:TC524383 ACY524382:ACY524383 AMU524382:AMU524383 AWQ524382:AWQ524383 BGM524382:BGM524383 BQI524382:BQI524383 CAE524382:CAE524383 CKA524382:CKA524383 CTW524382:CTW524383 DDS524382:DDS524383 DNO524382:DNO524383 DXK524382:DXK524383 EHG524382:EHG524383 ERC524382:ERC524383 FAY524382:FAY524383 FKU524382:FKU524383 FUQ524382:FUQ524383 GEM524382:GEM524383 GOI524382:GOI524383 GYE524382:GYE524383 HIA524382:HIA524383 HRW524382:HRW524383 IBS524382:IBS524383 ILO524382:ILO524383 IVK524382:IVK524383 JFG524382:JFG524383 JPC524382:JPC524383 JYY524382:JYY524383 KIU524382:KIU524383 KSQ524382:KSQ524383 LCM524382:LCM524383 LMI524382:LMI524383 LWE524382:LWE524383 MGA524382:MGA524383 MPW524382:MPW524383 MZS524382:MZS524383 NJO524382:NJO524383 NTK524382:NTK524383 ODG524382:ODG524383 ONC524382:ONC524383 OWY524382:OWY524383 PGU524382:PGU524383 PQQ524382:PQQ524383 QAM524382:QAM524383 QKI524382:QKI524383 QUE524382:QUE524383 REA524382:REA524383 RNW524382:RNW524383 RXS524382:RXS524383 SHO524382:SHO524383 SRK524382:SRK524383 TBG524382:TBG524383 TLC524382:TLC524383 TUY524382:TUY524383 UEU524382:UEU524383 UOQ524382:UOQ524383 UYM524382:UYM524383 VII524382:VII524383 VSE524382:VSE524383 WCA524382:WCA524383 WLW524382:WLW524383 WVS524382:WVS524383 J589918:J589919 JG589918:JG589919 TC589918:TC589919 ACY589918:ACY589919 AMU589918:AMU589919 AWQ589918:AWQ589919 BGM589918:BGM589919 BQI589918:BQI589919 CAE589918:CAE589919 CKA589918:CKA589919 CTW589918:CTW589919 DDS589918:DDS589919 DNO589918:DNO589919 DXK589918:DXK589919 EHG589918:EHG589919 ERC589918:ERC589919 FAY589918:FAY589919 FKU589918:FKU589919 FUQ589918:FUQ589919 GEM589918:GEM589919 GOI589918:GOI589919 GYE589918:GYE589919 HIA589918:HIA589919 HRW589918:HRW589919 IBS589918:IBS589919 ILO589918:ILO589919 IVK589918:IVK589919 JFG589918:JFG589919 JPC589918:JPC589919 JYY589918:JYY589919 KIU589918:KIU589919 KSQ589918:KSQ589919 LCM589918:LCM589919 LMI589918:LMI589919 LWE589918:LWE589919 MGA589918:MGA589919 MPW589918:MPW589919 MZS589918:MZS589919 NJO589918:NJO589919 NTK589918:NTK589919 ODG589918:ODG589919 ONC589918:ONC589919 OWY589918:OWY589919 PGU589918:PGU589919 PQQ589918:PQQ589919 QAM589918:QAM589919 QKI589918:QKI589919 QUE589918:QUE589919 REA589918:REA589919 RNW589918:RNW589919 RXS589918:RXS589919 SHO589918:SHO589919 SRK589918:SRK589919 TBG589918:TBG589919 TLC589918:TLC589919 TUY589918:TUY589919 UEU589918:UEU589919 UOQ589918:UOQ589919 UYM589918:UYM589919 VII589918:VII589919 VSE589918:VSE589919 WCA589918:WCA589919 WLW589918:WLW589919 WVS589918:WVS589919 J655454:J655455 JG655454:JG655455 TC655454:TC655455 ACY655454:ACY655455 AMU655454:AMU655455 AWQ655454:AWQ655455 BGM655454:BGM655455 BQI655454:BQI655455 CAE655454:CAE655455 CKA655454:CKA655455 CTW655454:CTW655455 DDS655454:DDS655455 DNO655454:DNO655455 DXK655454:DXK655455 EHG655454:EHG655455 ERC655454:ERC655455 FAY655454:FAY655455 FKU655454:FKU655455 FUQ655454:FUQ655455 GEM655454:GEM655455 GOI655454:GOI655455 GYE655454:GYE655455 HIA655454:HIA655455 HRW655454:HRW655455 IBS655454:IBS655455 ILO655454:ILO655455 IVK655454:IVK655455 JFG655454:JFG655455 JPC655454:JPC655455 JYY655454:JYY655455 KIU655454:KIU655455 KSQ655454:KSQ655455 LCM655454:LCM655455 LMI655454:LMI655455 LWE655454:LWE655455 MGA655454:MGA655455 MPW655454:MPW655455 MZS655454:MZS655455 NJO655454:NJO655455 NTK655454:NTK655455 ODG655454:ODG655455 ONC655454:ONC655455 OWY655454:OWY655455 PGU655454:PGU655455 PQQ655454:PQQ655455 QAM655454:QAM655455 QKI655454:QKI655455 QUE655454:QUE655455 REA655454:REA655455 RNW655454:RNW655455 RXS655454:RXS655455 SHO655454:SHO655455 SRK655454:SRK655455 TBG655454:TBG655455 TLC655454:TLC655455 TUY655454:TUY655455 UEU655454:UEU655455 UOQ655454:UOQ655455 UYM655454:UYM655455 VII655454:VII655455 VSE655454:VSE655455 WCA655454:WCA655455 WLW655454:WLW655455 WVS655454:WVS655455 J720990:J720991 JG720990:JG720991 TC720990:TC720991 ACY720990:ACY720991 AMU720990:AMU720991 AWQ720990:AWQ720991 BGM720990:BGM720991 BQI720990:BQI720991 CAE720990:CAE720991 CKA720990:CKA720991 CTW720990:CTW720991 DDS720990:DDS720991 DNO720990:DNO720991 DXK720990:DXK720991 EHG720990:EHG720991 ERC720990:ERC720991 FAY720990:FAY720991 FKU720990:FKU720991 FUQ720990:FUQ720991 GEM720990:GEM720991 GOI720990:GOI720991 GYE720990:GYE720991 HIA720990:HIA720991 HRW720990:HRW720991 IBS720990:IBS720991 ILO720990:ILO720991 IVK720990:IVK720991 JFG720990:JFG720991 JPC720990:JPC720991 JYY720990:JYY720991 KIU720990:KIU720991 KSQ720990:KSQ720991 LCM720990:LCM720991 LMI720990:LMI720991 LWE720990:LWE720991 MGA720990:MGA720991 MPW720990:MPW720991 MZS720990:MZS720991 NJO720990:NJO720991 NTK720990:NTK720991 ODG720990:ODG720991 ONC720990:ONC720991 OWY720990:OWY720991 PGU720990:PGU720991 PQQ720990:PQQ720991 QAM720990:QAM720991 QKI720990:QKI720991 QUE720990:QUE720991 REA720990:REA720991 RNW720990:RNW720991 RXS720990:RXS720991 SHO720990:SHO720991 SRK720990:SRK720991 TBG720990:TBG720991 TLC720990:TLC720991 TUY720990:TUY720991 UEU720990:UEU720991 UOQ720990:UOQ720991 UYM720990:UYM720991 VII720990:VII720991 VSE720990:VSE720991 WCA720990:WCA720991 WLW720990:WLW720991 WVS720990:WVS720991 J786526:J786527 JG786526:JG786527 TC786526:TC786527 ACY786526:ACY786527 AMU786526:AMU786527 AWQ786526:AWQ786527 BGM786526:BGM786527 BQI786526:BQI786527 CAE786526:CAE786527 CKA786526:CKA786527 CTW786526:CTW786527 DDS786526:DDS786527 DNO786526:DNO786527 DXK786526:DXK786527 EHG786526:EHG786527 ERC786526:ERC786527 FAY786526:FAY786527 FKU786526:FKU786527 FUQ786526:FUQ786527 GEM786526:GEM786527 GOI786526:GOI786527 GYE786526:GYE786527 HIA786526:HIA786527 HRW786526:HRW786527 IBS786526:IBS786527 ILO786526:ILO786527 IVK786526:IVK786527 JFG786526:JFG786527 JPC786526:JPC786527 JYY786526:JYY786527 KIU786526:KIU786527 KSQ786526:KSQ786527 LCM786526:LCM786527 LMI786526:LMI786527 LWE786526:LWE786527 MGA786526:MGA786527 MPW786526:MPW786527 MZS786526:MZS786527 NJO786526:NJO786527 NTK786526:NTK786527 ODG786526:ODG786527 ONC786526:ONC786527 OWY786526:OWY786527 PGU786526:PGU786527 PQQ786526:PQQ786527 QAM786526:QAM786527 QKI786526:QKI786527 QUE786526:QUE786527 REA786526:REA786527 RNW786526:RNW786527 RXS786526:RXS786527 SHO786526:SHO786527 SRK786526:SRK786527 TBG786526:TBG786527 TLC786526:TLC786527 TUY786526:TUY786527 UEU786526:UEU786527 UOQ786526:UOQ786527 UYM786526:UYM786527 VII786526:VII786527 VSE786526:VSE786527 WCA786526:WCA786527 WLW786526:WLW786527 WVS786526:WVS786527 J852062:J852063 JG852062:JG852063 TC852062:TC852063 ACY852062:ACY852063 AMU852062:AMU852063 AWQ852062:AWQ852063 BGM852062:BGM852063 BQI852062:BQI852063 CAE852062:CAE852063 CKA852062:CKA852063 CTW852062:CTW852063 DDS852062:DDS852063 DNO852062:DNO852063 DXK852062:DXK852063 EHG852062:EHG852063 ERC852062:ERC852063 FAY852062:FAY852063 FKU852062:FKU852063 FUQ852062:FUQ852063 GEM852062:GEM852063 GOI852062:GOI852063 GYE852062:GYE852063 HIA852062:HIA852063 HRW852062:HRW852063 IBS852062:IBS852063 ILO852062:ILO852063 IVK852062:IVK852063 JFG852062:JFG852063 JPC852062:JPC852063 JYY852062:JYY852063 KIU852062:KIU852063 KSQ852062:KSQ852063 LCM852062:LCM852063 LMI852062:LMI852063 LWE852062:LWE852063 MGA852062:MGA852063 MPW852062:MPW852063 MZS852062:MZS852063 NJO852062:NJO852063 NTK852062:NTK852063 ODG852062:ODG852063 ONC852062:ONC852063 OWY852062:OWY852063 PGU852062:PGU852063 PQQ852062:PQQ852063 QAM852062:QAM852063 QKI852062:QKI852063 QUE852062:QUE852063 REA852062:REA852063 RNW852062:RNW852063 RXS852062:RXS852063 SHO852062:SHO852063 SRK852062:SRK852063 TBG852062:TBG852063 TLC852062:TLC852063 TUY852062:TUY852063 UEU852062:UEU852063 UOQ852062:UOQ852063 UYM852062:UYM852063 VII852062:VII852063 VSE852062:VSE852063 WCA852062:WCA852063 WLW852062:WLW852063 WVS852062:WVS852063 J917598:J917599 JG917598:JG917599 TC917598:TC917599 ACY917598:ACY917599 AMU917598:AMU917599 AWQ917598:AWQ917599 BGM917598:BGM917599 BQI917598:BQI917599 CAE917598:CAE917599 CKA917598:CKA917599 CTW917598:CTW917599 DDS917598:DDS917599 DNO917598:DNO917599 DXK917598:DXK917599 EHG917598:EHG917599 ERC917598:ERC917599 FAY917598:FAY917599 FKU917598:FKU917599 FUQ917598:FUQ917599 GEM917598:GEM917599 GOI917598:GOI917599 GYE917598:GYE917599 HIA917598:HIA917599 HRW917598:HRW917599 IBS917598:IBS917599 ILO917598:ILO917599 IVK917598:IVK917599 JFG917598:JFG917599 JPC917598:JPC917599 JYY917598:JYY917599 KIU917598:KIU917599 KSQ917598:KSQ917599 LCM917598:LCM917599 LMI917598:LMI917599 LWE917598:LWE917599 MGA917598:MGA917599 MPW917598:MPW917599 MZS917598:MZS917599 NJO917598:NJO917599 NTK917598:NTK917599 ODG917598:ODG917599 ONC917598:ONC917599 OWY917598:OWY917599 PGU917598:PGU917599 PQQ917598:PQQ917599 QAM917598:QAM917599 QKI917598:QKI917599 QUE917598:QUE917599 REA917598:REA917599 RNW917598:RNW917599 RXS917598:RXS917599 SHO917598:SHO917599 SRK917598:SRK917599 TBG917598:TBG917599 TLC917598:TLC917599 TUY917598:TUY917599 UEU917598:UEU917599 UOQ917598:UOQ917599 UYM917598:UYM917599 VII917598:VII917599 VSE917598:VSE917599 WCA917598:WCA917599 WLW917598:WLW917599 WVS917598:WVS917599 J983134:J983135 JG983134:JG983135 TC983134:TC983135 ACY983134:ACY983135 AMU983134:AMU983135 AWQ983134:AWQ983135 BGM983134:BGM983135 BQI983134:BQI983135 CAE983134:CAE983135 CKA983134:CKA983135 CTW983134:CTW983135 DDS983134:DDS983135 DNO983134:DNO983135 DXK983134:DXK983135 EHG983134:EHG983135 ERC983134:ERC983135 FAY983134:FAY983135 FKU983134:FKU983135 FUQ983134:FUQ983135 GEM983134:GEM983135 GOI983134:GOI983135 GYE983134:GYE983135 HIA983134:HIA983135 HRW983134:HRW983135 IBS983134:IBS983135 ILO983134:ILO983135 IVK983134:IVK983135 JFG983134:JFG983135 JPC983134:JPC983135 JYY983134:JYY983135 KIU983134:KIU983135 KSQ983134:KSQ983135 LCM983134:LCM983135 LMI983134:LMI983135 LWE983134:LWE983135 MGA983134:MGA983135 MPW983134:MPW983135 MZS983134:MZS983135 NJO983134:NJO983135 NTK983134:NTK983135 ODG983134:ODG983135 ONC983134:ONC983135 OWY983134:OWY983135 PGU983134:PGU983135 PQQ983134:PQQ983135 QAM983134:QAM983135 QKI983134:QKI983135 QUE983134:QUE983135 REA983134:REA983135 RNW983134:RNW983135 RXS983134:RXS983135 SHO983134:SHO983135 SRK983134:SRK983135 TBG983134:TBG983135 TLC983134:TLC983135 TUY983134:TUY983135 UEU983134:UEU983135 UOQ983134:UOQ983135 UYM983134:UYM983135 VII983134:VII983135 VSE983134:VSE983135 WCA983134:WCA983135 WLW983134:WLW983135 WVS983134:WVS983135 J103:J108 JG103:JG108 TC103:TC108 ACY103:ACY108 AMU103:AMU108 AWQ103:AWQ108 BGM103:BGM108 BQI103:BQI108 CAE103:CAE108 CKA103:CKA108 CTW103:CTW108 DDS103:DDS108 DNO103:DNO108 DXK103:DXK108 EHG103:EHG108 ERC103:ERC108 FAY103:FAY108 FKU103:FKU108 FUQ103:FUQ108 GEM103:GEM108 GOI103:GOI108 GYE103:GYE108 HIA103:HIA108 HRW103:HRW108 IBS103:IBS108 ILO103:ILO108 IVK103:IVK108 JFG103:JFG108 JPC103:JPC108 JYY103:JYY108 KIU103:KIU108 KSQ103:KSQ108 LCM103:LCM108 LMI103:LMI108 LWE103:LWE108 MGA103:MGA108 MPW103:MPW108 MZS103:MZS108 NJO103:NJO108 NTK103:NTK108 ODG103:ODG108 ONC103:ONC108 OWY103:OWY108 PGU103:PGU108 PQQ103:PQQ108 QAM103:QAM108 QKI103:QKI108 QUE103:QUE108 REA103:REA108 RNW103:RNW108 RXS103:RXS108 SHO103:SHO108 SRK103:SRK108 TBG103:TBG108 TLC103:TLC108 TUY103:TUY108 UEU103:UEU108 UOQ103:UOQ108 UYM103:UYM108 VII103:VII108 VSE103:VSE108 WCA103:WCA108 WLW103:WLW108 WVS103:WVS108 J65639:J65644 JG65639:JG65644 TC65639:TC65644 ACY65639:ACY65644 AMU65639:AMU65644 AWQ65639:AWQ65644 BGM65639:BGM65644 BQI65639:BQI65644 CAE65639:CAE65644 CKA65639:CKA65644 CTW65639:CTW65644 DDS65639:DDS65644 DNO65639:DNO65644 DXK65639:DXK65644 EHG65639:EHG65644 ERC65639:ERC65644 FAY65639:FAY65644 FKU65639:FKU65644 FUQ65639:FUQ65644 GEM65639:GEM65644 GOI65639:GOI65644 GYE65639:GYE65644 HIA65639:HIA65644 HRW65639:HRW65644 IBS65639:IBS65644 ILO65639:ILO65644 IVK65639:IVK65644 JFG65639:JFG65644 JPC65639:JPC65644 JYY65639:JYY65644 KIU65639:KIU65644 KSQ65639:KSQ65644 LCM65639:LCM65644 LMI65639:LMI65644 LWE65639:LWE65644 MGA65639:MGA65644 MPW65639:MPW65644 MZS65639:MZS65644 NJO65639:NJO65644 NTK65639:NTK65644 ODG65639:ODG65644 ONC65639:ONC65644 OWY65639:OWY65644 PGU65639:PGU65644 PQQ65639:PQQ65644 QAM65639:QAM65644 QKI65639:QKI65644 QUE65639:QUE65644 REA65639:REA65644 RNW65639:RNW65644 RXS65639:RXS65644 SHO65639:SHO65644 SRK65639:SRK65644 TBG65639:TBG65644 TLC65639:TLC65644 TUY65639:TUY65644 UEU65639:UEU65644 UOQ65639:UOQ65644 UYM65639:UYM65644 VII65639:VII65644 VSE65639:VSE65644 WCA65639:WCA65644 WLW65639:WLW65644 WVS65639:WVS65644 J131175:J131180 JG131175:JG131180 TC131175:TC131180 ACY131175:ACY131180 AMU131175:AMU131180 AWQ131175:AWQ131180 BGM131175:BGM131180 BQI131175:BQI131180 CAE131175:CAE131180 CKA131175:CKA131180 CTW131175:CTW131180 DDS131175:DDS131180 DNO131175:DNO131180 DXK131175:DXK131180 EHG131175:EHG131180 ERC131175:ERC131180 FAY131175:FAY131180 FKU131175:FKU131180 FUQ131175:FUQ131180 GEM131175:GEM131180 GOI131175:GOI131180 GYE131175:GYE131180 HIA131175:HIA131180 HRW131175:HRW131180 IBS131175:IBS131180 ILO131175:ILO131180 IVK131175:IVK131180 JFG131175:JFG131180 JPC131175:JPC131180 JYY131175:JYY131180 KIU131175:KIU131180 KSQ131175:KSQ131180 LCM131175:LCM131180 LMI131175:LMI131180 LWE131175:LWE131180 MGA131175:MGA131180 MPW131175:MPW131180 MZS131175:MZS131180 NJO131175:NJO131180 NTK131175:NTK131180 ODG131175:ODG131180 ONC131175:ONC131180 OWY131175:OWY131180 PGU131175:PGU131180 PQQ131175:PQQ131180 QAM131175:QAM131180 QKI131175:QKI131180 QUE131175:QUE131180 REA131175:REA131180 RNW131175:RNW131180 RXS131175:RXS131180 SHO131175:SHO131180 SRK131175:SRK131180 TBG131175:TBG131180 TLC131175:TLC131180 TUY131175:TUY131180 UEU131175:UEU131180 UOQ131175:UOQ131180 UYM131175:UYM131180 VII131175:VII131180 VSE131175:VSE131180 WCA131175:WCA131180 WLW131175:WLW131180 WVS131175:WVS131180 J196711:J196716 JG196711:JG196716 TC196711:TC196716 ACY196711:ACY196716 AMU196711:AMU196716 AWQ196711:AWQ196716 BGM196711:BGM196716 BQI196711:BQI196716 CAE196711:CAE196716 CKA196711:CKA196716 CTW196711:CTW196716 DDS196711:DDS196716 DNO196711:DNO196716 DXK196711:DXK196716 EHG196711:EHG196716 ERC196711:ERC196716 FAY196711:FAY196716 FKU196711:FKU196716 FUQ196711:FUQ196716 GEM196711:GEM196716 GOI196711:GOI196716 GYE196711:GYE196716 HIA196711:HIA196716 HRW196711:HRW196716 IBS196711:IBS196716 ILO196711:ILO196716 IVK196711:IVK196716 JFG196711:JFG196716 JPC196711:JPC196716 JYY196711:JYY196716 KIU196711:KIU196716 KSQ196711:KSQ196716 LCM196711:LCM196716 LMI196711:LMI196716 LWE196711:LWE196716 MGA196711:MGA196716 MPW196711:MPW196716 MZS196711:MZS196716 NJO196711:NJO196716 NTK196711:NTK196716 ODG196711:ODG196716 ONC196711:ONC196716 OWY196711:OWY196716 PGU196711:PGU196716 PQQ196711:PQQ196716 QAM196711:QAM196716 QKI196711:QKI196716 QUE196711:QUE196716 REA196711:REA196716 RNW196711:RNW196716 RXS196711:RXS196716 SHO196711:SHO196716 SRK196711:SRK196716 TBG196711:TBG196716 TLC196711:TLC196716 TUY196711:TUY196716 UEU196711:UEU196716 UOQ196711:UOQ196716 UYM196711:UYM196716 VII196711:VII196716 VSE196711:VSE196716 WCA196711:WCA196716 WLW196711:WLW196716 WVS196711:WVS196716 J262247:J262252 JG262247:JG262252 TC262247:TC262252 ACY262247:ACY262252 AMU262247:AMU262252 AWQ262247:AWQ262252 BGM262247:BGM262252 BQI262247:BQI262252 CAE262247:CAE262252 CKA262247:CKA262252 CTW262247:CTW262252 DDS262247:DDS262252 DNO262247:DNO262252 DXK262247:DXK262252 EHG262247:EHG262252 ERC262247:ERC262252 FAY262247:FAY262252 FKU262247:FKU262252 FUQ262247:FUQ262252 GEM262247:GEM262252 GOI262247:GOI262252 GYE262247:GYE262252 HIA262247:HIA262252 HRW262247:HRW262252 IBS262247:IBS262252 ILO262247:ILO262252 IVK262247:IVK262252 JFG262247:JFG262252 JPC262247:JPC262252 JYY262247:JYY262252 KIU262247:KIU262252 KSQ262247:KSQ262252 LCM262247:LCM262252 LMI262247:LMI262252 LWE262247:LWE262252 MGA262247:MGA262252 MPW262247:MPW262252 MZS262247:MZS262252 NJO262247:NJO262252 NTK262247:NTK262252 ODG262247:ODG262252 ONC262247:ONC262252 OWY262247:OWY262252 PGU262247:PGU262252 PQQ262247:PQQ262252 QAM262247:QAM262252 QKI262247:QKI262252 QUE262247:QUE262252 REA262247:REA262252 RNW262247:RNW262252 RXS262247:RXS262252 SHO262247:SHO262252 SRK262247:SRK262252 TBG262247:TBG262252 TLC262247:TLC262252 TUY262247:TUY262252 UEU262247:UEU262252 UOQ262247:UOQ262252 UYM262247:UYM262252 VII262247:VII262252 VSE262247:VSE262252 WCA262247:WCA262252 WLW262247:WLW262252 WVS262247:WVS262252 J327783:J327788 JG327783:JG327788 TC327783:TC327788 ACY327783:ACY327788 AMU327783:AMU327788 AWQ327783:AWQ327788 BGM327783:BGM327788 BQI327783:BQI327788 CAE327783:CAE327788 CKA327783:CKA327788 CTW327783:CTW327788 DDS327783:DDS327788 DNO327783:DNO327788 DXK327783:DXK327788 EHG327783:EHG327788 ERC327783:ERC327788 FAY327783:FAY327788 FKU327783:FKU327788 FUQ327783:FUQ327788 GEM327783:GEM327788 GOI327783:GOI327788 GYE327783:GYE327788 HIA327783:HIA327788 HRW327783:HRW327788 IBS327783:IBS327788 ILO327783:ILO327788 IVK327783:IVK327788 JFG327783:JFG327788 JPC327783:JPC327788 JYY327783:JYY327788 KIU327783:KIU327788 KSQ327783:KSQ327788 LCM327783:LCM327788 LMI327783:LMI327788 LWE327783:LWE327788 MGA327783:MGA327788 MPW327783:MPW327788 MZS327783:MZS327788 NJO327783:NJO327788 NTK327783:NTK327788 ODG327783:ODG327788 ONC327783:ONC327788 OWY327783:OWY327788 PGU327783:PGU327788 PQQ327783:PQQ327788 QAM327783:QAM327788 QKI327783:QKI327788 QUE327783:QUE327788 REA327783:REA327788 RNW327783:RNW327788 RXS327783:RXS327788 SHO327783:SHO327788 SRK327783:SRK327788 TBG327783:TBG327788 TLC327783:TLC327788 TUY327783:TUY327788 UEU327783:UEU327788 UOQ327783:UOQ327788 UYM327783:UYM327788 VII327783:VII327788 VSE327783:VSE327788 WCA327783:WCA327788 WLW327783:WLW327788 WVS327783:WVS327788 J393319:J393324 JG393319:JG393324 TC393319:TC393324 ACY393319:ACY393324 AMU393319:AMU393324 AWQ393319:AWQ393324 BGM393319:BGM393324 BQI393319:BQI393324 CAE393319:CAE393324 CKA393319:CKA393324 CTW393319:CTW393324 DDS393319:DDS393324 DNO393319:DNO393324 DXK393319:DXK393324 EHG393319:EHG393324 ERC393319:ERC393324 FAY393319:FAY393324 FKU393319:FKU393324 FUQ393319:FUQ393324 GEM393319:GEM393324 GOI393319:GOI393324 GYE393319:GYE393324 HIA393319:HIA393324 HRW393319:HRW393324 IBS393319:IBS393324 ILO393319:ILO393324 IVK393319:IVK393324 JFG393319:JFG393324 JPC393319:JPC393324 JYY393319:JYY393324 KIU393319:KIU393324 KSQ393319:KSQ393324 LCM393319:LCM393324 LMI393319:LMI393324 LWE393319:LWE393324 MGA393319:MGA393324 MPW393319:MPW393324 MZS393319:MZS393324 NJO393319:NJO393324 NTK393319:NTK393324 ODG393319:ODG393324 ONC393319:ONC393324 OWY393319:OWY393324 PGU393319:PGU393324 PQQ393319:PQQ393324 QAM393319:QAM393324 QKI393319:QKI393324 QUE393319:QUE393324 REA393319:REA393324 RNW393319:RNW393324 RXS393319:RXS393324 SHO393319:SHO393324 SRK393319:SRK393324 TBG393319:TBG393324 TLC393319:TLC393324 TUY393319:TUY393324 UEU393319:UEU393324 UOQ393319:UOQ393324 UYM393319:UYM393324 VII393319:VII393324 VSE393319:VSE393324 WCA393319:WCA393324 WLW393319:WLW393324 WVS393319:WVS393324 J458855:J458860 JG458855:JG458860 TC458855:TC458860 ACY458855:ACY458860 AMU458855:AMU458860 AWQ458855:AWQ458860 BGM458855:BGM458860 BQI458855:BQI458860 CAE458855:CAE458860 CKA458855:CKA458860 CTW458855:CTW458860 DDS458855:DDS458860 DNO458855:DNO458860 DXK458855:DXK458860 EHG458855:EHG458860 ERC458855:ERC458860 FAY458855:FAY458860 FKU458855:FKU458860 FUQ458855:FUQ458860 GEM458855:GEM458860 GOI458855:GOI458860 GYE458855:GYE458860 HIA458855:HIA458860 HRW458855:HRW458860 IBS458855:IBS458860 ILO458855:ILO458860 IVK458855:IVK458860 JFG458855:JFG458860 JPC458855:JPC458860 JYY458855:JYY458860 KIU458855:KIU458860 KSQ458855:KSQ458860 LCM458855:LCM458860 LMI458855:LMI458860 LWE458855:LWE458860 MGA458855:MGA458860 MPW458855:MPW458860 MZS458855:MZS458860 NJO458855:NJO458860 NTK458855:NTK458860 ODG458855:ODG458860 ONC458855:ONC458860 OWY458855:OWY458860 PGU458855:PGU458860 PQQ458855:PQQ458860 QAM458855:QAM458860 QKI458855:QKI458860 QUE458855:QUE458860 REA458855:REA458860 RNW458855:RNW458860 RXS458855:RXS458860 SHO458855:SHO458860 SRK458855:SRK458860 TBG458855:TBG458860 TLC458855:TLC458860 TUY458855:TUY458860 UEU458855:UEU458860 UOQ458855:UOQ458860 UYM458855:UYM458860 VII458855:VII458860 VSE458855:VSE458860 WCA458855:WCA458860 WLW458855:WLW458860 WVS458855:WVS458860 J524391:J524396 JG524391:JG524396 TC524391:TC524396 ACY524391:ACY524396 AMU524391:AMU524396 AWQ524391:AWQ524396 BGM524391:BGM524396 BQI524391:BQI524396 CAE524391:CAE524396 CKA524391:CKA524396 CTW524391:CTW524396 DDS524391:DDS524396 DNO524391:DNO524396 DXK524391:DXK524396 EHG524391:EHG524396 ERC524391:ERC524396 FAY524391:FAY524396 FKU524391:FKU524396 FUQ524391:FUQ524396 GEM524391:GEM524396 GOI524391:GOI524396 GYE524391:GYE524396 HIA524391:HIA524396 HRW524391:HRW524396 IBS524391:IBS524396 ILO524391:ILO524396 IVK524391:IVK524396 JFG524391:JFG524396 JPC524391:JPC524396 JYY524391:JYY524396 KIU524391:KIU524396 KSQ524391:KSQ524396 LCM524391:LCM524396 LMI524391:LMI524396 LWE524391:LWE524396 MGA524391:MGA524396 MPW524391:MPW524396 MZS524391:MZS524396 NJO524391:NJO524396 NTK524391:NTK524396 ODG524391:ODG524396 ONC524391:ONC524396 OWY524391:OWY524396 PGU524391:PGU524396 PQQ524391:PQQ524396 QAM524391:QAM524396 QKI524391:QKI524396 QUE524391:QUE524396 REA524391:REA524396 RNW524391:RNW524396 RXS524391:RXS524396 SHO524391:SHO524396 SRK524391:SRK524396 TBG524391:TBG524396 TLC524391:TLC524396 TUY524391:TUY524396 UEU524391:UEU524396 UOQ524391:UOQ524396 UYM524391:UYM524396 VII524391:VII524396 VSE524391:VSE524396 WCA524391:WCA524396 WLW524391:WLW524396 WVS524391:WVS524396 J589927:J589932 JG589927:JG589932 TC589927:TC589932 ACY589927:ACY589932 AMU589927:AMU589932 AWQ589927:AWQ589932 BGM589927:BGM589932 BQI589927:BQI589932 CAE589927:CAE589932 CKA589927:CKA589932 CTW589927:CTW589932 DDS589927:DDS589932 DNO589927:DNO589932 DXK589927:DXK589932 EHG589927:EHG589932 ERC589927:ERC589932 FAY589927:FAY589932 FKU589927:FKU589932 FUQ589927:FUQ589932 GEM589927:GEM589932 GOI589927:GOI589932 GYE589927:GYE589932 HIA589927:HIA589932 HRW589927:HRW589932 IBS589927:IBS589932 ILO589927:ILO589932 IVK589927:IVK589932 JFG589927:JFG589932 JPC589927:JPC589932 JYY589927:JYY589932 KIU589927:KIU589932 KSQ589927:KSQ589932 LCM589927:LCM589932 LMI589927:LMI589932 LWE589927:LWE589932 MGA589927:MGA589932 MPW589927:MPW589932 MZS589927:MZS589932 NJO589927:NJO589932 NTK589927:NTK589932 ODG589927:ODG589932 ONC589927:ONC589932 OWY589927:OWY589932 PGU589927:PGU589932 PQQ589927:PQQ589932 QAM589927:QAM589932 QKI589927:QKI589932 QUE589927:QUE589932 REA589927:REA589932 RNW589927:RNW589932 RXS589927:RXS589932 SHO589927:SHO589932 SRK589927:SRK589932 TBG589927:TBG589932 TLC589927:TLC589932 TUY589927:TUY589932 UEU589927:UEU589932 UOQ589927:UOQ589932 UYM589927:UYM589932 VII589927:VII589932 VSE589927:VSE589932 WCA589927:WCA589932 WLW589927:WLW589932 WVS589927:WVS589932 J655463:J655468 JG655463:JG655468 TC655463:TC655468 ACY655463:ACY655468 AMU655463:AMU655468 AWQ655463:AWQ655468 BGM655463:BGM655468 BQI655463:BQI655468 CAE655463:CAE655468 CKA655463:CKA655468 CTW655463:CTW655468 DDS655463:DDS655468 DNO655463:DNO655468 DXK655463:DXK655468 EHG655463:EHG655468 ERC655463:ERC655468 FAY655463:FAY655468 FKU655463:FKU655468 FUQ655463:FUQ655468 GEM655463:GEM655468 GOI655463:GOI655468 GYE655463:GYE655468 HIA655463:HIA655468 HRW655463:HRW655468 IBS655463:IBS655468 ILO655463:ILO655468 IVK655463:IVK655468 JFG655463:JFG655468 JPC655463:JPC655468 JYY655463:JYY655468 KIU655463:KIU655468 KSQ655463:KSQ655468 LCM655463:LCM655468 LMI655463:LMI655468 LWE655463:LWE655468 MGA655463:MGA655468 MPW655463:MPW655468 MZS655463:MZS655468 NJO655463:NJO655468 NTK655463:NTK655468 ODG655463:ODG655468 ONC655463:ONC655468 OWY655463:OWY655468 PGU655463:PGU655468 PQQ655463:PQQ655468 QAM655463:QAM655468 QKI655463:QKI655468 QUE655463:QUE655468 REA655463:REA655468 RNW655463:RNW655468 RXS655463:RXS655468 SHO655463:SHO655468 SRK655463:SRK655468 TBG655463:TBG655468 TLC655463:TLC655468 TUY655463:TUY655468 UEU655463:UEU655468 UOQ655463:UOQ655468 UYM655463:UYM655468 VII655463:VII655468 VSE655463:VSE655468 WCA655463:WCA655468 WLW655463:WLW655468 WVS655463:WVS655468 J720999:J721004 JG720999:JG721004 TC720999:TC721004 ACY720999:ACY721004 AMU720999:AMU721004 AWQ720999:AWQ721004 BGM720999:BGM721004 BQI720999:BQI721004 CAE720999:CAE721004 CKA720999:CKA721004 CTW720999:CTW721004 DDS720999:DDS721004 DNO720999:DNO721004 DXK720999:DXK721004 EHG720999:EHG721004 ERC720999:ERC721004 FAY720999:FAY721004 FKU720999:FKU721004 FUQ720999:FUQ721004 GEM720999:GEM721004 GOI720999:GOI721004 GYE720999:GYE721004 HIA720999:HIA721004 HRW720999:HRW721004 IBS720999:IBS721004 ILO720999:ILO721004 IVK720999:IVK721004 JFG720999:JFG721004 JPC720999:JPC721004 JYY720999:JYY721004 KIU720999:KIU721004 KSQ720999:KSQ721004 LCM720999:LCM721004 LMI720999:LMI721004 LWE720999:LWE721004 MGA720999:MGA721004 MPW720999:MPW721004 MZS720999:MZS721004 NJO720999:NJO721004 NTK720999:NTK721004 ODG720999:ODG721004 ONC720999:ONC721004 OWY720999:OWY721004 PGU720999:PGU721004 PQQ720999:PQQ721004 QAM720999:QAM721004 QKI720999:QKI721004 QUE720999:QUE721004 REA720999:REA721004 RNW720999:RNW721004 RXS720999:RXS721004 SHO720999:SHO721004 SRK720999:SRK721004 TBG720999:TBG721004 TLC720999:TLC721004 TUY720999:TUY721004 UEU720999:UEU721004 UOQ720999:UOQ721004 UYM720999:UYM721004 VII720999:VII721004 VSE720999:VSE721004 WCA720999:WCA721004 WLW720999:WLW721004 WVS720999:WVS721004 J786535:J786540 JG786535:JG786540 TC786535:TC786540 ACY786535:ACY786540 AMU786535:AMU786540 AWQ786535:AWQ786540 BGM786535:BGM786540 BQI786535:BQI786540 CAE786535:CAE786540 CKA786535:CKA786540 CTW786535:CTW786540 DDS786535:DDS786540 DNO786535:DNO786540 DXK786535:DXK786540 EHG786535:EHG786540 ERC786535:ERC786540 FAY786535:FAY786540 FKU786535:FKU786540 FUQ786535:FUQ786540 GEM786535:GEM786540 GOI786535:GOI786540 GYE786535:GYE786540 HIA786535:HIA786540 HRW786535:HRW786540 IBS786535:IBS786540 ILO786535:ILO786540 IVK786535:IVK786540 JFG786535:JFG786540 JPC786535:JPC786540 JYY786535:JYY786540 KIU786535:KIU786540 KSQ786535:KSQ786540 LCM786535:LCM786540 LMI786535:LMI786540 LWE786535:LWE786540 MGA786535:MGA786540 MPW786535:MPW786540 MZS786535:MZS786540 NJO786535:NJO786540 NTK786535:NTK786540 ODG786535:ODG786540 ONC786535:ONC786540 OWY786535:OWY786540 PGU786535:PGU786540 PQQ786535:PQQ786540 QAM786535:QAM786540 QKI786535:QKI786540 QUE786535:QUE786540 REA786535:REA786540 RNW786535:RNW786540 RXS786535:RXS786540 SHO786535:SHO786540 SRK786535:SRK786540 TBG786535:TBG786540 TLC786535:TLC786540 TUY786535:TUY786540 UEU786535:UEU786540 UOQ786535:UOQ786540 UYM786535:UYM786540 VII786535:VII786540 VSE786535:VSE786540 WCA786535:WCA786540 WLW786535:WLW786540 WVS786535:WVS786540 J852071:J852076 JG852071:JG852076 TC852071:TC852076 ACY852071:ACY852076 AMU852071:AMU852076 AWQ852071:AWQ852076 BGM852071:BGM852076 BQI852071:BQI852076 CAE852071:CAE852076 CKA852071:CKA852076 CTW852071:CTW852076 DDS852071:DDS852076 DNO852071:DNO852076 DXK852071:DXK852076 EHG852071:EHG852076 ERC852071:ERC852076 FAY852071:FAY852076 FKU852071:FKU852076 FUQ852071:FUQ852076 GEM852071:GEM852076 GOI852071:GOI852076 GYE852071:GYE852076 HIA852071:HIA852076 HRW852071:HRW852076 IBS852071:IBS852076 ILO852071:ILO852076 IVK852071:IVK852076 JFG852071:JFG852076 JPC852071:JPC852076 JYY852071:JYY852076 KIU852071:KIU852076 KSQ852071:KSQ852076 LCM852071:LCM852076 LMI852071:LMI852076 LWE852071:LWE852076 MGA852071:MGA852076 MPW852071:MPW852076 MZS852071:MZS852076 NJO852071:NJO852076 NTK852071:NTK852076 ODG852071:ODG852076 ONC852071:ONC852076 OWY852071:OWY852076 PGU852071:PGU852076 PQQ852071:PQQ852076 QAM852071:QAM852076 QKI852071:QKI852076 QUE852071:QUE852076 REA852071:REA852076 RNW852071:RNW852076 RXS852071:RXS852076 SHO852071:SHO852076 SRK852071:SRK852076 TBG852071:TBG852076 TLC852071:TLC852076 TUY852071:TUY852076 UEU852071:UEU852076 UOQ852071:UOQ852076 UYM852071:UYM852076 VII852071:VII852076 VSE852071:VSE852076 WCA852071:WCA852076 WLW852071:WLW852076 WVS852071:WVS852076 J917607:J917612 JG917607:JG917612 TC917607:TC917612 ACY917607:ACY917612 AMU917607:AMU917612 AWQ917607:AWQ917612 BGM917607:BGM917612 BQI917607:BQI917612 CAE917607:CAE917612 CKA917607:CKA917612 CTW917607:CTW917612 DDS917607:DDS917612 DNO917607:DNO917612 DXK917607:DXK917612 EHG917607:EHG917612 ERC917607:ERC917612 FAY917607:FAY917612 FKU917607:FKU917612 FUQ917607:FUQ917612 GEM917607:GEM917612 GOI917607:GOI917612 GYE917607:GYE917612 HIA917607:HIA917612 HRW917607:HRW917612 IBS917607:IBS917612 ILO917607:ILO917612 IVK917607:IVK917612 JFG917607:JFG917612 JPC917607:JPC917612 JYY917607:JYY917612 KIU917607:KIU917612 KSQ917607:KSQ917612 LCM917607:LCM917612 LMI917607:LMI917612 LWE917607:LWE917612 MGA917607:MGA917612 MPW917607:MPW917612 MZS917607:MZS917612 NJO917607:NJO917612 NTK917607:NTK917612 ODG917607:ODG917612 ONC917607:ONC917612 OWY917607:OWY917612 PGU917607:PGU917612 PQQ917607:PQQ917612 QAM917607:QAM917612 QKI917607:QKI917612 QUE917607:QUE917612 REA917607:REA917612 RNW917607:RNW917612 RXS917607:RXS917612 SHO917607:SHO917612 SRK917607:SRK917612 TBG917607:TBG917612 TLC917607:TLC917612 TUY917607:TUY917612 UEU917607:UEU917612 UOQ917607:UOQ917612 UYM917607:UYM917612 VII917607:VII917612 VSE917607:VSE917612 WCA917607:WCA917612 WLW917607:WLW917612 WVS917607:WVS917612 J983143:J983148 JG983143:JG983148 TC983143:TC983148 ACY983143:ACY983148 AMU983143:AMU983148 AWQ983143:AWQ983148 BGM983143:BGM983148 BQI983143:BQI983148 CAE983143:CAE983148 CKA983143:CKA983148 CTW983143:CTW983148 DDS983143:DDS983148 DNO983143:DNO983148 DXK983143:DXK983148 EHG983143:EHG983148 ERC983143:ERC983148 FAY983143:FAY983148 FKU983143:FKU983148 FUQ983143:FUQ983148 GEM983143:GEM983148 GOI983143:GOI983148 GYE983143:GYE983148 HIA983143:HIA983148 HRW983143:HRW983148 IBS983143:IBS983148 ILO983143:ILO983148 IVK983143:IVK983148 JFG983143:JFG983148 JPC983143:JPC983148 JYY983143:JYY983148 KIU983143:KIU983148 KSQ983143:KSQ983148 LCM983143:LCM983148 LMI983143:LMI983148 LWE983143:LWE983148 MGA983143:MGA983148 MPW983143:MPW983148 MZS983143:MZS983148 NJO983143:NJO983148 NTK983143:NTK983148 ODG983143:ODG983148 ONC983143:ONC983148 OWY983143:OWY983148 PGU983143:PGU983148 PQQ983143:PQQ983148 QAM983143:QAM983148 QKI983143:QKI983148 QUE983143:QUE983148 REA983143:REA983148 RNW983143:RNW983148 RXS983143:RXS983148 SHO983143:SHO983148 SRK983143:SRK983148 TBG983143:TBG983148 TLC983143:TLC983148 TUY983143:TUY983148 UEU983143:UEU983148 UOQ983143:UOQ983148 UYM983143:UYM983148 VII983143:VII983148 VSE983143:VSE983148 WCA983143:WCA983148 WLW983143:WLW983148">
      <formula1>0</formula1>
    </dataValidation>
    <dataValidation type="list" allowBlank="1" showInputMessage="1" showErrorMessage="1" sqref="WVT983051:WVT983052 WLX983051:WLX983052 WCB983051:WCB983052 VSF983051:VSF983052 VIJ983051:VIJ983052 UYN983051:UYN983052 UOR983051:UOR983052 UEV983051:UEV983052 TUZ983051:TUZ983052 TLD983051:TLD983052 TBH983051:TBH983052 SRL983051:SRL983052 SHP983051:SHP983052 RXT983051:RXT983052 RNX983051:RNX983052 REB983051:REB983052 QUF983051:QUF983052 QKJ983051:QKJ983052 QAN983051:QAN983052 PQR983051:PQR983052 PGV983051:PGV983052 OWZ983051:OWZ983052 OND983051:OND983052 ODH983051:ODH983052 NTL983051:NTL983052 NJP983051:NJP983052 MZT983051:MZT983052 MPX983051:MPX983052 MGB983051:MGB983052 LWF983051:LWF983052 LMJ983051:LMJ983052 LCN983051:LCN983052 KSR983051:KSR983052 KIV983051:KIV983052 JYZ983051:JYZ983052 JPD983051:JPD983052 JFH983051:JFH983052 IVL983051:IVL983052 ILP983051:ILP983052 IBT983051:IBT983052 HRX983051:HRX983052 HIB983051:HIB983052 GYF983051:GYF983052 GOJ983051:GOJ983052 GEN983051:GEN983052 FUR983051:FUR983052 FKV983051:FKV983052 FAZ983051:FAZ983052 ERD983051:ERD983052 EHH983051:EHH983052 DXL983051:DXL983052 DNP983051:DNP983052 DDT983051:DDT983052 CTX983051:CTX983052 CKB983051:CKB983052 CAF983051:CAF983052 BQJ983051:BQJ983052 BGN983051:BGN983052 AWR983051:AWR983052 AMV983051:AMV983052 ACZ983051:ACZ983052 TD983051:TD983052 JH983051:JH983052 K983051:K983052 WVT917515:WVT917516 WLX917515:WLX917516 WCB917515:WCB917516 VSF917515:VSF917516 VIJ917515:VIJ917516 UYN917515:UYN917516 UOR917515:UOR917516 UEV917515:UEV917516 TUZ917515:TUZ917516 TLD917515:TLD917516 TBH917515:TBH917516 SRL917515:SRL917516 SHP917515:SHP917516 RXT917515:RXT917516 RNX917515:RNX917516 REB917515:REB917516 QUF917515:QUF917516 QKJ917515:QKJ917516 QAN917515:QAN917516 PQR917515:PQR917516 PGV917515:PGV917516 OWZ917515:OWZ917516 OND917515:OND917516 ODH917515:ODH917516 NTL917515:NTL917516 NJP917515:NJP917516 MZT917515:MZT917516 MPX917515:MPX917516 MGB917515:MGB917516 LWF917515:LWF917516 LMJ917515:LMJ917516 LCN917515:LCN917516 KSR917515:KSR917516 KIV917515:KIV917516 JYZ917515:JYZ917516 JPD917515:JPD917516 JFH917515:JFH917516 IVL917515:IVL917516 ILP917515:ILP917516 IBT917515:IBT917516 HRX917515:HRX917516 HIB917515:HIB917516 GYF917515:GYF917516 GOJ917515:GOJ917516 GEN917515:GEN917516 FUR917515:FUR917516 FKV917515:FKV917516 FAZ917515:FAZ917516 ERD917515:ERD917516 EHH917515:EHH917516 DXL917515:DXL917516 DNP917515:DNP917516 DDT917515:DDT917516 CTX917515:CTX917516 CKB917515:CKB917516 CAF917515:CAF917516 BQJ917515:BQJ917516 BGN917515:BGN917516 AWR917515:AWR917516 AMV917515:AMV917516 ACZ917515:ACZ917516 TD917515:TD917516 JH917515:JH917516 K917515:K917516 WVT851979:WVT851980 WLX851979:WLX851980 WCB851979:WCB851980 VSF851979:VSF851980 VIJ851979:VIJ851980 UYN851979:UYN851980 UOR851979:UOR851980 UEV851979:UEV851980 TUZ851979:TUZ851980 TLD851979:TLD851980 TBH851979:TBH851980 SRL851979:SRL851980 SHP851979:SHP851980 RXT851979:RXT851980 RNX851979:RNX851980 REB851979:REB851980 QUF851979:QUF851980 QKJ851979:QKJ851980 QAN851979:QAN851980 PQR851979:PQR851980 PGV851979:PGV851980 OWZ851979:OWZ851980 OND851979:OND851980 ODH851979:ODH851980 NTL851979:NTL851980 NJP851979:NJP851980 MZT851979:MZT851980 MPX851979:MPX851980 MGB851979:MGB851980 LWF851979:LWF851980 LMJ851979:LMJ851980 LCN851979:LCN851980 KSR851979:KSR851980 KIV851979:KIV851980 JYZ851979:JYZ851980 JPD851979:JPD851980 JFH851979:JFH851980 IVL851979:IVL851980 ILP851979:ILP851980 IBT851979:IBT851980 HRX851979:HRX851980 HIB851979:HIB851980 GYF851979:GYF851980 GOJ851979:GOJ851980 GEN851979:GEN851980 FUR851979:FUR851980 FKV851979:FKV851980 FAZ851979:FAZ851980 ERD851979:ERD851980 EHH851979:EHH851980 DXL851979:DXL851980 DNP851979:DNP851980 DDT851979:DDT851980 CTX851979:CTX851980 CKB851979:CKB851980 CAF851979:CAF851980 BQJ851979:BQJ851980 BGN851979:BGN851980 AWR851979:AWR851980 AMV851979:AMV851980 ACZ851979:ACZ851980 TD851979:TD851980 JH851979:JH851980 K851979:K851980 WVT786443:WVT786444 WLX786443:WLX786444 WCB786443:WCB786444 VSF786443:VSF786444 VIJ786443:VIJ786444 UYN786443:UYN786444 UOR786443:UOR786444 UEV786443:UEV786444 TUZ786443:TUZ786444 TLD786443:TLD786444 TBH786443:TBH786444 SRL786443:SRL786444 SHP786443:SHP786444 RXT786443:RXT786444 RNX786443:RNX786444 REB786443:REB786444 QUF786443:QUF786444 QKJ786443:QKJ786444 QAN786443:QAN786444 PQR786443:PQR786444 PGV786443:PGV786444 OWZ786443:OWZ786444 OND786443:OND786444 ODH786443:ODH786444 NTL786443:NTL786444 NJP786443:NJP786444 MZT786443:MZT786444 MPX786443:MPX786444 MGB786443:MGB786444 LWF786443:LWF786444 LMJ786443:LMJ786444 LCN786443:LCN786444 KSR786443:KSR786444 KIV786443:KIV786444 JYZ786443:JYZ786444 JPD786443:JPD786444 JFH786443:JFH786444 IVL786443:IVL786444 ILP786443:ILP786444 IBT786443:IBT786444 HRX786443:HRX786444 HIB786443:HIB786444 GYF786443:GYF786444 GOJ786443:GOJ786444 GEN786443:GEN786444 FUR786443:FUR786444 FKV786443:FKV786444 FAZ786443:FAZ786444 ERD786443:ERD786444 EHH786443:EHH786444 DXL786443:DXL786444 DNP786443:DNP786444 DDT786443:DDT786444 CTX786443:CTX786444 CKB786443:CKB786444 CAF786443:CAF786444 BQJ786443:BQJ786444 BGN786443:BGN786444 AWR786443:AWR786444 AMV786443:AMV786444 ACZ786443:ACZ786444 TD786443:TD786444 JH786443:JH786444 K786443:K786444 WVT720907:WVT720908 WLX720907:WLX720908 WCB720907:WCB720908 VSF720907:VSF720908 VIJ720907:VIJ720908 UYN720907:UYN720908 UOR720907:UOR720908 UEV720907:UEV720908 TUZ720907:TUZ720908 TLD720907:TLD720908 TBH720907:TBH720908 SRL720907:SRL720908 SHP720907:SHP720908 RXT720907:RXT720908 RNX720907:RNX720908 REB720907:REB720908 QUF720907:QUF720908 QKJ720907:QKJ720908 QAN720907:QAN720908 PQR720907:PQR720908 PGV720907:PGV720908 OWZ720907:OWZ720908 OND720907:OND720908 ODH720907:ODH720908 NTL720907:NTL720908 NJP720907:NJP720908 MZT720907:MZT720908 MPX720907:MPX720908 MGB720907:MGB720908 LWF720907:LWF720908 LMJ720907:LMJ720908 LCN720907:LCN720908 KSR720907:KSR720908 KIV720907:KIV720908 JYZ720907:JYZ720908 JPD720907:JPD720908 JFH720907:JFH720908 IVL720907:IVL720908 ILP720907:ILP720908 IBT720907:IBT720908 HRX720907:HRX720908 HIB720907:HIB720908 GYF720907:GYF720908 GOJ720907:GOJ720908 GEN720907:GEN720908 FUR720907:FUR720908 FKV720907:FKV720908 FAZ720907:FAZ720908 ERD720907:ERD720908 EHH720907:EHH720908 DXL720907:DXL720908 DNP720907:DNP720908 DDT720907:DDT720908 CTX720907:CTX720908 CKB720907:CKB720908 CAF720907:CAF720908 BQJ720907:BQJ720908 BGN720907:BGN720908 AWR720907:AWR720908 AMV720907:AMV720908 ACZ720907:ACZ720908 TD720907:TD720908 JH720907:JH720908 K720907:K720908 WVT655371:WVT655372 WLX655371:WLX655372 WCB655371:WCB655372 VSF655371:VSF655372 VIJ655371:VIJ655372 UYN655371:UYN655372 UOR655371:UOR655372 UEV655371:UEV655372 TUZ655371:TUZ655372 TLD655371:TLD655372 TBH655371:TBH655372 SRL655371:SRL655372 SHP655371:SHP655372 RXT655371:RXT655372 RNX655371:RNX655372 REB655371:REB655372 QUF655371:QUF655372 QKJ655371:QKJ655372 QAN655371:QAN655372 PQR655371:PQR655372 PGV655371:PGV655372 OWZ655371:OWZ655372 OND655371:OND655372 ODH655371:ODH655372 NTL655371:NTL655372 NJP655371:NJP655372 MZT655371:MZT655372 MPX655371:MPX655372 MGB655371:MGB655372 LWF655371:LWF655372 LMJ655371:LMJ655372 LCN655371:LCN655372 KSR655371:KSR655372 KIV655371:KIV655372 JYZ655371:JYZ655372 JPD655371:JPD655372 JFH655371:JFH655372 IVL655371:IVL655372 ILP655371:ILP655372 IBT655371:IBT655372 HRX655371:HRX655372 HIB655371:HIB655372 GYF655371:GYF655372 GOJ655371:GOJ655372 GEN655371:GEN655372 FUR655371:FUR655372 FKV655371:FKV655372 FAZ655371:FAZ655372 ERD655371:ERD655372 EHH655371:EHH655372 DXL655371:DXL655372 DNP655371:DNP655372 DDT655371:DDT655372 CTX655371:CTX655372 CKB655371:CKB655372 CAF655371:CAF655372 BQJ655371:BQJ655372 BGN655371:BGN655372 AWR655371:AWR655372 AMV655371:AMV655372 ACZ655371:ACZ655372 TD655371:TD655372 JH655371:JH655372 K655371:K655372 WVT589835:WVT589836 WLX589835:WLX589836 WCB589835:WCB589836 VSF589835:VSF589836 VIJ589835:VIJ589836 UYN589835:UYN589836 UOR589835:UOR589836 UEV589835:UEV589836 TUZ589835:TUZ589836 TLD589835:TLD589836 TBH589835:TBH589836 SRL589835:SRL589836 SHP589835:SHP589836 RXT589835:RXT589836 RNX589835:RNX589836 REB589835:REB589836 QUF589835:QUF589836 QKJ589835:QKJ589836 QAN589835:QAN589836 PQR589835:PQR589836 PGV589835:PGV589836 OWZ589835:OWZ589836 OND589835:OND589836 ODH589835:ODH589836 NTL589835:NTL589836 NJP589835:NJP589836 MZT589835:MZT589836 MPX589835:MPX589836 MGB589835:MGB589836 LWF589835:LWF589836 LMJ589835:LMJ589836 LCN589835:LCN589836 KSR589835:KSR589836 KIV589835:KIV589836 JYZ589835:JYZ589836 JPD589835:JPD589836 JFH589835:JFH589836 IVL589835:IVL589836 ILP589835:ILP589836 IBT589835:IBT589836 HRX589835:HRX589836 HIB589835:HIB589836 GYF589835:GYF589836 GOJ589835:GOJ589836 GEN589835:GEN589836 FUR589835:FUR589836 FKV589835:FKV589836 FAZ589835:FAZ589836 ERD589835:ERD589836 EHH589835:EHH589836 DXL589835:DXL589836 DNP589835:DNP589836 DDT589835:DDT589836 CTX589835:CTX589836 CKB589835:CKB589836 CAF589835:CAF589836 BQJ589835:BQJ589836 BGN589835:BGN589836 AWR589835:AWR589836 AMV589835:AMV589836 ACZ589835:ACZ589836 TD589835:TD589836 JH589835:JH589836 K589835:K589836 WVT524299:WVT524300 WLX524299:WLX524300 WCB524299:WCB524300 VSF524299:VSF524300 VIJ524299:VIJ524300 UYN524299:UYN524300 UOR524299:UOR524300 UEV524299:UEV524300 TUZ524299:TUZ524300 TLD524299:TLD524300 TBH524299:TBH524300 SRL524299:SRL524300 SHP524299:SHP524300 RXT524299:RXT524300 RNX524299:RNX524300 REB524299:REB524300 QUF524299:QUF524300 QKJ524299:QKJ524300 QAN524299:QAN524300 PQR524299:PQR524300 PGV524299:PGV524300 OWZ524299:OWZ524300 OND524299:OND524300 ODH524299:ODH524300 NTL524299:NTL524300 NJP524299:NJP524300 MZT524299:MZT524300 MPX524299:MPX524300 MGB524299:MGB524300 LWF524299:LWF524300 LMJ524299:LMJ524300 LCN524299:LCN524300 KSR524299:KSR524300 KIV524299:KIV524300 JYZ524299:JYZ524300 JPD524299:JPD524300 JFH524299:JFH524300 IVL524299:IVL524300 ILP524299:ILP524300 IBT524299:IBT524300 HRX524299:HRX524300 HIB524299:HIB524300 GYF524299:GYF524300 GOJ524299:GOJ524300 GEN524299:GEN524300 FUR524299:FUR524300 FKV524299:FKV524300 FAZ524299:FAZ524300 ERD524299:ERD524300 EHH524299:EHH524300 DXL524299:DXL524300 DNP524299:DNP524300 DDT524299:DDT524300 CTX524299:CTX524300 CKB524299:CKB524300 CAF524299:CAF524300 BQJ524299:BQJ524300 BGN524299:BGN524300 AWR524299:AWR524300 AMV524299:AMV524300 ACZ524299:ACZ524300 TD524299:TD524300 JH524299:JH524300 K524299:K524300 WVT458763:WVT458764 WLX458763:WLX458764 WCB458763:WCB458764 VSF458763:VSF458764 VIJ458763:VIJ458764 UYN458763:UYN458764 UOR458763:UOR458764 UEV458763:UEV458764 TUZ458763:TUZ458764 TLD458763:TLD458764 TBH458763:TBH458764 SRL458763:SRL458764 SHP458763:SHP458764 RXT458763:RXT458764 RNX458763:RNX458764 REB458763:REB458764 QUF458763:QUF458764 QKJ458763:QKJ458764 QAN458763:QAN458764 PQR458763:PQR458764 PGV458763:PGV458764 OWZ458763:OWZ458764 OND458763:OND458764 ODH458763:ODH458764 NTL458763:NTL458764 NJP458763:NJP458764 MZT458763:MZT458764 MPX458763:MPX458764 MGB458763:MGB458764 LWF458763:LWF458764 LMJ458763:LMJ458764 LCN458763:LCN458764 KSR458763:KSR458764 KIV458763:KIV458764 JYZ458763:JYZ458764 JPD458763:JPD458764 JFH458763:JFH458764 IVL458763:IVL458764 ILP458763:ILP458764 IBT458763:IBT458764 HRX458763:HRX458764 HIB458763:HIB458764 GYF458763:GYF458764 GOJ458763:GOJ458764 GEN458763:GEN458764 FUR458763:FUR458764 FKV458763:FKV458764 FAZ458763:FAZ458764 ERD458763:ERD458764 EHH458763:EHH458764 DXL458763:DXL458764 DNP458763:DNP458764 DDT458763:DDT458764 CTX458763:CTX458764 CKB458763:CKB458764 CAF458763:CAF458764 BQJ458763:BQJ458764 BGN458763:BGN458764 AWR458763:AWR458764 AMV458763:AMV458764 ACZ458763:ACZ458764 TD458763:TD458764 JH458763:JH458764 K458763:K458764 WVT393227:WVT393228 WLX393227:WLX393228 WCB393227:WCB393228 VSF393227:VSF393228 VIJ393227:VIJ393228 UYN393227:UYN393228 UOR393227:UOR393228 UEV393227:UEV393228 TUZ393227:TUZ393228 TLD393227:TLD393228 TBH393227:TBH393228 SRL393227:SRL393228 SHP393227:SHP393228 RXT393227:RXT393228 RNX393227:RNX393228 REB393227:REB393228 QUF393227:QUF393228 QKJ393227:QKJ393228 QAN393227:QAN393228 PQR393227:PQR393228 PGV393227:PGV393228 OWZ393227:OWZ393228 OND393227:OND393228 ODH393227:ODH393228 NTL393227:NTL393228 NJP393227:NJP393228 MZT393227:MZT393228 MPX393227:MPX393228 MGB393227:MGB393228 LWF393227:LWF393228 LMJ393227:LMJ393228 LCN393227:LCN393228 KSR393227:KSR393228 KIV393227:KIV393228 JYZ393227:JYZ393228 JPD393227:JPD393228 JFH393227:JFH393228 IVL393227:IVL393228 ILP393227:ILP393228 IBT393227:IBT393228 HRX393227:HRX393228 HIB393227:HIB393228 GYF393227:GYF393228 GOJ393227:GOJ393228 GEN393227:GEN393228 FUR393227:FUR393228 FKV393227:FKV393228 FAZ393227:FAZ393228 ERD393227:ERD393228 EHH393227:EHH393228 DXL393227:DXL393228 DNP393227:DNP393228 DDT393227:DDT393228 CTX393227:CTX393228 CKB393227:CKB393228 CAF393227:CAF393228 BQJ393227:BQJ393228 BGN393227:BGN393228 AWR393227:AWR393228 AMV393227:AMV393228 ACZ393227:ACZ393228 TD393227:TD393228 JH393227:JH393228 K393227:K393228 WVT327691:WVT327692 WLX327691:WLX327692 WCB327691:WCB327692 VSF327691:VSF327692 VIJ327691:VIJ327692 UYN327691:UYN327692 UOR327691:UOR327692 UEV327691:UEV327692 TUZ327691:TUZ327692 TLD327691:TLD327692 TBH327691:TBH327692 SRL327691:SRL327692 SHP327691:SHP327692 RXT327691:RXT327692 RNX327691:RNX327692 REB327691:REB327692 QUF327691:QUF327692 QKJ327691:QKJ327692 QAN327691:QAN327692 PQR327691:PQR327692 PGV327691:PGV327692 OWZ327691:OWZ327692 OND327691:OND327692 ODH327691:ODH327692 NTL327691:NTL327692 NJP327691:NJP327692 MZT327691:MZT327692 MPX327691:MPX327692 MGB327691:MGB327692 LWF327691:LWF327692 LMJ327691:LMJ327692 LCN327691:LCN327692 KSR327691:KSR327692 KIV327691:KIV327692 JYZ327691:JYZ327692 JPD327691:JPD327692 JFH327691:JFH327692 IVL327691:IVL327692 ILP327691:ILP327692 IBT327691:IBT327692 HRX327691:HRX327692 HIB327691:HIB327692 GYF327691:GYF327692 GOJ327691:GOJ327692 GEN327691:GEN327692 FUR327691:FUR327692 FKV327691:FKV327692 FAZ327691:FAZ327692 ERD327691:ERD327692 EHH327691:EHH327692 DXL327691:DXL327692 DNP327691:DNP327692 DDT327691:DDT327692 CTX327691:CTX327692 CKB327691:CKB327692 CAF327691:CAF327692 BQJ327691:BQJ327692 BGN327691:BGN327692 AWR327691:AWR327692 AMV327691:AMV327692 ACZ327691:ACZ327692 TD327691:TD327692 JH327691:JH327692 K327691:K327692 WVT262155:WVT262156 WLX262155:WLX262156 WCB262155:WCB262156 VSF262155:VSF262156 VIJ262155:VIJ262156 UYN262155:UYN262156 UOR262155:UOR262156 UEV262155:UEV262156 TUZ262155:TUZ262156 TLD262155:TLD262156 TBH262155:TBH262156 SRL262155:SRL262156 SHP262155:SHP262156 RXT262155:RXT262156 RNX262155:RNX262156 REB262155:REB262156 QUF262155:QUF262156 QKJ262155:QKJ262156 QAN262155:QAN262156 PQR262155:PQR262156 PGV262155:PGV262156 OWZ262155:OWZ262156 OND262155:OND262156 ODH262155:ODH262156 NTL262155:NTL262156 NJP262155:NJP262156 MZT262155:MZT262156 MPX262155:MPX262156 MGB262155:MGB262156 LWF262155:LWF262156 LMJ262155:LMJ262156 LCN262155:LCN262156 KSR262155:KSR262156 KIV262155:KIV262156 JYZ262155:JYZ262156 JPD262155:JPD262156 JFH262155:JFH262156 IVL262155:IVL262156 ILP262155:ILP262156 IBT262155:IBT262156 HRX262155:HRX262156 HIB262155:HIB262156 GYF262155:GYF262156 GOJ262155:GOJ262156 GEN262155:GEN262156 FUR262155:FUR262156 FKV262155:FKV262156 FAZ262155:FAZ262156 ERD262155:ERD262156 EHH262155:EHH262156 DXL262155:DXL262156 DNP262155:DNP262156 DDT262155:DDT262156 CTX262155:CTX262156 CKB262155:CKB262156 CAF262155:CAF262156 BQJ262155:BQJ262156 BGN262155:BGN262156 AWR262155:AWR262156 AMV262155:AMV262156 ACZ262155:ACZ262156 TD262155:TD262156 JH262155:JH262156 K262155:K262156 WVT196619:WVT196620 WLX196619:WLX196620 WCB196619:WCB196620 VSF196619:VSF196620 VIJ196619:VIJ196620 UYN196619:UYN196620 UOR196619:UOR196620 UEV196619:UEV196620 TUZ196619:TUZ196620 TLD196619:TLD196620 TBH196619:TBH196620 SRL196619:SRL196620 SHP196619:SHP196620 RXT196619:RXT196620 RNX196619:RNX196620 REB196619:REB196620 QUF196619:QUF196620 QKJ196619:QKJ196620 QAN196619:QAN196620 PQR196619:PQR196620 PGV196619:PGV196620 OWZ196619:OWZ196620 OND196619:OND196620 ODH196619:ODH196620 NTL196619:NTL196620 NJP196619:NJP196620 MZT196619:MZT196620 MPX196619:MPX196620 MGB196619:MGB196620 LWF196619:LWF196620 LMJ196619:LMJ196620 LCN196619:LCN196620 KSR196619:KSR196620 KIV196619:KIV196620 JYZ196619:JYZ196620 JPD196619:JPD196620 JFH196619:JFH196620 IVL196619:IVL196620 ILP196619:ILP196620 IBT196619:IBT196620 HRX196619:HRX196620 HIB196619:HIB196620 GYF196619:GYF196620 GOJ196619:GOJ196620 GEN196619:GEN196620 FUR196619:FUR196620 FKV196619:FKV196620 FAZ196619:FAZ196620 ERD196619:ERD196620 EHH196619:EHH196620 DXL196619:DXL196620 DNP196619:DNP196620 DDT196619:DDT196620 CTX196619:CTX196620 CKB196619:CKB196620 CAF196619:CAF196620 BQJ196619:BQJ196620 BGN196619:BGN196620 AWR196619:AWR196620 AMV196619:AMV196620 ACZ196619:ACZ196620 TD196619:TD196620 JH196619:JH196620 K196619:K196620 WVT131083:WVT131084 WLX131083:WLX131084 WCB131083:WCB131084 VSF131083:VSF131084 VIJ131083:VIJ131084 UYN131083:UYN131084 UOR131083:UOR131084 UEV131083:UEV131084 TUZ131083:TUZ131084 TLD131083:TLD131084 TBH131083:TBH131084 SRL131083:SRL131084 SHP131083:SHP131084 RXT131083:RXT131084 RNX131083:RNX131084 REB131083:REB131084 QUF131083:QUF131084 QKJ131083:QKJ131084 QAN131083:QAN131084 PQR131083:PQR131084 PGV131083:PGV131084 OWZ131083:OWZ131084 OND131083:OND131084 ODH131083:ODH131084 NTL131083:NTL131084 NJP131083:NJP131084 MZT131083:MZT131084 MPX131083:MPX131084 MGB131083:MGB131084 LWF131083:LWF131084 LMJ131083:LMJ131084 LCN131083:LCN131084 KSR131083:KSR131084 KIV131083:KIV131084 JYZ131083:JYZ131084 JPD131083:JPD131084 JFH131083:JFH131084 IVL131083:IVL131084 ILP131083:ILP131084 IBT131083:IBT131084 HRX131083:HRX131084 HIB131083:HIB131084 GYF131083:GYF131084 GOJ131083:GOJ131084 GEN131083:GEN131084 FUR131083:FUR131084 FKV131083:FKV131084 FAZ131083:FAZ131084 ERD131083:ERD131084 EHH131083:EHH131084 DXL131083:DXL131084 DNP131083:DNP131084 DDT131083:DDT131084 CTX131083:CTX131084 CKB131083:CKB131084 CAF131083:CAF131084 BQJ131083:BQJ131084 BGN131083:BGN131084 AWR131083:AWR131084 AMV131083:AMV131084 ACZ131083:ACZ131084 TD131083:TD131084 JH131083:JH131084 K131083:K131084 WVT65547:WVT65548 WLX65547:WLX65548 WCB65547:WCB65548 VSF65547:VSF65548 VIJ65547:VIJ65548 UYN65547:UYN65548 UOR65547:UOR65548 UEV65547:UEV65548 TUZ65547:TUZ65548 TLD65547:TLD65548 TBH65547:TBH65548 SRL65547:SRL65548 SHP65547:SHP65548 RXT65547:RXT65548 RNX65547:RNX65548 REB65547:REB65548 QUF65547:QUF65548 QKJ65547:QKJ65548 QAN65547:QAN65548 PQR65547:PQR65548 PGV65547:PGV65548 OWZ65547:OWZ65548 OND65547:OND65548 ODH65547:ODH65548 NTL65547:NTL65548 NJP65547:NJP65548 MZT65547:MZT65548 MPX65547:MPX65548 MGB65547:MGB65548 LWF65547:LWF65548 LMJ65547:LMJ65548 LCN65547:LCN65548 KSR65547:KSR65548 KIV65547:KIV65548 JYZ65547:JYZ65548 JPD65547:JPD65548 JFH65547:JFH65548 IVL65547:IVL65548 ILP65547:ILP65548 IBT65547:IBT65548 HRX65547:HRX65548 HIB65547:HIB65548 GYF65547:GYF65548 GOJ65547:GOJ65548 GEN65547:GEN65548 FUR65547:FUR65548 FKV65547:FKV65548 FAZ65547:FAZ65548 ERD65547:ERD65548 EHH65547:EHH65548 DXL65547:DXL65548 DNP65547:DNP65548 DDT65547:DDT65548 CTX65547:CTX65548 CKB65547:CKB65548 CAF65547:CAF65548 BQJ65547:BQJ65548 BGN65547:BGN65548 AWR65547:AWR65548 AMV65547:AMV65548 ACZ65547:ACZ65548 TD65547:TD65548 JH65547:JH65548 K65547:K65548 WVT9:WVT10 WLX9:WLX10 WCB9:WCB10 VSF9:VSF10 VIJ9:VIJ10 UYN9:UYN10 UOR9:UOR10 UEV9:UEV10 TUZ9:TUZ10 TLD9:TLD10 TBH9:TBH10 SRL9:SRL10 SHP9:SHP10 RXT9:RXT10 RNX9:RNX10 REB9:REB10 QUF9:QUF10 QKJ9:QKJ10 QAN9:QAN10 PQR9:PQR10 PGV9:PGV10 OWZ9:OWZ10 OND9:OND10 ODH9:ODH10 NTL9:NTL10 NJP9:NJP10 MZT9:MZT10 MPX9:MPX10 MGB9:MGB10 LWF9:LWF10 LMJ9:LMJ10 LCN9:LCN10 KSR9:KSR10 KIV9:KIV10 JYZ9:JYZ10 JPD9:JPD10 JFH9:JFH10 IVL9:IVL10 ILP9:ILP10 IBT9:IBT10 HRX9:HRX10 HIB9:HIB10 GYF9:GYF10 GOJ9:GOJ10 GEN9:GEN10 FUR9:FUR10 FKV9:FKV10 FAZ9:FAZ10 ERD9:ERD10 EHH9:EHH10 DXL9:DXL10 DNP9:DNP10 DDT9:DDT10 CTX9:CTX10 CKB9:CKB10 CAF9:CAF10 BQJ9:BQJ10 BGN9:BGN10 AWR9:AWR10 AMV9:AMV10 ACZ9:ACZ10 TD9:TD10 JH9:JH10">
      <formula1>$R$5:$R$9</formula1>
    </dataValidation>
    <dataValidation type="list" allowBlank="1" showInputMessage="1" showErrorMessage="1" sqref="WVW85:WVW86 WMA85:WMA86 WCE85:WCE86 VSI85:VSI86 VIM85:VIM86 UYQ85:UYQ86 UOU85:UOU86 UEY85:UEY86 TVC85:TVC86 TLG85:TLG86 TBK85:TBK86 SRO85:SRO86 SHS85:SHS86 RXW85:RXW86 ROA85:ROA86 REE85:REE86 QUI85:QUI86 QKM85:QKM86 QAQ85:QAQ86 PQU85:PQU86 PGY85:PGY86 OXC85:OXC86 ONG85:ONG86 ODK85:ODK86 NTO85:NTO86 NJS85:NJS86 MZW85:MZW86 MQA85:MQA86 MGE85:MGE86 LWI85:LWI86 LMM85:LMM86 LCQ85:LCQ86 KSU85:KSU86 KIY85:KIY86 JZC85:JZC86 JPG85:JPG86 JFK85:JFK86 IVO85:IVO86 ILS85:ILS86 IBW85:IBW86 HSA85:HSA86 HIE85:HIE86 GYI85:GYI86 GOM85:GOM86 GEQ85:GEQ86 FUU85:FUU86 FKY85:FKY86 FBC85:FBC86 ERG85:ERG86 EHK85:EHK86 DXO85:DXO86 DNS85:DNS86 DDW85:DDW86 CUA85:CUA86 CKE85:CKE86 CAI85:CAI86 BQM85:BQM86 BGQ85:BGQ86 AWU85:AWU86 AMY85:AMY86 ADC85:ADC86 TG85:TG86 JK85:JK86">
      <formula1>"○,　,対象外"</formula1>
    </dataValidation>
  </dataValidations>
  <printOptions horizontalCentered="1"/>
  <pageMargins left="0.39370078740157483" right="0.39370078740157483" top="0.59055118110236227" bottom="0.39370078740157483" header="0.31496062992125984" footer="0.51181102362204722"/>
  <pageSetup paperSize="9" scale="59" orientation="portrait" horizontalDpi="300" verticalDpi="300" r:id="rId1"/>
  <headerFooter alignWithMargins="0"/>
  <drawing r:id="rId2"/>
  <legacyDrawing r:id="rId3"/>
  <extLst xmlns:x14="http://schemas.microsoft.com/office/spreadsheetml/2009/9/main">
    <ext uri="{CCE6A557-97BC-4b89-ADB6-D9C93CAAB3DF}">
      <x14:dataValidations xmlns:xm="http://schemas.microsoft.com/office/excel/2006/main" disablePrompts="1" count="1">
        <x14:dataValidation type="whole" allowBlank="1" showInputMessage="1" showErrorMessage="1">
          <x14:formula1>
            <xm:f>1</xm:f>
          </x14:formula1>
          <x14:formula2>
            <xm:f>5</xm:f>
          </x14:formula2>
          <xm:sqref>UEY983081:UEY983084 JK69:JK71 TG69:TG71 ADC69:ADC71 AMY69:AMY71 AWU69:AWU71 BGQ69:BGQ71 BQM69:BQM71 CAI69:CAI71 CKE69:CKE71 CUA69:CUA71 DDW69:DDW71 DNS69:DNS71 DXO69:DXO71 EHK69:EHK71 ERG69:ERG71 FBC69:FBC71 FKY69:FKY71 FUU69:FUU71 GEQ69:GEQ71 GOM69:GOM71 GYI69:GYI71 HIE69:HIE71 HSA69:HSA71 IBW69:IBW71 ILS69:ILS71 IVO69:IVO71 JFK69:JFK71 JPG69:JPG71 JZC69:JZC71 KIY69:KIY71 KSU69:KSU71 LCQ69:LCQ71 LMM69:LMM71 LWI69:LWI71 MGE69:MGE71 MQA69:MQA71 MZW69:MZW71 NJS69:NJS71 NTO69:NTO71 ODK69:ODK71 ONG69:ONG71 OXC69:OXC71 PGY69:PGY71 PQU69:PQU71 QAQ69:QAQ71 QKM69:QKM71 QUI69:QUI71 REE69:REE71 ROA69:ROA71 RXW69:RXW71 SHS69:SHS71 SRO69:SRO71 TBK69:TBK71 TLG69:TLG71 TVC69:TVC71 UEY69:UEY71 UOU69:UOU71 UYQ69:UYQ71 VIM69:VIM71 VSI69:VSI71 WCE69:WCE71 WMA69:WMA71 WVW69:WVW71 N65607:N65609 JK65607:JK65609 TG65607:TG65609 ADC65607:ADC65609 AMY65607:AMY65609 AWU65607:AWU65609 BGQ65607:BGQ65609 BQM65607:BQM65609 CAI65607:CAI65609 CKE65607:CKE65609 CUA65607:CUA65609 DDW65607:DDW65609 DNS65607:DNS65609 DXO65607:DXO65609 EHK65607:EHK65609 ERG65607:ERG65609 FBC65607:FBC65609 FKY65607:FKY65609 FUU65607:FUU65609 GEQ65607:GEQ65609 GOM65607:GOM65609 GYI65607:GYI65609 HIE65607:HIE65609 HSA65607:HSA65609 IBW65607:IBW65609 ILS65607:ILS65609 IVO65607:IVO65609 JFK65607:JFK65609 JPG65607:JPG65609 JZC65607:JZC65609 KIY65607:KIY65609 KSU65607:KSU65609 LCQ65607:LCQ65609 LMM65607:LMM65609 LWI65607:LWI65609 MGE65607:MGE65609 MQA65607:MQA65609 MZW65607:MZW65609 NJS65607:NJS65609 NTO65607:NTO65609 ODK65607:ODK65609 ONG65607:ONG65609 OXC65607:OXC65609 PGY65607:PGY65609 PQU65607:PQU65609 QAQ65607:QAQ65609 QKM65607:QKM65609 QUI65607:QUI65609 REE65607:REE65609 ROA65607:ROA65609 RXW65607:RXW65609 SHS65607:SHS65609 SRO65607:SRO65609 TBK65607:TBK65609 TLG65607:TLG65609 TVC65607:TVC65609 UEY65607:UEY65609 UOU65607:UOU65609 UYQ65607:UYQ65609 VIM65607:VIM65609 VSI65607:VSI65609 WCE65607:WCE65609 WMA65607:WMA65609 WVW65607:WVW65609 N131143:N131145 JK131143:JK131145 TG131143:TG131145 ADC131143:ADC131145 AMY131143:AMY131145 AWU131143:AWU131145 BGQ131143:BGQ131145 BQM131143:BQM131145 CAI131143:CAI131145 CKE131143:CKE131145 CUA131143:CUA131145 DDW131143:DDW131145 DNS131143:DNS131145 DXO131143:DXO131145 EHK131143:EHK131145 ERG131143:ERG131145 FBC131143:FBC131145 FKY131143:FKY131145 FUU131143:FUU131145 GEQ131143:GEQ131145 GOM131143:GOM131145 GYI131143:GYI131145 HIE131143:HIE131145 HSA131143:HSA131145 IBW131143:IBW131145 ILS131143:ILS131145 IVO131143:IVO131145 JFK131143:JFK131145 JPG131143:JPG131145 JZC131143:JZC131145 KIY131143:KIY131145 KSU131143:KSU131145 LCQ131143:LCQ131145 LMM131143:LMM131145 LWI131143:LWI131145 MGE131143:MGE131145 MQA131143:MQA131145 MZW131143:MZW131145 NJS131143:NJS131145 NTO131143:NTO131145 ODK131143:ODK131145 ONG131143:ONG131145 OXC131143:OXC131145 PGY131143:PGY131145 PQU131143:PQU131145 QAQ131143:QAQ131145 QKM131143:QKM131145 QUI131143:QUI131145 REE131143:REE131145 ROA131143:ROA131145 RXW131143:RXW131145 SHS131143:SHS131145 SRO131143:SRO131145 TBK131143:TBK131145 TLG131143:TLG131145 TVC131143:TVC131145 UEY131143:UEY131145 UOU131143:UOU131145 UYQ131143:UYQ131145 VIM131143:VIM131145 VSI131143:VSI131145 WCE131143:WCE131145 WMA131143:WMA131145 WVW131143:WVW131145 N196679:N196681 JK196679:JK196681 TG196679:TG196681 ADC196679:ADC196681 AMY196679:AMY196681 AWU196679:AWU196681 BGQ196679:BGQ196681 BQM196679:BQM196681 CAI196679:CAI196681 CKE196679:CKE196681 CUA196679:CUA196681 DDW196679:DDW196681 DNS196679:DNS196681 DXO196679:DXO196681 EHK196679:EHK196681 ERG196679:ERG196681 FBC196679:FBC196681 FKY196679:FKY196681 FUU196679:FUU196681 GEQ196679:GEQ196681 GOM196679:GOM196681 GYI196679:GYI196681 HIE196679:HIE196681 HSA196679:HSA196681 IBW196679:IBW196681 ILS196679:ILS196681 IVO196679:IVO196681 JFK196679:JFK196681 JPG196679:JPG196681 JZC196679:JZC196681 KIY196679:KIY196681 KSU196679:KSU196681 LCQ196679:LCQ196681 LMM196679:LMM196681 LWI196679:LWI196681 MGE196679:MGE196681 MQA196679:MQA196681 MZW196679:MZW196681 NJS196679:NJS196681 NTO196679:NTO196681 ODK196679:ODK196681 ONG196679:ONG196681 OXC196679:OXC196681 PGY196679:PGY196681 PQU196679:PQU196681 QAQ196679:QAQ196681 QKM196679:QKM196681 QUI196679:QUI196681 REE196679:REE196681 ROA196679:ROA196681 RXW196679:RXW196681 SHS196679:SHS196681 SRO196679:SRO196681 TBK196679:TBK196681 TLG196679:TLG196681 TVC196679:TVC196681 UEY196679:UEY196681 UOU196679:UOU196681 UYQ196679:UYQ196681 VIM196679:VIM196681 VSI196679:VSI196681 WCE196679:WCE196681 WMA196679:WMA196681 WVW196679:WVW196681 N262215:N262217 JK262215:JK262217 TG262215:TG262217 ADC262215:ADC262217 AMY262215:AMY262217 AWU262215:AWU262217 BGQ262215:BGQ262217 BQM262215:BQM262217 CAI262215:CAI262217 CKE262215:CKE262217 CUA262215:CUA262217 DDW262215:DDW262217 DNS262215:DNS262217 DXO262215:DXO262217 EHK262215:EHK262217 ERG262215:ERG262217 FBC262215:FBC262217 FKY262215:FKY262217 FUU262215:FUU262217 GEQ262215:GEQ262217 GOM262215:GOM262217 GYI262215:GYI262217 HIE262215:HIE262217 HSA262215:HSA262217 IBW262215:IBW262217 ILS262215:ILS262217 IVO262215:IVO262217 JFK262215:JFK262217 JPG262215:JPG262217 JZC262215:JZC262217 KIY262215:KIY262217 KSU262215:KSU262217 LCQ262215:LCQ262217 LMM262215:LMM262217 LWI262215:LWI262217 MGE262215:MGE262217 MQA262215:MQA262217 MZW262215:MZW262217 NJS262215:NJS262217 NTO262215:NTO262217 ODK262215:ODK262217 ONG262215:ONG262217 OXC262215:OXC262217 PGY262215:PGY262217 PQU262215:PQU262217 QAQ262215:QAQ262217 QKM262215:QKM262217 QUI262215:QUI262217 REE262215:REE262217 ROA262215:ROA262217 RXW262215:RXW262217 SHS262215:SHS262217 SRO262215:SRO262217 TBK262215:TBK262217 TLG262215:TLG262217 TVC262215:TVC262217 UEY262215:UEY262217 UOU262215:UOU262217 UYQ262215:UYQ262217 VIM262215:VIM262217 VSI262215:VSI262217 WCE262215:WCE262217 WMA262215:WMA262217 WVW262215:WVW262217 N327751:N327753 JK327751:JK327753 TG327751:TG327753 ADC327751:ADC327753 AMY327751:AMY327753 AWU327751:AWU327753 BGQ327751:BGQ327753 BQM327751:BQM327753 CAI327751:CAI327753 CKE327751:CKE327753 CUA327751:CUA327753 DDW327751:DDW327753 DNS327751:DNS327753 DXO327751:DXO327753 EHK327751:EHK327753 ERG327751:ERG327753 FBC327751:FBC327753 FKY327751:FKY327753 FUU327751:FUU327753 GEQ327751:GEQ327753 GOM327751:GOM327753 GYI327751:GYI327753 HIE327751:HIE327753 HSA327751:HSA327753 IBW327751:IBW327753 ILS327751:ILS327753 IVO327751:IVO327753 JFK327751:JFK327753 JPG327751:JPG327753 JZC327751:JZC327753 KIY327751:KIY327753 KSU327751:KSU327753 LCQ327751:LCQ327753 LMM327751:LMM327753 LWI327751:LWI327753 MGE327751:MGE327753 MQA327751:MQA327753 MZW327751:MZW327753 NJS327751:NJS327753 NTO327751:NTO327753 ODK327751:ODK327753 ONG327751:ONG327753 OXC327751:OXC327753 PGY327751:PGY327753 PQU327751:PQU327753 QAQ327751:QAQ327753 QKM327751:QKM327753 QUI327751:QUI327753 REE327751:REE327753 ROA327751:ROA327753 RXW327751:RXW327753 SHS327751:SHS327753 SRO327751:SRO327753 TBK327751:TBK327753 TLG327751:TLG327753 TVC327751:TVC327753 UEY327751:UEY327753 UOU327751:UOU327753 UYQ327751:UYQ327753 VIM327751:VIM327753 VSI327751:VSI327753 WCE327751:WCE327753 WMA327751:WMA327753 WVW327751:WVW327753 N393287:N393289 JK393287:JK393289 TG393287:TG393289 ADC393287:ADC393289 AMY393287:AMY393289 AWU393287:AWU393289 BGQ393287:BGQ393289 BQM393287:BQM393289 CAI393287:CAI393289 CKE393287:CKE393289 CUA393287:CUA393289 DDW393287:DDW393289 DNS393287:DNS393289 DXO393287:DXO393289 EHK393287:EHK393289 ERG393287:ERG393289 FBC393287:FBC393289 FKY393287:FKY393289 FUU393287:FUU393289 GEQ393287:GEQ393289 GOM393287:GOM393289 GYI393287:GYI393289 HIE393287:HIE393289 HSA393287:HSA393289 IBW393287:IBW393289 ILS393287:ILS393289 IVO393287:IVO393289 JFK393287:JFK393289 JPG393287:JPG393289 JZC393287:JZC393289 KIY393287:KIY393289 KSU393287:KSU393289 LCQ393287:LCQ393289 LMM393287:LMM393289 LWI393287:LWI393289 MGE393287:MGE393289 MQA393287:MQA393289 MZW393287:MZW393289 NJS393287:NJS393289 NTO393287:NTO393289 ODK393287:ODK393289 ONG393287:ONG393289 OXC393287:OXC393289 PGY393287:PGY393289 PQU393287:PQU393289 QAQ393287:QAQ393289 QKM393287:QKM393289 QUI393287:QUI393289 REE393287:REE393289 ROA393287:ROA393289 RXW393287:RXW393289 SHS393287:SHS393289 SRO393287:SRO393289 TBK393287:TBK393289 TLG393287:TLG393289 TVC393287:TVC393289 UEY393287:UEY393289 UOU393287:UOU393289 UYQ393287:UYQ393289 VIM393287:VIM393289 VSI393287:VSI393289 WCE393287:WCE393289 WMA393287:WMA393289 WVW393287:WVW393289 N458823:N458825 JK458823:JK458825 TG458823:TG458825 ADC458823:ADC458825 AMY458823:AMY458825 AWU458823:AWU458825 BGQ458823:BGQ458825 BQM458823:BQM458825 CAI458823:CAI458825 CKE458823:CKE458825 CUA458823:CUA458825 DDW458823:DDW458825 DNS458823:DNS458825 DXO458823:DXO458825 EHK458823:EHK458825 ERG458823:ERG458825 FBC458823:FBC458825 FKY458823:FKY458825 FUU458823:FUU458825 GEQ458823:GEQ458825 GOM458823:GOM458825 GYI458823:GYI458825 HIE458823:HIE458825 HSA458823:HSA458825 IBW458823:IBW458825 ILS458823:ILS458825 IVO458823:IVO458825 JFK458823:JFK458825 JPG458823:JPG458825 JZC458823:JZC458825 KIY458823:KIY458825 KSU458823:KSU458825 LCQ458823:LCQ458825 LMM458823:LMM458825 LWI458823:LWI458825 MGE458823:MGE458825 MQA458823:MQA458825 MZW458823:MZW458825 NJS458823:NJS458825 NTO458823:NTO458825 ODK458823:ODK458825 ONG458823:ONG458825 OXC458823:OXC458825 PGY458823:PGY458825 PQU458823:PQU458825 QAQ458823:QAQ458825 QKM458823:QKM458825 QUI458823:QUI458825 REE458823:REE458825 ROA458823:ROA458825 RXW458823:RXW458825 SHS458823:SHS458825 SRO458823:SRO458825 TBK458823:TBK458825 TLG458823:TLG458825 TVC458823:TVC458825 UEY458823:UEY458825 UOU458823:UOU458825 UYQ458823:UYQ458825 VIM458823:VIM458825 VSI458823:VSI458825 WCE458823:WCE458825 WMA458823:WMA458825 WVW458823:WVW458825 N524359:N524361 JK524359:JK524361 TG524359:TG524361 ADC524359:ADC524361 AMY524359:AMY524361 AWU524359:AWU524361 BGQ524359:BGQ524361 BQM524359:BQM524361 CAI524359:CAI524361 CKE524359:CKE524361 CUA524359:CUA524361 DDW524359:DDW524361 DNS524359:DNS524361 DXO524359:DXO524361 EHK524359:EHK524361 ERG524359:ERG524361 FBC524359:FBC524361 FKY524359:FKY524361 FUU524359:FUU524361 GEQ524359:GEQ524361 GOM524359:GOM524361 GYI524359:GYI524361 HIE524359:HIE524361 HSA524359:HSA524361 IBW524359:IBW524361 ILS524359:ILS524361 IVO524359:IVO524361 JFK524359:JFK524361 JPG524359:JPG524361 JZC524359:JZC524361 KIY524359:KIY524361 KSU524359:KSU524361 LCQ524359:LCQ524361 LMM524359:LMM524361 LWI524359:LWI524361 MGE524359:MGE524361 MQA524359:MQA524361 MZW524359:MZW524361 NJS524359:NJS524361 NTO524359:NTO524361 ODK524359:ODK524361 ONG524359:ONG524361 OXC524359:OXC524361 PGY524359:PGY524361 PQU524359:PQU524361 QAQ524359:QAQ524361 QKM524359:QKM524361 QUI524359:QUI524361 REE524359:REE524361 ROA524359:ROA524361 RXW524359:RXW524361 SHS524359:SHS524361 SRO524359:SRO524361 TBK524359:TBK524361 TLG524359:TLG524361 TVC524359:TVC524361 UEY524359:UEY524361 UOU524359:UOU524361 UYQ524359:UYQ524361 VIM524359:VIM524361 VSI524359:VSI524361 WCE524359:WCE524361 WMA524359:WMA524361 WVW524359:WVW524361 N589895:N589897 JK589895:JK589897 TG589895:TG589897 ADC589895:ADC589897 AMY589895:AMY589897 AWU589895:AWU589897 BGQ589895:BGQ589897 BQM589895:BQM589897 CAI589895:CAI589897 CKE589895:CKE589897 CUA589895:CUA589897 DDW589895:DDW589897 DNS589895:DNS589897 DXO589895:DXO589897 EHK589895:EHK589897 ERG589895:ERG589897 FBC589895:FBC589897 FKY589895:FKY589897 FUU589895:FUU589897 GEQ589895:GEQ589897 GOM589895:GOM589897 GYI589895:GYI589897 HIE589895:HIE589897 HSA589895:HSA589897 IBW589895:IBW589897 ILS589895:ILS589897 IVO589895:IVO589897 JFK589895:JFK589897 JPG589895:JPG589897 JZC589895:JZC589897 KIY589895:KIY589897 KSU589895:KSU589897 LCQ589895:LCQ589897 LMM589895:LMM589897 LWI589895:LWI589897 MGE589895:MGE589897 MQA589895:MQA589897 MZW589895:MZW589897 NJS589895:NJS589897 NTO589895:NTO589897 ODK589895:ODK589897 ONG589895:ONG589897 OXC589895:OXC589897 PGY589895:PGY589897 PQU589895:PQU589897 QAQ589895:QAQ589897 QKM589895:QKM589897 QUI589895:QUI589897 REE589895:REE589897 ROA589895:ROA589897 RXW589895:RXW589897 SHS589895:SHS589897 SRO589895:SRO589897 TBK589895:TBK589897 TLG589895:TLG589897 TVC589895:TVC589897 UEY589895:UEY589897 UOU589895:UOU589897 UYQ589895:UYQ589897 VIM589895:VIM589897 VSI589895:VSI589897 WCE589895:WCE589897 WMA589895:WMA589897 WVW589895:WVW589897 N655431:N655433 JK655431:JK655433 TG655431:TG655433 ADC655431:ADC655433 AMY655431:AMY655433 AWU655431:AWU655433 BGQ655431:BGQ655433 BQM655431:BQM655433 CAI655431:CAI655433 CKE655431:CKE655433 CUA655431:CUA655433 DDW655431:DDW655433 DNS655431:DNS655433 DXO655431:DXO655433 EHK655431:EHK655433 ERG655431:ERG655433 FBC655431:FBC655433 FKY655431:FKY655433 FUU655431:FUU655433 GEQ655431:GEQ655433 GOM655431:GOM655433 GYI655431:GYI655433 HIE655431:HIE655433 HSA655431:HSA655433 IBW655431:IBW655433 ILS655431:ILS655433 IVO655431:IVO655433 JFK655431:JFK655433 JPG655431:JPG655433 JZC655431:JZC655433 KIY655431:KIY655433 KSU655431:KSU655433 LCQ655431:LCQ655433 LMM655431:LMM655433 LWI655431:LWI655433 MGE655431:MGE655433 MQA655431:MQA655433 MZW655431:MZW655433 NJS655431:NJS655433 NTO655431:NTO655433 ODK655431:ODK655433 ONG655431:ONG655433 OXC655431:OXC655433 PGY655431:PGY655433 PQU655431:PQU655433 QAQ655431:QAQ655433 QKM655431:QKM655433 QUI655431:QUI655433 REE655431:REE655433 ROA655431:ROA655433 RXW655431:RXW655433 SHS655431:SHS655433 SRO655431:SRO655433 TBK655431:TBK655433 TLG655431:TLG655433 TVC655431:TVC655433 UEY655431:UEY655433 UOU655431:UOU655433 UYQ655431:UYQ655433 VIM655431:VIM655433 VSI655431:VSI655433 WCE655431:WCE655433 WMA655431:WMA655433 WVW655431:WVW655433 N720967:N720969 JK720967:JK720969 TG720967:TG720969 ADC720967:ADC720969 AMY720967:AMY720969 AWU720967:AWU720969 BGQ720967:BGQ720969 BQM720967:BQM720969 CAI720967:CAI720969 CKE720967:CKE720969 CUA720967:CUA720969 DDW720967:DDW720969 DNS720967:DNS720969 DXO720967:DXO720969 EHK720967:EHK720969 ERG720967:ERG720969 FBC720967:FBC720969 FKY720967:FKY720969 FUU720967:FUU720969 GEQ720967:GEQ720969 GOM720967:GOM720969 GYI720967:GYI720969 HIE720967:HIE720969 HSA720967:HSA720969 IBW720967:IBW720969 ILS720967:ILS720969 IVO720967:IVO720969 JFK720967:JFK720969 JPG720967:JPG720969 JZC720967:JZC720969 KIY720967:KIY720969 KSU720967:KSU720969 LCQ720967:LCQ720969 LMM720967:LMM720969 LWI720967:LWI720969 MGE720967:MGE720969 MQA720967:MQA720969 MZW720967:MZW720969 NJS720967:NJS720969 NTO720967:NTO720969 ODK720967:ODK720969 ONG720967:ONG720969 OXC720967:OXC720969 PGY720967:PGY720969 PQU720967:PQU720969 QAQ720967:QAQ720969 QKM720967:QKM720969 QUI720967:QUI720969 REE720967:REE720969 ROA720967:ROA720969 RXW720967:RXW720969 SHS720967:SHS720969 SRO720967:SRO720969 TBK720967:TBK720969 TLG720967:TLG720969 TVC720967:TVC720969 UEY720967:UEY720969 UOU720967:UOU720969 UYQ720967:UYQ720969 VIM720967:VIM720969 VSI720967:VSI720969 WCE720967:WCE720969 WMA720967:WMA720969 WVW720967:WVW720969 N786503:N786505 JK786503:JK786505 TG786503:TG786505 ADC786503:ADC786505 AMY786503:AMY786505 AWU786503:AWU786505 BGQ786503:BGQ786505 BQM786503:BQM786505 CAI786503:CAI786505 CKE786503:CKE786505 CUA786503:CUA786505 DDW786503:DDW786505 DNS786503:DNS786505 DXO786503:DXO786505 EHK786503:EHK786505 ERG786503:ERG786505 FBC786503:FBC786505 FKY786503:FKY786505 FUU786503:FUU786505 GEQ786503:GEQ786505 GOM786503:GOM786505 GYI786503:GYI786505 HIE786503:HIE786505 HSA786503:HSA786505 IBW786503:IBW786505 ILS786503:ILS786505 IVO786503:IVO786505 JFK786503:JFK786505 JPG786503:JPG786505 JZC786503:JZC786505 KIY786503:KIY786505 KSU786503:KSU786505 LCQ786503:LCQ786505 LMM786503:LMM786505 LWI786503:LWI786505 MGE786503:MGE786505 MQA786503:MQA786505 MZW786503:MZW786505 NJS786503:NJS786505 NTO786503:NTO786505 ODK786503:ODK786505 ONG786503:ONG786505 OXC786503:OXC786505 PGY786503:PGY786505 PQU786503:PQU786505 QAQ786503:QAQ786505 QKM786503:QKM786505 QUI786503:QUI786505 REE786503:REE786505 ROA786503:ROA786505 RXW786503:RXW786505 SHS786503:SHS786505 SRO786503:SRO786505 TBK786503:TBK786505 TLG786503:TLG786505 TVC786503:TVC786505 UEY786503:UEY786505 UOU786503:UOU786505 UYQ786503:UYQ786505 VIM786503:VIM786505 VSI786503:VSI786505 WCE786503:WCE786505 WMA786503:WMA786505 WVW786503:WVW786505 N852039:N852041 JK852039:JK852041 TG852039:TG852041 ADC852039:ADC852041 AMY852039:AMY852041 AWU852039:AWU852041 BGQ852039:BGQ852041 BQM852039:BQM852041 CAI852039:CAI852041 CKE852039:CKE852041 CUA852039:CUA852041 DDW852039:DDW852041 DNS852039:DNS852041 DXO852039:DXO852041 EHK852039:EHK852041 ERG852039:ERG852041 FBC852039:FBC852041 FKY852039:FKY852041 FUU852039:FUU852041 GEQ852039:GEQ852041 GOM852039:GOM852041 GYI852039:GYI852041 HIE852039:HIE852041 HSA852039:HSA852041 IBW852039:IBW852041 ILS852039:ILS852041 IVO852039:IVO852041 JFK852039:JFK852041 JPG852039:JPG852041 JZC852039:JZC852041 KIY852039:KIY852041 KSU852039:KSU852041 LCQ852039:LCQ852041 LMM852039:LMM852041 LWI852039:LWI852041 MGE852039:MGE852041 MQA852039:MQA852041 MZW852039:MZW852041 NJS852039:NJS852041 NTO852039:NTO852041 ODK852039:ODK852041 ONG852039:ONG852041 OXC852039:OXC852041 PGY852039:PGY852041 PQU852039:PQU852041 QAQ852039:QAQ852041 QKM852039:QKM852041 QUI852039:QUI852041 REE852039:REE852041 ROA852039:ROA852041 RXW852039:RXW852041 SHS852039:SHS852041 SRO852039:SRO852041 TBK852039:TBK852041 TLG852039:TLG852041 TVC852039:TVC852041 UEY852039:UEY852041 UOU852039:UOU852041 UYQ852039:UYQ852041 VIM852039:VIM852041 VSI852039:VSI852041 WCE852039:WCE852041 WMA852039:WMA852041 WVW852039:WVW852041 N917575:N917577 JK917575:JK917577 TG917575:TG917577 ADC917575:ADC917577 AMY917575:AMY917577 AWU917575:AWU917577 BGQ917575:BGQ917577 BQM917575:BQM917577 CAI917575:CAI917577 CKE917575:CKE917577 CUA917575:CUA917577 DDW917575:DDW917577 DNS917575:DNS917577 DXO917575:DXO917577 EHK917575:EHK917577 ERG917575:ERG917577 FBC917575:FBC917577 FKY917575:FKY917577 FUU917575:FUU917577 GEQ917575:GEQ917577 GOM917575:GOM917577 GYI917575:GYI917577 HIE917575:HIE917577 HSA917575:HSA917577 IBW917575:IBW917577 ILS917575:ILS917577 IVO917575:IVO917577 JFK917575:JFK917577 JPG917575:JPG917577 JZC917575:JZC917577 KIY917575:KIY917577 KSU917575:KSU917577 LCQ917575:LCQ917577 LMM917575:LMM917577 LWI917575:LWI917577 MGE917575:MGE917577 MQA917575:MQA917577 MZW917575:MZW917577 NJS917575:NJS917577 NTO917575:NTO917577 ODK917575:ODK917577 ONG917575:ONG917577 OXC917575:OXC917577 PGY917575:PGY917577 PQU917575:PQU917577 QAQ917575:QAQ917577 QKM917575:QKM917577 QUI917575:QUI917577 REE917575:REE917577 ROA917575:ROA917577 RXW917575:RXW917577 SHS917575:SHS917577 SRO917575:SRO917577 TBK917575:TBK917577 TLG917575:TLG917577 TVC917575:TVC917577 UEY917575:UEY917577 UOU917575:UOU917577 UYQ917575:UYQ917577 VIM917575:VIM917577 VSI917575:VSI917577 WCE917575:WCE917577 WMA917575:WMA917577 WVW917575:WVW917577 N983111:N983113 JK983111:JK983113 TG983111:TG983113 ADC983111:ADC983113 AMY983111:AMY983113 AWU983111:AWU983113 BGQ983111:BGQ983113 BQM983111:BQM983113 CAI983111:CAI983113 CKE983111:CKE983113 CUA983111:CUA983113 DDW983111:DDW983113 DNS983111:DNS983113 DXO983111:DXO983113 EHK983111:EHK983113 ERG983111:ERG983113 FBC983111:FBC983113 FKY983111:FKY983113 FUU983111:FUU983113 GEQ983111:GEQ983113 GOM983111:GOM983113 GYI983111:GYI983113 HIE983111:HIE983113 HSA983111:HSA983113 IBW983111:IBW983113 ILS983111:ILS983113 IVO983111:IVO983113 JFK983111:JFK983113 JPG983111:JPG983113 JZC983111:JZC983113 KIY983111:KIY983113 KSU983111:KSU983113 LCQ983111:LCQ983113 LMM983111:LMM983113 LWI983111:LWI983113 MGE983111:MGE983113 MQA983111:MQA983113 MZW983111:MZW983113 NJS983111:NJS983113 NTO983111:NTO983113 ODK983111:ODK983113 ONG983111:ONG983113 OXC983111:OXC983113 PGY983111:PGY983113 PQU983111:PQU983113 QAQ983111:QAQ983113 QKM983111:QKM983113 QUI983111:QUI983113 REE983111:REE983113 ROA983111:ROA983113 RXW983111:RXW983113 SHS983111:SHS983113 SRO983111:SRO983113 TBK983111:TBK983113 TLG983111:TLG983113 TVC983111:TVC983113 UEY983111:UEY983113 UOU983111:UOU983113 UYQ983111:UYQ983113 VIM983111:VIM983113 VSI983111:VSI983113 WCE983111:WCE983113 WMA983111:WMA983113 WVW983111:WVW983113 UYQ983081:UYQ983084 JE53:JE55 TA53:TA55 ACW53:ACW55 AMS53:AMS55 AWO53:AWO55 BGK53:BGK55 BQG53:BQG55 CAC53:CAC55 CJY53:CJY55 CTU53:CTU55 DDQ53:DDQ55 DNM53:DNM55 DXI53:DXI55 EHE53:EHE55 ERA53:ERA55 FAW53:FAW55 FKS53:FKS55 FUO53:FUO55 GEK53:GEK55 GOG53:GOG55 GYC53:GYC55 HHY53:HHY55 HRU53:HRU55 IBQ53:IBQ55 ILM53:ILM55 IVI53:IVI55 JFE53:JFE55 JPA53:JPA55 JYW53:JYW55 KIS53:KIS55 KSO53:KSO55 LCK53:LCK55 LMG53:LMG55 LWC53:LWC55 MFY53:MFY55 MPU53:MPU55 MZQ53:MZQ55 NJM53:NJM55 NTI53:NTI55 ODE53:ODE55 ONA53:ONA55 OWW53:OWW55 PGS53:PGS55 PQO53:PQO55 QAK53:QAK55 QKG53:QKG55 QUC53:QUC55 RDY53:RDY55 RNU53:RNU55 RXQ53:RXQ55 SHM53:SHM55 SRI53:SRI55 TBE53:TBE55 TLA53:TLA55 TUW53:TUW55 UES53:UES55 UOO53:UOO55 UYK53:UYK55 VIG53:VIG55 VSC53:VSC55 WBY53:WBY55 WLU53:WLU55 WVQ53:WVQ55 H65591:H65593 JE65591:JE65593 TA65591:TA65593 ACW65591:ACW65593 AMS65591:AMS65593 AWO65591:AWO65593 BGK65591:BGK65593 BQG65591:BQG65593 CAC65591:CAC65593 CJY65591:CJY65593 CTU65591:CTU65593 DDQ65591:DDQ65593 DNM65591:DNM65593 DXI65591:DXI65593 EHE65591:EHE65593 ERA65591:ERA65593 FAW65591:FAW65593 FKS65591:FKS65593 FUO65591:FUO65593 GEK65591:GEK65593 GOG65591:GOG65593 GYC65591:GYC65593 HHY65591:HHY65593 HRU65591:HRU65593 IBQ65591:IBQ65593 ILM65591:ILM65593 IVI65591:IVI65593 JFE65591:JFE65593 JPA65591:JPA65593 JYW65591:JYW65593 KIS65591:KIS65593 KSO65591:KSO65593 LCK65591:LCK65593 LMG65591:LMG65593 LWC65591:LWC65593 MFY65591:MFY65593 MPU65591:MPU65593 MZQ65591:MZQ65593 NJM65591:NJM65593 NTI65591:NTI65593 ODE65591:ODE65593 ONA65591:ONA65593 OWW65591:OWW65593 PGS65591:PGS65593 PQO65591:PQO65593 QAK65591:QAK65593 QKG65591:QKG65593 QUC65591:QUC65593 RDY65591:RDY65593 RNU65591:RNU65593 RXQ65591:RXQ65593 SHM65591:SHM65593 SRI65591:SRI65593 TBE65591:TBE65593 TLA65591:TLA65593 TUW65591:TUW65593 UES65591:UES65593 UOO65591:UOO65593 UYK65591:UYK65593 VIG65591:VIG65593 VSC65591:VSC65593 WBY65591:WBY65593 WLU65591:WLU65593 WVQ65591:WVQ65593 H131127:H131129 JE131127:JE131129 TA131127:TA131129 ACW131127:ACW131129 AMS131127:AMS131129 AWO131127:AWO131129 BGK131127:BGK131129 BQG131127:BQG131129 CAC131127:CAC131129 CJY131127:CJY131129 CTU131127:CTU131129 DDQ131127:DDQ131129 DNM131127:DNM131129 DXI131127:DXI131129 EHE131127:EHE131129 ERA131127:ERA131129 FAW131127:FAW131129 FKS131127:FKS131129 FUO131127:FUO131129 GEK131127:GEK131129 GOG131127:GOG131129 GYC131127:GYC131129 HHY131127:HHY131129 HRU131127:HRU131129 IBQ131127:IBQ131129 ILM131127:ILM131129 IVI131127:IVI131129 JFE131127:JFE131129 JPA131127:JPA131129 JYW131127:JYW131129 KIS131127:KIS131129 KSO131127:KSO131129 LCK131127:LCK131129 LMG131127:LMG131129 LWC131127:LWC131129 MFY131127:MFY131129 MPU131127:MPU131129 MZQ131127:MZQ131129 NJM131127:NJM131129 NTI131127:NTI131129 ODE131127:ODE131129 ONA131127:ONA131129 OWW131127:OWW131129 PGS131127:PGS131129 PQO131127:PQO131129 QAK131127:QAK131129 QKG131127:QKG131129 QUC131127:QUC131129 RDY131127:RDY131129 RNU131127:RNU131129 RXQ131127:RXQ131129 SHM131127:SHM131129 SRI131127:SRI131129 TBE131127:TBE131129 TLA131127:TLA131129 TUW131127:TUW131129 UES131127:UES131129 UOO131127:UOO131129 UYK131127:UYK131129 VIG131127:VIG131129 VSC131127:VSC131129 WBY131127:WBY131129 WLU131127:WLU131129 WVQ131127:WVQ131129 H196663:H196665 JE196663:JE196665 TA196663:TA196665 ACW196663:ACW196665 AMS196663:AMS196665 AWO196663:AWO196665 BGK196663:BGK196665 BQG196663:BQG196665 CAC196663:CAC196665 CJY196663:CJY196665 CTU196663:CTU196665 DDQ196663:DDQ196665 DNM196663:DNM196665 DXI196663:DXI196665 EHE196663:EHE196665 ERA196663:ERA196665 FAW196663:FAW196665 FKS196663:FKS196665 FUO196663:FUO196665 GEK196663:GEK196665 GOG196663:GOG196665 GYC196663:GYC196665 HHY196663:HHY196665 HRU196663:HRU196665 IBQ196663:IBQ196665 ILM196663:ILM196665 IVI196663:IVI196665 JFE196663:JFE196665 JPA196663:JPA196665 JYW196663:JYW196665 KIS196663:KIS196665 KSO196663:KSO196665 LCK196663:LCK196665 LMG196663:LMG196665 LWC196663:LWC196665 MFY196663:MFY196665 MPU196663:MPU196665 MZQ196663:MZQ196665 NJM196663:NJM196665 NTI196663:NTI196665 ODE196663:ODE196665 ONA196663:ONA196665 OWW196663:OWW196665 PGS196663:PGS196665 PQO196663:PQO196665 QAK196663:QAK196665 QKG196663:QKG196665 QUC196663:QUC196665 RDY196663:RDY196665 RNU196663:RNU196665 RXQ196663:RXQ196665 SHM196663:SHM196665 SRI196663:SRI196665 TBE196663:TBE196665 TLA196663:TLA196665 TUW196663:TUW196665 UES196663:UES196665 UOO196663:UOO196665 UYK196663:UYK196665 VIG196663:VIG196665 VSC196663:VSC196665 WBY196663:WBY196665 WLU196663:WLU196665 WVQ196663:WVQ196665 H262199:H262201 JE262199:JE262201 TA262199:TA262201 ACW262199:ACW262201 AMS262199:AMS262201 AWO262199:AWO262201 BGK262199:BGK262201 BQG262199:BQG262201 CAC262199:CAC262201 CJY262199:CJY262201 CTU262199:CTU262201 DDQ262199:DDQ262201 DNM262199:DNM262201 DXI262199:DXI262201 EHE262199:EHE262201 ERA262199:ERA262201 FAW262199:FAW262201 FKS262199:FKS262201 FUO262199:FUO262201 GEK262199:GEK262201 GOG262199:GOG262201 GYC262199:GYC262201 HHY262199:HHY262201 HRU262199:HRU262201 IBQ262199:IBQ262201 ILM262199:ILM262201 IVI262199:IVI262201 JFE262199:JFE262201 JPA262199:JPA262201 JYW262199:JYW262201 KIS262199:KIS262201 KSO262199:KSO262201 LCK262199:LCK262201 LMG262199:LMG262201 LWC262199:LWC262201 MFY262199:MFY262201 MPU262199:MPU262201 MZQ262199:MZQ262201 NJM262199:NJM262201 NTI262199:NTI262201 ODE262199:ODE262201 ONA262199:ONA262201 OWW262199:OWW262201 PGS262199:PGS262201 PQO262199:PQO262201 QAK262199:QAK262201 QKG262199:QKG262201 QUC262199:QUC262201 RDY262199:RDY262201 RNU262199:RNU262201 RXQ262199:RXQ262201 SHM262199:SHM262201 SRI262199:SRI262201 TBE262199:TBE262201 TLA262199:TLA262201 TUW262199:TUW262201 UES262199:UES262201 UOO262199:UOO262201 UYK262199:UYK262201 VIG262199:VIG262201 VSC262199:VSC262201 WBY262199:WBY262201 WLU262199:WLU262201 WVQ262199:WVQ262201 H327735:H327737 JE327735:JE327737 TA327735:TA327737 ACW327735:ACW327737 AMS327735:AMS327737 AWO327735:AWO327737 BGK327735:BGK327737 BQG327735:BQG327737 CAC327735:CAC327737 CJY327735:CJY327737 CTU327735:CTU327737 DDQ327735:DDQ327737 DNM327735:DNM327737 DXI327735:DXI327737 EHE327735:EHE327737 ERA327735:ERA327737 FAW327735:FAW327737 FKS327735:FKS327737 FUO327735:FUO327737 GEK327735:GEK327737 GOG327735:GOG327737 GYC327735:GYC327737 HHY327735:HHY327737 HRU327735:HRU327737 IBQ327735:IBQ327737 ILM327735:ILM327737 IVI327735:IVI327737 JFE327735:JFE327737 JPA327735:JPA327737 JYW327735:JYW327737 KIS327735:KIS327737 KSO327735:KSO327737 LCK327735:LCK327737 LMG327735:LMG327737 LWC327735:LWC327737 MFY327735:MFY327737 MPU327735:MPU327737 MZQ327735:MZQ327737 NJM327735:NJM327737 NTI327735:NTI327737 ODE327735:ODE327737 ONA327735:ONA327737 OWW327735:OWW327737 PGS327735:PGS327737 PQO327735:PQO327737 QAK327735:QAK327737 QKG327735:QKG327737 QUC327735:QUC327737 RDY327735:RDY327737 RNU327735:RNU327737 RXQ327735:RXQ327737 SHM327735:SHM327737 SRI327735:SRI327737 TBE327735:TBE327737 TLA327735:TLA327737 TUW327735:TUW327737 UES327735:UES327737 UOO327735:UOO327737 UYK327735:UYK327737 VIG327735:VIG327737 VSC327735:VSC327737 WBY327735:WBY327737 WLU327735:WLU327737 WVQ327735:WVQ327737 H393271:H393273 JE393271:JE393273 TA393271:TA393273 ACW393271:ACW393273 AMS393271:AMS393273 AWO393271:AWO393273 BGK393271:BGK393273 BQG393271:BQG393273 CAC393271:CAC393273 CJY393271:CJY393273 CTU393271:CTU393273 DDQ393271:DDQ393273 DNM393271:DNM393273 DXI393271:DXI393273 EHE393271:EHE393273 ERA393271:ERA393273 FAW393271:FAW393273 FKS393271:FKS393273 FUO393271:FUO393273 GEK393271:GEK393273 GOG393271:GOG393273 GYC393271:GYC393273 HHY393271:HHY393273 HRU393271:HRU393273 IBQ393271:IBQ393273 ILM393271:ILM393273 IVI393271:IVI393273 JFE393271:JFE393273 JPA393271:JPA393273 JYW393271:JYW393273 KIS393271:KIS393273 KSO393271:KSO393273 LCK393271:LCK393273 LMG393271:LMG393273 LWC393271:LWC393273 MFY393271:MFY393273 MPU393271:MPU393273 MZQ393271:MZQ393273 NJM393271:NJM393273 NTI393271:NTI393273 ODE393271:ODE393273 ONA393271:ONA393273 OWW393271:OWW393273 PGS393271:PGS393273 PQO393271:PQO393273 QAK393271:QAK393273 QKG393271:QKG393273 QUC393271:QUC393273 RDY393271:RDY393273 RNU393271:RNU393273 RXQ393271:RXQ393273 SHM393271:SHM393273 SRI393271:SRI393273 TBE393271:TBE393273 TLA393271:TLA393273 TUW393271:TUW393273 UES393271:UES393273 UOO393271:UOO393273 UYK393271:UYK393273 VIG393271:VIG393273 VSC393271:VSC393273 WBY393271:WBY393273 WLU393271:WLU393273 WVQ393271:WVQ393273 H458807:H458809 JE458807:JE458809 TA458807:TA458809 ACW458807:ACW458809 AMS458807:AMS458809 AWO458807:AWO458809 BGK458807:BGK458809 BQG458807:BQG458809 CAC458807:CAC458809 CJY458807:CJY458809 CTU458807:CTU458809 DDQ458807:DDQ458809 DNM458807:DNM458809 DXI458807:DXI458809 EHE458807:EHE458809 ERA458807:ERA458809 FAW458807:FAW458809 FKS458807:FKS458809 FUO458807:FUO458809 GEK458807:GEK458809 GOG458807:GOG458809 GYC458807:GYC458809 HHY458807:HHY458809 HRU458807:HRU458809 IBQ458807:IBQ458809 ILM458807:ILM458809 IVI458807:IVI458809 JFE458807:JFE458809 JPA458807:JPA458809 JYW458807:JYW458809 KIS458807:KIS458809 KSO458807:KSO458809 LCK458807:LCK458809 LMG458807:LMG458809 LWC458807:LWC458809 MFY458807:MFY458809 MPU458807:MPU458809 MZQ458807:MZQ458809 NJM458807:NJM458809 NTI458807:NTI458809 ODE458807:ODE458809 ONA458807:ONA458809 OWW458807:OWW458809 PGS458807:PGS458809 PQO458807:PQO458809 QAK458807:QAK458809 QKG458807:QKG458809 QUC458807:QUC458809 RDY458807:RDY458809 RNU458807:RNU458809 RXQ458807:RXQ458809 SHM458807:SHM458809 SRI458807:SRI458809 TBE458807:TBE458809 TLA458807:TLA458809 TUW458807:TUW458809 UES458807:UES458809 UOO458807:UOO458809 UYK458807:UYK458809 VIG458807:VIG458809 VSC458807:VSC458809 WBY458807:WBY458809 WLU458807:WLU458809 WVQ458807:WVQ458809 H524343:H524345 JE524343:JE524345 TA524343:TA524345 ACW524343:ACW524345 AMS524343:AMS524345 AWO524343:AWO524345 BGK524343:BGK524345 BQG524343:BQG524345 CAC524343:CAC524345 CJY524343:CJY524345 CTU524343:CTU524345 DDQ524343:DDQ524345 DNM524343:DNM524345 DXI524343:DXI524345 EHE524343:EHE524345 ERA524343:ERA524345 FAW524343:FAW524345 FKS524343:FKS524345 FUO524343:FUO524345 GEK524343:GEK524345 GOG524343:GOG524345 GYC524343:GYC524345 HHY524343:HHY524345 HRU524343:HRU524345 IBQ524343:IBQ524345 ILM524343:ILM524345 IVI524343:IVI524345 JFE524343:JFE524345 JPA524343:JPA524345 JYW524343:JYW524345 KIS524343:KIS524345 KSO524343:KSO524345 LCK524343:LCK524345 LMG524343:LMG524345 LWC524343:LWC524345 MFY524343:MFY524345 MPU524343:MPU524345 MZQ524343:MZQ524345 NJM524343:NJM524345 NTI524343:NTI524345 ODE524343:ODE524345 ONA524343:ONA524345 OWW524343:OWW524345 PGS524343:PGS524345 PQO524343:PQO524345 QAK524343:QAK524345 QKG524343:QKG524345 QUC524343:QUC524345 RDY524343:RDY524345 RNU524343:RNU524345 RXQ524343:RXQ524345 SHM524343:SHM524345 SRI524343:SRI524345 TBE524343:TBE524345 TLA524343:TLA524345 TUW524343:TUW524345 UES524343:UES524345 UOO524343:UOO524345 UYK524343:UYK524345 VIG524343:VIG524345 VSC524343:VSC524345 WBY524343:WBY524345 WLU524343:WLU524345 WVQ524343:WVQ524345 H589879:H589881 JE589879:JE589881 TA589879:TA589881 ACW589879:ACW589881 AMS589879:AMS589881 AWO589879:AWO589881 BGK589879:BGK589881 BQG589879:BQG589881 CAC589879:CAC589881 CJY589879:CJY589881 CTU589879:CTU589881 DDQ589879:DDQ589881 DNM589879:DNM589881 DXI589879:DXI589881 EHE589879:EHE589881 ERA589879:ERA589881 FAW589879:FAW589881 FKS589879:FKS589881 FUO589879:FUO589881 GEK589879:GEK589881 GOG589879:GOG589881 GYC589879:GYC589881 HHY589879:HHY589881 HRU589879:HRU589881 IBQ589879:IBQ589881 ILM589879:ILM589881 IVI589879:IVI589881 JFE589879:JFE589881 JPA589879:JPA589881 JYW589879:JYW589881 KIS589879:KIS589881 KSO589879:KSO589881 LCK589879:LCK589881 LMG589879:LMG589881 LWC589879:LWC589881 MFY589879:MFY589881 MPU589879:MPU589881 MZQ589879:MZQ589881 NJM589879:NJM589881 NTI589879:NTI589881 ODE589879:ODE589881 ONA589879:ONA589881 OWW589879:OWW589881 PGS589879:PGS589881 PQO589879:PQO589881 QAK589879:QAK589881 QKG589879:QKG589881 QUC589879:QUC589881 RDY589879:RDY589881 RNU589879:RNU589881 RXQ589879:RXQ589881 SHM589879:SHM589881 SRI589879:SRI589881 TBE589879:TBE589881 TLA589879:TLA589881 TUW589879:TUW589881 UES589879:UES589881 UOO589879:UOO589881 UYK589879:UYK589881 VIG589879:VIG589881 VSC589879:VSC589881 WBY589879:WBY589881 WLU589879:WLU589881 WVQ589879:WVQ589881 H655415:H655417 JE655415:JE655417 TA655415:TA655417 ACW655415:ACW655417 AMS655415:AMS655417 AWO655415:AWO655417 BGK655415:BGK655417 BQG655415:BQG655417 CAC655415:CAC655417 CJY655415:CJY655417 CTU655415:CTU655417 DDQ655415:DDQ655417 DNM655415:DNM655417 DXI655415:DXI655417 EHE655415:EHE655417 ERA655415:ERA655417 FAW655415:FAW655417 FKS655415:FKS655417 FUO655415:FUO655417 GEK655415:GEK655417 GOG655415:GOG655417 GYC655415:GYC655417 HHY655415:HHY655417 HRU655415:HRU655417 IBQ655415:IBQ655417 ILM655415:ILM655417 IVI655415:IVI655417 JFE655415:JFE655417 JPA655415:JPA655417 JYW655415:JYW655417 KIS655415:KIS655417 KSO655415:KSO655417 LCK655415:LCK655417 LMG655415:LMG655417 LWC655415:LWC655417 MFY655415:MFY655417 MPU655415:MPU655417 MZQ655415:MZQ655417 NJM655415:NJM655417 NTI655415:NTI655417 ODE655415:ODE655417 ONA655415:ONA655417 OWW655415:OWW655417 PGS655415:PGS655417 PQO655415:PQO655417 QAK655415:QAK655417 QKG655415:QKG655417 QUC655415:QUC655417 RDY655415:RDY655417 RNU655415:RNU655417 RXQ655415:RXQ655417 SHM655415:SHM655417 SRI655415:SRI655417 TBE655415:TBE655417 TLA655415:TLA655417 TUW655415:TUW655417 UES655415:UES655417 UOO655415:UOO655417 UYK655415:UYK655417 VIG655415:VIG655417 VSC655415:VSC655417 WBY655415:WBY655417 WLU655415:WLU655417 WVQ655415:WVQ655417 H720951:H720953 JE720951:JE720953 TA720951:TA720953 ACW720951:ACW720953 AMS720951:AMS720953 AWO720951:AWO720953 BGK720951:BGK720953 BQG720951:BQG720953 CAC720951:CAC720953 CJY720951:CJY720953 CTU720951:CTU720953 DDQ720951:DDQ720953 DNM720951:DNM720953 DXI720951:DXI720953 EHE720951:EHE720953 ERA720951:ERA720953 FAW720951:FAW720953 FKS720951:FKS720953 FUO720951:FUO720953 GEK720951:GEK720953 GOG720951:GOG720953 GYC720951:GYC720953 HHY720951:HHY720953 HRU720951:HRU720953 IBQ720951:IBQ720953 ILM720951:ILM720953 IVI720951:IVI720953 JFE720951:JFE720953 JPA720951:JPA720953 JYW720951:JYW720953 KIS720951:KIS720953 KSO720951:KSO720953 LCK720951:LCK720953 LMG720951:LMG720953 LWC720951:LWC720953 MFY720951:MFY720953 MPU720951:MPU720953 MZQ720951:MZQ720953 NJM720951:NJM720953 NTI720951:NTI720953 ODE720951:ODE720953 ONA720951:ONA720953 OWW720951:OWW720953 PGS720951:PGS720953 PQO720951:PQO720953 QAK720951:QAK720953 QKG720951:QKG720953 QUC720951:QUC720953 RDY720951:RDY720953 RNU720951:RNU720953 RXQ720951:RXQ720953 SHM720951:SHM720953 SRI720951:SRI720953 TBE720951:TBE720953 TLA720951:TLA720953 TUW720951:TUW720953 UES720951:UES720953 UOO720951:UOO720953 UYK720951:UYK720953 VIG720951:VIG720953 VSC720951:VSC720953 WBY720951:WBY720953 WLU720951:WLU720953 WVQ720951:WVQ720953 H786487:H786489 JE786487:JE786489 TA786487:TA786489 ACW786487:ACW786489 AMS786487:AMS786489 AWO786487:AWO786489 BGK786487:BGK786489 BQG786487:BQG786489 CAC786487:CAC786489 CJY786487:CJY786489 CTU786487:CTU786489 DDQ786487:DDQ786489 DNM786487:DNM786489 DXI786487:DXI786489 EHE786487:EHE786489 ERA786487:ERA786489 FAW786487:FAW786489 FKS786487:FKS786489 FUO786487:FUO786489 GEK786487:GEK786489 GOG786487:GOG786489 GYC786487:GYC786489 HHY786487:HHY786489 HRU786487:HRU786489 IBQ786487:IBQ786489 ILM786487:ILM786489 IVI786487:IVI786489 JFE786487:JFE786489 JPA786487:JPA786489 JYW786487:JYW786489 KIS786487:KIS786489 KSO786487:KSO786489 LCK786487:LCK786489 LMG786487:LMG786489 LWC786487:LWC786489 MFY786487:MFY786489 MPU786487:MPU786489 MZQ786487:MZQ786489 NJM786487:NJM786489 NTI786487:NTI786489 ODE786487:ODE786489 ONA786487:ONA786489 OWW786487:OWW786489 PGS786487:PGS786489 PQO786487:PQO786489 QAK786487:QAK786489 QKG786487:QKG786489 QUC786487:QUC786489 RDY786487:RDY786489 RNU786487:RNU786489 RXQ786487:RXQ786489 SHM786487:SHM786489 SRI786487:SRI786489 TBE786487:TBE786489 TLA786487:TLA786489 TUW786487:TUW786489 UES786487:UES786489 UOO786487:UOO786489 UYK786487:UYK786489 VIG786487:VIG786489 VSC786487:VSC786489 WBY786487:WBY786489 WLU786487:WLU786489 WVQ786487:WVQ786489 H852023:H852025 JE852023:JE852025 TA852023:TA852025 ACW852023:ACW852025 AMS852023:AMS852025 AWO852023:AWO852025 BGK852023:BGK852025 BQG852023:BQG852025 CAC852023:CAC852025 CJY852023:CJY852025 CTU852023:CTU852025 DDQ852023:DDQ852025 DNM852023:DNM852025 DXI852023:DXI852025 EHE852023:EHE852025 ERA852023:ERA852025 FAW852023:FAW852025 FKS852023:FKS852025 FUO852023:FUO852025 GEK852023:GEK852025 GOG852023:GOG852025 GYC852023:GYC852025 HHY852023:HHY852025 HRU852023:HRU852025 IBQ852023:IBQ852025 ILM852023:ILM852025 IVI852023:IVI852025 JFE852023:JFE852025 JPA852023:JPA852025 JYW852023:JYW852025 KIS852023:KIS852025 KSO852023:KSO852025 LCK852023:LCK852025 LMG852023:LMG852025 LWC852023:LWC852025 MFY852023:MFY852025 MPU852023:MPU852025 MZQ852023:MZQ852025 NJM852023:NJM852025 NTI852023:NTI852025 ODE852023:ODE852025 ONA852023:ONA852025 OWW852023:OWW852025 PGS852023:PGS852025 PQO852023:PQO852025 QAK852023:QAK852025 QKG852023:QKG852025 QUC852023:QUC852025 RDY852023:RDY852025 RNU852023:RNU852025 RXQ852023:RXQ852025 SHM852023:SHM852025 SRI852023:SRI852025 TBE852023:TBE852025 TLA852023:TLA852025 TUW852023:TUW852025 UES852023:UES852025 UOO852023:UOO852025 UYK852023:UYK852025 VIG852023:VIG852025 VSC852023:VSC852025 WBY852023:WBY852025 WLU852023:WLU852025 WVQ852023:WVQ852025 H917559:H917561 JE917559:JE917561 TA917559:TA917561 ACW917559:ACW917561 AMS917559:AMS917561 AWO917559:AWO917561 BGK917559:BGK917561 BQG917559:BQG917561 CAC917559:CAC917561 CJY917559:CJY917561 CTU917559:CTU917561 DDQ917559:DDQ917561 DNM917559:DNM917561 DXI917559:DXI917561 EHE917559:EHE917561 ERA917559:ERA917561 FAW917559:FAW917561 FKS917559:FKS917561 FUO917559:FUO917561 GEK917559:GEK917561 GOG917559:GOG917561 GYC917559:GYC917561 HHY917559:HHY917561 HRU917559:HRU917561 IBQ917559:IBQ917561 ILM917559:ILM917561 IVI917559:IVI917561 JFE917559:JFE917561 JPA917559:JPA917561 JYW917559:JYW917561 KIS917559:KIS917561 KSO917559:KSO917561 LCK917559:LCK917561 LMG917559:LMG917561 LWC917559:LWC917561 MFY917559:MFY917561 MPU917559:MPU917561 MZQ917559:MZQ917561 NJM917559:NJM917561 NTI917559:NTI917561 ODE917559:ODE917561 ONA917559:ONA917561 OWW917559:OWW917561 PGS917559:PGS917561 PQO917559:PQO917561 QAK917559:QAK917561 QKG917559:QKG917561 QUC917559:QUC917561 RDY917559:RDY917561 RNU917559:RNU917561 RXQ917559:RXQ917561 SHM917559:SHM917561 SRI917559:SRI917561 TBE917559:TBE917561 TLA917559:TLA917561 TUW917559:TUW917561 UES917559:UES917561 UOO917559:UOO917561 UYK917559:UYK917561 VIG917559:VIG917561 VSC917559:VSC917561 WBY917559:WBY917561 WLU917559:WLU917561 WVQ917559:WVQ917561 H983095:H983097 JE983095:JE983097 TA983095:TA983097 ACW983095:ACW983097 AMS983095:AMS983097 AWO983095:AWO983097 BGK983095:BGK983097 BQG983095:BQG983097 CAC983095:CAC983097 CJY983095:CJY983097 CTU983095:CTU983097 DDQ983095:DDQ983097 DNM983095:DNM983097 DXI983095:DXI983097 EHE983095:EHE983097 ERA983095:ERA983097 FAW983095:FAW983097 FKS983095:FKS983097 FUO983095:FUO983097 GEK983095:GEK983097 GOG983095:GOG983097 GYC983095:GYC983097 HHY983095:HHY983097 HRU983095:HRU983097 IBQ983095:IBQ983097 ILM983095:ILM983097 IVI983095:IVI983097 JFE983095:JFE983097 JPA983095:JPA983097 JYW983095:JYW983097 KIS983095:KIS983097 KSO983095:KSO983097 LCK983095:LCK983097 LMG983095:LMG983097 LWC983095:LWC983097 MFY983095:MFY983097 MPU983095:MPU983097 MZQ983095:MZQ983097 NJM983095:NJM983097 NTI983095:NTI983097 ODE983095:ODE983097 ONA983095:ONA983097 OWW983095:OWW983097 PGS983095:PGS983097 PQO983095:PQO983097 QAK983095:QAK983097 QKG983095:QKG983097 QUC983095:QUC983097 RDY983095:RDY983097 RNU983095:RNU983097 RXQ983095:RXQ983097 SHM983095:SHM983097 SRI983095:SRI983097 TBE983095:TBE983097 TLA983095:TLA983097 TUW983095:TUW983097 UES983095:UES983097 UOO983095:UOO983097 UYK983095:UYK983097 VIG983095:VIG983097 VSC983095:VSC983097 WBY983095:WBY983097 WLU983095:WLU983097 WVQ983095:WVQ983097 TLG983081:TLG983084 JE75:JE78 TA75:TA78 ACW75:ACW78 AMS75:AMS78 AWO75:AWO78 BGK75:BGK78 BQG75:BQG78 CAC75:CAC78 CJY75:CJY78 CTU75:CTU78 DDQ75:DDQ78 DNM75:DNM78 DXI75:DXI78 EHE75:EHE78 ERA75:ERA78 FAW75:FAW78 FKS75:FKS78 FUO75:FUO78 GEK75:GEK78 GOG75:GOG78 GYC75:GYC78 HHY75:HHY78 HRU75:HRU78 IBQ75:IBQ78 ILM75:ILM78 IVI75:IVI78 JFE75:JFE78 JPA75:JPA78 JYW75:JYW78 KIS75:KIS78 KSO75:KSO78 LCK75:LCK78 LMG75:LMG78 LWC75:LWC78 MFY75:MFY78 MPU75:MPU78 MZQ75:MZQ78 NJM75:NJM78 NTI75:NTI78 ODE75:ODE78 ONA75:ONA78 OWW75:OWW78 PGS75:PGS78 PQO75:PQO78 QAK75:QAK78 QKG75:QKG78 QUC75:QUC78 RDY75:RDY78 RNU75:RNU78 RXQ75:RXQ78 SHM75:SHM78 SRI75:SRI78 TBE75:TBE78 TLA75:TLA78 TUW75:TUW78 UES75:UES78 UOO75:UOO78 UYK75:UYK78 VIG75:VIG78 VSC75:VSC78 WBY75:WBY78 WLU75:WLU78 WVQ75:WVQ78 H65613:H65616 JE65613:JE65616 TA65613:TA65616 ACW65613:ACW65616 AMS65613:AMS65616 AWO65613:AWO65616 BGK65613:BGK65616 BQG65613:BQG65616 CAC65613:CAC65616 CJY65613:CJY65616 CTU65613:CTU65616 DDQ65613:DDQ65616 DNM65613:DNM65616 DXI65613:DXI65616 EHE65613:EHE65616 ERA65613:ERA65616 FAW65613:FAW65616 FKS65613:FKS65616 FUO65613:FUO65616 GEK65613:GEK65616 GOG65613:GOG65616 GYC65613:GYC65616 HHY65613:HHY65616 HRU65613:HRU65616 IBQ65613:IBQ65616 ILM65613:ILM65616 IVI65613:IVI65616 JFE65613:JFE65616 JPA65613:JPA65616 JYW65613:JYW65616 KIS65613:KIS65616 KSO65613:KSO65616 LCK65613:LCK65616 LMG65613:LMG65616 LWC65613:LWC65616 MFY65613:MFY65616 MPU65613:MPU65616 MZQ65613:MZQ65616 NJM65613:NJM65616 NTI65613:NTI65616 ODE65613:ODE65616 ONA65613:ONA65616 OWW65613:OWW65616 PGS65613:PGS65616 PQO65613:PQO65616 QAK65613:QAK65616 QKG65613:QKG65616 QUC65613:QUC65616 RDY65613:RDY65616 RNU65613:RNU65616 RXQ65613:RXQ65616 SHM65613:SHM65616 SRI65613:SRI65616 TBE65613:TBE65616 TLA65613:TLA65616 TUW65613:TUW65616 UES65613:UES65616 UOO65613:UOO65616 UYK65613:UYK65616 VIG65613:VIG65616 VSC65613:VSC65616 WBY65613:WBY65616 WLU65613:WLU65616 WVQ65613:WVQ65616 H131149:H131152 JE131149:JE131152 TA131149:TA131152 ACW131149:ACW131152 AMS131149:AMS131152 AWO131149:AWO131152 BGK131149:BGK131152 BQG131149:BQG131152 CAC131149:CAC131152 CJY131149:CJY131152 CTU131149:CTU131152 DDQ131149:DDQ131152 DNM131149:DNM131152 DXI131149:DXI131152 EHE131149:EHE131152 ERA131149:ERA131152 FAW131149:FAW131152 FKS131149:FKS131152 FUO131149:FUO131152 GEK131149:GEK131152 GOG131149:GOG131152 GYC131149:GYC131152 HHY131149:HHY131152 HRU131149:HRU131152 IBQ131149:IBQ131152 ILM131149:ILM131152 IVI131149:IVI131152 JFE131149:JFE131152 JPA131149:JPA131152 JYW131149:JYW131152 KIS131149:KIS131152 KSO131149:KSO131152 LCK131149:LCK131152 LMG131149:LMG131152 LWC131149:LWC131152 MFY131149:MFY131152 MPU131149:MPU131152 MZQ131149:MZQ131152 NJM131149:NJM131152 NTI131149:NTI131152 ODE131149:ODE131152 ONA131149:ONA131152 OWW131149:OWW131152 PGS131149:PGS131152 PQO131149:PQO131152 QAK131149:QAK131152 QKG131149:QKG131152 QUC131149:QUC131152 RDY131149:RDY131152 RNU131149:RNU131152 RXQ131149:RXQ131152 SHM131149:SHM131152 SRI131149:SRI131152 TBE131149:TBE131152 TLA131149:TLA131152 TUW131149:TUW131152 UES131149:UES131152 UOO131149:UOO131152 UYK131149:UYK131152 VIG131149:VIG131152 VSC131149:VSC131152 WBY131149:WBY131152 WLU131149:WLU131152 WVQ131149:WVQ131152 H196685:H196688 JE196685:JE196688 TA196685:TA196688 ACW196685:ACW196688 AMS196685:AMS196688 AWO196685:AWO196688 BGK196685:BGK196688 BQG196685:BQG196688 CAC196685:CAC196688 CJY196685:CJY196688 CTU196685:CTU196688 DDQ196685:DDQ196688 DNM196685:DNM196688 DXI196685:DXI196688 EHE196685:EHE196688 ERA196685:ERA196688 FAW196685:FAW196688 FKS196685:FKS196688 FUO196685:FUO196688 GEK196685:GEK196688 GOG196685:GOG196688 GYC196685:GYC196688 HHY196685:HHY196688 HRU196685:HRU196688 IBQ196685:IBQ196688 ILM196685:ILM196688 IVI196685:IVI196688 JFE196685:JFE196688 JPA196685:JPA196688 JYW196685:JYW196688 KIS196685:KIS196688 KSO196685:KSO196688 LCK196685:LCK196688 LMG196685:LMG196688 LWC196685:LWC196688 MFY196685:MFY196688 MPU196685:MPU196688 MZQ196685:MZQ196688 NJM196685:NJM196688 NTI196685:NTI196688 ODE196685:ODE196688 ONA196685:ONA196688 OWW196685:OWW196688 PGS196685:PGS196688 PQO196685:PQO196688 QAK196685:QAK196688 QKG196685:QKG196688 QUC196685:QUC196688 RDY196685:RDY196688 RNU196685:RNU196688 RXQ196685:RXQ196688 SHM196685:SHM196688 SRI196685:SRI196688 TBE196685:TBE196688 TLA196685:TLA196688 TUW196685:TUW196688 UES196685:UES196688 UOO196685:UOO196688 UYK196685:UYK196688 VIG196685:VIG196688 VSC196685:VSC196688 WBY196685:WBY196688 WLU196685:WLU196688 WVQ196685:WVQ196688 H262221:H262224 JE262221:JE262224 TA262221:TA262224 ACW262221:ACW262224 AMS262221:AMS262224 AWO262221:AWO262224 BGK262221:BGK262224 BQG262221:BQG262224 CAC262221:CAC262224 CJY262221:CJY262224 CTU262221:CTU262224 DDQ262221:DDQ262224 DNM262221:DNM262224 DXI262221:DXI262224 EHE262221:EHE262224 ERA262221:ERA262224 FAW262221:FAW262224 FKS262221:FKS262224 FUO262221:FUO262224 GEK262221:GEK262224 GOG262221:GOG262224 GYC262221:GYC262224 HHY262221:HHY262224 HRU262221:HRU262224 IBQ262221:IBQ262224 ILM262221:ILM262224 IVI262221:IVI262224 JFE262221:JFE262224 JPA262221:JPA262224 JYW262221:JYW262224 KIS262221:KIS262224 KSO262221:KSO262224 LCK262221:LCK262224 LMG262221:LMG262224 LWC262221:LWC262224 MFY262221:MFY262224 MPU262221:MPU262224 MZQ262221:MZQ262224 NJM262221:NJM262224 NTI262221:NTI262224 ODE262221:ODE262224 ONA262221:ONA262224 OWW262221:OWW262224 PGS262221:PGS262224 PQO262221:PQO262224 QAK262221:QAK262224 QKG262221:QKG262224 QUC262221:QUC262224 RDY262221:RDY262224 RNU262221:RNU262224 RXQ262221:RXQ262224 SHM262221:SHM262224 SRI262221:SRI262224 TBE262221:TBE262224 TLA262221:TLA262224 TUW262221:TUW262224 UES262221:UES262224 UOO262221:UOO262224 UYK262221:UYK262224 VIG262221:VIG262224 VSC262221:VSC262224 WBY262221:WBY262224 WLU262221:WLU262224 WVQ262221:WVQ262224 H327757:H327760 JE327757:JE327760 TA327757:TA327760 ACW327757:ACW327760 AMS327757:AMS327760 AWO327757:AWO327760 BGK327757:BGK327760 BQG327757:BQG327760 CAC327757:CAC327760 CJY327757:CJY327760 CTU327757:CTU327760 DDQ327757:DDQ327760 DNM327757:DNM327760 DXI327757:DXI327760 EHE327757:EHE327760 ERA327757:ERA327760 FAW327757:FAW327760 FKS327757:FKS327760 FUO327757:FUO327760 GEK327757:GEK327760 GOG327757:GOG327760 GYC327757:GYC327760 HHY327757:HHY327760 HRU327757:HRU327760 IBQ327757:IBQ327760 ILM327757:ILM327760 IVI327757:IVI327760 JFE327757:JFE327760 JPA327757:JPA327760 JYW327757:JYW327760 KIS327757:KIS327760 KSO327757:KSO327760 LCK327757:LCK327760 LMG327757:LMG327760 LWC327757:LWC327760 MFY327757:MFY327760 MPU327757:MPU327760 MZQ327757:MZQ327760 NJM327757:NJM327760 NTI327757:NTI327760 ODE327757:ODE327760 ONA327757:ONA327760 OWW327757:OWW327760 PGS327757:PGS327760 PQO327757:PQO327760 QAK327757:QAK327760 QKG327757:QKG327760 QUC327757:QUC327760 RDY327757:RDY327760 RNU327757:RNU327760 RXQ327757:RXQ327760 SHM327757:SHM327760 SRI327757:SRI327760 TBE327757:TBE327760 TLA327757:TLA327760 TUW327757:TUW327760 UES327757:UES327760 UOO327757:UOO327760 UYK327757:UYK327760 VIG327757:VIG327760 VSC327757:VSC327760 WBY327757:WBY327760 WLU327757:WLU327760 WVQ327757:WVQ327760 H393293:H393296 JE393293:JE393296 TA393293:TA393296 ACW393293:ACW393296 AMS393293:AMS393296 AWO393293:AWO393296 BGK393293:BGK393296 BQG393293:BQG393296 CAC393293:CAC393296 CJY393293:CJY393296 CTU393293:CTU393296 DDQ393293:DDQ393296 DNM393293:DNM393296 DXI393293:DXI393296 EHE393293:EHE393296 ERA393293:ERA393296 FAW393293:FAW393296 FKS393293:FKS393296 FUO393293:FUO393296 GEK393293:GEK393296 GOG393293:GOG393296 GYC393293:GYC393296 HHY393293:HHY393296 HRU393293:HRU393296 IBQ393293:IBQ393296 ILM393293:ILM393296 IVI393293:IVI393296 JFE393293:JFE393296 JPA393293:JPA393296 JYW393293:JYW393296 KIS393293:KIS393296 KSO393293:KSO393296 LCK393293:LCK393296 LMG393293:LMG393296 LWC393293:LWC393296 MFY393293:MFY393296 MPU393293:MPU393296 MZQ393293:MZQ393296 NJM393293:NJM393296 NTI393293:NTI393296 ODE393293:ODE393296 ONA393293:ONA393296 OWW393293:OWW393296 PGS393293:PGS393296 PQO393293:PQO393296 QAK393293:QAK393296 QKG393293:QKG393296 QUC393293:QUC393296 RDY393293:RDY393296 RNU393293:RNU393296 RXQ393293:RXQ393296 SHM393293:SHM393296 SRI393293:SRI393296 TBE393293:TBE393296 TLA393293:TLA393296 TUW393293:TUW393296 UES393293:UES393296 UOO393293:UOO393296 UYK393293:UYK393296 VIG393293:VIG393296 VSC393293:VSC393296 WBY393293:WBY393296 WLU393293:WLU393296 WVQ393293:WVQ393296 H458829:H458832 JE458829:JE458832 TA458829:TA458832 ACW458829:ACW458832 AMS458829:AMS458832 AWO458829:AWO458832 BGK458829:BGK458832 BQG458829:BQG458832 CAC458829:CAC458832 CJY458829:CJY458832 CTU458829:CTU458832 DDQ458829:DDQ458832 DNM458829:DNM458832 DXI458829:DXI458832 EHE458829:EHE458832 ERA458829:ERA458832 FAW458829:FAW458832 FKS458829:FKS458832 FUO458829:FUO458832 GEK458829:GEK458832 GOG458829:GOG458832 GYC458829:GYC458832 HHY458829:HHY458832 HRU458829:HRU458832 IBQ458829:IBQ458832 ILM458829:ILM458832 IVI458829:IVI458832 JFE458829:JFE458832 JPA458829:JPA458832 JYW458829:JYW458832 KIS458829:KIS458832 KSO458829:KSO458832 LCK458829:LCK458832 LMG458829:LMG458832 LWC458829:LWC458832 MFY458829:MFY458832 MPU458829:MPU458832 MZQ458829:MZQ458832 NJM458829:NJM458832 NTI458829:NTI458832 ODE458829:ODE458832 ONA458829:ONA458832 OWW458829:OWW458832 PGS458829:PGS458832 PQO458829:PQO458832 QAK458829:QAK458832 QKG458829:QKG458832 QUC458829:QUC458832 RDY458829:RDY458832 RNU458829:RNU458832 RXQ458829:RXQ458832 SHM458829:SHM458832 SRI458829:SRI458832 TBE458829:TBE458832 TLA458829:TLA458832 TUW458829:TUW458832 UES458829:UES458832 UOO458829:UOO458832 UYK458829:UYK458832 VIG458829:VIG458832 VSC458829:VSC458832 WBY458829:WBY458832 WLU458829:WLU458832 WVQ458829:WVQ458832 H524365:H524368 JE524365:JE524368 TA524365:TA524368 ACW524365:ACW524368 AMS524365:AMS524368 AWO524365:AWO524368 BGK524365:BGK524368 BQG524365:BQG524368 CAC524365:CAC524368 CJY524365:CJY524368 CTU524365:CTU524368 DDQ524365:DDQ524368 DNM524365:DNM524368 DXI524365:DXI524368 EHE524365:EHE524368 ERA524365:ERA524368 FAW524365:FAW524368 FKS524365:FKS524368 FUO524365:FUO524368 GEK524365:GEK524368 GOG524365:GOG524368 GYC524365:GYC524368 HHY524365:HHY524368 HRU524365:HRU524368 IBQ524365:IBQ524368 ILM524365:ILM524368 IVI524365:IVI524368 JFE524365:JFE524368 JPA524365:JPA524368 JYW524365:JYW524368 KIS524365:KIS524368 KSO524365:KSO524368 LCK524365:LCK524368 LMG524365:LMG524368 LWC524365:LWC524368 MFY524365:MFY524368 MPU524365:MPU524368 MZQ524365:MZQ524368 NJM524365:NJM524368 NTI524365:NTI524368 ODE524365:ODE524368 ONA524365:ONA524368 OWW524365:OWW524368 PGS524365:PGS524368 PQO524365:PQO524368 QAK524365:QAK524368 QKG524365:QKG524368 QUC524365:QUC524368 RDY524365:RDY524368 RNU524365:RNU524368 RXQ524365:RXQ524368 SHM524365:SHM524368 SRI524365:SRI524368 TBE524365:TBE524368 TLA524365:TLA524368 TUW524365:TUW524368 UES524365:UES524368 UOO524365:UOO524368 UYK524365:UYK524368 VIG524365:VIG524368 VSC524365:VSC524368 WBY524365:WBY524368 WLU524365:WLU524368 WVQ524365:WVQ524368 H589901:H589904 JE589901:JE589904 TA589901:TA589904 ACW589901:ACW589904 AMS589901:AMS589904 AWO589901:AWO589904 BGK589901:BGK589904 BQG589901:BQG589904 CAC589901:CAC589904 CJY589901:CJY589904 CTU589901:CTU589904 DDQ589901:DDQ589904 DNM589901:DNM589904 DXI589901:DXI589904 EHE589901:EHE589904 ERA589901:ERA589904 FAW589901:FAW589904 FKS589901:FKS589904 FUO589901:FUO589904 GEK589901:GEK589904 GOG589901:GOG589904 GYC589901:GYC589904 HHY589901:HHY589904 HRU589901:HRU589904 IBQ589901:IBQ589904 ILM589901:ILM589904 IVI589901:IVI589904 JFE589901:JFE589904 JPA589901:JPA589904 JYW589901:JYW589904 KIS589901:KIS589904 KSO589901:KSO589904 LCK589901:LCK589904 LMG589901:LMG589904 LWC589901:LWC589904 MFY589901:MFY589904 MPU589901:MPU589904 MZQ589901:MZQ589904 NJM589901:NJM589904 NTI589901:NTI589904 ODE589901:ODE589904 ONA589901:ONA589904 OWW589901:OWW589904 PGS589901:PGS589904 PQO589901:PQO589904 QAK589901:QAK589904 QKG589901:QKG589904 QUC589901:QUC589904 RDY589901:RDY589904 RNU589901:RNU589904 RXQ589901:RXQ589904 SHM589901:SHM589904 SRI589901:SRI589904 TBE589901:TBE589904 TLA589901:TLA589904 TUW589901:TUW589904 UES589901:UES589904 UOO589901:UOO589904 UYK589901:UYK589904 VIG589901:VIG589904 VSC589901:VSC589904 WBY589901:WBY589904 WLU589901:WLU589904 WVQ589901:WVQ589904 H655437:H655440 JE655437:JE655440 TA655437:TA655440 ACW655437:ACW655440 AMS655437:AMS655440 AWO655437:AWO655440 BGK655437:BGK655440 BQG655437:BQG655440 CAC655437:CAC655440 CJY655437:CJY655440 CTU655437:CTU655440 DDQ655437:DDQ655440 DNM655437:DNM655440 DXI655437:DXI655440 EHE655437:EHE655440 ERA655437:ERA655440 FAW655437:FAW655440 FKS655437:FKS655440 FUO655437:FUO655440 GEK655437:GEK655440 GOG655437:GOG655440 GYC655437:GYC655440 HHY655437:HHY655440 HRU655437:HRU655440 IBQ655437:IBQ655440 ILM655437:ILM655440 IVI655437:IVI655440 JFE655437:JFE655440 JPA655437:JPA655440 JYW655437:JYW655440 KIS655437:KIS655440 KSO655437:KSO655440 LCK655437:LCK655440 LMG655437:LMG655440 LWC655437:LWC655440 MFY655437:MFY655440 MPU655437:MPU655440 MZQ655437:MZQ655440 NJM655437:NJM655440 NTI655437:NTI655440 ODE655437:ODE655440 ONA655437:ONA655440 OWW655437:OWW655440 PGS655437:PGS655440 PQO655437:PQO655440 QAK655437:QAK655440 QKG655437:QKG655440 QUC655437:QUC655440 RDY655437:RDY655440 RNU655437:RNU655440 RXQ655437:RXQ655440 SHM655437:SHM655440 SRI655437:SRI655440 TBE655437:TBE655440 TLA655437:TLA655440 TUW655437:TUW655440 UES655437:UES655440 UOO655437:UOO655440 UYK655437:UYK655440 VIG655437:VIG655440 VSC655437:VSC655440 WBY655437:WBY655440 WLU655437:WLU655440 WVQ655437:WVQ655440 H720973:H720976 JE720973:JE720976 TA720973:TA720976 ACW720973:ACW720976 AMS720973:AMS720976 AWO720973:AWO720976 BGK720973:BGK720976 BQG720973:BQG720976 CAC720973:CAC720976 CJY720973:CJY720976 CTU720973:CTU720976 DDQ720973:DDQ720976 DNM720973:DNM720976 DXI720973:DXI720976 EHE720973:EHE720976 ERA720973:ERA720976 FAW720973:FAW720976 FKS720973:FKS720976 FUO720973:FUO720976 GEK720973:GEK720976 GOG720973:GOG720976 GYC720973:GYC720976 HHY720973:HHY720976 HRU720973:HRU720976 IBQ720973:IBQ720976 ILM720973:ILM720976 IVI720973:IVI720976 JFE720973:JFE720976 JPA720973:JPA720976 JYW720973:JYW720976 KIS720973:KIS720976 KSO720973:KSO720976 LCK720973:LCK720976 LMG720973:LMG720976 LWC720973:LWC720976 MFY720973:MFY720976 MPU720973:MPU720976 MZQ720973:MZQ720976 NJM720973:NJM720976 NTI720973:NTI720976 ODE720973:ODE720976 ONA720973:ONA720976 OWW720973:OWW720976 PGS720973:PGS720976 PQO720973:PQO720976 QAK720973:QAK720976 QKG720973:QKG720976 QUC720973:QUC720976 RDY720973:RDY720976 RNU720973:RNU720976 RXQ720973:RXQ720976 SHM720973:SHM720976 SRI720973:SRI720976 TBE720973:TBE720976 TLA720973:TLA720976 TUW720973:TUW720976 UES720973:UES720976 UOO720973:UOO720976 UYK720973:UYK720976 VIG720973:VIG720976 VSC720973:VSC720976 WBY720973:WBY720976 WLU720973:WLU720976 WVQ720973:WVQ720976 H786509:H786512 JE786509:JE786512 TA786509:TA786512 ACW786509:ACW786512 AMS786509:AMS786512 AWO786509:AWO786512 BGK786509:BGK786512 BQG786509:BQG786512 CAC786509:CAC786512 CJY786509:CJY786512 CTU786509:CTU786512 DDQ786509:DDQ786512 DNM786509:DNM786512 DXI786509:DXI786512 EHE786509:EHE786512 ERA786509:ERA786512 FAW786509:FAW786512 FKS786509:FKS786512 FUO786509:FUO786512 GEK786509:GEK786512 GOG786509:GOG786512 GYC786509:GYC786512 HHY786509:HHY786512 HRU786509:HRU786512 IBQ786509:IBQ786512 ILM786509:ILM786512 IVI786509:IVI786512 JFE786509:JFE786512 JPA786509:JPA786512 JYW786509:JYW786512 KIS786509:KIS786512 KSO786509:KSO786512 LCK786509:LCK786512 LMG786509:LMG786512 LWC786509:LWC786512 MFY786509:MFY786512 MPU786509:MPU786512 MZQ786509:MZQ786512 NJM786509:NJM786512 NTI786509:NTI786512 ODE786509:ODE786512 ONA786509:ONA786512 OWW786509:OWW786512 PGS786509:PGS786512 PQO786509:PQO786512 QAK786509:QAK786512 QKG786509:QKG786512 QUC786509:QUC786512 RDY786509:RDY786512 RNU786509:RNU786512 RXQ786509:RXQ786512 SHM786509:SHM786512 SRI786509:SRI786512 TBE786509:TBE786512 TLA786509:TLA786512 TUW786509:TUW786512 UES786509:UES786512 UOO786509:UOO786512 UYK786509:UYK786512 VIG786509:VIG786512 VSC786509:VSC786512 WBY786509:WBY786512 WLU786509:WLU786512 WVQ786509:WVQ786512 H852045:H852048 JE852045:JE852048 TA852045:TA852048 ACW852045:ACW852048 AMS852045:AMS852048 AWO852045:AWO852048 BGK852045:BGK852048 BQG852045:BQG852048 CAC852045:CAC852048 CJY852045:CJY852048 CTU852045:CTU852048 DDQ852045:DDQ852048 DNM852045:DNM852048 DXI852045:DXI852048 EHE852045:EHE852048 ERA852045:ERA852048 FAW852045:FAW852048 FKS852045:FKS852048 FUO852045:FUO852048 GEK852045:GEK852048 GOG852045:GOG852048 GYC852045:GYC852048 HHY852045:HHY852048 HRU852045:HRU852048 IBQ852045:IBQ852048 ILM852045:ILM852048 IVI852045:IVI852048 JFE852045:JFE852048 JPA852045:JPA852048 JYW852045:JYW852048 KIS852045:KIS852048 KSO852045:KSO852048 LCK852045:LCK852048 LMG852045:LMG852048 LWC852045:LWC852048 MFY852045:MFY852048 MPU852045:MPU852048 MZQ852045:MZQ852048 NJM852045:NJM852048 NTI852045:NTI852048 ODE852045:ODE852048 ONA852045:ONA852048 OWW852045:OWW852048 PGS852045:PGS852048 PQO852045:PQO852048 QAK852045:QAK852048 QKG852045:QKG852048 QUC852045:QUC852048 RDY852045:RDY852048 RNU852045:RNU852048 RXQ852045:RXQ852048 SHM852045:SHM852048 SRI852045:SRI852048 TBE852045:TBE852048 TLA852045:TLA852048 TUW852045:TUW852048 UES852045:UES852048 UOO852045:UOO852048 UYK852045:UYK852048 VIG852045:VIG852048 VSC852045:VSC852048 WBY852045:WBY852048 WLU852045:WLU852048 WVQ852045:WVQ852048 H917581:H917584 JE917581:JE917584 TA917581:TA917584 ACW917581:ACW917584 AMS917581:AMS917584 AWO917581:AWO917584 BGK917581:BGK917584 BQG917581:BQG917584 CAC917581:CAC917584 CJY917581:CJY917584 CTU917581:CTU917584 DDQ917581:DDQ917584 DNM917581:DNM917584 DXI917581:DXI917584 EHE917581:EHE917584 ERA917581:ERA917584 FAW917581:FAW917584 FKS917581:FKS917584 FUO917581:FUO917584 GEK917581:GEK917584 GOG917581:GOG917584 GYC917581:GYC917584 HHY917581:HHY917584 HRU917581:HRU917584 IBQ917581:IBQ917584 ILM917581:ILM917584 IVI917581:IVI917584 JFE917581:JFE917584 JPA917581:JPA917584 JYW917581:JYW917584 KIS917581:KIS917584 KSO917581:KSO917584 LCK917581:LCK917584 LMG917581:LMG917584 LWC917581:LWC917584 MFY917581:MFY917584 MPU917581:MPU917584 MZQ917581:MZQ917584 NJM917581:NJM917584 NTI917581:NTI917584 ODE917581:ODE917584 ONA917581:ONA917584 OWW917581:OWW917584 PGS917581:PGS917584 PQO917581:PQO917584 QAK917581:QAK917584 QKG917581:QKG917584 QUC917581:QUC917584 RDY917581:RDY917584 RNU917581:RNU917584 RXQ917581:RXQ917584 SHM917581:SHM917584 SRI917581:SRI917584 TBE917581:TBE917584 TLA917581:TLA917584 TUW917581:TUW917584 UES917581:UES917584 UOO917581:UOO917584 UYK917581:UYK917584 VIG917581:VIG917584 VSC917581:VSC917584 WBY917581:WBY917584 WLU917581:WLU917584 WVQ917581:WVQ917584 H983117:H983120 JE983117:JE983120 TA983117:TA983120 ACW983117:ACW983120 AMS983117:AMS983120 AWO983117:AWO983120 BGK983117:BGK983120 BQG983117:BQG983120 CAC983117:CAC983120 CJY983117:CJY983120 CTU983117:CTU983120 DDQ983117:DDQ983120 DNM983117:DNM983120 DXI983117:DXI983120 EHE983117:EHE983120 ERA983117:ERA983120 FAW983117:FAW983120 FKS983117:FKS983120 FUO983117:FUO983120 GEK983117:GEK983120 GOG983117:GOG983120 GYC983117:GYC983120 HHY983117:HHY983120 HRU983117:HRU983120 IBQ983117:IBQ983120 ILM983117:ILM983120 IVI983117:IVI983120 JFE983117:JFE983120 JPA983117:JPA983120 JYW983117:JYW983120 KIS983117:KIS983120 KSO983117:KSO983120 LCK983117:LCK983120 LMG983117:LMG983120 LWC983117:LWC983120 MFY983117:MFY983120 MPU983117:MPU983120 MZQ983117:MZQ983120 NJM983117:NJM983120 NTI983117:NTI983120 ODE983117:ODE983120 ONA983117:ONA983120 OWW983117:OWW983120 PGS983117:PGS983120 PQO983117:PQO983120 QAK983117:QAK983120 QKG983117:QKG983120 QUC983117:QUC983120 RDY983117:RDY983120 RNU983117:RNU983120 RXQ983117:RXQ983120 SHM983117:SHM983120 SRI983117:SRI983120 TBE983117:TBE983120 TLA983117:TLA983120 TUW983117:TUW983120 UES983117:UES983120 UOO983117:UOO983120 UYK983117:UYK983120 VIG983117:VIG983120 VSC983117:VSC983120 WBY983117:WBY983120 WLU983117:WLU983120 WVQ983117:WVQ983120 VIM983081:VIM983084 JK53:JK55 TG53:TG55 ADC53:ADC55 AMY53:AMY55 AWU53:AWU55 BGQ53:BGQ55 BQM53:BQM55 CAI53:CAI55 CKE53:CKE55 CUA53:CUA55 DDW53:DDW55 DNS53:DNS55 DXO53:DXO55 EHK53:EHK55 ERG53:ERG55 FBC53:FBC55 FKY53:FKY55 FUU53:FUU55 GEQ53:GEQ55 GOM53:GOM55 GYI53:GYI55 HIE53:HIE55 HSA53:HSA55 IBW53:IBW55 ILS53:ILS55 IVO53:IVO55 JFK53:JFK55 JPG53:JPG55 JZC53:JZC55 KIY53:KIY55 KSU53:KSU55 LCQ53:LCQ55 LMM53:LMM55 LWI53:LWI55 MGE53:MGE55 MQA53:MQA55 MZW53:MZW55 NJS53:NJS55 NTO53:NTO55 ODK53:ODK55 ONG53:ONG55 OXC53:OXC55 PGY53:PGY55 PQU53:PQU55 QAQ53:QAQ55 QKM53:QKM55 QUI53:QUI55 REE53:REE55 ROA53:ROA55 RXW53:RXW55 SHS53:SHS55 SRO53:SRO55 TBK53:TBK55 TLG53:TLG55 TVC53:TVC55 UEY53:UEY55 UOU53:UOU55 UYQ53:UYQ55 VIM53:VIM55 VSI53:VSI55 WCE53:WCE55 WMA53:WMA55 WVW53:WVW55 N65591:N65593 JK65591:JK65593 TG65591:TG65593 ADC65591:ADC65593 AMY65591:AMY65593 AWU65591:AWU65593 BGQ65591:BGQ65593 BQM65591:BQM65593 CAI65591:CAI65593 CKE65591:CKE65593 CUA65591:CUA65593 DDW65591:DDW65593 DNS65591:DNS65593 DXO65591:DXO65593 EHK65591:EHK65593 ERG65591:ERG65593 FBC65591:FBC65593 FKY65591:FKY65593 FUU65591:FUU65593 GEQ65591:GEQ65593 GOM65591:GOM65593 GYI65591:GYI65593 HIE65591:HIE65593 HSA65591:HSA65593 IBW65591:IBW65593 ILS65591:ILS65593 IVO65591:IVO65593 JFK65591:JFK65593 JPG65591:JPG65593 JZC65591:JZC65593 KIY65591:KIY65593 KSU65591:KSU65593 LCQ65591:LCQ65593 LMM65591:LMM65593 LWI65591:LWI65593 MGE65591:MGE65593 MQA65591:MQA65593 MZW65591:MZW65593 NJS65591:NJS65593 NTO65591:NTO65593 ODK65591:ODK65593 ONG65591:ONG65593 OXC65591:OXC65593 PGY65591:PGY65593 PQU65591:PQU65593 QAQ65591:QAQ65593 QKM65591:QKM65593 QUI65591:QUI65593 REE65591:REE65593 ROA65591:ROA65593 RXW65591:RXW65593 SHS65591:SHS65593 SRO65591:SRO65593 TBK65591:TBK65593 TLG65591:TLG65593 TVC65591:TVC65593 UEY65591:UEY65593 UOU65591:UOU65593 UYQ65591:UYQ65593 VIM65591:VIM65593 VSI65591:VSI65593 WCE65591:WCE65593 WMA65591:WMA65593 WVW65591:WVW65593 N131127:N131129 JK131127:JK131129 TG131127:TG131129 ADC131127:ADC131129 AMY131127:AMY131129 AWU131127:AWU131129 BGQ131127:BGQ131129 BQM131127:BQM131129 CAI131127:CAI131129 CKE131127:CKE131129 CUA131127:CUA131129 DDW131127:DDW131129 DNS131127:DNS131129 DXO131127:DXO131129 EHK131127:EHK131129 ERG131127:ERG131129 FBC131127:FBC131129 FKY131127:FKY131129 FUU131127:FUU131129 GEQ131127:GEQ131129 GOM131127:GOM131129 GYI131127:GYI131129 HIE131127:HIE131129 HSA131127:HSA131129 IBW131127:IBW131129 ILS131127:ILS131129 IVO131127:IVO131129 JFK131127:JFK131129 JPG131127:JPG131129 JZC131127:JZC131129 KIY131127:KIY131129 KSU131127:KSU131129 LCQ131127:LCQ131129 LMM131127:LMM131129 LWI131127:LWI131129 MGE131127:MGE131129 MQA131127:MQA131129 MZW131127:MZW131129 NJS131127:NJS131129 NTO131127:NTO131129 ODK131127:ODK131129 ONG131127:ONG131129 OXC131127:OXC131129 PGY131127:PGY131129 PQU131127:PQU131129 QAQ131127:QAQ131129 QKM131127:QKM131129 QUI131127:QUI131129 REE131127:REE131129 ROA131127:ROA131129 RXW131127:RXW131129 SHS131127:SHS131129 SRO131127:SRO131129 TBK131127:TBK131129 TLG131127:TLG131129 TVC131127:TVC131129 UEY131127:UEY131129 UOU131127:UOU131129 UYQ131127:UYQ131129 VIM131127:VIM131129 VSI131127:VSI131129 WCE131127:WCE131129 WMA131127:WMA131129 WVW131127:WVW131129 N196663:N196665 JK196663:JK196665 TG196663:TG196665 ADC196663:ADC196665 AMY196663:AMY196665 AWU196663:AWU196665 BGQ196663:BGQ196665 BQM196663:BQM196665 CAI196663:CAI196665 CKE196663:CKE196665 CUA196663:CUA196665 DDW196663:DDW196665 DNS196663:DNS196665 DXO196663:DXO196665 EHK196663:EHK196665 ERG196663:ERG196665 FBC196663:FBC196665 FKY196663:FKY196665 FUU196663:FUU196665 GEQ196663:GEQ196665 GOM196663:GOM196665 GYI196663:GYI196665 HIE196663:HIE196665 HSA196663:HSA196665 IBW196663:IBW196665 ILS196663:ILS196665 IVO196663:IVO196665 JFK196663:JFK196665 JPG196663:JPG196665 JZC196663:JZC196665 KIY196663:KIY196665 KSU196663:KSU196665 LCQ196663:LCQ196665 LMM196663:LMM196665 LWI196663:LWI196665 MGE196663:MGE196665 MQA196663:MQA196665 MZW196663:MZW196665 NJS196663:NJS196665 NTO196663:NTO196665 ODK196663:ODK196665 ONG196663:ONG196665 OXC196663:OXC196665 PGY196663:PGY196665 PQU196663:PQU196665 QAQ196663:QAQ196665 QKM196663:QKM196665 QUI196663:QUI196665 REE196663:REE196665 ROA196663:ROA196665 RXW196663:RXW196665 SHS196663:SHS196665 SRO196663:SRO196665 TBK196663:TBK196665 TLG196663:TLG196665 TVC196663:TVC196665 UEY196663:UEY196665 UOU196663:UOU196665 UYQ196663:UYQ196665 VIM196663:VIM196665 VSI196663:VSI196665 WCE196663:WCE196665 WMA196663:WMA196665 WVW196663:WVW196665 N262199:N262201 JK262199:JK262201 TG262199:TG262201 ADC262199:ADC262201 AMY262199:AMY262201 AWU262199:AWU262201 BGQ262199:BGQ262201 BQM262199:BQM262201 CAI262199:CAI262201 CKE262199:CKE262201 CUA262199:CUA262201 DDW262199:DDW262201 DNS262199:DNS262201 DXO262199:DXO262201 EHK262199:EHK262201 ERG262199:ERG262201 FBC262199:FBC262201 FKY262199:FKY262201 FUU262199:FUU262201 GEQ262199:GEQ262201 GOM262199:GOM262201 GYI262199:GYI262201 HIE262199:HIE262201 HSA262199:HSA262201 IBW262199:IBW262201 ILS262199:ILS262201 IVO262199:IVO262201 JFK262199:JFK262201 JPG262199:JPG262201 JZC262199:JZC262201 KIY262199:KIY262201 KSU262199:KSU262201 LCQ262199:LCQ262201 LMM262199:LMM262201 LWI262199:LWI262201 MGE262199:MGE262201 MQA262199:MQA262201 MZW262199:MZW262201 NJS262199:NJS262201 NTO262199:NTO262201 ODK262199:ODK262201 ONG262199:ONG262201 OXC262199:OXC262201 PGY262199:PGY262201 PQU262199:PQU262201 QAQ262199:QAQ262201 QKM262199:QKM262201 QUI262199:QUI262201 REE262199:REE262201 ROA262199:ROA262201 RXW262199:RXW262201 SHS262199:SHS262201 SRO262199:SRO262201 TBK262199:TBK262201 TLG262199:TLG262201 TVC262199:TVC262201 UEY262199:UEY262201 UOU262199:UOU262201 UYQ262199:UYQ262201 VIM262199:VIM262201 VSI262199:VSI262201 WCE262199:WCE262201 WMA262199:WMA262201 WVW262199:WVW262201 N327735:N327737 JK327735:JK327737 TG327735:TG327737 ADC327735:ADC327737 AMY327735:AMY327737 AWU327735:AWU327737 BGQ327735:BGQ327737 BQM327735:BQM327737 CAI327735:CAI327737 CKE327735:CKE327737 CUA327735:CUA327737 DDW327735:DDW327737 DNS327735:DNS327737 DXO327735:DXO327737 EHK327735:EHK327737 ERG327735:ERG327737 FBC327735:FBC327737 FKY327735:FKY327737 FUU327735:FUU327737 GEQ327735:GEQ327737 GOM327735:GOM327737 GYI327735:GYI327737 HIE327735:HIE327737 HSA327735:HSA327737 IBW327735:IBW327737 ILS327735:ILS327737 IVO327735:IVO327737 JFK327735:JFK327737 JPG327735:JPG327737 JZC327735:JZC327737 KIY327735:KIY327737 KSU327735:KSU327737 LCQ327735:LCQ327737 LMM327735:LMM327737 LWI327735:LWI327737 MGE327735:MGE327737 MQA327735:MQA327737 MZW327735:MZW327737 NJS327735:NJS327737 NTO327735:NTO327737 ODK327735:ODK327737 ONG327735:ONG327737 OXC327735:OXC327737 PGY327735:PGY327737 PQU327735:PQU327737 QAQ327735:QAQ327737 QKM327735:QKM327737 QUI327735:QUI327737 REE327735:REE327737 ROA327735:ROA327737 RXW327735:RXW327737 SHS327735:SHS327737 SRO327735:SRO327737 TBK327735:TBK327737 TLG327735:TLG327737 TVC327735:TVC327737 UEY327735:UEY327737 UOU327735:UOU327737 UYQ327735:UYQ327737 VIM327735:VIM327737 VSI327735:VSI327737 WCE327735:WCE327737 WMA327735:WMA327737 WVW327735:WVW327737 N393271:N393273 JK393271:JK393273 TG393271:TG393273 ADC393271:ADC393273 AMY393271:AMY393273 AWU393271:AWU393273 BGQ393271:BGQ393273 BQM393271:BQM393273 CAI393271:CAI393273 CKE393271:CKE393273 CUA393271:CUA393273 DDW393271:DDW393273 DNS393271:DNS393273 DXO393271:DXO393273 EHK393271:EHK393273 ERG393271:ERG393273 FBC393271:FBC393273 FKY393271:FKY393273 FUU393271:FUU393273 GEQ393271:GEQ393273 GOM393271:GOM393273 GYI393271:GYI393273 HIE393271:HIE393273 HSA393271:HSA393273 IBW393271:IBW393273 ILS393271:ILS393273 IVO393271:IVO393273 JFK393271:JFK393273 JPG393271:JPG393273 JZC393271:JZC393273 KIY393271:KIY393273 KSU393271:KSU393273 LCQ393271:LCQ393273 LMM393271:LMM393273 LWI393271:LWI393273 MGE393271:MGE393273 MQA393271:MQA393273 MZW393271:MZW393273 NJS393271:NJS393273 NTO393271:NTO393273 ODK393271:ODK393273 ONG393271:ONG393273 OXC393271:OXC393273 PGY393271:PGY393273 PQU393271:PQU393273 QAQ393271:QAQ393273 QKM393271:QKM393273 QUI393271:QUI393273 REE393271:REE393273 ROA393271:ROA393273 RXW393271:RXW393273 SHS393271:SHS393273 SRO393271:SRO393273 TBK393271:TBK393273 TLG393271:TLG393273 TVC393271:TVC393273 UEY393271:UEY393273 UOU393271:UOU393273 UYQ393271:UYQ393273 VIM393271:VIM393273 VSI393271:VSI393273 WCE393271:WCE393273 WMA393271:WMA393273 WVW393271:WVW393273 N458807:N458809 JK458807:JK458809 TG458807:TG458809 ADC458807:ADC458809 AMY458807:AMY458809 AWU458807:AWU458809 BGQ458807:BGQ458809 BQM458807:BQM458809 CAI458807:CAI458809 CKE458807:CKE458809 CUA458807:CUA458809 DDW458807:DDW458809 DNS458807:DNS458809 DXO458807:DXO458809 EHK458807:EHK458809 ERG458807:ERG458809 FBC458807:FBC458809 FKY458807:FKY458809 FUU458807:FUU458809 GEQ458807:GEQ458809 GOM458807:GOM458809 GYI458807:GYI458809 HIE458807:HIE458809 HSA458807:HSA458809 IBW458807:IBW458809 ILS458807:ILS458809 IVO458807:IVO458809 JFK458807:JFK458809 JPG458807:JPG458809 JZC458807:JZC458809 KIY458807:KIY458809 KSU458807:KSU458809 LCQ458807:LCQ458809 LMM458807:LMM458809 LWI458807:LWI458809 MGE458807:MGE458809 MQA458807:MQA458809 MZW458807:MZW458809 NJS458807:NJS458809 NTO458807:NTO458809 ODK458807:ODK458809 ONG458807:ONG458809 OXC458807:OXC458809 PGY458807:PGY458809 PQU458807:PQU458809 QAQ458807:QAQ458809 QKM458807:QKM458809 QUI458807:QUI458809 REE458807:REE458809 ROA458807:ROA458809 RXW458807:RXW458809 SHS458807:SHS458809 SRO458807:SRO458809 TBK458807:TBK458809 TLG458807:TLG458809 TVC458807:TVC458809 UEY458807:UEY458809 UOU458807:UOU458809 UYQ458807:UYQ458809 VIM458807:VIM458809 VSI458807:VSI458809 WCE458807:WCE458809 WMA458807:WMA458809 WVW458807:WVW458809 N524343:N524345 JK524343:JK524345 TG524343:TG524345 ADC524343:ADC524345 AMY524343:AMY524345 AWU524343:AWU524345 BGQ524343:BGQ524345 BQM524343:BQM524345 CAI524343:CAI524345 CKE524343:CKE524345 CUA524343:CUA524345 DDW524343:DDW524345 DNS524343:DNS524345 DXO524343:DXO524345 EHK524343:EHK524345 ERG524343:ERG524345 FBC524343:FBC524345 FKY524343:FKY524345 FUU524343:FUU524345 GEQ524343:GEQ524345 GOM524343:GOM524345 GYI524343:GYI524345 HIE524343:HIE524345 HSA524343:HSA524345 IBW524343:IBW524345 ILS524343:ILS524345 IVO524343:IVO524345 JFK524343:JFK524345 JPG524343:JPG524345 JZC524343:JZC524345 KIY524343:KIY524345 KSU524343:KSU524345 LCQ524343:LCQ524345 LMM524343:LMM524345 LWI524343:LWI524345 MGE524343:MGE524345 MQA524343:MQA524345 MZW524343:MZW524345 NJS524343:NJS524345 NTO524343:NTO524345 ODK524343:ODK524345 ONG524343:ONG524345 OXC524343:OXC524345 PGY524343:PGY524345 PQU524343:PQU524345 QAQ524343:QAQ524345 QKM524343:QKM524345 QUI524343:QUI524345 REE524343:REE524345 ROA524343:ROA524345 RXW524343:RXW524345 SHS524343:SHS524345 SRO524343:SRO524345 TBK524343:TBK524345 TLG524343:TLG524345 TVC524343:TVC524345 UEY524343:UEY524345 UOU524343:UOU524345 UYQ524343:UYQ524345 VIM524343:VIM524345 VSI524343:VSI524345 WCE524343:WCE524345 WMA524343:WMA524345 WVW524343:WVW524345 N589879:N589881 JK589879:JK589881 TG589879:TG589881 ADC589879:ADC589881 AMY589879:AMY589881 AWU589879:AWU589881 BGQ589879:BGQ589881 BQM589879:BQM589881 CAI589879:CAI589881 CKE589879:CKE589881 CUA589879:CUA589881 DDW589879:DDW589881 DNS589879:DNS589881 DXO589879:DXO589881 EHK589879:EHK589881 ERG589879:ERG589881 FBC589879:FBC589881 FKY589879:FKY589881 FUU589879:FUU589881 GEQ589879:GEQ589881 GOM589879:GOM589881 GYI589879:GYI589881 HIE589879:HIE589881 HSA589879:HSA589881 IBW589879:IBW589881 ILS589879:ILS589881 IVO589879:IVO589881 JFK589879:JFK589881 JPG589879:JPG589881 JZC589879:JZC589881 KIY589879:KIY589881 KSU589879:KSU589881 LCQ589879:LCQ589881 LMM589879:LMM589881 LWI589879:LWI589881 MGE589879:MGE589881 MQA589879:MQA589881 MZW589879:MZW589881 NJS589879:NJS589881 NTO589879:NTO589881 ODK589879:ODK589881 ONG589879:ONG589881 OXC589879:OXC589881 PGY589879:PGY589881 PQU589879:PQU589881 QAQ589879:QAQ589881 QKM589879:QKM589881 QUI589879:QUI589881 REE589879:REE589881 ROA589879:ROA589881 RXW589879:RXW589881 SHS589879:SHS589881 SRO589879:SRO589881 TBK589879:TBK589881 TLG589879:TLG589881 TVC589879:TVC589881 UEY589879:UEY589881 UOU589879:UOU589881 UYQ589879:UYQ589881 VIM589879:VIM589881 VSI589879:VSI589881 WCE589879:WCE589881 WMA589879:WMA589881 WVW589879:WVW589881 N655415:N655417 JK655415:JK655417 TG655415:TG655417 ADC655415:ADC655417 AMY655415:AMY655417 AWU655415:AWU655417 BGQ655415:BGQ655417 BQM655415:BQM655417 CAI655415:CAI655417 CKE655415:CKE655417 CUA655415:CUA655417 DDW655415:DDW655417 DNS655415:DNS655417 DXO655415:DXO655417 EHK655415:EHK655417 ERG655415:ERG655417 FBC655415:FBC655417 FKY655415:FKY655417 FUU655415:FUU655417 GEQ655415:GEQ655417 GOM655415:GOM655417 GYI655415:GYI655417 HIE655415:HIE655417 HSA655415:HSA655417 IBW655415:IBW655417 ILS655415:ILS655417 IVO655415:IVO655417 JFK655415:JFK655417 JPG655415:JPG655417 JZC655415:JZC655417 KIY655415:KIY655417 KSU655415:KSU655417 LCQ655415:LCQ655417 LMM655415:LMM655417 LWI655415:LWI655417 MGE655415:MGE655417 MQA655415:MQA655417 MZW655415:MZW655417 NJS655415:NJS655417 NTO655415:NTO655417 ODK655415:ODK655417 ONG655415:ONG655417 OXC655415:OXC655417 PGY655415:PGY655417 PQU655415:PQU655417 QAQ655415:QAQ655417 QKM655415:QKM655417 QUI655415:QUI655417 REE655415:REE655417 ROA655415:ROA655417 RXW655415:RXW655417 SHS655415:SHS655417 SRO655415:SRO655417 TBK655415:TBK655417 TLG655415:TLG655417 TVC655415:TVC655417 UEY655415:UEY655417 UOU655415:UOU655417 UYQ655415:UYQ655417 VIM655415:VIM655417 VSI655415:VSI655417 WCE655415:WCE655417 WMA655415:WMA655417 WVW655415:WVW655417 N720951:N720953 JK720951:JK720953 TG720951:TG720953 ADC720951:ADC720953 AMY720951:AMY720953 AWU720951:AWU720953 BGQ720951:BGQ720953 BQM720951:BQM720953 CAI720951:CAI720953 CKE720951:CKE720953 CUA720951:CUA720953 DDW720951:DDW720953 DNS720951:DNS720953 DXO720951:DXO720953 EHK720951:EHK720953 ERG720951:ERG720953 FBC720951:FBC720953 FKY720951:FKY720953 FUU720951:FUU720953 GEQ720951:GEQ720953 GOM720951:GOM720953 GYI720951:GYI720953 HIE720951:HIE720953 HSA720951:HSA720953 IBW720951:IBW720953 ILS720951:ILS720953 IVO720951:IVO720953 JFK720951:JFK720953 JPG720951:JPG720953 JZC720951:JZC720953 KIY720951:KIY720953 KSU720951:KSU720953 LCQ720951:LCQ720953 LMM720951:LMM720953 LWI720951:LWI720953 MGE720951:MGE720953 MQA720951:MQA720953 MZW720951:MZW720953 NJS720951:NJS720953 NTO720951:NTO720953 ODK720951:ODK720953 ONG720951:ONG720953 OXC720951:OXC720953 PGY720951:PGY720953 PQU720951:PQU720953 QAQ720951:QAQ720953 QKM720951:QKM720953 QUI720951:QUI720953 REE720951:REE720953 ROA720951:ROA720953 RXW720951:RXW720953 SHS720951:SHS720953 SRO720951:SRO720953 TBK720951:TBK720953 TLG720951:TLG720953 TVC720951:TVC720953 UEY720951:UEY720953 UOU720951:UOU720953 UYQ720951:UYQ720953 VIM720951:VIM720953 VSI720951:VSI720953 WCE720951:WCE720953 WMA720951:WMA720953 WVW720951:WVW720953 N786487:N786489 JK786487:JK786489 TG786487:TG786489 ADC786487:ADC786489 AMY786487:AMY786489 AWU786487:AWU786489 BGQ786487:BGQ786489 BQM786487:BQM786489 CAI786487:CAI786489 CKE786487:CKE786489 CUA786487:CUA786489 DDW786487:DDW786489 DNS786487:DNS786489 DXO786487:DXO786489 EHK786487:EHK786489 ERG786487:ERG786489 FBC786487:FBC786489 FKY786487:FKY786489 FUU786487:FUU786489 GEQ786487:GEQ786489 GOM786487:GOM786489 GYI786487:GYI786489 HIE786487:HIE786489 HSA786487:HSA786489 IBW786487:IBW786489 ILS786487:ILS786489 IVO786487:IVO786489 JFK786487:JFK786489 JPG786487:JPG786489 JZC786487:JZC786489 KIY786487:KIY786489 KSU786487:KSU786489 LCQ786487:LCQ786489 LMM786487:LMM786489 LWI786487:LWI786489 MGE786487:MGE786489 MQA786487:MQA786489 MZW786487:MZW786489 NJS786487:NJS786489 NTO786487:NTO786489 ODK786487:ODK786489 ONG786487:ONG786489 OXC786487:OXC786489 PGY786487:PGY786489 PQU786487:PQU786489 QAQ786487:QAQ786489 QKM786487:QKM786489 QUI786487:QUI786489 REE786487:REE786489 ROA786487:ROA786489 RXW786487:RXW786489 SHS786487:SHS786489 SRO786487:SRO786489 TBK786487:TBK786489 TLG786487:TLG786489 TVC786487:TVC786489 UEY786487:UEY786489 UOU786487:UOU786489 UYQ786487:UYQ786489 VIM786487:VIM786489 VSI786487:VSI786489 WCE786487:WCE786489 WMA786487:WMA786489 WVW786487:WVW786489 N852023:N852025 JK852023:JK852025 TG852023:TG852025 ADC852023:ADC852025 AMY852023:AMY852025 AWU852023:AWU852025 BGQ852023:BGQ852025 BQM852023:BQM852025 CAI852023:CAI852025 CKE852023:CKE852025 CUA852023:CUA852025 DDW852023:DDW852025 DNS852023:DNS852025 DXO852023:DXO852025 EHK852023:EHK852025 ERG852023:ERG852025 FBC852023:FBC852025 FKY852023:FKY852025 FUU852023:FUU852025 GEQ852023:GEQ852025 GOM852023:GOM852025 GYI852023:GYI852025 HIE852023:HIE852025 HSA852023:HSA852025 IBW852023:IBW852025 ILS852023:ILS852025 IVO852023:IVO852025 JFK852023:JFK852025 JPG852023:JPG852025 JZC852023:JZC852025 KIY852023:KIY852025 KSU852023:KSU852025 LCQ852023:LCQ852025 LMM852023:LMM852025 LWI852023:LWI852025 MGE852023:MGE852025 MQA852023:MQA852025 MZW852023:MZW852025 NJS852023:NJS852025 NTO852023:NTO852025 ODK852023:ODK852025 ONG852023:ONG852025 OXC852023:OXC852025 PGY852023:PGY852025 PQU852023:PQU852025 QAQ852023:QAQ852025 QKM852023:QKM852025 QUI852023:QUI852025 REE852023:REE852025 ROA852023:ROA852025 RXW852023:RXW852025 SHS852023:SHS852025 SRO852023:SRO852025 TBK852023:TBK852025 TLG852023:TLG852025 TVC852023:TVC852025 UEY852023:UEY852025 UOU852023:UOU852025 UYQ852023:UYQ852025 VIM852023:VIM852025 VSI852023:VSI852025 WCE852023:WCE852025 WMA852023:WMA852025 WVW852023:WVW852025 N917559:N917561 JK917559:JK917561 TG917559:TG917561 ADC917559:ADC917561 AMY917559:AMY917561 AWU917559:AWU917561 BGQ917559:BGQ917561 BQM917559:BQM917561 CAI917559:CAI917561 CKE917559:CKE917561 CUA917559:CUA917561 DDW917559:DDW917561 DNS917559:DNS917561 DXO917559:DXO917561 EHK917559:EHK917561 ERG917559:ERG917561 FBC917559:FBC917561 FKY917559:FKY917561 FUU917559:FUU917561 GEQ917559:GEQ917561 GOM917559:GOM917561 GYI917559:GYI917561 HIE917559:HIE917561 HSA917559:HSA917561 IBW917559:IBW917561 ILS917559:ILS917561 IVO917559:IVO917561 JFK917559:JFK917561 JPG917559:JPG917561 JZC917559:JZC917561 KIY917559:KIY917561 KSU917559:KSU917561 LCQ917559:LCQ917561 LMM917559:LMM917561 LWI917559:LWI917561 MGE917559:MGE917561 MQA917559:MQA917561 MZW917559:MZW917561 NJS917559:NJS917561 NTO917559:NTO917561 ODK917559:ODK917561 ONG917559:ONG917561 OXC917559:OXC917561 PGY917559:PGY917561 PQU917559:PQU917561 QAQ917559:QAQ917561 QKM917559:QKM917561 QUI917559:QUI917561 REE917559:REE917561 ROA917559:ROA917561 RXW917559:RXW917561 SHS917559:SHS917561 SRO917559:SRO917561 TBK917559:TBK917561 TLG917559:TLG917561 TVC917559:TVC917561 UEY917559:UEY917561 UOU917559:UOU917561 UYQ917559:UYQ917561 VIM917559:VIM917561 VSI917559:VSI917561 WCE917559:WCE917561 WMA917559:WMA917561 WVW917559:WVW917561 N983095:N983097 JK983095:JK983097 TG983095:TG983097 ADC983095:ADC983097 AMY983095:AMY983097 AWU983095:AWU983097 BGQ983095:BGQ983097 BQM983095:BQM983097 CAI983095:CAI983097 CKE983095:CKE983097 CUA983095:CUA983097 DDW983095:DDW983097 DNS983095:DNS983097 DXO983095:DXO983097 EHK983095:EHK983097 ERG983095:ERG983097 FBC983095:FBC983097 FKY983095:FKY983097 FUU983095:FUU983097 GEQ983095:GEQ983097 GOM983095:GOM983097 GYI983095:GYI983097 HIE983095:HIE983097 HSA983095:HSA983097 IBW983095:IBW983097 ILS983095:ILS983097 IVO983095:IVO983097 JFK983095:JFK983097 JPG983095:JPG983097 JZC983095:JZC983097 KIY983095:KIY983097 KSU983095:KSU983097 LCQ983095:LCQ983097 LMM983095:LMM983097 LWI983095:LWI983097 MGE983095:MGE983097 MQA983095:MQA983097 MZW983095:MZW983097 NJS983095:NJS983097 NTO983095:NTO983097 ODK983095:ODK983097 ONG983095:ONG983097 OXC983095:OXC983097 PGY983095:PGY983097 PQU983095:PQU983097 QAQ983095:QAQ983097 QKM983095:QKM983097 QUI983095:QUI983097 REE983095:REE983097 ROA983095:ROA983097 RXW983095:RXW983097 SHS983095:SHS983097 SRO983095:SRO983097 TBK983095:TBK983097 TLG983095:TLG983097 TVC983095:TVC983097 UEY983095:UEY983097 UOU983095:UOU983097 UYQ983095:UYQ983097 VIM983095:VIM983097 VSI983095:VSI983097 WCE983095:WCE983097 WMA983095:WMA983097 WVW983095:WVW983097 WMA983081:WMA983084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N65568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N131104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N196640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N262176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N327712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N393248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N458784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N524320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N589856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N655392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N720928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N786464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N852000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N917536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N983072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WCE983081:WCE983084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N65572:N65573 JK65572:JK65573 TG65572:TG65573 ADC65572:ADC65573 AMY65572:AMY65573 AWU65572:AWU65573 BGQ65572:BGQ65573 BQM65572:BQM65573 CAI65572:CAI65573 CKE65572:CKE65573 CUA65572:CUA65573 DDW65572:DDW65573 DNS65572:DNS65573 DXO65572:DXO65573 EHK65572:EHK65573 ERG65572:ERG65573 FBC65572:FBC65573 FKY65572:FKY65573 FUU65572:FUU65573 GEQ65572:GEQ65573 GOM65572:GOM65573 GYI65572:GYI65573 HIE65572:HIE65573 HSA65572:HSA65573 IBW65572:IBW65573 ILS65572:ILS65573 IVO65572:IVO65573 JFK65572:JFK65573 JPG65572:JPG65573 JZC65572:JZC65573 KIY65572:KIY65573 KSU65572:KSU65573 LCQ65572:LCQ65573 LMM65572:LMM65573 LWI65572:LWI65573 MGE65572:MGE65573 MQA65572:MQA65573 MZW65572:MZW65573 NJS65572:NJS65573 NTO65572:NTO65573 ODK65572:ODK65573 ONG65572:ONG65573 OXC65572:OXC65573 PGY65572:PGY65573 PQU65572:PQU65573 QAQ65572:QAQ65573 QKM65572:QKM65573 QUI65572:QUI65573 REE65572:REE65573 ROA65572:ROA65573 RXW65572:RXW65573 SHS65572:SHS65573 SRO65572:SRO65573 TBK65572:TBK65573 TLG65572:TLG65573 TVC65572:TVC65573 UEY65572:UEY65573 UOU65572:UOU65573 UYQ65572:UYQ65573 VIM65572:VIM65573 VSI65572:VSI65573 WCE65572:WCE65573 WMA65572:WMA65573 WVW65572:WVW65573 N131108:N131109 JK131108:JK131109 TG131108:TG131109 ADC131108:ADC131109 AMY131108:AMY131109 AWU131108:AWU131109 BGQ131108:BGQ131109 BQM131108:BQM131109 CAI131108:CAI131109 CKE131108:CKE131109 CUA131108:CUA131109 DDW131108:DDW131109 DNS131108:DNS131109 DXO131108:DXO131109 EHK131108:EHK131109 ERG131108:ERG131109 FBC131108:FBC131109 FKY131108:FKY131109 FUU131108:FUU131109 GEQ131108:GEQ131109 GOM131108:GOM131109 GYI131108:GYI131109 HIE131108:HIE131109 HSA131108:HSA131109 IBW131108:IBW131109 ILS131108:ILS131109 IVO131108:IVO131109 JFK131108:JFK131109 JPG131108:JPG131109 JZC131108:JZC131109 KIY131108:KIY131109 KSU131108:KSU131109 LCQ131108:LCQ131109 LMM131108:LMM131109 LWI131108:LWI131109 MGE131108:MGE131109 MQA131108:MQA131109 MZW131108:MZW131109 NJS131108:NJS131109 NTO131108:NTO131109 ODK131108:ODK131109 ONG131108:ONG131109 OXC131108:OXC131109 PGY131108:PGY131109 PQU131108:PQU131109 QAQ131108:QAQ131109 QKM131108:QKM131109 QUI131108:QUI131109 REE131108:REE131109 ROA131108:ROA131109 RXW131108:RXW131109 SHS131108:SHS131109 SRO131108:SRO131109 TBK131108:TBK131109 TLG131108:TLG131109 TVC131108:TVC131109 UEY131108:UEY131109 UOU131108:UOU131109 UYQ131108:UYQ131109 VIM131108:VIM131109 VSI131108:VSI131109 WCE131108:WCE131109 WMA131108:WMA131109 WVW131108:WVW131109 N196644:N196645 JK196644:JK196645 TG196644:TG196645 ADC196644:ADC196645 AMY196644:AMY196645 AWU196644:AWU196645 BGQ196644:BGQ196645 BQM196644:BQM196645 CAI196644:CAI196645 CKE196644:CKE196645 CUA196644:CUA196645 DDW196644:DDW196645 DNS196644:DNS196645 DXO196644:DXO196645 EHK196644:EHK196645 ERG196644:ERG196645 FBC196644:FBC196645 FKY196644:FKY196645 FUU196644:FUU196645 GEQ196644:GEQ196645 GOM196644:GOM196645 GYI196644:GYI196645 HIE196644:HIE196645 HSA196644:HSA196645 IBW196644:IBW196645 ILS196644:ILS196645 IVO196644:IVO196645 JFK196644:JFK196645 JPG196644:JPG196645 JZC196644:JZC196645 KIY196644:KIY196645 KSU196644:KSU196645 LCQ196644:LCQ196645 LMM196644:LMM196645 LWI196644:LWI196645 MGE196644:MGE196645 MQA196644:MQA196645 MZW196644:MZW196645 NJS196644:NJS196645 NTO196644:NTO196645 ODK196644:ODK196645 ONG196644:ONG196645 OXC196644:OXC196645 PGY196644:PGY196645 PQU196644:PQU196645 QAQ196644:QAQ196645 QKM196644:QKM196645 QUI196644:QUI196645 REE196644:REE196645 ROA196644:ROA196645 RXW196644:RXW196645 SHS196644:SHS196645 SRO196644:SRO196645 TBK196644:TBK196645 TLG196644:TLG196645 TVC196644:TVC196645 UEY196644:UEY196645 UOU196644:UOU196645 UYQ196644:UYQ196645 VIM196644:VIM196645 VSI196644:VSI196645 WCE196644:WCE196645 WMA196644:WMA196645 WVW196644:WVW196645 N262180:N262181 JK262180:JK262181 TG262180:TG262181 ADC262180:ADC262181 AMY262180:AMY262181 AWU262180:AWU262181 BGQ262180:BGQ262181 BQM262180:BQM262181 CAI262180:CAI262181 CKE262180:CKE262181 CUA262180:CUA262181 DDW262180:DDW262181 DNS262180:DNS262181 DXO262180:DXO262181 EHK262180:EHK262181 ERG262180:ERG262181 FBC262180:FBC262181 FKY262180:FKY262181 FUU262180:FUU262181 GEQ262180:GEQ262181 GOM262180:GOM262181 GYI262180:GYI262181 HIE262180:HIE262181 HSA262180:HSA262181 IBW262180:IBW262181 ILS262180:ILS262181 IVO262180:IVO262181 JFK262180:JFK262181 JPG262180:JPG262181 JZC262180:JZC262181 KIY262180:KIY262181 KSU262180:KSU262181 LCQ262180:LCQ262181 LMM262180:LMM262181 LWI262180:LWI262181 MGE262180:MGE262181 MQA262180:MQA262181 MZW262180:MZW262181 NJS262180:NJS262181 NTO262180:NTO262181 ODK262180:ODK262181 ONG262180:ONG262181 OXC262180:OXC262181 PGY262180:PGY262181 PQU262180:PQU262181 QAQ262180:QAQ262181 QKM262180:QKM262181 QUI262180:QUI262181 REE262180:REE262181 ROA262180:ROA262181 RXW262180:RXW262181 SHS262180:SHS262181 SRO262180:SRO262181 TBK262180:TBK262181 TLG262180:TLG262181 TVC262180:TVC262181 UEY262180:UEY262181 UOU262180:UOU262181 UYQ262180:UYQ262181 VIM262180:VIM262181 VSI262180:VSI262181 WCE262180:WCE262181 WMA262180:WMA262181 WVW262180:WVW262181 N327716:N327717 JK327716:JK327717 TG327716:TG327717 ADC327716:ADC327717 AMY327716:AMY327717 AWU327716:AWU327717 BGQ327716:BGQ327717 BQM327716:BQM327717 CAI327716:CAI327717 CKE327716:CKE327717 CUA327716:CUA327717 DDW327716:DDW327717 DNS327716:DNS327717 DXO327716:DXO327717 EHK327716:EHK327717 ERG327716:ERG327717 FBC327716:FBC327717 FKY327716:FKY327717 FUU327716:FUU327717 GEQ327716:GEQ327717 GOM327716:GOM327717 GYI327716:GYI327717 HIE327716:HIE327717 HSA327716:HSA327717 IBW327716:IBW327717 ILS327716:ILS327717 IVO327716:IVO327717 JFK327716:JFK327717 JPG327716:JPG327717 JZC327716:JZC327717 KIY327716:KIY327717 KSU327716:KSU327717 LCQ327716:LCQ327717 LMM327716:LMM327717 LWI327716:LWI327717 MGE327716:MGE327717 MQA327716:MQA327717 MZW327716:MZW327717 NJS327716:NJS327717 NTO327716:NTO327717 ODK327716:ODK327717 ONG327716:ONG327717 OXC327716:OXC327717 PGY327716:PGY327717 PQU327716:PQU327717 QAQ327716:QAQ327717 QKM327716:QKM327717 QUI327716:QUI327717 REE327716:REE327717 ROA327716:ROA327717 RXW327716:RXW327717 SHS327716:SHS327717 SRO327716:SRO327717 TBK327716:TBK327717 TLG327716:TLG327717 TVC327716:TVC327717 UEY327716:UEY327717 UOU327716:UOU327717 UYQ327716:UYQ327717 VIM327716:VIM327717 VSI327716:VSI327717 WCE327716:WCE327717 WMA327716:WMA327717 WVW327716:WVW327717 N393252:N393253 JK393252:JK393253 TG393252:TG393253 ADC393252:ADC393253 AMY393252:AMY393253 AWU393252:AWU393253 BGQ393252:BGQ393253 BQM393252:BQM393253 CAI393252:CAI393253 CKE393252:CKE393253 CUA393252:CUA393253 DDW393252:DDW393253 DNS393252:DNS393253 DXO393252:DXO393253 EHK393252:EHK393253 ERG393252:ERG393253 FBC393252:FBC393253 FKY393252:FKY393253 FUU393252:FUU393253 GEQ393252:GEQ393253 GOM393252:GOM393253 GYI393252:GYI393253 HIE393252:HIE393253 HSA393252:HSA393253 IBW393252:IBW393253 ILS393252:ILS393253 IVO393252:IVO393253 JFK393252:JFK393253 JPG393252:JPG393253 JZC393252:JZC393253 KIY393252:KIY393253 KSU393252:KSU393253 LCQ393252:LCQ393253 LMM393252:LMM393253 LWI393252:LWI393253 MGE393252:MGE393253 MQA393252:MQA393253 MZW393252:MZW393253 NJS393252:NJS393253 NTO393252:NTO393253 ODK393252:ODK393253 ONG393252:ONG393253 OXC393252:OXC393253 PGY393252:PGY393253 PQU393252:PQU393253 QAQ393252:QAQ393253 QKM393252:QKM393253 QUI393252:QUI393253 REE393252:REE393253 ROA393252:ROA393253 RXW393252:RXW393253 SHS393252:SHS393253 SRO393252:SRO393253 TBK393252:TBK393253 TLG393252:TLG393253 TVC393252:TVC393253 UEY393252:UEY393253 UOU393252:UOU393253 UYQ393252:UYQ393253 VIM393252:VIM393253 VSI393252:VSI393253 WCE393252:WCE393253 WMA393252:WMA393253 WVW393252:WVW393253 N458788:N458789 JK458788:JK458789 TG458788:TG458789 ADC458788:ADC458789 AMY458788:AMY458789 AWU458788:AWU458789 BGQ458788:BGQ458789 BQM458788:BQM458789 CAI458788:CAI458789 CKE458788:CKE458789 CUA458788:CUA458789 DDW458788:DDW458789 DNS458788:DNS458789 DXO458788:DXO458789 EHK458788:EHK458789 ERG458788:ERG458789 FBC458788:FBC458789 FKY458788:FKY458789 FUU458788:FUU458789 GEQ458788:GEQ458789 GOM458788:GOM458789 GYI458788:GYI458789 HIE458788:HIE458789 HSA458788:HSA458789 IBW458788:IBW458789 ILS458788:ILS458789 IVO458788:IVO458789 JFK458788:JFK458789 JPG458788:JPG458789 JZC458788:JZC458789 KIY458788:KIY458789 KSU458788:KSU458789 LCQ458788:LCQ458789 LMM458788:LMM458789 LWI458788:LWI458789 MGE458788:MGE458789 MQA458788:MQA458789 MZW458788:MZW458789 NJS458788:NJS458789 NTO458788:NTO458789 ODK458788:ODK458789 ONG458788:ONG458789 OXC458788:OXC458789 PGY458788:PGY458789 PQU458788:PQU458789 QAQ458788:QAQ458789 QKM458788:QKM458789 QUI458788:QUI458789 REE458788:REE458789 ROA458788:ROA458789 RXW458788:RXW458789 SHS458788:SHS458789 SRO458788:SRO458789 TBK458788:TBK458789 TLG458788:TLG458789 TVC458788:TVC458789 UEY458788:UEY458789 UOU458788:UOU458789 UYQ458788:UYQ458789 VIM458788:VIM458789 VSI458788:VSI458789 WCE458788:WCE458789 WMA458788:WMA458789 WVW458788:WVW458789 N524324:N524325 JK524324:JK524325 TG524324:TG524325 ADC524324:ADC524325 AMY524324:AMY524325 AWU524324:AWU524325 BGQ524324:BGQ524325 BQM524324:BQM524325 CAI524324:CAI524325 CKE524324:CKE524325 CUA524324:CUA524325 DDW524324:DDW524325 DNS524324:DNS524325 DXO524324:DXO524325 EHK524324:EHK524325 ERG524324:ERG524325 FBC524324:FBC524325 FKY524324:FKY524325 FUU524324:FUU524325 GEQ524324:GEQ524325 GOM524324:GOM524325 GYI524324:GYI524325 HIE524324:HIE524325 HSA524324:HSA524325 IBW524324:IBW524325 ILS524324:ILS524325 IVO524324:IVO524325 JFK524324:JFK524325 JPG524324:JPG524325 JZC524324:JZC524325 KIY524324:KIY524325 KSU524324:KSU524325 LCQ524324:LCQ524325 LMM524324:LMM524325 LWI524324:LWI524325 MGE524324:MGE524325 MQA524324:MQA524325 MZW524324:MZW524325 NJS524324:NJS524325 NTO524324:NTO524325 ODK524324:ODK524325 ONG524324:ONG524325 OXC524324:OXC524325 PGY524324:PGY524325 PQU524324:PQU524325 QAQ524324:QAQ524325 QKM524324:QKM524325 QUI524324:QUI524325 REE524324:REE524325 ROA524324:ROA524325 RXW524324:RXW524325 SHS524324:SHS524325 SRO524324:SRO524325 TBK524324:TBK524325 TLG524324:TLG524325 TVC524324:TVC524325 UEY524324:UEY524325 UOU524324:UOU524325 UYQ524324:UYQ524325 VIM524324:VIM524325 VSI524324:VSI524325 WCE524324:WCE524325 WMA524324:WMA524325 WVW524324:WVW524325 N589860:N589861 JK589860:JK589861 TG589860:TG589861 ADC589860:ADC589861 AMY589860:AMY589861 AWU589860:AWU589861 BGQ589860:BGQ589861 BQM589860:BQM589861 CAI589860:CAI589861 CKE589860:CKE589861 CUA589860:CUA589861 DDW589860:DDW589861 DNS589860:DNS589861 DXO589860:DXO589861 EHK589860:EHK589861 ERG589860:ERG589861 FBC589860:FBC589861 FKY589860:FKY589861 FUU589860:FUU589861 GEQ589860:GEQ589861 GOM589860:GOM589861 GYI589860:GYI589861 HIE589860:HIE589861 HSA589860:HSA589861 IBW589860:IBW589861 ILS589860:ILS589861 IVO589860:IVO589861 JFK589860:JFK589861 JPG589860:JPG589861 JZC589860:JZC589861 KIY589860:KIY589861 KSU589860:KSU589861 LCQ589860:LCQ589861 LMM589860:LMM589861 LWI589860:LWI589861 MGE589860:MGE589861 MQA589860:MQA589861 MZW589860:MZW589861 NJS589860:NJS589861 NTO589860:NTO589861 ODK589860:ODK589861 ONG589860:ONG589861 OXC589860:OXC589861 PGY589860:PGY589861 PQU589860:PQU589861 QAQ589860:QAQ589861 QKM589860:QKM589861 QUI589860:QUI589861 REE589860:REE589861 ROA589860:ROA589861 RXW589860:RXW589861 SHS589860:SHS589861 SRO589860:SRO589861 TBK589860:TBK589861 TLG589860:TLG589861 TVC589860:TVC589861 UEY589860:UEY589861 UOU589860:UOU589861 UYQ589860:UYQ589861 VIM589860:VIM589861 VSI589860:VSI589861 WCE589860:WCE589861 WMA589860:WMA589861 WVW589860:WVW589861 N655396:N655397 JK655396:JK655397 TG655396:TG655397 ADC655396:ADC655397 AMY655396:AMY655397 AWU655396:AWU655397 BGQ655396:BGQ655397 BQM655396:BQM655397 CAI655396:CAI655397 CKE655396:CKE655397 CUA655396:CUA655397 DDW655396:DDW655397 DNS655396:DNS655397 DXO655396:DXO655397 EHK655396:EHK655397 ERG655396:ERG655397 FBC655396:FBC655397 FKY655396:FKY655397 FUU655396:FUU655397 GEQ655396:GEQ655397 GOM655396:GOM655397 GYI655396:GYI655397 HIE655396:HIE655397 HSA655396:HSA655397 IBW655396:IBW655397 ILS655396:ILS655397 IVO655396:IVO655397 JFK655396:JFK655397 JPG655396:JPG655397 JZC655396:JZC655397 KIY655396:KIY655397 KSU655396:KSU655397 LCQ655396:LCQ655397 LMM655396:LMM655397 LWI655396:LWI655397 MGE655396:MGE655397 MQA655396:MQA655397 MZW655396:MZW655397 NJS655396:NJS655397 NTO655396:NTO655397 ODK655396:ODK655397 ONG655396:ONG655397 OXC655396:OXC655397 PGY655396:PGY655397 PQU655396:PQU655397 QAQ655396:QAQ655397 QKM655396:QKM655397 QUI655396:QUI655397 REE655396:REE655397 ROA655396:ROA655397 RXW655396:RXW655397 SHS655396:SHS655397 SRO655396:SRO655397 TBK655396:TBK655397 TLG655396:TLG655397 TVC655396:TVC655397 UEY655396:UEY655397 UOU655396:UOU655397 UYQ655396:UYQ655397 VIM655396:VIM655397 VSI655396:VSI655397 WCE655396:WCE655397 WMA655396:WMA655397 WVW655396:WVW655397 N720932:N720933 JK720932:JK720933 TG720932:TG720933 ADC720932:ADC720933 AMY720932:AMY720933 AWU720932:AWU720933 BGQ720932:BGQ720933 BQM720932:BQM720933 CAI720932:CAI720933 CKE720932:CKE720933 CUA720932:CUA720933 DDW720932:DDW720933 DNS720932:DNS720933 DXO720932:DXO720933 EHK720932:EHK720933 ERG720932:ERG720933 FBC720932:FBC720933 FKY720932:FKY720933 FUU720932:FUU720933 GEQ720932:GEQ720933 GOM720932:GOM720933 GYI720932:GYI720933 HIE720932:HIE720933 HSA720932:HSA720933 IBW720932:IBW720933 ILS720932:ILS720933 IVO720932:IVO720933 JFK720932:JFK720933 JPG720932:JPG720933 JZC720932:JZC720933 KIY720932:KIY720933 KSU720932:KSU720933 LCQ720932:LCQ720933 LMM720932:LMM720933 LWI720932:LWI720933 MGE720932:MGE720933 MQA720932:MQA720933 MZW720932:MZW720933 NJS720932:NJS720933 NTO720932:NTO720933 ODK720932:ODK720933 ONG720932:ONG720933 OXC720932:OXC720933 PGY720932:PGY720933 PQU720932:PQU720933 QAQ720932:QAQ720933 QKM720932:QKM720933 QUI720932:QUI720933 REE720932:REE720933 ROA720932:ROA720933 RXW720932:RXW720933 SHS720932:SHS720933 SRO720932:SRO720933 TBK720932:TBK720933 TLG720932:TLG720933 TVC720932:TVC720933 UEY720932:UEY720933 UOU720932:UOU720933 UYQ720932:UYQ720933 VIM720932:VIM720933 VSI720932:VSI720933 WCE720932:WCE720933 WMA720932:WMA720933 WVW720932:WVW720933 N786468:N786469 JK786468:JK786469 TG786468:TG786469 ADC786468:ADC786469 AMY786468:AMY786469 AWU786468:AWU786469 BGQ786468:BGQ786469 BQM786468:BQM786469 CAI786468:CAI786469 CKE786468:CKE786469 CUA786468:CUA786469 DDW786468:DDW786469 DNS786468:DNS786469 DXO786468:DXO786469 EHK786468:EHK786469 ERG786468:ERG786469 FBC786468:FBC786469 FKY786468:FKY786469 FUU786468:FUU786469 GEQ786468:GEQ786469 GOM786468:GOM786469 GYI786468:GYI786469 HIE786468:HIE786469 HSA786468:HSA786469 IBW786468:IBW786469 ILS786468:ILS786469 IVO786468:IVO786469 JFK786468:JFK786469 JPG786468:JPG786469 JZC786468:JZC786469 KIY786468:KIY786469 KSU786468:KSU786469 LCQ786468:LCQ786469 LMM786468:LMM786469 LWI786468:LWI786469 MGE786468:MGE786469 MQA786468:MQA786469 MZW786468:MZW786469 NJS786468:NJS786469 NTO786468:NTO786469 ODK786468:ODK786469 ONG786468:ONG786469 OXC786468:OXC786469 PGY786468:PGY786469 PQU786468:PQU786469 QAQ786468:QAQ786469 QKM786468:QKM786469 QUI786468:QUI786469 REE786468:REE786469 ROA786468:ROA786469 RXW786468:RXW786469 SHS786468:SHS786469 SRO786468:SRO786469 TBK786468:TBK786469 TLG786468:TLG786469 TVC786468:TVC786469 UEY786468:UEY786469 UOU786468:UOU786469 UYQ786468:UYQ786469 VIM786468:VIM786469 VSI786468:VSI786469 WCE786468:WCE786469 WMA786468:WMA786469 WVW786468:WVW786469 N852004:N852005 JK852004:JK852005 TG852004:TG852005 ADC852004:ADC852005 AMY852004:AMY852005 AWU852004:AWU852005 BGQ852004:BGQ852005 BQM852004:BQM852005 CAI852004:CAI852005 CKE852004:CKE852005 CUA852004:CUA852005 DDW852004:DDW852005 DNS852004:DNS852005 DXO852004:DXO852005 EHK852004:EHK852005 ERG852004:ERG852005 FBC852004:FBC852005 FKY852004:FKY852005 FUU852004:FUU852005 GEQ852004:GEQ852005 GOM852004:GOM852005 GYI852004:GYI852005 HIE852004:HIE852005 HSA852004:HSA852005 IBW852004:IBW852005 ILS852004:ILS852005 IVO852004:IVO852005 JFK852004:JFK852005 JPG852004:JPG852005 JZC852004:JZC852005 KIY852004:KIY852005 KSU852004:KSU852005 LCQ852004:LCQ852005 LMM852004:LMM852005 LWI852004:LWI852005 MGE852004:MGE852005 MQA852004:MQA852005 MZW852004:MZW852005 NJS852004:NJS852005 NTO852004:NTO852005 ODK852004:ODK852005 ONG852004:ONG852005 OXC852004:OXC852005 PGY852004:PGY852005 PQU852004:PQU852005 QAQ852004:QAQ852005 QKM852004:QKM852005 QUI852004:QUI852005 REE852004:REE852005 ROA852004:ROA852005 RXW852004:RXW852005 SHS852004:SHS852005 SRO852004:SRO852005 TBK852004:TBK852005 TLG852004:TLG852005 TVC852004:TVC852005 UEY852004:UEY852005 UOU852004:UOU852005 UYQ852004:UYQ852005 VIM852004:VIM852005 VSI852004:VSI852005 WCE852004:WCE852005 WMA852004:WMA852005 WVW852004:WVW852005 N917540:N917541 JK917540:JK917541 TG917540:TG917541 ADC917540:ADC917541 AMY917540:AMY917541 AWU917540:AWU917541 BGQ917540:BGQ917541 BQM917540:BQM917541 CAI917540:CAI917541 CKE917540:CKE917541 CUA917540:CUA917541 DDW917540:DDW917541 DNS917540:DNS917541 DXO917540:DXO917541 EHK917540:EHK917541 ERG917540:ERG917541 FBC917540:FBC917541 FKY917540:FKY917541 FUU917540:FUU917541 GEQ917540:GEQ917541 GOM917540:GOM917541 GYI917540:GYI917541 HIE917540:HIE917541 HSA917540:HSA917541 IBW917540:IBW917541 ILS917540:ILS917541 IVO917540:IVO917541 JFK917540:JFK917541 JPG917540:JPG917541 JZC917540:JZC917541 KIY917540:KIY917541 KSU917540:KSU917541 LCQ917540:LCQ917541 LMM917540:LMM917541 LWI917540:LWI917541 MGE917540:MGE917541 MQA917540:MQA917541 MZW917540:MZW917541 NJS917540:NJS917541 NTO917540:NTO917541 ODK917540:ODK917541 ONG917540:ONG917541 OXC917540:OXC917541 PGY917540:PGY917541 PQU917540:PQU917541 QAQ917540:QAQ917541 QKM917540:QKM917541 QUI917540:QUI917541 REE917540:REE917541 ROA917540:ROA917541 RXW917540:RXW917541 SHS917540:SHS917541 SRO917540:SRO917541 TBK917540:TBK917541 TLG917540:TLG917541 TVC917540:TVC917541 UEY917540:UEY917541 UOU917540:UOU917541 UYQ917540:UYQ917541 VIM917540:VIM917541 VSI917540:VSI917541 WCE917540:WCE917541 WMA917540:WMA917541 WVW917540:WVW917541 N983076:N983077 JK983076:JK983077 TG983076:TG983077 ADC983076:ADC983077 AMY983076:AMY983077 AWU983076:AWU983077 BGQ983076:BGQ983077 BQM983076:BQM983077 CAI983076:CAI983077 CKE983076:CKE983077 CUA983076:CUA983077 DDW983076:DDW983077 DNS983076:DNS983077 DXO983076:DXO983077 EHK983076:EHK983077 ERG983076:ERG983077 FBC983076:FBC983077 FKY983076:FKY983077 FUU983076:FUU983077 GEQ983076:GEQ983077 GOM983076:GOM983077 GYI983076:GYI983077 HIE983076:HIE983077 HSA983076:HSA983077 IBW983076:IBW983077 ILS983076:ILS983077 IVO983076:IVO983077 JFK983076:JFK983077 JPG983076:JPG983077 JZC983076:JZC983077 KIY983076:KIY983077 KSU983076:KSU983077 LCQ983076:LCQ983077 LMM983076:LMM983077 LWI983076:LWI983077 MGE983076:MGE983077 MQA983076:MQA983077 MZW983076:MZW983077 NJS983076:NJS983077 NTO983076:NTO983077 ODK983076:ODK983077 ONG983076:ONG983077 OXC983076:OXC983077 PGY983076:PGY983077 PQU983076:PQU983077 QAQ983076:QAQ983077 QKM983076:QKM983077 QUI983076:QUI983077 REE983076:REE983077 ROA983076:ROA983077 RXW983076:RXW983077 SHS983076:SHS983077 SRO983076:SRO983077 TBK983076:TBK983077 TLG983076:TLG983077 TVC983076:TVC983077 UEY983076:UEY983077 UOU983076:UOU983077 UYQ983076:UYQ983077 VIM983076:VIM983077 VSI983076:VSI983077 WCE983076:WCE983077 WMA983076:WMA983077 WVW983076:WVW983077 TVC983081:TVC983084 JK75:JK77 TG75:TG77 ADC75:ADC77 AMY75:AMY77 AWU75:AWU77 BGQ75:BGQ77 BQM75:BQM77 CAI75:CAI77 CKE75:CKE77 CUA75:CUA77 DDW75:DDW77 DNS75:DNS77 DXO75:DXO77 EHK75:EHK77 ERG75:ERG77 FBC75:FBC77 FKY75:FKY77 FUU75:FUU77 GEQ75:GEQ77 GOM75:GOM77 GYI75:GYI77 HIE75:HIE77 HSA75:HSA77 IBW75:IBW77 ILS75:ILS77 IVO75:IVO77 JFK75:JFK77 JPG75:JPG77 JZC75:JZC77 KIY75:KIY77 KSU75:KSU77 LCQ75:LCQ77 LMM75:LMM77 LWI75:LWI77 MGE75:MGE77 MQA75:MQA77 MZW75:MZW77 NJS75:NJS77 NTO75:NTO77 ODK75:ODK77 ONG75:ONG77 OXC75:OXC77 PGY75:PGY77 PQU75:PQU77 QAQ75:QAQ77 QKM75:QKM77 QUI75:QUI77 REE75:REE77 ROA75:ROA77 RXW75:RXW77 SHS75:SHS77 SRO75:SRO77 TBK75:TBK77 TLG75:TLG77 TVC75:TVC77 UEY75:UEY77 UOU75:UOU77 UYQ75:UYQ77 VIM75:VIM77 VSI75:VSI77 WCE75:WCE77 WMA75:WMA77 WVW75:WVW77 N65613:N65615 JK65613:JK65615 TG65613:TG65615 ADC65613:ADC65615 AMY65613:AMY65615 AWU65613:AWU65615 BGQ65613:BGQ65615 BQM65613:BQM65615 CAI65613:CAI65615 CKE65613:CKE65615 CUA65613:CUA65615 DDW65613:DDW65615 DNS65613:DNS65615 DXO65613:DXO65615 EHK65613:EHK65615 ERG65613:ERG65615 FBC65613:FBC65615 FKY65613:FKY65615 FUU65613:FUU65615 GEQ65613:GEQ65615 GOM65613:GOM65615 GYI65613:GYI65615 HIE65613:HIE65615 HSA65613:HSA65615 IBW65613:IBW65615 ILS65613:ILS65615 IVO65613:IVO65615 JFK65613:JFK65615 JPG65613:JPG65615 JZC65613:JZC65615 KIY65613:KIY65615 KSU65613:KSU65615 LCQ65613:LCQ65615 LMM65613:LMM65615 LWI65613:LWI65615 MGE65613:MGE65615 MQA65613:MQA65615 MZW65613:MZW65615 NJS65613:NJS65615 NTO65613:NTO65615 ODK65613:ODK65615 ONG65613:ONG65615 OXC65613:OXC65615 PGY65613:PGY65615 PQU65613:PQU65615 QAQ65613:QAQ65615 QKM65613:QKM65615 QUI65613:QUI65615 REE65613:REE65615 ROA65613:ROA65615 RXW65613:RXW65615 SHS65613:SHS65615 SRO65613:SRO65615 TBK65613:TBK65615 TLG65613:TLG65615 TVC65613:TVC65615 UEY65613:UEY65615 UOU65613:UOU65615 UYQ65613:UYQ65615 VIM65613:VIM65615 VSI65613:VSI65615 WCE65613:WCE65615 WMA65613:WMA65615 WVW65613:WVW65615 N131149:N131151 JK131149:JK131151 TG131149:TG131151 ADC131149:ADC131151 AMY131149:AMY131151 AWU131149:AWU131151 BGQ131149:BGQ131151 BQM131149:BQM131151 CAI131149:CAI131151 CKE131149:CKE131151 CUA131149:CUA131151 DDW131149:DDW131151 DNS131149:DNS131151 DXO131149:DXO131151 EHK131149:EHK131151 ERG131149:ERG131151 FBC131149:FBC131151 FKY131149:FKY131151 FUU131149:FUU131151 GEQ131149:GEQ131151 GOM131149:GOM131151 GYI131149:GYI131151 HIE131149:HIE131151 HSA131149:HSA131151 IBW131149:IBW131151 ILS131149:ILS131151 IVO131149:IVO131151 JFK131149:JFK131151 JPG131149:JPG131151 JZC131149:JZC131151 KIY131149:KIY131151 KSU131149:KSU131151 LCQ131149:LCQ131151 LMM131149:LMM131151 LWI131149:LWI131151 MGE131149:MGE131151 MQA131149:MQA131151 MZW131149:MZW131151 NJS131149:NJS131151 NTO131149:NTO131151 ODK131149:ODK131151 ONG131149:ONG131151 OXC131149:OXC131151 PGY131149:PGY131151 PQU131149:PQU131151 QAQ131149:QAQ131151 QKM131149:QKM131151 QUI131149:QUI131151 REE131149:REE131151 ROA131149:ROA131151 RXW131149:RXW131151 SHS131149:SHS131151 SRO131149:SRO131151 TBK131149:TBK131151 TLG131149:TLG131151 TVC131149:TVC131151 UEY131149:UEY131151 UOU131149:UOU131151 UYQ131149:UYQ131151 VIM131149:VIM131151 VSI131149:VSI131151 WCE131149:WCE131151 WMA131149:WMA131151 WVW131149:WVW131151 N196685:N196687 JK196685:JK196687 TG196685:TG196687 ADC196685:ADC196687 AMY196685:AMY196687 AWU196685:AWU196687 BGQ196685:BGQ196687 BQM196685:BQM196687 CAI196685:CAI196687 CKE196685:CKE196687 CUA196685:CUA196687 DDW196685:DDW196687 DNS196685:DNS196687 DXO196685:DXO196687 EHK196685:EHK196687 ERG196685:ERG196687 FBC196685:FBC196687 FKY196685:FKY196687 FUU196685:FUU196687 GEQ196685:GEQ196687 GOM196685:GOM196687 GYI196685:GYI196687 HIE196685:HIE196687 HSA196685:HSA196687 IBW196685:IBW196687 ILS196685:ILS196687 IVO196685:IVO196687 JFK196685:JFK196687 JPG196685:JPG196687 JZC196685:JZC196687 KIY196685:KIY196687 KSU196685:KSU196687 LCQ196685:LCQ196687 LMM196685:LMM196687 LWI196685:LWI196687 MGE196685:MGE196687 MQA196685:MQA196687 MZW196685:MZW196687 NJS196685:NJS196687 NTO196685:NTO196687 ODK196685:ODK196687 ONG196685:ONG196687 OXC196685:OXC196687 PGY196685:PGY196687 PQU196685:PQU196687 QAQ196685:QAQ196687 QKM196685:QKM196687 QUI196685:QUI196687 REE196685:REE196687 ROA196685:ROA196687 RXW196685:RXW196687 SHS196685:SHS196687 SRO196685:SRO196687 TBK196685:TBK196687 TLG196685:TLG196687 TVC196685:TVC196687 UEY196685:UEY196687 UOU196685:UOU196687 UYQ196685:UYQ196687 VIM196685:VIM196687 VSI196685:VSI196687 WCE196685:WCE196687 WMA196685:WMA196687 WVW196685:WVW196687 N262221:N262223 JK262221:JK262223 TG262221:TG262223 ADC262221:ADC262223 AMY262221:AMY262223 AWU262221:AWU262223 BGQ262221:BGQ262223 BQM262221:BQM262223 CAI262221:CAI262223 CKE262221:CKE262223 CUA262221:CUA262223 DDW262221:DDW262223 DNS262221:DNS262223 DXO262221:DXO262223 EHK262221:EHK262223 ERG262221:ERG262223 FBC262221:FBC262223 FKY262221:FKY262223 FUU262221:FUU262223 GEQ262221:GEQ262223 GOM262221:GOM262223 GYI262221:GYI262223 HIE262221:HIE262223 HSA262221:HSA262223 IBW262221:IBW262223 ILS262221:ILS262223 IVO262221:IVO262223 JFK262221:JFK262223 JPG262221:JPG262223 JZC262221:JZC262223 KIY262221:KIY262223 KSU262221:KSU262223 LCQ262221:LCQ262223 LMM262221:LMM262223 LWI262221:LWI262223 MGE262221:MGE262223 MQA262221:MQA262223 MZW262221:MZW262223 NJS262221:NJS262223 NTO262221:NTO262223 ODK262221:ODK262223 ONG262221:ONG262223 OXC262221:OXC262223 PGY262221:PGY262223 PQU262221:PQU262223 QAQ262221:QAQ262223 QKM262221:QKM262223 QUI262221:QUI262223 REE262221:REE262223 ROA262221:ROA262223 RXW262221:RXW262223 SHS262221:SHS262223 SRO262221:SRO262223 TBK262221:TBK262223 TLG262221:TLG262223 TVC262221:TVC262223 UEY262221:UEY262223 UOU262221:UOU262223 UYQ262221:UYQ262223 VIM262221:VIM262223 VSI262221:VSI262223 WCE262221:WCE262223 WMA262221:WMA262223 WVW262221:WVW262223 N327757:N327759 JK327757:JK327759 TG327757:TG327759 ADC327757:ADC327759 AMY327757:AMY327759 AWU327757:AWU327759 BGQ327757:BGQ327759 BQM327757:BQM327759 CAI327757:CAI327759 CKE327757:CKE327759 CUA327757:CUA327759 DDW327757:DDW327759 DNS327757:DNS327759 DXO327757:DXO327759 EHK327757:EHK327759 ERG327757:ERG327759 FBC327757:FBC327759 FKY327757:FKY327759 FUU327757:FUU327759 GEQ327757:GEQ327759 GOM327757:GOM327759 GYI327757:GYI327759 HIE327757:HIE327759 HSA327757:HSA327759 IBW327757:IBW327759 ILS327757:ILS327759 IVO327757:IVO327759 JFK327757:JFK327759 JPG327757:JPG327759 JZC327757:JZC327759 KIY327757:KIY327759 KSU327757:KSU327759 LCQ327757:LCQ327759 LMM327757:LMM327759 LWI327757:LWI327759 MGE327757:MGE327759 MQA327757:MQA327759 MZW327757:MZW327759 NJS327757:NJS327759 NTO327757:NTO327759 ODK327757:ODK327759 ONG327757:ONG327759 OXC327757:OXC327759 PGY327757:PGY327759 PQU327757:PQU327759 QAQ327757:QAQ327759 QKM327757:QKM327759 QUI327757:QUI327759 REE327757:REE327759 ROA327757:ROA327759 RXW327757:RXW327759 SHS327757:SHS327759 SRO327757:SRO327759 TBK327757:TBK327759 TLG327757:TLG327759 TVC327757:TVC327759 UEY327757:UEY327759 UOU327757:UOU327759 UYQ327757:UYQ327759 VIM327757:VIM327759 VSI327757:VSI327759 WCE327757:WCE327759 WMA327757:WMA327759 WVW327757:WVW327759 N393293:N393295 JK393293:JK393295 TG393293:TG393295 ADC393293:ADC393295 AMY393293:AMY393295 AWU393293:AWU393295 BGQ393293:BGQ393295 BQM393293:BQM393295 CAI393293:CAI393295 CKE393293:CKE393295 CUA393293:CUA393295 DDW393293:DDW393295 DNS393293:DNS393295 DXO393293:DXO393295 EHK393293:EHK393295 ERG393293:ERG393295 FBC393293:FBC393295 FKY393293:FKY393295 FUU393293:FUU393295 GEQ393293:GEQ393295 GOM393293:GOM393295 GYI393293:GYI393295 HIE393293:HIE393295 HSA393293:HSA393295 IBW393293:IBW393295 ILS393293:ILS393295 IVO393293:IVO393295 JFK393293:JFK393295 JPG393293:JPG393295 JZC393293:JZC393295 KIY393293:KIY393295 KSU393293:KSU393295 LCQ393293:LCQ393295 LMM393293:LMM393295 LWI393293:LWI393295 MGE393293:MGE393295 MQA393293:MQA393295 MZW393293:MZW393295 NJS393293:NJS393295 NTO393293:NTO393295 ODK393293:ODK393295 ONG393293:ONG393295 OXC393293:OXC393295 PGY393293:PGY393295 PQU393293:PQU393295 QAQ393293:QAQ393295 QKM393293:QKM393295 QUI393293:QUI393295 REE393293:REE393295 ROA393293:ROA393295 RXW393293:RXW393295 SHS393293:SHS393295 SRO393293:SRO393295 TBK393293:TBK393295 TLG393293:TLG393295 TVC393293:TVC393295 UEY393293:UEY393295 UOU393293:UOU393295 UYQ393293:UYQ393295 VIM393293:VIM393295 VSI393293:VSI393295 WCE393293:WCE393295 WMA393293:WMA393295 WVW393293:WVW393295 N458829:N458831 JK458829:JK458831 TG458829:TG458831 ADC458829:ADC458831 AMY458829:AMY458831 AWU458829:AWU458831 BGQ458829:BGQ458831 BQM458829:BQM458831 CAI458829:CAI458831 CKE458829:CKE458831 CUA458829:CUA458831 DDW458829:DDW458831 DNS458829:DNS458831 DXO458829:DXO458831 EHK458829:EHK458831 ERG458829:ERG458831 FBC458829:FBC458831 FKY458829:FKY458831 FUU458829:FUU458831 GEQ458829:GEQ458831 GOM458829:GOM458831 GYI458829:GYI458831 HIE458829:HIE458831 HSA458829:HSA458831 IBW458829:IBW458831 ILS458829:ILS458831 IVO458829:IVO458831 JFK458829:JFK458831 JPG458829:JPG458831 JZC458829:JZC458831 KIY458829:KIY458831 KSU458829:KSU458831 LCQ458829:LCQ458831 LMM458829:LMM458831 LWI458829:LWI458831 MGE458829:MGE458831 MQA458829:MQA458831 MZW458829:MZW458831 NJS458829:NJS458831 NTO458829:NTO458831 ODK458829:ODK458831 ONG458829:ONG458831 OXC458829:OXC458831 PGY458829:PGY458831 PQU458829:PQU458831 QAQ458829:QAQ458831 QKM458829:QKM458831 QUI458829:QUI458831 REE458829:REE458831 ROA458829:ROA458831 RXW458829:RXW458831 SHS458829:SHS458831 SRO458829:SRO458831 TBK458829:TBK458831 TLG458829:TLG458831 TVC458829:TVC458831 UEY458829:UEY458831 UOU458829:UOU458831 UYQ458829:UYQ458831 VIM458829:VIM458831 VSI458829:VSI458831 WCE458829:WCE458831 WMA458829:WMA458831 WVW458829:WVW458831 N524365:N524367 JK524365:JK524367 TG524365:TG524367 ADC524365:ADC524367 AMY524365:AMY524367 AWU524365:AWU524367 BGQ524365:BGQ524367 BQM524365:BQM524367 CAI524365:CAI524367 CKE524365:CKE524367 CUA524365:CUA524367 DDW524365:DDW524367 DNS524365:DNS524367 DXO524365:DXO524367 EHK524365:EHK524367 ERG524365:ERG524367 FBC524365:FBC524367 FKY524365:FKY524367 FUU524365:FUU524367 GEQ524365:GEQ524367 GOM524365:GOM524367 GYI524365:GYI524367 HIE524365:HIE524367 HSA524365:HSA524367 IBW524365:IBW524367 ILS524365:ILS524367 IVO524365:IVO524367 JFK524365:JFK524367 JPG524365:JPG524367 JZC524365:JZC524367 KIY524365:KIY524367 KSU524365:KSU524367 LCQ524365:LCQ524367 LMM524365:LMM524367 LWI524365:LWI524367 MGE524365:MGE524367 MQA524365:MQA524367 MZW524365:MZW524367 NJS524365:NJS524367 NTO524365:NTO524367 ODK524365:ODK524367 ONG524365:ONG524367 OXC524365:OXC524367 PGY524365:PGY524367 PQU524365:PQU524367 QAQ524365:QAQ524367 QKM524365:QKM524367 QUI524365:QUI524367 REE524365:REE524367 ROA524365:ROA524367 RXW524365:RXW524367 SHS524365:SHS524367 SRO524365:SRO524367 TBK524365:TBK524367 TLG524365:TLG524367 TVC524365:TVC524367 UEY524365:UEY524367 UOU524365:UOU524367 UYQ524365:UYQ524367 VIM524365:VIM524367 VSI524365:VSI524367 WCE524365:WCE524367 WMA524365:WMA524367 WVW524365:WVW524367 N589901:N589903 JK589901:JK589903 TG589901:TG589903 ADC589901:ADC589903 AMY589901:AMY589903 AWU589901:AWU589903 BGQ589901:BGQ589903 BQM589901:BQM589903 CAI589901:CAI589903 CKE589901:CKE589903 CUA589901:CUA589903 DDW589901:DDW589903 DNS589901:DNS589903 DXO589901:DXO589903 EHK589901:EHK589903 ERG589901:ERG589903 FBC589901:FBC589903 FKY589901:FKY589903 FUU589901:FUU589903 GEQ589901:GEQ589903 GOM589901:GOM589903 GYI589901:GYI589903 HIE589901:HIE589903 HSA589901:HSA589903 IBW589901:IBW589903 ILS589901:ILS589903 IVO589901:IVO589903 JFK589901:JFK589903 JPG589901:JPG589903 JZC589901:JZC589903 KIY589901:KIY589903 KSU589901:KSU589903 LCQ589901:LCQ589903 LMM589901:LMM589903 LWI589901:LWI589903 MGE589901:MGE589903 MQA589901:MQA589903 MZW589901:MZW589903 NJS589901:NJS589903 NTO589901:NTO589903 ODK589901:ODK589903 ONG589901:ONG589903 OXC589901:OXC589903 PGY589901:PGY589903 PQU589901:PQU589903 QAQ589901:QAQ589903 QKM589901:QKM589903 QUI589901:QUI589903 REE589901:REE589903 ROA589901:ROA589903 RXW589901:RXW589903 SHS589901:SHS589903 SRO589901:SRO589903 TBK589901:TBK589903 TLG589901:TLG589903 TVC589901:TVC589903 UEY589901:UEY589903 UOU589901:UOU589903 UYQ589901:UYQ589903 VIM589901:VIM589903 VSI589901:VSI589903 WCE589901:WCE589903 WMA589901:WMA589903 WVW589901:WVW589903 N655437:N655439 JK655437:JK655439 TG655437:TG655439 ADC655437:ADC655439 AMY655437:AMY655439 AWU655437:AWU655439 BGQ655437:BGQ655439 BQM655437:BQM655439 CAI655437:CAI655439 CKE655437:CKE655439 CUA655437:CUA655439 DDW655437:DDW655439 DNS655437:DNS655439 DXO655437:DXO655439 EHK655437:EHK655439 ERG655437:ERG655439 FBC655437:FBC655439 FKY655437:FKY655439 FUU655437:FUU655439 GEQ655437:GEQ655439 GOM655437:GOM655439 GYI655437:GYI655439 HIE655437:HIE655439 HSA655437:HSA655439 IBW655437:IBW655439 ILS655437:ILS655439 IVO655437:IVO655439 JFK655437:JFK655439 JPG655437:JPG655439 JZC655437:JZC655439 KIY655437:KIY655439 KSU655437:KSU655439 LCQ655437:LCQ655439 LMM655437:LMM655439 LWI655437:LWI655439 MGE655437:MGE655439 MQA655437:MQA655439 MZW655437:MZW655439 NJS655437:NJS655439 NTO655437:NTO655439 ODK655437:ODK655439 ONG655437:ONG655439 OXC655437:OXC655439 PGY655437:PGY655439 PQU655437:PQU655439 QAQ655437:QAQ655439 QKM655437:QKM655439 QUI655437:QUI655439 REE655437:REE655439 ROA655437:ROA655439 RXW655437:RXW655439 SHS655437:SHS655439 SRO655437:SRO655439 TBK655437:TBK655439 TLG655437:TLG655439 TVC655437:TVC655439 UEY655437:UEY655439 UOU655437:UOU655439 UYQ655437:UYQ655439 VIM655437:VIM655439 VSI655437:VSI655439 WCE655437:WCE655439 WMA655437:WMA655439 WVW655437:WVW655439 N720973:N720975 JK720973:JK720975 TG720973:TG720975 ADC720973:ADC720975 AMY720973:AMY720975 AWU720973:AWU720975 BGQ720973:BGQ720975 BQM720973:BQM720975 CAI720973:CAI720975 CKE720973:CKE720975 CUA720973:CUA720975 DDW720973:DDW720975 DNS720973:DNS720975 DXO720973:DXO720975 EHK720973:EHK720975 ERG720973:ERG720975 FBC720973:FBC720975 FKY720973:FKY720975 FUU720973:FUU720975 GEQ720973:GEQ720975 GOM720973:GOM720975 GYI720973:GYI720975 HIE720973:HIE720975 HSA720973:HSA720975 IBW720973:IBW720975 ILS720973:ILS720975 IVO720973:IVO720975 JFK720973:JFK720975 JPG720973:JPG720975 JZC720973:JZC720975 KIY720973:KIY720975 KSU720973:KSU720975 LCQ720973:LCQ720975 LMM720973:LMM720975 LWI720973:LWI720975 MGE720973:MGE720975 MQA720973:MQA720975 MZW720973:MZW720975 NJS720973:NJS720975 NTO720973:NTO720975 ODK720973:ODK720975 ONG720973:ONG720975 OXC720973:OXC720975 PGY720973:PGY720975 PQU720973:PQU720975 QAQ720973:QAQ720975 QKM720973:QKM720975 QUI720973:QUI720975 REE720973:REE720975 ROA720973:ROA720975 RXW720973:RXW720975 SHS720973:SHS720975 SRO720973:SRO720975 TBK720973:TBK720975 TLG720973:TLG720975 TVC720973:TVC720975 UEY720973:UEY720975 UOU720973:UOU720975 UYQ720973:UYQ720975 VIM720973:VIM720975 VSI720973:VSI720975 WCE720973:WCE720975 WMA720973:WMA720975 WVW720973:WVW720975 N786509:N786511 JK786509:JK786511 TG786509:TG786511 ADC786509:ADC786511 AMY786509:AMY786511 AWU786509:AWU786511 BGQ786509:BGQ786511 BQM786509:BQM786511 CAI786509:CAI786511 CKE786509:CKE786511 CUA786509:CUA786511 DDW786509:DDW786511 DNS786509:DNS786511 DXO786509:DXO786511 EHK786509:EHK786511 ERG786509:ERG786511 FBC786509:FBC786511 FKY786509:FKY786511 FUU786509:FUU786511 GEQ786509:GEQ786511 GOM786509:GOM786511 GYI786509:GYI786511 HIE786509:HIE786511 HSA786509:HSA786511 IBW786509:IBW786511 ILS786509:ILS786511 IVO786509:IVO786511 JFK786509:JFK786511 JPG786509:JPG786511 JZC786509:JZC786511 KIY786509:KIY786511 KSU786509:KSU786511 LCQ786509:LCQ786511 LMM786509:LMM786511 LWI786509:LWI786511 MGE786509:MGE786511 MQA786509:MQA786511 MZW786509:MZW786511 NJS786509:NJS786511 NTO786509:NTO786511 ODK786509:ODK786511 ONG786509:ONG786511 OXC786509:OXC786511 PGY786509:PGY786511 PQU786509:PQU786511 QAQ786509:QAQ786511 QKM786509:QKM786511 QUI786509:QUI786511 REE786509:REE786511 ROA786509:ROA786511 RXW786509:RXW786511 SHS786509:SHS786511 SRO786509:SRO786511 TBK786509:TBK786511 TLG786509:TLG786511 TVC786509:TVC786511 UEY786509:UEY786511 UOU786509:UOU786511 UYQ786509:UYQ786511 VIM786509:VIM786511 VSI786509:VSI786511 WCE786509:WCE786511 WMA786509:WMA786511 WVW786509:WVW786511 N852045:N852047 JK852045:JK852047 TG852045:TG852047 ADC852045:ADC852047 AMY852045:AMY852047 AWU852045:AWU852047 BGQ852045:BGQ852047 BQM852045:BQM852047 CAI852045:CAI852047 CKE852045:CKE852047 CUA852045:CUA852047 DDW852045:DDW852047 DNS852045:DNS852047 DXO852045:DXO852047 EHK852045:EHK852047 ERG852045:ERG852047 FBC852045:FBC852047 FKY852045:FKY852047 FUU852045:FUU852047 GEQ852045:GEQ852047 GOM852045:GOM852047 GYI852045:GYI852047 HIE852045:HIE852047 HSA852045:HSA852047 IBW852045:IBW852047 ILS852045:ILS852047 IVO852045:IVO852047 JFK852045:JFK852047 JPG852045:JPG852047 JZC852045:JZC852047 KIY852045:KIY852047 KSU852045:KSU852047 LCQ852045:LCQ852047 LMM852045:LMM852047 LWI852045:LWI852047 MGE852045:MGE852047 MQA852045:MQA852047 MZW852045:MZW852047 NJS852045:NJS852047 NTO852045:NTO852047 ODK852045:ODK852047 ONG852045:ONG852047 OXC852045:OXC852047 PGY852045:PGY852047 PQU852045:PQU852047 QAQ852045:QAQ852047 QKM852045:QKM852047 QUI852045:QUI852047 REE852045:REE852047 ROA852045:ROA852047 RXW852045:RXW852047 SHS852045:SHS852047 SRO852045:SRO852047 TBK852045:TBK852047 TLG852045:TLG852047 TVC852045:TVC852047 UEY852045:UEY852047 UOU852045:UOU852047 UYQ852045:UYQ852047 VIM852045:VIM852047 VSI852045:VSI852047 WCE852045:WCE852047 WMA852045:WMA852047 WVW852045:WVW852047 N917581:N917583 JK917581:JK917583 TG917581:TG917583 ADC917581:ADC917583 AMY917581:AMY917583 AWU917581:AWU917583 BGQ917581:BGQ917583 BQM917581:BQM917583 CAI917581:CAI917583 CKE917581:CKE917583 CUA917581:CUA917583 DDW917581:DDW917583 DNS917581:DNS917583 DXO917581:DXO917583 EHK917581:EHK917583 ERG917581:ERG917583 FBC917581:FBC917583 FKY917581:FKY917583 FUU917581:FUU917583 GEQ917581:GEQ917583 GOM917581:GOM917583 GYI917581:GYI917583 HIE917581:HIE917583 HSA917581:HSA917583 IBW917581:IBW917583 ILS917581:ILS917583 IVO917581:IVO917583 JFK917581:JFK917583 JPG917581:JPG917583 JZC917581:JZC917583 KIY917581:KIY917583 KSU917581:KSU917583 LCQ917581:LCQ917583 LMM917581:LMM917583 LWI917581:LWI917583 MGE917581:MGE917583 MQA917581:MQA917583 MZW917581:MZW917583 NJS917581:NJS917583 NTO917581:NTO917583 ODK917581:ODK917583 ONG917581:ONG917583 OXC917581:OXC917583 PGY917581:PGY917583 PQU917581:PQU917583 QAQ917581:QAQ917583 QKM917581:QKM917583 QUI917581:QUI917583 REE917581:REE917583 ROA917581:ROA917583 RXW917581:RXW917583 SHS917581:SHS917583 SRO917581:SRO917583 TBK917581:TBK917583 TLG917581:TLG917583 TVC917581:TVC917583 UEY917581:UEY917583 UOU917581:UOU917583 UYQ917581:UYQ917583 VIM917581:VIM917583 VSI917581:VSI917583 WCE917581:WCE917583 WMA917581:WMA917583 WVW917581:WVW917583 N983117:N983119 JK983117:JK983119 TG983117:TG983119 ADC983117:ADC983119 AMY983117:AMY983119 AWU983117:AWU983119 BGQ983117:BGQ983119 BQM983117:BQM983119 CAI983117:CAI983119 CKE983117:CKE983119 CUA983117:CUA983119 DDW983117:DDW983119 DNS983117:DNS983119 DXO983117:DXO983119 EHK983117:EHK983119 ERG983117:ERG983119 FBC983117:FBC983119 FKY983117:FKY983119 FUU983117:FUU983119 GEQ983117:GEQ983119 GOM983117:GOM983119 GYI983117:GYI983119 HIE983117:HIE983119 HSA983117:HSA983119 IBW983117:IBW983119 ILS983117:ILS983119 IVO983117:IVO983119 JFK983117:JFK983119 JPG983117:JPG983119 JZC983117:JZC983119 KIY983117:KIY983119 KSU983117:KSU983119 LCQ983117:LCQ983119 LMM983117:LMM983119 LWI983117:LWI983119 MGE983117:MGE983119 MQA983117:MQA983119 MZW983117:MZW983119 NJS983117:NJS983119 NTO983117:NTO983119 ODK983117:ODK983119 ONG983117:ONG983119 OXC983117:OXC983119 PGY983117:PGY983119 PQU983117:PQU983119 QAQ983117:QAQ983119 QKM983117:QKM983119 QUI983117:QUI983119 REE983117:REE983119 ROA983117:ROA983119 RXW983117:RXW983119 SHS983117:SHS983119 SRO983117:SRO983119 TBK983117:TBK983119 TLG983117:TLG983119 TVC983117:TVC983119 UEY983117:UEY983119 UOU983117:UOU983119 UYQ983117:UYQ983119 VIM983117:VIM983119 VSI983117:VSI983119 WCE983117:WCE983119 WMA983117:WMA983119 WVW983117:WVW983119 UOU983081:UOU983084 JK60:JK61 TG60:TG61 ADC60:ADC61 AMY60:AMY61 AWU60:AWU61 BGQ60:BGQ61 BQM60:BQM61 CAI60:CAI61 CKE60:CKE61 CUA60:CUA61 DDW60:DDW61 DNS60:DNS61 DXO60:DXO61 EHK60:EHK61 ERG60:ERG61 FBC60:FBC61 FKY60:FKY61 FUU60:FUU61 GEQ60:GEQ61 GOM60:GOM61 GYI60:GYI61 HIE60:HIE61 HSA60:HSA61 IBW60:IBW61 ILS60:ILS61 IVO60:IVO61 JFK60:JFK61 JPG60:JPG61 JZC60:JZC61 KIY60:KIY61 KSU60:KSU61 LCQ60:LCQ61 LMM60:LMM61 LWI60:LWI61 MGE60:MGE61 MQA60:MQA61 MZW60:MZW61 NJS60:NJS61 NTO60:NTO61 ODK60:ODK61 ONG60:ONG61 OXC60:OXC61 PGY60:PGY61 PQU60:PQU61 QAQ60:QAQ61 QKM60:QKM61 QUI60:QUI61 REE60:REE61 ROA60:ROA61 RXW60:RXW61 SHS60:SHS61 SRO60:SRO61 TBK60:TBK61 TLG60:TLG61 TVC60:TVC61 UEY60:UEY61 UOU60:UOU61 UYQ60:UYQ61 VIM60:VIM61 VSI60:VSI61 WCE60:WCE61 WMA60:WMA61 WVW60:WVW61 N65598:N65599 JK65598:JK65599 TG65598:TG65599 ADC65598:ADC65599 AMY65598:AMY65599 AWU65598:AWU65599 BGQ65598:BGQ65599 BQM65598:BQM65599 CAI65598:CAI65599 CKE65598:CKE65599 CUA65598:CUA65599 DDW65598:DDW65599 DNS65598:DNS65599 DXO65598:DXO65599 EHK65598:EHK65599 ERG65598:ERG65599 FBC65598:FBC65599 FKY65598:FKY65599 FUU65598:FUU65599 GEQ65598:GEQ65599 GOM65598:GOM65599 GYI65598:GYI65599 HIE65598:HIE65599 HSA65598:HSA65599 IBW65598:IBW65599 ILS65598:ILS65599 IVO65598:IVO65599 JFK65598:JFK65599 JPG65598:JPG65599 JZC65598:JZC65599 KIY65598:KIY65599 KSU65598:KSU65599 LCQ65598:LCQ65599 LMM65598:LMM65599 LWI65598:LWI65599 MGE65598:MGE65599 MQA65598:MQA65599 MZW65598:MZW65599 NJS65598:NJS65599 NTO65598:NTO65599 ODK65598:ODK65599 ONG65598:ONG65599 OXC65598:OXC65599 PGY65598:PGY65599 PQU65598:PQU65599 QAQ65598:QAQ65599 QKM65598:QKM65599 QUI65598:QUI65599 REE65598:REE65599 ROA65598:ROA65599 RXW65598:RXW65599 SHS65598:SHS65599 SRO65598:SRO65599 TBK65598:TBK65599 TLG65598:TLG65599 TVC65598:TVC65599 UEY65598:UEY65599 UOU65598:UOU65599 UYQ65598:UYQ65599 VIM65598:VIM65599 VSI65598:VSI65599 WCE65598:WCE65599 WMA65598:WMA65599 WVW65598:WVW65599 N131134:N131135 JK131134:JK131135 TG131134:TG131135 ADC131134:ADC131135 AMY131134:AMY131135 AWU131134:AWU131135 BGQ131134:BGQ131135 BQM131134:BQM131135 CAI131134:CAI131135 CKE131134:CKE131135 CUA131134:CUA131135 DDW131134:DDW131135 DNS131134:DNS131135 DXO131134:DXO131135 EHK131134:EHK131135 ERG131134:ERG131135 FBC131134:FBC131135 FKY131134:FKY131135 FUU131134:FUU131135 GEQ131134:GEQ131135 GOM131134:GOM131135 GYI131134:GYI131135 HIE131134:HIE131135 HSA131134:HSA131135 IBW131134:IBW131135 ILS131134:ILS131135 IVO131134:IVO131135 JFK131134:JFK131135 JPG131134:JPG131135 JZC131134:JZC131135 KIY131134:KIY131135 KSU131134:KSU131135 LCQ131134:LCQ131135 LMM131134:LMM131135 LWI131134:LWI131135 MGE131134:MGE131135 MQA131134:MQA131135 MZW131134:MZW131135 NJS131134:NJS131135 NTO131134:NTO131135 ODK131134:ODK131135 ONG131134:ONG131135 OXC131134:OXC131135 PGY131134:PGY131135 PQU131134:PQU131135 QAQ131134:QAQ131135 QKM131134:QKM131135 QUI131134:QUI131135 REE131134:REE131135 ROA131134:ROA131135 RXW131134:RXW131135 SHS131134:SHS131135 SRO131134:SRO131135 TBK131134:TBK131135 TLG131134:TLG131135 TVC131134:TVC131135 UEY131134:UEY131135 UOU131134:UOU131135 UYQ131134:UYQ131135 VIM131134:VIM131135 VSI131134:VSI131135 WCE131134:WCE131135 WMA131134:WMA131135 WVW131134:WVW131135 N196670:N196671 JK196670:JK196671 TG196670:TG196671 ADC196670:ADC196671 AMY196670:AMY196671 AWU196670:AWU196671 BGQ196670:BGQ196671 BQM196670:BQM196671 CAI196670:CAI196671 CKE196670:CKE196671 CUA196670:CUA196671 DDW196670:DDW196671 DNS196670:DNS196671 DXO196670:DXO196671 EHK196670:EHK196671 ERG196670:ERG196671 FBC196670:FBC196671 FKY196670:FKY196671 FUU196670:FUU196671 GEQ196670:GEQ196671 GOM196670:GOM196671 GYI196670:GYI196671 HIE196670:HIE196671 HSA196670:HSA196671 IBW196670:IBW196671 ILS196670:ILS196671 IVO196670:IVO196671 JFK196670:JFK196671 JPG196670:JPG196671 JZC196670:JZC196671 KIY196670:KIY196671 KSU196670:KSU196671 LCQ196670:LCQ196671 LMM196670:LMM196671 LWI196670:LWI196671 MGE196670:MGE196671 MQA196670:MQA196671 MZW196670:MZW196671 NJS196670:NJS196671 NTO196670:NTO196671 ODK196670:ODK196671 ONG196670:ONG196671 OXC196670:OXC196671 PGY196670:PGY196671 PQU196670:PQU196671 QAQ196670:QAQ196671 QKM196670:QKM196671 QUI196670:QUI196671 REE196670:REE196671 ROA196670:ROA196671 RXW196670:RXW196671 SHS196670:SHS196671 SRO196670:SRO196671 TBK196670:TBK196671 TLG196670:TLG196671 TVC196670:TVC196671 UEY196670:UEY196671 UOU196670:UOU196671 UYQ196670:UYQ196671 VIM196670:VIM196671 VSI196670:VSI196671 WCE196670:WCE196671 WMA196670:WMA196671 WVW196670:WVW196671 N262206:N262207 JK262206:JK262207 TG262206:TG262207 ADC262206:ADC262207 AMY262206:AMY262207 AWU262206:AWU262207 BGQ262206:BGQ262207 BQM262206:BQM262207 CAI262206:CAI262207 CKE262206:CKE262207 CUA262206:CUA262207 DDW262206:DDW262207 DNS262206:DNS262207 DXO262206:DXO262207 EHK262206:EHK262207 ERG262206:ERG262207 FBC262206:FBC262207 FKY262206:FKY262207 FUU262206:FUU262207 GEQ262206:GEQ262207 GOM262206:GOM262207 GYI262206:GYI262207 HIE262206:HIE262207 HSA262206:HSA262207 IBW262206:IBW262207 ILS262206:ILS262207 IVO262206:IVO262207 JFK262206:JFK262207 JPG262206:JPG262207 JZC262206:JZC262207 KIY262206:KIY262207 KSU262206:KSU262207 LCQ262206:LCQ262207 LMM262206:LMM262207 LWI262206:LWI262207 MGE262206:MGE262207 MQA262206:MQA262207 MZW262206:MZW262207 NJS262206:NJS262207 NTO262206:NTO262207 ODK262206:ODK262207 ONG262206:ONG262207 OXC262206:OXC262207 PGY262206:PGY262207 PQU262206:PQU262207 QAQ262206:QAQ262207 QKM262206:QKM262207 QUI262206:QUI262207 REE262206:REE262207 ROA262206:ROA262207 RXW262206:RXW262207 SHS262206:SHS262207 SRO262206:SRO262207 TBK262206:TBK262207 TLG262206:TLG262207 TVC262206:TVC262207 UEY262206:UEY262207 UOU262206:UOU262207 UYQ262206:UYQ262207 VIM262206:VIM262207 VSI262206:VSI262207 WCE262206:WCE262207 WMA262206:WMA262207 WVW262206:WVW262207 N327742:N327743 JK327742:JK327743 TG327742:TG327743 ADC327742:ADC327743 AMY327742:AMY327743 AWU327742:AWU327743 BGQ327742:BGQ327743 BQM327742:BQM327743 CAI327742:CAI327743 CKE327742:CKE327743 CUA327742:CUA327743 DDW327742:DDW327743 DNS327742:DNS327743 DXO327742:DXO327743 EHK327742:EHK327743 ERG327742:ERG327743 FBC327742:FBC327743 FKY327742:FKY327743 FUU327742:FUU327743 GEQ327742:GEQ327743 GOM327742:GOM327743 GYI327742:GYI327743 HIE327742:HIE327743 HSA327742:HSA327743 IBW327742:IBW327743 ILS327742:ILS327743 IVO327742:IVO327743 JFK327742:JFK327743 JPG327742:JPG327743 JZC327742:JZC327743 KIY327742:KIY327743 KSU327742:KSU327743 LCQ327742:LCQ327743 LMM327742:LMM327743 LWI327742:LWI327743 MGE327742:MGE327743 MQA327742:MQA327743 MZW327742:MZW327743 NJS327742:NJS327743 NTO327742:NTO327743 ODK327742:ODK327743 ONG327742:ONG327743 OXC327742:OXC327743 PGY327742:PGY327743 PQU327742:PQU327743 QAQ327742:QAQ327743 QKM327742:QKM327743 QUI327742:QUI327743 REE327742:REE327743 ROA327742:ROA327743 RXW327742:RXW327743 SHS327742:SHS327743 SRO327742:SRO327743 TBK327742:TBK327743 TLG327742:TLG327743 TVC327742:TVC327743 UEY327742:UEY327743 UOU327742:UOU327743 UYQ327742:UYQ327743 VIM327742:VIM327743 VSI327742:VSI327743 WCE327742:WCE327743 WMA327742:WMA327743 WVW327742:WVW327743 N393278:N393279 JK393278:JK393279 TG393278:TG393279 ADC393278:ADC393279 AMY393278:AMY393279 AWU393278:AWU393279 BGQ393278:BGQ393279 BQM393278:BQM393279 CAI393278:CAI393279 CKE393278:CKE393279 CUA393278:CUA393279 DDW393278:DDW393279 DNS393278:DNS393279 DXO393278:DXO393279 EHK393278:EHK393279 ERG393278:ERG393279 FBC393278:FBC393279 FKY393278:FKY393279 FUU393278:FUU393279 GEQ393278:GEQ393279 GOM393278:GOM393279 GYI393278:GYI393279 HIE393278:HIE393279 HSA393278:HSA393279 IBW393278:IBW393279 ILS393278:ILS393279 IVO393278:IVO393279 JFK393278:JFK393279 JPG393278:JPG393279 JZC393278:JZC393279 KIY393278:KIY393279 KSU393278:KSU393279 LCQ393278:LCQ393279 LMM393278:LMM393279 LWI393278:LWI393279 MGE393278:MGE393279 MQA393278:MQA393279 MZW393278:MZW393279 NJS393278:NJS393279 NTO393278:NTO393279 ODK393278:ODK393279 ONG393278:ONG393279 OXC393278:OXC393279 PGY393278:PGY393279 PQU393278:PQU393279 QAQ393278:QAQ393279 QKM393278:QKM393279 QUI393278:QUI393279 REE393278:REE393279 ROA393278:ROA393279 RXW393278:RXW393279 SHS393278:SHS393279 SRO393278:SRO393279 TBK393278:TBK393279 TLG393278:TLG393279 TVC393278:TVC393279 UEY393278:UEY393279 UOU393278:UOU393279 UYQ393278:UYQ393279 VIM393278:VIM393279 VSI393278:VSI393279 WCE393278:WCE393279 WMA393278:WMA393279 WVW393278:WVW393279 N458814:N458815 JK458814:JK458815 TG458814:TG458815 ADC458814:ADC458815 AMY458814:AMY458815 AWU458814:AWU458815 BGQ458814:BGQ458815 BQM458814:BQM458815 CAI458814:CAI458815 CKE458814:CKE458815 CUA458814:CUA458815 DDW458814:DDW458815 DNS458814:DNS458815 DXO458814:DXO458815 EHK458814:EHK458815 ERG458814:ERG458815 FBC458814:FBC458815 FKY458814:FKY458815 FUU458814:FUU458815 GEQ458814:GEQ458815 GOM458814:GOM458815 GYI458814:GYI458815 HIE458814:HIE458815 HSA458814:HSA458815 IBW458814:IBW458815 ILS458814:ILS458815 IVO458814:IVO458815 JFK458814:JFK458815 JPG458814:JPG458815 JZC458814:JZC458815 KIY458814:KIY458815 KSU458814:KSU458815 LCQ458814:LCQ458815 LMM458814:LMM458815 LWI458814:LWI458815 MGE458814:MGE458815 MQA458814:MQA458815 MZW458814:MZW458815 NJS458814:NJS458815 NTO458814:NTO458815 ODK458814:ODK458815 ONG458814:ONG458815 OXC458814:OXC458815 PGY458814:PGY458815 PQU458814:PQU458815 QAQ458814:QAQ458815 QKM458814:QKM458815 QUI458814:QUI458815 REE458814:REE458815 ROA458814:ROA458815 RXW458814:RXW458815 SHS458814:SHS458815 SRO458814:SRO458815 TBK458814:TBK458815 TLG458814:TLG458815 TVC458814:TVC458815 UEY458814:UEY458815 UOU458814:UOU458815 UYQ458814:UYQ458815 VIM458814:VIM458815 VSI458814:VSI458815 WCE458814:WCE458815 WMA458814:WMA458815 WVW458814:WVW458815 N524350:N524351 JK524350:JK524351 TG524350:TG524351 ADC524350:ADC524351 AMY524350:AMY524351 AWU524350:AWU524351 BGQ524350:BGQ524351 BQM524350:BQM524351 CAI524350:CAI524351 CKE524350:CKE524351 CUA524350:CUA524351 DDW524350:DDW524351 DNS524350:DNS524351 DXO524350:DXO524351 EHK524350:EHK524351 ERG524350:ERG524351 FBC524350:FBC524351 FKY524350:FKY524351 FUU524350:FUU524351 GEQ524350:GEQ524351 GOM524350:GOM524351 GYI524350:GYI524351 HIE524350:HIE524351 HSA524350:HSA524351 IBW524350:IBW524351 ILS524350:ILS524351 IVO524350:IVO524351 JFK524350:JFK524351 JPG524350:JPG524351 JZC524350:JZC524351 KIY524350:KIY524351 KSU524350:KSU524351 LCQ524350:LCQ524351 LMM524350:LMM524351 LWI524350:LWI524351 MGE524350:MGE524351 MQA524350:MQA524351 MZW524350:MZW524351 NJS524350:NJS524351 NTO524350:NTO524351 ODK524350:ODK524351 ONG524350:ONG524351 OXC524350:OXC524351 PGY524350:PGY524351 PQU524350:PQU524351 QAQ524350:QAQ524351 QKM524350:QKM524351 QUI524350:QUI524351 REE524350:REE524351 ROA524350:ROA524351 RXW524350:RXW524351 SHS524350:SHS524351 SRO524350:SRO524351 TBK524350:TBK524351 TLG524350:TLG524351 TVC524350:TVC524351 UEY524350:UEY524351 UOU524350:UOU524351 UYQ524350:UYQ524351 VIM524350:VIM524351 VSI524350:VSI524351 WCE524350:WCE524351 WMA524350:WMA524351 WVW524350:WVW524351 N589886:N589887 JK589886:JK589887 TG589886:TG589887 ADC589886:ADC589887 AMY589886:AMY589887 AWU589886:AWU589887 BGQ589886:BGQ589887 BQM589886:BQM589887 CAI589886:CAI589887 CKE589886:CKE589887 CUA589886:CUA589887 DDW589886:DDW589887 DNS589886:DNS589887 DXO589886:DXO589887 EHK589886:EHK589887 ERG589886:ERG589887 FBC589886:FBC589887 FKY589886:FKY589887 FUU589886:FUU589887 GEQ589886:GEQ589887 GOM589886:GOM589887 GYI589886:GYI589887 HIE589886:HIE589887 HSA589886:HSA589887 IBW589886:IBW589887 ILS589886:ILS589887 IVO589886:IVO589887 JFK589886:JFK589887 JPG589886:JPG589887 JZC589886:JZC589887 KIY589886:KIY589887 KSU589886:KSU589887 LCQ589886:LCQ589887 LMM589886:LMM589887 LWI589886:LWI589887 MGE589886:MGE589887 MQA589886:MQA589887 MZW589886:MZW589887 NJS589886:NJS589887 NTO589886:NTO589887 ODK589886:ODK589887 ONG589886:ONG589887 OXC589886:OXC589887 PGY589886:PGY589887 PQU589886:PQU589887 QAQ589886:QAQ589887 QKM589886:QKM589887 QUI589886:QUI589887 REE589886:REE589887 ROA589886:ROA589887 RXW589886:RXW589887 SHS589886:SHS589887 SRO589886:SRO589887 TBK589886:TBK589887 TLG589886:TLG589887 TVC589886:TVC589887 UEY589886:UEY589887 UOU589886:UOU589887 UYQ589886:UYQ589887 VIM589886:VIM589887 VSI589886:VSI589887 WCE589886:WCE589887 WMA589886:WMA589887 WVW589886:WVW589887 N655422:N655423 JK655422:JK655423 TG655422:TG655423 ADC655422:ADC655423 AMY655422:AMY655423 AWU655422:AWU655423 BGQ655422:BGQ655423 BQM655422:BQM655423 CAI655422:CAI655423 CKE655422:CKE655423 CUA655422:CUA655423 DDW655422:DDW655423 DNS655422:DNS655423 DXO655422:DXO655423 EHK655422:EHK655423 ERG655422:ERG655423 FBC655422:FBC655423 FKY655422:FKY655423 FUU655422:FUU655423 GEQ655422:GEQ655423 GOM655422:GOM655423 GYI655422:GYI655423 HIE655422:HIE655423 HSA655422:HSA655423 IBW655422:IBW655423 ILS655422:ILS655423 IVO655422:IVO655423 JFK655422:JFK655423 JPG655422:JPG655423 JZC655422:JZC655423 KIY655422:KIY655423 KSU655422:KSU655423 LCQ655422:LCQ655423 LMM655422:LMM655423 LWI655422:LWI655423 MGE655422:MGE655423 MQA655422:MQA655423 MZW655422:MZW655423 NJS655422:NJS655423 NTO655422:NTO655423 ODK655422:ODK655423 ONG655422:ONG655423 OXC655422:OXC655423 PGY655422:PGY655423 PQU655422:PQU655423 QAQ655422:QAQ655423 QKM655422:QKM655423 QUI655422:QUI655423 REE655422:REE655423 ROA655422:ROA655423 RXW655422:RXW655423 SHS655422:SHS655423 SRO655422:SRO655423 TBK655422:TBK655423 TLG655422:TLG655423 TVC655422:TVC655423 UEY655422:UEY655423 UOU655422:UOU655423 UYQ655422:UYQ655423 VIM655422:VIM655423 VSI655422:VSI655423 WCE655422:WCE655423 WMA655422:WMA655423 WVW655422:WVW655423 N720958:N720959 JK720958:JK720959 TG720958:TG720959 ADC720958:ADC720959 AMY720958:AMY720959 AWU720958:AWU720959 BGQ720958:BGQ720959 BQM720958:BQM720959 CAI720958:CAI720959 CKE720958:CKE720959 CUA720958:CUA720959 DDW720958:DDW720959 DNS720958:DNS720959 DXO720958:DXO720959 EHK720958:EHK720959 ERG720958:ERG720959 FBC720958:FBC720959 FKY720958:FKY720959 FUU720958:FUU720959 GEQ720958:GEQ720959 GOM720958:GOM720959 GYI720958:GYI720959 HIE720958:HIE720959 HSA720958:HSA720959 IBW720958:IBW720959 ILS720958:ILS720959 IVO720958:IVO720959 JFK720958:JFK720959 JPG720958:JPG720959 JZC720958:JZC720959 KIY720958:KIY720959 KSU720958:KSU720959 LCQ720958:LCQ720959 LMM720958:LMM720959 LWI720958:LWI720959 MGE720958:MGE720959 MQA720958:MQA720959 MZW720958:MZW720959 NJS720958:NJS720959 NTO720958:NTO720959 ODK720958:ODK720959 ONG720958:ONG720959 OXC720958:OXC720959 PGY720958:PGY720959 PQU720958:PQU720959 QAQ720958:QAQ720959 QKM720958:QKM720959 QUI720958:QUI720959 REE720958:REE720959 ROA720958:ROA720959 RXW720958:RXW720959 SHS720958:SHS720959 SRO720958:SRO720959 TBK720958:TBK720959 TLG720958:TLG720959 TVC720958:TVC720959 UEY720958:UEY720959 UOU720958:UOU720959 UYQ720958:UYQ720959 VIM720958:VIM720959 VSI720958:VSI720959 WCE720958:WCE720959 WMA720958:WMA720959 WVW720958:WVW720959 N786494:N786495 JK786494:JK786495 TG786494:TG786495 ADC786494:ADC786495 AMY786494:AMY786495 AWU786494:AWU786495 BGQ786494:BGQ786495 BQM786494:BQM786495 CAI786494:CAI786495 CKE786494:CKE786495 CUA786494:CUA786495 DDW786494:DDW786495 DNS786494:DNS786495 DXO786494:DXO786495 EHK786494:EHK786495 ERG786494:ERG786495 FBC786494:FBC786495 FKY786494:FKY786495 FUU786494:FUU786495 GEQ786494:GEQ786495 GOM786494:GOM786495 GYI786494:GYI786495 HIE786494:HIE786495 HSA786494:HSA786495 IBW786494:IBW786495 ILS786494:ILS786495 IVO786494:IVO786495 JFK786494:JFK786495 JPG786494:JPG786495 JZC786494:JZC786495 KIY786494:KIY786495 KSU786494:KSU786495 LCQ786494:LCQ786495 LMM786494:LMM786495 LWI786494:LWI786495 MGE786494:MGE786495 MQA786494:MQA786495 MZW786494:MZW786495 NJS786494:NJS786495 NTO786494:NTO786495 ODK786494:ODK786495 ONG786494:ONG786495 OXC786494:OXC786495 PGY786494:PGY786495 PQU786494:PQU786495 QAQ786494:QAQ786495 QKM786494:QKM786495 QUI786494:QUI786495 REE786494:REE786495 ROA786494:ROA786495 RXW786494:RXW786495 SHS786494:SHS786495 SRO786494:SRO786495 TBK786494:TBK786495 TLG786494:TLG786495 TVC786494:TVC786495 UEY786494:UEY786495 UOU786494:UOU786495 UYQ786494:UYQ786495 VIM786494:VIM786495 VSI786494:VSI786495 WCE786494:WCE786495 WMA786494:WMA786495 WVW786494:WVW786495 N852030:N852031 JK852030:JK852031 TG852030:TG852031 ADC852030:ADC852031 AMY852030:AMY852031 AWU852030:AWU852031 BGQ852030:BGQ852031 BQM852030:BQM852031 CAI852030:CAI852031 CKE852030:CKE852031 CUA852030:CUA852031 DDW852030:DDW852031 DNS852030:DNS852031 DXO852030:DXO852031 EHK852030:EHK852031 ERG852030:ERG852031 FBC852030:FBC852031 FKY852030:FKY852031 FUU852030:FUU852031 GEQ852030:GEQ852031 GOM852030:GOM852031 GYI852030:GYI852031 HIE852030:HIE852031 HSA852030:HSA852031 IBW852030:IBW852031 ILS852030:ILS852031 IVO852030:IVO852031 JFK852030:JFK852031 JPG852030:JPG852031 JZC852030:JZC852031 KIY852030:KIY852031 KSU852030:KSU852031 LCQ852030:LCQ852031 LMM852030:LMM852031 LWI852030:LWI852031 MGE852030:MGE852031 MQA852030:MQA852031 MZW852030:MZW852031 NJS852030:NJS852031 NTO852030:NTO852031 ODK852030:ODK852031 ONG852030:ONG852031 OXC852030:OXC852031 PGY852030:PGY852031 PQU852030:PQU852031 QAQ852030:QAQ852031 QKM852030:QKM852031 QUI852030:QUI852031 REE852030:REE852031 ROA852030:ROA852031 RXW852030:RXW852031 SHS852030:SHS852031 SRO852030:SRO852031 TBK852030:TBK852031 TLG852030:TLG852031 TVC852030:TVC852031 UEY852030:UEY852031 UOU852030:UOU852031 UYQ852030:UYQ852031 VIM852030:VIM852031 VSI852030:VSI852031 WCE852030:WCE852031 WMA852030:WMA852031 WVW852030:WVW852031 N917566:N917567 JK917566:JK917567 TG917566:TG917567 ADC917566:ADC917567 AMY917566:AMY917567 AWU917566:AWU917567 BGQ917566:BGQ917567 BQM917566:BQM917567 CAI917566:CAI917567 CKE917566:CKE917567 CUA917566:CUA917567 DDW917566:DDW917567 DNS917566:DNS917567 DXO917566:DXO917567 EHK917566:EHK917567 ERG917566:ERG917567 FBC917566:FBC917567 FKY917566:FKY917567 FUU917566:FUU917567 GEQ917566:GEQ917567 GOM917566:GOM917567 GYI917566:GYI917567 HIE917566:HIE917567 HSA917566:HSA917567 IBW917566:IBW917567 ILS917566:ILS917567 IVO917566:IVO917567 JFK917566:JFK917567 JPG917566:JPG917567 JZC917566:JZC917567 KIY917566:KIY917567 KSU917566:KSU917567 LCQ917566:LCQ917567 LMM917566:LMM917567 LWI917566:LWI917567 MGE917566:MGE917567 MQA917566:MQA917567 MZW917566:MZW917567 NJS917566:NJS917567 NTO917566:NTO917567 ODK917566:ODK917567 ONG917566:ONG917567 OXC917566:OXC917567 PGY917566:PGY917567 PQU917566:PQU917567 QAQ917566:QAQ917567 QKM917566:QKM917567 QUI917566:QUI917567 REE917566:REE917567 ROA917566:ROA917567 RXW917566:RXW917567 SHS917566:SHS917567 SRO917566:SRO917567 TBK917566:TBK917567 TLG917566:TLG917567 TVC917566:TVC917567 UEY917566:UEY917567 UOU917566:UOU917567 UYQ917566:UYQ917567 VIM917566:VIM917567 VSI917566:VSI917567 WCE917566:WCE917567 WMA917566:WMA917567 WVW917566:WVW917567 N983102:N983103 JK983102:JK983103 TG983102:TG983103 ADC983102:ADC983103 AMY983102:AMY983103 AWU983102:AWU983103 BGQ983102:BGQ983103 BQM983102:BQM983103 CAI983102:CAI983103 CKE983102:CKE983103 CUA983102:CUA983103 DDW983102:DDW983103 DNS983102:DNS983103 DXO983102:DXO983103 EHK983102:EHK983103 ERG983102:ERG983103 FBC983102:FBC983103 FKY983102:FKY983103 FUU983102:FUU983103 GEQ983102:GEQ983103 GOM983102:GOM983103 GYI983102:GYI983103 HIE983102:HIE983103 HSA983102:HSA983103 IBW983102:IBW983103 ILS983102:ILS983103 IVO983102:IVO983103 JFK983102:JFK983103 JPG983102:JPG983103 JZC983102:JZC983103 KIY983102:KIY983103 KSU983102:KSU983103 LCQ983102:LCQ983103 LMM983102:LMM983103 LWI983102:LWI983103 MGE983102:MGE983103 MQA983102:MQA983103 MZW983102:MZW983103 NJS983102:NJS983103 NTO983102:NTO983103 ODK983102:ODK983103 ONG983102:ONG983103 OXC983102:OXC983103 PGY983102:PGY983103 PQU983102:PQU983103 QAQ983102:QAQ983103 QKM983102:QKM983103 QUI983102:QUI983103 REE983102:REE983103 ROA983102:ROA983103 RXW983102:RXW983103 SHS983102:SHS983103 SRO983102:SRO983103 TBK983102:TBK983103 TLG983102:TLG983103 TVC983102:TVC983103 UEY983102:UEY983103 UOU983102:UOU983103 UYQ983102:UYQ983103 VIM983102:VIM983103 VSI983102:VSI983103 WCE983102:WCE983103 WMA983102:WMA983103 WVW983102:WVW983103 WVW983081:WVW983084 JE30:JE34 TA30:TA34 ACW30:ACW34 AMS30:AMS34 AWO30:AWO34 BGK30:BGK34 BQG30:BQG34 CAC30:CAC34 CJY30:CJY34 CTU30:CTU34 DDQ30:DDQ34 DNM30:DNM34 DXI30:DXI34 EHE30:EHE34 ERA30:ERA34 FAW30:FAW34 FKS30:FKS34 FUO30:FUO34 GEK30:GEK34 GOG30:GOG34 GYC30:GYC34 HHY30:HHY34 HRU30:HRU34 IBQ30:IBQ34 ILM30:ILM34 IVI30:IVI34 JFE30:JFE34 JPA30:JPA34 JYW30:JYW34 KIS30:KIS34 KSO30:KSO34 LCK30:LCK34 LMG30:LMG34 LWC30:LWC34 MFY30:MFY34 MPU30:MPU34 MZQ30:MZQ34 NJM30:NJM34 NTI30:NTI34 ODE30:ODE34 ONA30:ONA34 OWW30:OWW34 PGS30:PGS34 PQO30:PQO34 QAK30:QAK34 QKG30:QKG34 QUC30:QUC34 RDY30:RDY34 RNU30:RNU34 RXQ30:RXQ34 SHM30:SHM34 SRI30:SRI34 TBE30:TBE34 TLA30:TLA34 TUW30:TUW34 UES30:UES34 UOO30:UOO34 UYK30:UYK34 VIG30:VIG34 VSC30:VSC34 WBY30:WBY34 WLU30:WLU34 WVQ30:WVQ34 H65568:H65572 JE65568:JE65572 TA65568:TA65572 ACW65568:ACW65572 AMS65568:AMS65572 AWO65568:AWO65572 BGK65568:BGK65572 BQG65568:BQG65572 CAC65568:CAC65572 CJY65568:CJY65572 CTU65568:CTU65572 DDQ65568:DDQ65572 DNM65568:DNM65572 DXI65568:DXI65572 EHE65568:EHE65572 ERA65568:ERA65572 FAW65568:FAW65572 FKS65568:FKS65572 FUO65568:FUO65572 GEK65568:GEK65572 GOG65568:GOG65572 GYC65568:GYC65572 HHY65568:HHY65572 HRU65568:HRU65572 IBQ65568:IBQ65572 ILM65568:ILM65572 IVI65568:IVI65572 JFE65568:JFE65572 JPA65568:JPA65572 JYW65568:JYW65572 KIS65568:KIS65572 KSO65568:KSO65572 LCK65568:LCK65572 LMG65568:LMG65572 LWC65568:LWC65572 MFY65568:MFY65572 MPU65568:MPU65572 MZQ65568:MZQ65572 NJM65568:NJM65572 NTI65568:NTI65572 ODE65568:ODE65572 ONA65568:ONA65572 OWW65568:OWW65572 PGS65568:PGS65572 PQO65568:PQO65572 QAK65568:QAK65572 QKG65568:QKG65572 QUC65568:QUC65572 RDY65568:RDY65572 RNU65568:RNU65572 RXQ65568:RXQ65572 SHM65568:SHM65572 SRI65568:SRI65572 TBE65568:TBE65572 TLA65568:TLA65572 TUW65568:TUW65572 UES65568:UES65572 UOO65568:UOO65572 UYK65568:UYK65572 VIG65568:VIG65572 VSC65568:VSC65572 WBY65568:WBY65572 WLU65568:WLU65572 WVQ65568:WVQ65572 H131104:H131108 JE131104:JE131108 TA131104:TA131108 ACW131104:ACW131108 AMS131104:AMS131108 AWO131104:AWO131108 BGK131104:BGK131108 BQG131104:BQG131108 CAC131104:CAC131108 CJY131104:CJY131108 CTU131104:CTU131108 DDQ131104:DDQ131108 DNM131104:DNM131108 DXI131104:DXI131108 EHE131104:EHE131108 ERA131104:ERA131108 FAW131104:FAW131108 FKS131104:FKS131108 FUO131104:FUO131108 GEK131104:GEK131108 GOG131104:GOG131108 GYC131104:GYC131108 HHY131104:HHY131108 HRU131104:HRU131108 IBQ131104:IBQ131108 ILM131104:ILM131108 IVI131104:IVI131108 JFE131104:JFE131108 JPA131104:JPA131108 JYW131104:JYW131108 KIS131104:KIS131108 KSO131104:KSO131108 LCK131104:LCK131108 LMG131104:LMG131108 LWC131104:LWC131108 MFY131104:MFY131108 MPU131104:MPU131108 MZQ131104:MZQ131108 NJM131104:NJM131108 NTI131104:NTI131108 ODE131104:ODE131108 ONA131104:ONA131108 OWW131104:OWW131108 PGS131104:PGS131108 PQO131104:PQO131108 QAK131104:QAK131108 QKG131104:QKG131108 QUC131104:QUC131108 RDY131104:RDY131108 RNU131104:RNU131108 RXQ131104:RXQ131108 SHM131104:SHM131108 SRI131104:SRI131108 TBE131104:TBE131108 TLA131104:TLA131108 TUW131104:TUW131108 UES131104:UES131108 UOO131104:UOO131108 UYK131104:UYK131108 VIG131104:VIG131108 VSC131104:VSC131108 WBY131104:WBY131108 WLU131104:WLU131108 WVQ131104:WVQ131108 H196640:H196644 JE196640:JE196644 TA196640:TA196644 ACW196640:ACW196644 AMS196640:AMS196644 AWO196640:AWO196644 BGK196640:BGK196644 BQG196640:BQG196644 CAC196640:CAC196644 CJY196640:CJY196644 CTU196640:CTU196644 DDQ196640:DDQ196644 DNM196640:DNM196644 DXI196640:DXI196644 EHE196640:EHE196644 ERA196640:ERA196644 FAW196640:FAW196644 FKS196640:FKS196644 FUO196640:FUO196644 GEK196640:GEK196644 GOG196640:GOG196644 GYC196640:GYC196644 HHY196640:HHY196644 HRU196640:HRU196644 IBQ196640:IBQ196644 ILM196640:ILM196644 IVI196640:IVI196644 JFE196640:JFE196644 JPA196640:JPA196644 JYW196640:JYW196644 KIS196640:KIS196644 KSO196640:KSO196644 LCK196640:LCK196644 LMG196640:LMG196644 LWC196640:LWC196644 MFY196640:MFY196644 MPU196640:MPU196644 MZQ196640:MZQ196644 NJM196640:NJM196644 NTI196640:NTI196644 ODE196640:ODE196644 ONA196640:ONA196644 OWW196640:OWW196644 PGS196640:PGS196644 PQO196640:PQO196644 QAK196640:QAK196644 QKG196640:QKG196644 QUC196640:QUC196644 RDY196640:RDY196644 RNU196640:RNU196644 RXQ196640:RXQ196644 SHM196640:SHM196644 SRI196640:SRI196644 TBE196640:TBE196644 TLA196640:TLA196644 TUW196640:TUW196644 UES196640:UES196644 UOO196640:UOO196644 UYK196640:UYK196644 VIG196640:VIG196644 VSC196640:VSC196644 WBY196640:WBY196644 WLU196640:WLU196644 WVQ196640:WVQ196644 H262176:H262180 JE262176:JE262180 TA262176:TA262180 ACW262176:ACW262180 AMS262176:AMS262180 AWO262176:AWO262180 BGK262176:BGK262180 BQG262176:BQG262180 CAC262176:CAC262180 CJY262176:CJY262180 CTU262176:CTU262180 DDQ262176:DDQ262180 DNM262176:DNM262180 DXI262176:DXI262180 EHE262176:EHE262180 ERA262176:ERA262180 FAW262176:FAW262180 FKS262176:FKS262180 FUO262176:FUO262180 GEK262176:GEK262180 GOG262176:GOG262180 GYC262176:GYC262180 HHY262176:HHY262180 HRU262176:HRU262180 IBQ262176:IBQ262180 ILM262176:ILM262180 IVI262176:IVI262180 JFE262176:JFE262180 JPA262176:JPA262180 JYW262176:JYW262180 KIS262176:KIS262180 KSO262176:KSO262180 LCK262176:LCK262180 LMG262176:LMG262180 LWC262176:LWC262180 MFY262176:MFY262180 MPU262176:MPU262180 MZQ262176:MZQ262180 NJM262176:NJM262180 NTI262176:NTI262180 ODE262176:ODE262180 ONA262176:ONA262180 OWW262176:OWW262180 PGS262176:PGS262180 PQO262176:PQO262180 QAK262176:QAK262180 QKG262176:QKG262180 QUC262176:QUC262180 RDY262176:RDY262180 RNU262176:RNU262180 RXQ262176:RXQ262180 SHM262176:SHM262180 SRI262176:SRI262180 TBE262176:TBE262180 TLA262176:TLA262180 TUW262176:TUW262180 UES262176:UES262180 UOO262176:UOO262180 UYK262176:UYK262180 VIG262176:VIG262180 VSC262176:VSC262180 WBY262176:WBY262180 WLU262176:WLU262180 WVQ262176:WVQ262180 H327712:H327716 JE327712:JE327716 TA327712:TA327716 ACW327712:ACW327716 AMS327712:AMS327716 AWO327712:AWO327716 BGK327712:BGK327716 BQG327712:BQG327716 CAC327712:CAC327716 CJY327712:CJY327716 CTU327712:CTU327716 DDQ327712:DDQ327716 DNM327712:DNM327716 DXI327712:DXI327716 EHE327712:EHE327716 ERA327712:ERA327716 FAW327712:FAW327716 FKS327712:FKS327716 FUO327712:FUO327716 GEK327712:GEK327716 GOG327712:GOG327716 GYC327712:GYC327716 HHY327712:HHY327716 HRU327712:HRU327716 IBQ327712:IBQ327716 ILM327712:ILM327716 IVI327712:IVI327716 JFE327712:JFE327716 JPA327712:JPA327716 JYW327712:JYW327716 KIS327712:KIS327716 KSO327712:KSO327716 LCK327712:LCK327716 LMG327712:LMG327716 LWC327712:LWC327716 MFY327712:MFY327716 MPU327712:MPU327716 MZQ327712:MZQ327716 NJM327712:NJM327716 NTI327712:NTI327716 ODE327712:ODE327716 ONA327712:ONA327716 OWW327712:OWW327716 PGS327712:PGS327716 PQO327712:PQO327716 QAK327712:QAK327716 QKG327712:QKG327716 QUC327712:QUC327716 RDY327712:RDY327716 RNU327712:RNU327716 RXQ327712:RXQ327716 SHM327712:SHM327716 SRI327712:SRI327716 TBE327712:TBE327716 TLA327712:TLA327716 TUW327712:TUW327716 UES327712:UES327716 UOO327712:UOO327716 UYK327712:UYK327716 VIG327712:VIG327716 VSC327712:VSC327716 WBY327712:WBY327716 WLU327712:WLU327716 WVQ327712:WVQ327716 H393248:H393252 JE393248:JE393252 TA393248:TA393252 ACW393248:ACW393252 AMS393248:AMS393252 AWO393248:AWO393252 BGK393248:BGK393252 BQG393248:BQG393252 CAC393248:CAC393252 CJY393248:CJY393252 CTU393248:CTU393252 DDQ393248:DDQ393252 DNM393248:DNM393252 DXI393248:DXI393252 EHE393248:EHE393252 ERA393248:ERA393252 FAW393248:FAW393252 FKS393248:FKS393252 FUO393248:FUO393252 GEK393248:GEK393252 GOG393248:GOG393252 GYC393248:GYC393252 HHY393248:HHY393252 HRU393248:HRU393252 IBQ393248:IBQ393252 ILM393248:ILM393252 IVI393248:IVI393252 JFE393248:JFE393252 JPA393248:JPA393252 JYW393248:JYW393252 KIS393248:KIS393252 KSO393248:KSO393252 LCK393248:LCK393252 LMG393248:LMG393252 LWC393248:LWC393252 MFY393248:MFY393252 MPU393248:MPU393252 MZQ393248:MZQ393252 NJM393248:NJM393252 NTI393248:NTI393252 ODE393248:ODE393252 ONA393248:ONA393252 OWW393248:OWW393252 PGS393248:PGS393252 PQO393248:PQO393252 QAK393248:QAK393252 QKG393248:QKG393252 QUC393248:QUC393252 RDY393248:RDY393252 RNU393248:RNU393252 RXQ393248:RXQ393252 SHM393248:SHM393252 SRI393248:SRI393252 TBE393248:TBE393252 TLA393248:TLA393252 TUW393248:TUW393252 UES393248:UES393252 UOO393248:UOO393252 UYK393248:UYK393252 VIG393248:VIG393252 VSC393248:VSC393252 WBY393248:WBY393252 WLU393248:WLU393252 WVQ393248:WVQ393252 H458784:H458788 JE458784:JE458788 TA458784:TA458788 ACW458784:ACW458788 AMS458784:AMS458788 AWO458784:AWO458788 BGK458784:BGK458788 BQG458784:BQG458788 CAC458784:CAC458788 CJY458784:CJY458788 CTU458784:CTU458788 DDQ458784:DDQ458788 DNM458784:DNM458788 DXI458784:DXI458788 EHE458784:EHE458788 ERA458784:ERA458788 FAW458784:FAW458788 FKS458784:FKS458788 FUO458784:FUO458788 GEK458784:GEK458788 GOG458784:GOG458788 GYC458784:GYC458788 HHY458784:HHY458788 HRU458784:HRU458788 IBQ458784:IBQ458788 ILM458784:ILM458788 IVI458784:IVI458788 JFE458784:JFE458788 JPA458784:JPA458788 JYW458784:JYW458788 KIS458784:KIS458788 KSO458784:KSO458788 LCK458784:LCK458788 LMG458784:LMG458788 LWC458784:LWC458788 MFY458784:MFY458788 MPU458784:MPU458788 MZQ458784:MZQ458788 NJM458784:NJM458788 NTI458784:NTI458788 ODE458784:ODE458788 ONA458784:ONA458788 OWW458784:OWW458788 PGS458784:PGS458788 PQO458784:PQO458788 QAK458784:QAK458788 QKG458784:QKG458788 QUC458784:QUC458788 RDY458784:RDY458788 RNU458784:RNU458788 RXQ458784:RXQ458788 SHM458784:SHM458788 SRI458784:SRI458788 TBE458784:TBE458788 TLA458784:TLA458788 TUW458784:TUW458788 UES458784:UES458788 UOO458784:UOO458788 UYK458784:UYK458788 VIG458784:VIG458788 VSC458784:VSC458788 WBY458784:WBY458788 WLU458784:WLU458788 WVQ458784:WVQ458788 H524320:H524324 JE524320:JE524324 TA524320:TA524324 ACW524320:ACW524324 AMS524320:AMS524324 AWO524320:AWO524324 BGK524320:BGK524324 BQG524320:BQG524324 CAC524320:CAC524324 CJY524320:CJY524324 CTU524320:CTU524324 DDQ524320:DDQ524324 DNM524320:DNM524324 DXI524320:DXI524324 EHE524320:EHE524324 ERA524320:ERA524324 FAW524320:FAW524324 FKS524320:FKS524324 FUO524320:FUO524324 GEK524320:GEK524324 GOG524320:GOG524324 GYC524320:GYC524324 HHY524320:HHY524324 HRU524320:HRU524324 IBQ524320:IBQ524324 ILM524320:ILM524324 IVI524320:IVI524324 JFE524320:JFE524324 JPA524320:JPA524324 JYW524320:JYW524324 KIS524320:KIS524324 KSO524320:KSO524324 LCK524320:LCK524324 LMG524320:LMG524324 LWC524320:LWC524324 MFY524320:MFY524324 MPU524320:MPU524324 MZQ524320:MZQ524324 NJM524320:NJM524324 NTI524320:NTI524324 ODE524320:ODE524324 ONA524320:ONA524324 OWW524320:OWW524324 PGS524320:PGS524324 PQO524320:PQO524324 QAK524320:QAK524324 QKG524320:QKG524324 QUC524320:QUC524324 RDY524320:RDY524324 RNU524320:RNU524324 RXQ524320:RXQ524324 SHM524320:SHM524324 SRI524320:SRI524324 TBE524320:TBE524324 TLA524320:TLA524324 TUW524320:TUW524324 UES524320:UES524324 UOO524320:UOO524324 UYK524320:UYK524324 VIG524320:VIG524324 VSC524320:VSC524324 WBY524320:WBY524324 WLU524320:WLU524324 WVQ524320:WVQ524324 H589856:H589860 JE589856:JE589860 TA589856:TA589860 ACW589856:ACW589860 AMS589856:AMS589860 AWO589856:AWO589860 BGK589856:BGK589860 BQG589856:BQG589860 CAC589856:CAC589860 CJY589856:CJY589860 CTU589856:CTU589860 DDQ589856:DDQ589860 DNM589856:DNM589860 DXI589856:DXI589860 EHE589856:EHE589860 ERA589856:ERA589860 FAW589856:FAW589860 FKS589856:FKS589860 FUO589856:FUO589860 GEK589856:GEK589860 GOG589856:GOG589860 GYC589856:GYC589860 HHY589856:HHY589860 HRU589856:HRU589860 IBQ589856:IBQ589860 ILM589856:ILM589860 IVI589856:IVI589860 JFE589856:JFE589860 JPA589856:JPA589860 JYW589856:JYW589860 KIS589856:KIS589860 KSO589856:KSO589860 LCK589856:LCK589860 LMG589856:LMG589860 LWC589856:LWC589860 MFY589856:MFY589860 MPU589856:MPU589860 MZQ589856:MZQ589860 NJM589856:NJM589860 NTI589856:NTI589860 ODE589856:ODE589860 ONA589856:ONA589860 OWW589856:OWW589860 PGS589856:PGS589860 PQO589856:PQO589860 QAK589856:QAK589860 QKG589856:QKG589860 QUC589856:QUC589860 RDY589856:RDY589860 RNU589856:RNU589860 RXQ589856:RXQ589860 SHM589856:SHM589860 SRI589856:SRI589860 TBE589856:TBE589860 TLA589856:TLA589860 TUW589856:TUW589860 UES589856:UES589860 UOO589856:UOO589860 UYK589856:UYK589860 VIG589856:VIG589860 VSC589856:VSC589860 WBY589856:WBY589860 WLU589856:WLU589860 WVQ589856:WVQ589860 H655392:H655396 JE655392:JE655396 TA655392:TA655396 ACW655392:ACW655396 AMS655392:AMS655396 AWO655392:AWO655396 BGK655392:BGK655396 BQG655392:BQG655396 CAC655392:CAC655396 CJY655392:CJY655396 CTU655392:CTU655396 DDQ655392:DDQ655396 DNM655392:DNM655396 DXI655392:DXI655396 EHE655392:EHE655396 ERA655392:ERA655396 FAW655392:FAW655396 FKS655392:FKS655396 FUO655392:FUO655396 GEK655392:GEK655396 GOG655392:GOG655396 GYC655392:GYC655396 HHY655392:HHY655396 HRU655392:HRU655396 IBQ655392:IBQ655396 ILM655392:ILM655396 IVI655392:IVI655396 JFE655392:JFE655396 JPA655392:JPA655396 JYW655392:JYW655396 KIS655392:KIS655396 KSO655392:KSO655396 LCK655392:LCK655396 LMG655392:LMG655396 LWC655392:LWC655396 MFY655392:MFY655396 MPU655392:MPU655396 MZQ655392:MZQ655396 NJM655392:NJM655396 NTI655392:NTI655396 ODE655392:ODE655396 ONA655392:ONA655396 OWW655392:OWW655396 PGS655392:PGS655396 PQO655392:PQO655396 QAK655392:QAK655396 QKG655392:QKG655396 QUC655392:QUC655396 RDY655392:RDY655396 RNU655392:RNU655396 RXQ655392:RXQ655396 SHM655392:SHM655396 SRI655392:SRI655396 TBE655392:TBE655396 TLA655392:TLA655396 TUW655392:TUW655396 UES655392:UES655396 UOO655392:UOO655396 UYK655392:UYK655396 VIG655392:VIG655396 VSC655392:VSC655396 WBY655392:WBY655396 WLU655392:WLU655396 WVQ655392:WVQ655396 H720928:H720932 JE720928:JE720932 TA720928:TA720932 ACW720928:ACW720932 AMS720928:AMS720932 AWO720928:AWO720932 BGK720928:BGK720932 BQG720928:BQG720932 CAC720928:CAC720932 CJY720928:CJY720932 CTU720928:CTU720932 DDQ720928:DDQ720932 DNM720928:DNM720932 DXI720928:DXI720932 EHE720928:EHE720932 ERA720928:ERA720932 FAW720928:FAW720932 FKS720928:FKS720932 FUO720928:FUO720932 GEK720928:GEK720932 GOG720928:GOG720932 GYC720928:GYC720932 HHY720928:HHY720932 HRU720928:HRU720932 IBQ720928:IBQ720932 ILM720928:ILM720932 IVI720928:IVI720932 JFE720928:JFE720932 JPA720928:JPA720932 JYW720928:JYW720932 KIS720928:KIS720932 KSO720928:KSO720932 LCK720928:LCK720932 LMG720928:LMG720932 LWC720928:LWC720932 MFY720928:MFY720932 MPU720928:MPU720932 MZQ720928:MZQ720932 NJM720928:NJM720932 NTI720928:NTI720932 ODE720928:ODE720932 ONA720928:ONA720932 OWW720928:OWW720932 PGS720928:PGS720932 PQO720928:PQO720932 QAK720928:QAK720932 QKG720928:QKG720932 QUC720928:QUC720932 RDY720928:RDY720932 RNU720928:RNU720932 RXQ720928:RXQ720932 SHM720928:SHM720932 SRI720928:SRI720932 TBE720928:TBE720932 TLA720928:TLA720932 TUW720928:TUW720932 UES720928:UES720932 UOO720928:UOO720932 UYK720928:UYK720932 VIG720928:VIG720932 VSC720928:VSC720932 WBY720928:WBY720932 WLU720928:WLU720932 WVQ720928:WVQ720932 H786464:H786468 JE786464:JE786468 TA786464:TA786468 ACW786464:ACW786468 AMS786464:AMS786468 AWO786464:AWO786468 BGK786464:BGK786468 BQG786464:BQG786468 CAC786464:CAC786468 CJY786464:CJY786468 CTU786464:CTU786468 DDQ786464:DDQ786468 DNM786464:DNM786468 DXI786464:DXI786468 EHE786464:EHE786468 ERA786464:ERA786468 FAW786464:FAW786468 FKS786464:FKS786468 FUO786464:FUO786468 GEK786464:GEK786468 GOG786464:GOG786468 GYC786464:GYC786468 HHY786464:HHY786468 HRU786464:HRU786468 IBQ786464:IBQ786468 ILM786464:ILM786468 IVI786464:IVI786468 JFE786464:JFE786468 JPA786464:JPA786468 JYW786464:JYW786468 KIS786464:KIS786468 KSO786464:KSO786468 LCK786464:LCK786468 LMG786464:LMG786468 LWC786464:LWC786468 MFY786464:MFY786468 MPU786464:MPU786468 MZQ786464:MZQ786468 NJM786464:NJM786468 NTI786464:NTI786468 ODE786464:ODE786468 ONA786464:ONA786468 OWW786464:OWW786468 PGS786464:PGS786468 PQO786464:PQO786468 QAK786464:QAK786468 QKG786464:QKG786468 QUC786464:QUC786468 RDY786464:RDY786468 RNU786464:RNU786468 RXQ786464:RXQ786468 SHM786464:SHM786468 SRI786464:SRI786468 TBE786464:TBE786468 TLA786464:TLA786468 TUW786464:TUW786468 UES786464:UES786468 UOO786464:UOO786468 UYK786464:UYK786468 VIG786464:VIG786468 VSC786464:VSC786468 WBY786464:WBY786468 WLU786464:WLU786468 WVQ786464:WVQ786468 H852000:H852004 JE852000:JE852004 TA852000:TA852004 ACW852000:ACW852004 AMS852000:AMS852004 AWO852000:AWO852004 BGK852000:BGK852004 BQG852000:BQG852004 CAC852000:CAC852004 CJY852000:CJY852004 CTU852000:CTU852004 DDQ852000:DDQ852004 DNM852000:DNM852004 DXI852000:DXI852004 EHE852000:EHE852004 ERA852000:ERA852004 FAW852000:FAW852004 FKS852000:FKS852004 FUO852000:FUO852004 GEK852000:GEK852004 GOG852000:GOG852004 GYC852000:GYC852004 HHY852000:HHY852004 HRU852000:HRU852004 IBQ852000:IBQ852004 ILM852000:ILM852004 IVI852000:IVI852004 JFE852000:JFE852004 JPA852000:JPA852004 JYW852000:JYW852004 KIS852000:KIS852004 KSO852000:KSO852004 LCK852000:LCK852004 LMG852000:LMG852004 LWC852000:LWC852004 MFY852000:MFY852004 MPU852000:MPU852004 MZQ852000:MZQ852004 NJM852000:NJM852004 NTI852000:NTI852004 ODE852000:ODE852004 ONA852000:ONA852004 OWW852000:OWW852004 PGS852000:PGS852004 PQO852000:PQO852004 QAK852000:QAK852004 QKG852000:QKG852004 QUC852000:QUC852004 RDY852000:RDY852004 RNU852000:RNU852004 RXQ852000:RXQ852004 SHM852000:SHM852004 SRI852000:SRI852004 TBE852000:TBE852004 TLA852000:TLA852004 TUW852000:TUW852004 UES852000:UES852004 UOO852000:UOO852004 UYK852000:UYK852004 VIG852000:VIG852004 VSC852000:VSC852004 WBY852000:WBY852004 WLU852000:WLU852004 WVQ852000:WVQ852004 H917536:H917540 JE917536:JE917540 TA917536:TA917540 ACW917536:ACW917540 AMS917536:AMS917540 AWO917536:AWO917540 BGK917536:BGK917540 BQG917536:BQG917540 CAC917536:CAC917540 CJY917536:CJY917540 CTU917536:CTU917540 DDQ917536:DDQ917540 DNM917536:DNM917540 DXI917536:DXI917540 EHE917536:EHE917540 ERA917536:ERA917540 FAW917536:FAW917540 FKS917536:FKS917540 FUO917536:FUO917540 GEK917536:GEK917540 GOG917536:GOG917540 GYC917536:GYC917540 HHY917536:HHY917540 HRU917536:HRU917540 IBQ917536:IBQ917540 ILM917536:ILM917540 IVI917536:IVI917540 JFE917536:JFE917540 JPA917536:JPA917540 JYW917536:JYW917540 KIS917536:KIS917540 KSO917536:KSO917540 LCK917536:LCK917540 LMG917536:LMG917540 LWC917536:LWC917540 MFY917536:MFY917540 MPU917536:MPU917540 MZQ917536:MZQ917540 NJM917536:NJM917540 NTI917536:NTI917540 ODE917536:ODE917540 ONA917536:ONA917540 OWW917536:OWW917540 PGS917536:PGS917540 PQO917536:PQO917540 QAK917536:QAK917540 QKG917536:QKG917540 QUC917536:QUC917540 RDY917536:RDY917540 RNU917536:RNU917540 RXQ917536:RXQ917540 SHM917536:SHM917540 SRI917536:SRI917540 TBE917536:TBE917540 TLA917536:TLA917540 TUW917536:TUW917540 UES917536:UES917540 UOO917536:UOO917540 UYK917536:UYK917540 VIG917536:VIG917540 VSC917536:VSC917540 WBY917536:WBY917540 WLU917536:WLU917540 WVQ917536:WVQ917540 H983072:H983076 JE983072:JE983076 TA983072:TA983076 ACW983072:ACW983076 AMS983072:AMS983076 AWO983072:AWO983076 BGK983072:BGK983076 BQG983072:BQG983076 CAC983072:CAC983076 CJY983072:CJY983076 CTU983072:CTU983076 DDQ983072:DDQ983076 DNM983072:DNM983076 DXI983072:DXI983076 EHE983072:EHE983076 ERA983072:ERA983076 FAW983072:FAW983076 FKS983072:FKS983076 FUO983072:FUO983076 GEK983072:GEK983076 GOG983072:GOG983076 GYC983072:GYC983076 HHY983072:HHY983076 HRU983072:HRU983076 IBQ983072:IBQ983076 ILM983072:ILM983076 IVI983072:IVI983076 JFE983072:JFE983076 JPA983072:JPA983076 JYW983072:JYW983076 KIS983072:KIS983076 KSO983072:KSO983076 LCK983072:LCK983076 LMG983072:LMG983076 LWC983072:LWC983076 MFY983072:MFY983076 MPU983072:MPU983076 MZQ983072:MZQ983076 NJM983072:NJM983076 NTI983072:NTI983076 ODE983072:ODE983076 ONA983072:ONA983076 OWW983072:OWW983076 PGS983072:PGS983076 PQO983072:PQO983076 QAK983072:QAK983076 QKG983072:QKG983076 QUC983072:QUC983076 RDY983072:RDY983076 RNU983072:RNU983076 RXQ983072:RXQ983076 SHM983072:SHM983076 SRI983072:SRI983076 TBE983072:TBE983076 TLA983072:TLA983076 TUW983072:TUW983076 UES983072:UES983076 UOO983072:UOO983076 UYK983072:UYK983076 VIG983072:VIG983076 VSC983072:VSC983076 WBY983072:WBY983076 WLU983072:WLU983076 WVQ983072:WVQ983076 VSI983081:VSI983084 JK39:JK42 TG39:TG42 ADC39:ADC42 AMY39:AMY42 AWU39:AWU42 BGQ39:BGQ42 BQM39:BQM42 CAI39:CAI42 CKE39:CKE42 CUA39:CUA42 DDW39:DDW42 DNS39:DNS42 DXO39:DXO42 EHK39:EHK42 ERG39:ERG42 FBC39:FBC42 FKY39:FKY42 FUU39:FUU42 GEQ39:GEQ42 GOM39:GOM42 GYI39:GYI42 HIE39:HIE42 HSA39:HSA42 IBW39:IBW42 ILS39:ILS42 IVO39:IVO42 JFK39:JFK42 JPG39:JPG42 JZC39:JZC42 KIY39:KIY42 KSU39:KSU42 LCQ39:LCQ42 LMM39:LMM42 LWI39:LWI42 MGE39:MGE42 MQA39:MQA42 MZW39:MZW42 NJS39:NJS42 NTO39:NTO42 ODK39:ODK42 ONG39:ONG42 OXC39:OXC42 PGY39:PGY42 PQU39:PQU42 QAQ39:QAQ42 QKM39:QKM42 QUI39:QUI42 REE39:REE42 ROA39:ROA42 RXW39:RXW42 SHS39:SHS42 SRO39:SRO42 TBK39:TBK42 TLG39:TLG42 TVC39:TVC42 UEY39:UEY42 UOU39:UOU42 UYQ39:UYQ42 VIM39:VIM42 VSI39:VSI42 WCE39:WCE42 WMA39:WMA42 WVW39:WVW42 N65577:N65580 JK65577:JK65580 TG65577:TG65580 ADC65577:ADC65580 AMY65577:AMY65580 AWU65577:AWU65580 BGQ65577:BGQ65580 BQM65577:BQM65580 CAI65577:CAI65580 CKE65577:CKE65580 CUA65577:CUA65580 DDW65577:DDW65580 DNS65577:DNS65580 DXO65577:DXO65580 EHK65577:EHK65580 ERG65577:ERG65580 FBC65577:FBC65580 FKY65577:FKY65580 FUU65577:FUU65580 GEQ65577:GEQ65580 GOM65577:GOM65580 GYI65577:GYI65580 HIE65577:HIE65580 HSA65577:HSA65580 IBW65577:IBW65580 ILS65577:ILS65580 IVO65577:IVO65580 JFK65577:JFK65580 JPG65577:JPG65580 JZC65577:JZC65580 KIY65577:KIY65580 KSU65577:KSU65580 LCQ65577:LCQ65580 LMM65577:LMM65580 LWI65577:LWI65580 MGE65577:MGE65580 MQA65577:MQA65580 MZW65577:MZW65580 NJS65577:NJS65580 NTO65577:NTO65580 ODK65577:ODK65580 ONG65577:ONG65580 OXC65577:OXC65580 PGY65577:PGY65580 PQU65577:PQU65580 QAQ65577:QAQ65580 QKM65577:QKM65580 QUI65577:QUI65580 REE65577:REE65580 ROA65577:ROA65580 RXW65577:RXW65580 SHS65577:SHS65580 SRO65577:SRO65580 TBK65577:TBK65580 TLG65577:TLG65580 TVC65577:TVC65580 UEY65577:UEY65580 UOU65577:UOU65580 UYQ65577:UYQ65580 VIM65577:VIM65580 VSI65577:VSI65580 WCE65577:WCE65580 WMA65577:WMA65580 WVW65577:WVW65580 N131113:N131116 JK131113:JK131116 TG131113:TG131116 ADC131113:ADC131116 AMY131113:AMY131116 AWU131113:AWU131116 BGQ131113:BGQ131116 BQM131113:BQM131116 CAI131113:CAI131116 CKE131113:CKE131116 CUA131113:CUA131116 DDW131113:DDW131116 DNS131113:DNS131116 DXO131113:DXO131116 EHK131113:EHK131116 ERG131113:ERG131116 FBC131113:FBC131116 FKY131113:FKY131116 FUU131113:FUU131116 GEQ131113:GEQ131116 GOM131113:GOM131116 GYI131113:GYI131116 HIE131113:HIE131116 HSA131113:HSA131116 IBW131113:IBW131116 ILS131113:ILS131116 IVO131113:IVO131116 JFK131113:JFK131116 JPG131113:JPG131116 JZC131113:JZC131116 KIY131113:KIY131116 KSU131113:KSU131116 LCQ131113:LCQ131116 LMM131113:LMM131116 LWI131113:LWI131116 MGE131113:MGE131116 MQA131113:MQA131116 MZW131113:MZW131116 NJS131113:NJS131116 NTO131113:NTO131116 ODK131113:ODK131116 ONG131113:ONG131116 OXC131113:OXC131116 PGY131113:PGY131116 PQU131113:PQU131116 QAQ131113:QAQ131116 QKM131113:QKM131116 QUI131113:QUI131116 REE131113:REE131116 ROA131113:ROA131116 RXW131113:RXW131116 SHS131113:SHS131116 SRO131113:SRO131116 TBK131113:TBK131116 TLG131113:TLG131116 TVC131113:TVC131116 UEY131113:UEY131116 UOU131113:UOU131116 UYQ131113:UYQ131116 VIM131113:VIM131116 VSI131113:VSI131116 WCE131113:WCE131116 WMA131113:WMA131116 WVW131113:WVW131116 N196649:N196652 JK196649:JK196652 TG196649:TG196652 ADC196649:ADC196652 AMY196649:AMY196652 AWU196649:AWU196652 BGQ196649:BGQ196652 BQM196649:BQM196652 CAI196649:CAI196652 CKE196649:CKE196652 CUA196649:CUA196652 DDW196649:DDW196652 DNS196649:DNS196652 DXO196649:DXO196652 EHK196649:EHK196652 ERG196649:ERG196652 FBC196649:FBC196652 FKY196649:FKY196652 FUU196649:FUU196652 GEQ196649:GEQ196652 GOM196649:GOM196652 GYI196649:GYI196652 HIE196649:HIE196652 HSA196649:HSA196652 IBW196649:IBW196652 ILS196649:ILS196652 IVO196649:IVO196652 JFK196649:JFK196652 JPG196649:JPG196652 JZC196649:JZC196652 KIY196649:KIY196652 KSU196649:KSU196652 LCQ196649:LCQ196652 LMM196649:LMM196652 LWI196649:LWI196652 MGE196649:MGE196652 MQA196649:MQA196652 MZW196649:MZW196652 NJS196649:NJS196652 NTO196649:NTO196652 ODK196649:ODK196652 ONG196649:ONG196652 OXC196649:OXC196652 PGY196649:PGY196652 PQU196649:PQU196652 QAQ196649:QAQ196652 QKM196649:QKM196652 QUI196649:QUI196652 REE196649:REE196652 ROA196649:ROA196652 RXW196649:RXW196652 SHS196649:SHS196652 SRO196649:SRO196652 TBK196649:TBK196652 TLG196649:TLG196652 TVC196649:TVC196652 UEY196649:UEY196652 UOU196649:UOU196652 UYQ196649:UYQ196652 VIM196649:VIM196652 VSI196649:VSI196652 WCE196649:WCE196652 WMA196649:WMA196652 WVW196649:WVW196652 N262185:N262188 JK262185:JK262188 TG262185:TG262188 ADC262185:ADC262188 AMY262185:AMY262188 AWU262185:AWU262188 BGQ262185:BGQ262188 BQM262185:BQM262188 CAI262185:CAI262188 CKE262185:CKE262188 CUA262185:CUA262188 DDW262185:DDW262188 DNS262185:DNS262188 DXO262185:DXO262188 EHK262185:EHK262188 ERG262185:ERG262188 FBC262185:FBC262188 FKY262185:FKY262188 FUU262185:FUU262188 GEQ262185:GEQ262188 GOM262185:GOM262188 GYI262185:GYI262188 HIE262185:HIE262188 HSA262185:HSA262188 IBW262185:IBW262188 ILS262185:ILS262188 IVO262185:IVO262188 JFK262185:JFK262188 JPG262185:JPG262188 JZC262185:JZC262188 KIY262185:KIY262188 KSU262185:KSU262188 LCQ262185:LCQ262188 LMM262185:LMM262188 LWI262185:LWI262188 MGE262185:MGE262188 MQA262185:MQA262188 MZW262185:MZW262188 NJS262185:NJS262188 NTO262185:NTO262188 ODK262185:ODK262188 ONG262185:ONG262188 OXC262185:OXC262188 PGY262185:PGY262188 PQU262185:PQU262188 QAQ262185:QAQ262188 QKM262185:QKM262188 QUI262185:QUI262188 REE262185:REE262188 ROA262185:ROA262188 RXW262185:RXW262188 SHS262185:SHS262188 SRO262185:SRO262188 TBK262185:TBK262188 TLG262185:TLG262188 TVC262185:TVC262188 UEY262185:UEY262188 UOU262185:UOU262188 UYQ262185:UYQ262188 VIM262185:VIM262188 VSI262185:VSI262188 WCE262185:WCE262188 WMA262185:WMA262188 WVW262185:WVW262188 N327721:N327724 JK327721:JK327724 TG327721:TG327724 ADC327721:ADC327724 AMY327721:AMY327724 AWU327721:AWU327724 BGQ327721:BGQ327724 BQM327721:BQM327724 CAI327721:CAI327724 CKE327721:CKE327724 CUA327721:CUA327724 DDW327721:DDW327724 DNS327721:DNS327724 DXO327721:DXO327724 EHK327721:EHK327724 ERG327721:ERG327724 FBC327721:FBC327724 FKY327721:FKY327724 FUU327721:FUU327724 GEQ327721:GEQ327724 GOM327721:GOM327724 GYI327721:GYI327724 HIE327721:HIE327724 HSA327721:HSA327724 IBW327721:IBW327724 ILS327721:ILS327724 IVO327721:IVO327724 JFK327721:JFK327724 JPG327721:JPG327724 JZC327721:JZC327724 KIY327721:KIY327724 KSU327721:KSU327724 LCQ327721:LCQ327724 LMM327721:LMM327724 LWI327721:LWI327724 MGE327721:MGE327724 MQA327721:MQA327724 MZW327721:MZW327724 NJS327721:NJS327724 NTO327721:NTO327724 ODK327721:ODK327724 ONG327721:ONG327724 OXC327721:OXC327724 PGY327721:PGY327724 PQU327721:PQU327724 QAQ327721:QAQ327724 QKM327721:QKM327724 QUI327721:QUI327724 REE327721:REE327724 ROA327721:ROA327724 RXW327721:RXW327724 SHS327721:SHS327724 SRO327721:SRO327724 TBK327721:TBK327724 TLG327721:TLG327724 TVC327721:TVC327724 UEY327721:UEY327724 UOU327721:UOU327724 UYQ327721:UYQ327724 VIM327721:VIM327724 VSI327721:VSI327724 WCE327721:WCE327724 WMA327721:WMA327724 WVW327721:WVW327724 N393257:N393260 JK393257:JK393260 TG393257:TG393260 ADC393257:ADC393260 AMY393257:AMY393260 AWU393257:AWU393260 BGQ393257:BGQ393260 BQM393257:BQM393260 CAI393257:CAI393260 CKE393257:CKE393260 CUA393257:CUA393260 DDW393257:DDW393260 DNS393257:DNS393260 DXO393257:DXO393260 EHK393257:EHK393260 ERG393257:ERG393260 FBC393257:FBC393260 FKY393257:FKY393260 FUU393257:FUU393260 GEQ393257:GEQ393260 GOM393257:GOM393260 GYI393257:GYI393260 HIE393257:HIE393260 HSA393257:HSA393260 IBW393257:IBW393260 ILS393257:ILS393260 IVO393257:IVO393260 JFK393257:JFK393260 JPG393257:JPG393260 JZC393257:JZC393260 KIY393257:KIY393260 KSU393257:KSU393260 LCQ393257:LCQ393260 LMM393257:LMM393260 LWI393257:LWI393260 MGE393257:MGE393260 MQA393257:MQA393260 MZW393257:MZW393260 NJS393257:NJS393260 NTO393257:NTO393260 ODK393257:ODK393260 ONG393257:ONG393260 OXC393257:OXC393260 PGY393257:PGY393260 PQU393257:PQU393260 QAQ393257:QAQ393260 QKM393257:QKM393260 QUI393257:QUI393260 REE393257:REE393260 ROA393257:ROA393260 RXW393257:RXW393260 SHS393257:SHS393260 SRO393257:SRO393260 TBK393257:TBK393260 TLG393257:TLG393260 TVC393257:TVC393260 UEY393257:UEY393260 UOU393257:UOU393260 UYQ393257:UYQ393260 VIM393257:VIM393260 VSI393257:VSI393260 WCE393257:WCE393260 WMA393257:WMA393260 WVW393257:WVW393260 N458793:N458796 JK458793:JK458796 TG458793:TG458796 ADC458793:ADC458796 AMY458793:AMY458796 AWU458793:AWU458796 BGQ458793:BGQ458796 BQM458793:BQM458796 CAI458793:CAI458796 CKE458793:CKE458796 CUA458793:CUA458796 DDW458793:DDW458796 DNS458793:DNS458796 DXO458793:DXO458796 EHK458793:EHK458796 ERG458793:ERG458796 FBC458793:FBC458796 FKY458793:FKY458796 FUU458793:FUU458796 GEQ458793:GEQ458796 GOM458793:GOM458796 GYI458793:GYI458796 HIE458793:HIE458796 HSA458793:HSA458796 IBW458793:IBW458796 ILS458793:ILS458796 IVO458793:IVO458796 JFK458793:JFK458796 JPG458793:JPG458796 JZC458793:JZC458796 KIY458793:KIY458796 KSU458793:KSU458796 LCQ458793:LCQ458796 LMM458793:LMM458796 LWI458793:LWI458796 MGE458793:MGE458796 MQA458793:MQA458796 MZW458793:MZW458796 NJS458793:NJS458796 NTO458793:NTO458796 ODK458793:ODK458796 ONG458793:ONG458796 OXC458793:OXC458796 PGY458793:PGY458796 PQU458793:PQU458796 QAQ458793:QAQ458796 QKM458793:QKM458796 QUI458793:QUI458796 REE458793:REE458796 ROA458793:ROA458796 RXW458793:RXW458796 SHS458793:SHS458796 SRO458793:SRO458796 TBK458793:TBK458796 TLG458793:TLG458796 TVC458793:TVC458796 UEY458793:UEY458796 UOU458793:UOU458796 UYQ458793:UYQ458796 VIM458793:VIM458796 VSI458793:VSI458796 WCE458793:WCE458796 WMA458793:WMA458796 WVW458793:WVW458796 N524329:N524332 JK524329:JK524332 TG524329:TG524332 ADC524329:ADC524332 AMY524329:AMY524332 AWU524329:AWU524332 BGQ524329:BGQ524332 BQM524329:BQM524332 CAI524329:CAI524332 CKE524329:CKE524332 CUA524329:CUA524332 DDW524329:DDW524332 DNS524329:DNS524332 DXO524329:DXO524332 EHK524329:EHK524332 ERG524329:ERG524332 FBC524329:FBC524332 FKY524329:FKY524332 FUU524329:FUU524332 GEQ524329:GEQ524332 GOM524329:GOM524332 GYI524329:GYI524332 HIE524329:HIE524332 HSA524329:HSA524332 IBW524329:IBW524332 ILS524329:ILS524332 IVO524329:IVO524332 JFK524329:JFK524332 JPG524329:JPG524332 JZC524329:JZC524332 KIY524329:KIY524332 KSU524329:KSU524332 LCQ524329:LCQ524332 LMM524329:LMM524332 LWI524329:LWI524332 MGE524329:MGE524332 MQA524329:MQA524332 MZW524329:MZW524332 NJS524329:NJS524332 NTO524329:NTO524332 ODK524329:ODK524332 ONG524329:ONG524332 OXC524329:OXC524332 PGY524329:PGY524332 PQU524329:PQU524332 QAQ524329:QAQ524332 QKM524329:QKM524332 QUI524329:QUI524332 REE524329:REE524332 ROA524329:ROA524332 RXW524329:RXW524332 SHS524329:SHS524332 SRO524329:SRO524332 TBK524329:TBK524332 TLG524329:TLG524332 TVC524329:TVC524332 UEY524329:UEY524332 UOU524329:UOU524332 UYQ524329:UYQ524332 VIM524329:VIM524332 VSI524329:VSI524332 WCE524329:WCE524332 WMA524329:WMA524332 WVW524329:WVW524332 N589865:N589868 JK589865:JK589868 TG589865:TG589868 ADC589865:ADC589868 AMY589865:AMY589868 AWU589865:AWU589868 BGQ589865:BGQ589868 BQM589865:BQM589868 CAI589865:CAI589868 CKE589865:CKE589868 CUA589865:CUA589868 DDW589865:DDW589868 DNS589865:DNS589868 DXO589865:DXO589868 EHK589865:EHK589868 ERG589865:ERG589868 FBC589865:FBC589868 FKY589865:FKY589868 FUU589865:FUU589868 GEQ589865:GEQ589868 GOM589865:GOM589868 GYI589865:GYI589868 HIE589865:HIE589868 HSA589865:HSA589868 IBW589865:IBW589868 ILS589865:ILS589868 IVO589865:IVO589868 JFK589865:JFK589868 JPG589865:JPG589868 JZC589865:JZC589868 KIY589865:KIY589868 KSU589865:KSU589868 LCQ589865:LCQ589868 LMM589865:LMM589868 LWI589865:LWI589868 MGE589865:MGE589868 MQA589865:MQA589868 MZW589865:MZW589868 NJS589865:NJS589868 NTO589865:NTO589868 ODK589865:ODK589868 ONG589865:ONG589868 OXC589865:OXC589868 PGY589865:PGY589868 PQU589865:PQU589868 QAQ589865:QAQ589868 QKM589865:QKM589868 QUI589865:QUI589868 REE589865:REE589868 ROA589865:ROA589868 RXW589865:RXW589868 SHS589865:SHS589868 SRO589865:SRO589868 TBK589865:TBK589868 TLG589865:TLG589868 TVC589865:TVC589868 UEY589865:UEY589868 UOU589865:UOU589868 UYQ589865:UYQ589868 VIM589865:VIM589868 VSI589865:VSI589868 WCE589865:WCE589868 WMA589865:WMA589868 WVW589865:WVW589868 N655401:N655404 JK655401:JK655404 TG655401:TG655404 ADC655401:ADC655404 AMY655401:AMY655404 AWU655401:AWU655404 BGQ655401:BGQ655404 BQM655401:BQM655404 CAI655401:CAI655404 CKE655401:CKE655404 CUA655401:CUA655404 DDW655401:DDW655404 DNS655401:DNS655404 DXO655401:DXO655404 EHK655401:EHK655404 ERG655401:ERG655404 FBC655401:FBC655404 FKY655401:FKY655404 FUU655401:FUU655404 GEQ655401:GEQ655404 GOM655401:GOM655404 GYI655401:GYI655404 HIE655401:HIE655404 HSA655401:HSA655404 IBW655401:IBW655404 ILS655401:ILS655404 IVO655401:IVO655404 JFK655401:JFK655404 JPG655401:JPG655404 JZC655401:JZC655404 KIY655401:KIY655404 KSU655401:KSU655404 LCQ655401:LCQ655404 LMM655401:LMM655404 LWI655401:LWI655404 MGE655401:MGE655404 MQA655401:MQA655404 MZW655401:MZW655404 NJS655401:NJS655404 NTO655401:NTO655404 ODK655401:ODK655404 ONG655401:ONG655404 OXC655401:OXC655404 PGY655401:PGY655404 PQU655401:PQU655404 QAQ655401:QAQ655404 QKM655401:QKM655404 QUI655401:QUI655404 REE655401:REE655404 ROA655401:ROA655404 RXW655401:RXW655404 SHS655401:SHS655404 SRO655401:SRO655404 TBK655401:TBK655404 TLG655401:TLG655404 TVC655401:TVC655404 UEY655401:UEY655404 UOU655401:UOU655404 UYQ655401:UYQ655404 VIM655401:VIM655404 VSI655401:VSI655404 WCE655401:WCE655404 WMA655401:WMA655404 WVW655401:WVW655404 N720937:N720940 JK720937:JK720940 TG720937:TG720940 ADC720937:ADC720940 AMY720937:AMY720940 AWU720937:AWU720940 BGQ720937:BGQ720940 BQM720937:BQM720940 CAI720937:CAI720940 CKE720937:CKE720940 CUA720937:CUA720940 DDW720937:DDW720940 DNS720937:DNS720940 DXO720937:DXO720940 EHK720937:EHK720940 ERG720937:ERG720940 FBC720937:FBC720940 FKY720937:FKY720940 FUU720937:FUU720940 GEQ720937:GEQ720940 GOM720937:GOM720940 GYI720937:GYI720940 HIE720937:HIE720940 HSA720937:HSA720940 IBW720937:IBW720940 ILS720937:ILS720940 IVO720937:IVO720940 JFK720937:JFK720940 JPG720937:JPG720940 JZC720937:JZC720940 KIY720937:KIY720940 KSU720937:KSU720940 LCQ720937:LCQ720940 LMM720937:LMM720940 LWI720937:LWI720940 MGE720937:MGE720940 MQA720937:MQA720940 MZW720937:MZW720940 NJS720937:NJS720940 NTO720937:NTO720940 ODK720937:ODK720940 ONG720937:ONG720940 OXC720937:OXC720940 PGY720937:PGY720940 PQU720937:PQU720940 QAQ720937:QAQ720940 QKM720937:QKM720940 QUI720937:QUI720940 REE720937:REE720940 ROA720937:ROA720940 RXW720937:RXW720940 SHS720937:SHS720940 SRO720937:SRO720940 TBK720937:TBK720940 TLG720937:TLG720940 TVC720937:TVC720940 UEY720937:UEY720940 UOU720937:UOU720940 UYQ720937:UYQ720940 VIM720937:VIM720940 VSI720937:VSI720940 WCE720937:WCE720940 WMA720937:WMA720940 WVW720937:WVW720940 N786473:N786476 JK786473:JK786476 TG786473:TG786476 ADC786473:ADC786476 AMY786473:AMY786476 AWU786473:AWU786476 BGQ786473:BGQ786476 BQM786473:BQM786476 CAI786473:CAI786476 CKE786473:CKE786476 CUA786473:CUA786476 DDW786473:DDW786476 DNS786473:DNS786476 DXO786473:DXO786476 EHK786473:EHK786476 ERG786473:ERG786476 FBC786473:FBC786476 FKY786473:FKY786476 FUU786473:FUU786476 GEQ786473:GEQ786476 GOM786473:GOM786476 GYI786473:GYI786476 HIE786473:HIE786476 HSA786473:HSA786476 IBW786473:IBW786476 ILS786473:ILS786476 IVO786473:IVO786476 JFK786473:JFK786476 JPG786473:JPG786476 JZC786473:JZC786476 KIY786473:KIY786476 KSU786473:KSU786476 LCQ786473:LCQ786476 LMM786473:LMM786476 LWI786473:LWI786476 MGE786473:MGE786476 MQA786473:MQA786476 MZW786473:MZW786476 NJS786473:NJS786476 NTO786473:NTO786476 ODK786473:ODK786476 ONG786473:ONG786476 OXC786473:OXC786476 PGY786473:PGY786476 PQU786473:PQU786476 QAQ786473:QAQ786476 QKM786473:QKM786476 QUI786473:QUI786476 REE786473:REE786476 ROA786473:ROA786476 RXW786473:RXW786476 SHS786473:SHS786476 SRO786473:SRO786476 TBK786473:TBK786476 TLG786473:TLG786476 TVC786473:TVC786476 UEY786473:UEY786476 UOU786473:UOU786476 UYQ786473:UYQ786476 VIM786473:VIM786476 VSI786473:VSI786476 WCE786473:WCE786476 WMA786473:WMA786476 WVW786473:WVW786476 N852009:N852012 JK852009:JK852012 TG852009:TG852012 ADC852009:ADC852012 AMY852009:AMY852012 AWU852009:AWU852012 BGQ852009:BGQ852012 BQM852009:BQM852012 CAI852009:CAI852012 CKE852009:CKE852012 CUA852009:CUA852012 DDW852009:DDW852012 DNS852009:DNS852012 DXO852009:DXO852012 EHK852009:EHK852012 ERG852009:ERG852012 FBC852009:FBC852012 FKY852009:FKY852012 FUU852009:FUU852012 GEQ852009:GEQ852012 GOM852009:GOM852012 GYI852009:GYI852012 HIE852009:HIE852012 HSA852009:HSA852012 IBW852009:IBW852012 ILS852009:ILS852012 IVO852009:IVO852012 JFK852009:JFK852012 JPG852009:JPG852012 JZC852009:JZC852012 KIY852009:KIY852012 KSU852009:KSU852012 LCQ852009:LCQ852012 LMM852009:LMM852012 LWI852009:LWI852012 MGE852009:MGE852012 MQA852009:MQA852012 MZW852009:MZW852012 NJS852009:NJS852012 NTO852009:NTO852012 ODK852009:ODK852012 ONG852009:ONG852012 OXC852009:OXC852012 PGY852009:PGY852012 PQU852009:PQU852012 QAQ852009:QAQ852012 QKM852009:QKM852012 QUI852009:QUI852012 REE852009:REE852012 ROA852009:ROA852012 RXW852009:RXW852012 SHS852009:SHS852012 SRO852009:SRO852012 TBK852009:TBK852012 TLG852009:TLG852012 TVC852009:TVC852012 UEY852009:UEY852012 UOU852009:UOU852012 UYQ852009:UYQ852012 VIM852009:VIM852012 VSI852009:VSI852012 WCE852009:WCE852012 WMA852009:WMA852012 WVW852009:WVW852012 N917545:N917548 JK917545:JK917548 TG917545:TG917548 ADC917545:ADC917548 AMY917545:AMY917548 AWU917545:AWU917548 BGQ917545:BGQ917548 BQM917545:BQM917548 CAI917545:CAI917548 CKE917545:CKE917548 CUA917545:CUA917548 DDW917545:DDW917548 DNS917545:DNS917548 DXO917545:DXO917548 EHK917545:EHK917548 ERG917545:ERG917548 FBC917545:FBC917548 FKY917545:FKY917548 FUU917545:FUU917548 GEQ917545:GEQ917548 GOM917545:GOM917548 GYI917545:GYI917548 HIE917545:HIE917548 HSA917545:HSA917548 IBW917545:IBW917548 ILS917545:ILS917548 IVO917545:IVO917548 JFK917545:JFK917548 JPG917545:JPG917548 JZC917545:JZC917548 KIY917545:KIY917548 KSU917545:KSU917548 LCQ917545:LCQ917548 LMM917545:LMM917548 LWI917545:LWI917548 MGE917545:MGE917548 MQA917545:MQA917548 MZW917545:MZW917548 NJS917545:NJS917548 NTO917545:NTO917548 ODK917545:ODK917548 ONG917545:ONG917548 OXC917545:OXC917548 PGY917545:PGY917548 PQU917545:PQU917548 QAQ917545:QAQ917548 QKM917545:QKM917548 QUI917545:QUI917548 REE917545:REE917548 ROA917545:ROA917548 RXW917545:RXW917548 SHS917545:SHS917548 SRO917545:SRO917548 TBK917545:TBK917548 TLG917545:TLG917548 TVC917545:TVC917548 UEY917545:UEY917548 UOU917545:UOU917548 UYQ917545:UYQ917548 VIM917545:VIM917548 VSI917545:VSI917548 WCE917545:WCE917548 WMA917545:WMA917548 WVW917545:WVW917548 N983081:N983084 JK983081:JK983084 TG983081:TG983084 ADC983081:ADC983084 AMY983081:AMY983084 AWU983081:AWU983084 BGQ983081:BGQ983084 BQM983081:BQM983084 CAI983081:CAI983084 CKE983081:CKE983084 CUA983081:CUA983084 DDW983081:DDW983084 DNS983081:DNS983084 DXO983081:DXO983084 EHK983081:EHK983084 ERG983081:ERG983084 FBC983081:FBC983084 FKY983081:FKY983084 FUU983081:FUU983084 GEQ983081:GEQ983084 GOM983081:GOM983084 GYI983081:GYI983084 HIE983081:HIE983084 HSA983081:HSA983084 IBW983081:IBW983084 ILS983081:ILS983084 IVO983081:IVO983084 JFK983081:JFK983084 JPG983081:JPG983084 JZC983081:JZC983084 KIY983081:KIY983084 KSU983081:KSU983084 LCQ983081:LCQ983084 LMM983081:LMM983084 LWI983081:LWI983084 MGE983081:MGE983084 MQA983081:MQA983084 MZW983081:MZW983084 NJS983081:NJS983084 NTO983081:NTO983084 ODK983081:ODK983084 ONG983081:ONG983084 OXC983081:OXC983084 PGY983081:PGY983084 PQU983081:PQU983084 QAQ983081:QAQ983084 QKM983081:QKM983084 QUI983081:QUI983084 REE983081:REE983084 ROA983081:ROA983084 RXW983081:RXW983084 SHS983081:SHS983084 SRO983081:SRO983084 TBK983081:TBK983084</xm:sqref>
        </x14:dataValidation>
      </x14:dataValidations>
    </ext>
  </extLst>
</worksheet>
</file>

<file path=xl/worksheets/sheet16.xml><?xml version="1.0" encoding="utf-8"?>
<worksheet xmlns="http://schemas.openxmlformats.org/spreadsheetml/2006/main" xmlns:r="http://schemas.openxmlformats.org/officeDocument/2006/relationships">
  <dimension ref="B1:F170"/>
  <sheetViews>
    <sheetView view="pageBreakPreview" zoomScaleNormal="130" zoomScaleSheetLayoutView="100" workbookViewId="0">
      <selection activeCell="E17" sqref="E17"/>
    </sheetView>
  </sheetViews>
  <sheetFormatPr defaultRowHeight="13.5"/>
  <cols>
    <col min="1" max="1" width="9" style="2952"/>
    <col min="2" max="2" width="9.125" style="2952" customWidth="1"/>
    <col min="3" max="3" width="6.25" style="2952" customWidth="1"/>
    <col min="4" max="4" width="26.25" style="2952" customWidth="1"/>
    <col min="5" max="5" width="38.25" style="2952" customWidth="1"/>
    <col min="6" max="257" width="9" style="2952"/>
    <col min="258" max="258" width="9.125" style="2952" customWidth="1"/>
    <col min="259" max="259" width="6.25" style="2952" customWidth="1"/>
    <col min="260" max="260" width="26.25" style="2952" customWidth="1"/>
    <col min="261" max="261" width="38.25" style="2952" customWidth="1"/>
    <col min="262" max="513" width="9" style="2952"/>
    <col min="514" max="514" width="9.125" style="2952" customWidth="1"/>
    <col min="515" max="515" width="6.25" style="2952" customWidth="1"/>
    <col min="516" max="516" width="26.25" style="2952" customWidth="1"/>
    <col min="517" max="517" width="38.25" style="2952" customWidth="1"/>
    <col min="518" max="769" width="9" style="2952"/>
    <col min="770" max="770" width="9.125" style="2952" customWidth="1"/>
    <col min="771" max="771" width="6.25" style="2952" customWidth="1"/>
    <col min="772" max="772" width="26.25" style="2952" customWidth="1"/>
    <col min="773" max="773" width="38.25" style="2952" customWidth="1"/>
    <col min="774" max="1025" width="9" style="2952"/>
    <col min="1026" max="1026" width="9.125" style="2952" customWidth="1"/>
    <col min="1027" max="1027" width="6.25" style="2952" customWidth="1"/>
    <col min="1028" max="1028" width="26.25" style="2952" customWidth="1"/>
    <col min="1029" max="1029" width="38.25" style="2952" customWidth="1"/>
    <col min="1030" max="1281" width="9" style="2952"/>
    <col min="1282" max="1282" width="9.125" style="2952" customWidth="1"/>
    <col min="1283" max="1283" width="6.25" style="2952" customWidth="1"/>
    <col min="1284" max="1284" width="26.25" style="2952" customWidth="1"/>
    <col min="1285" max="1285" width="38.25" style="2952" customWidth="1"/>
    <col min="1286" max="1537" width="9" style="2952"/>
    <col min="1538" max="1538" width="9.125" style="2952" customWidth="1"/>
    <col min="1539" max="1539" width="6.25" style="2952" customWidth="1"/>
    <col min="1540" max="1540" width="26.25" style="2952" customWidth="1"/>
    <col min="1541" max="1541" width="38.25" style="2952" customWidth="1"/>
    <col min="1542" max="1793" width="9" style="2952"/>
    <col min="1794" max="1794" width="9.125" style="2952" customWidth="1"/>
    <col min="1795" max="1795" width="6.25" style="2952" customWidth="1"/>
    <col min="1796" max="1796" width="26.25" style="2952" customWidth="1"/>
    <col min="1797" max="1797" width="38.25" style="2952" customWidth="1"/>
    <col min="1798" max="2049" width="9" style="2952"/>
    <col min="2050" max="2050" width="9.125" style="2952" customWidth="1"/>
    <col min="2051" max="2051" width="6.25" style="2952" customWidth="1"/>
    <col min="2052" max="2052" width="26.25" style="2952" customWidth="1"/>
    <col min="2053" max="2053" width="38.25" style="2952" customWidth="1"/>
    <col min="2054" max="2305" width="9" style="2952"/>
    <col min="2306" max="2306" width="9.125" style="2952" customWidth="1"/>
    <col min="2307" max="2307" width="6.25" style="2952" customWidth="1"/>
    <col min="2308" max="2308" width="26.25" style="2952" customWidth="1"/>
    <col min="2309" max="2309" width="38.25" style="2952" customWidth="1"/>
    <col min="2310" max="2561" width="9" style="2952"/>
    <col min="2562" max="2562" width="9.125" style="2952" customWidth="1"/>
    <col min="2563" max="2563" width="6.25" style="2952" customWidth="1"/>
    <col min="2564" max="2564" width="26.25" style="2952" customWidth="1"/>
    <col min="2565" max="2565" width="38.25" style="2952" customWidth="1"/>
    <col min="2566" max="2817" width="9" style="2952"/>
    <col min="2818" max="2818" width="9.125" style="2952" customWidth="1"/>
    <col min="2819" max="2819" width="6.25" style="2952" customWidth="1"/>
    <col min="2820" max="2820" width="26.25" style="2952" customWidth="1"/>
    <col min="2821" max="2821" width="38.25" style="2952" customWidth="1"/>
    <col min="2822" max="3073" width="9" style="2952"/>
    <col min="3074" max="3074" width="9.125" style="2952" customWidth="1"/>
    <col min="3075" max="3075" width="6.25" style="2952" customWidth="1"/>
    <col min="3076" max="3076" width="26.25" style="2952" customWidth="1"/>
    <col min="3077" max="3077" width="38.25" style="2952" customWidth="1"/>
    <col min="3078" max="3329" width="9" style="2952"/>
    <col min="3330" max="3330" width="9.125" style="2952" customWidth="1"/>
    <col min="3331" max="3331" width="6.25" style="2952" customWidth="1"/>
    <col min="3332" max="3332" width="26.25" style="2952" customWidth="1"/>
    <col min="3333" max="3333" width="38.25" style="2952" customWidth="1"/>
    <col min="3334" max="3585" width="9" style="2952"/>
    <col min="3586" max="3586" width="9.125" style="2952" customWidth="1"/>
    <col min="3587" max="3587" width="6.25" style="2952" customWidth="1"/>
    <col min="3588" max="3588" width="26.25" style="2952" customWidth="1"/>
    <col min="3589" max="3589" width="38.25" style="2952" customWidth="1"/>
    <col min="3590" max="3841" width="9" style="2952"/>
    <col min="3842" max="3842" width="9.125" style="2952" customWidth="1"/>
    <col min="3843" max="3843" width="6.25" style="2952" customWidth="1"/>
    <col min="3844" max="3844" width="26.25" style="2952" customWidth="1"/>
    <col min="3845" max="3845" width="38.25" style="2952" customWidth="1"/>
    <col min="3846" max="4097" width="9" style="2952"/>
    <col min="4098" max="4098" width="9.125" style="2952" customWidth="1"/>
    <col min="4099" max="4099" width="6.25" style="2952" customWidth="1"/>
    <col min="4100" max="4100" width="26.25" style="2952" customWidth="1"/>
    <col min="4101" max="4101" width="38.25" style="2952" customWidth="1"/>
    <col min="4102" max="4353" width="9" style="2952"/>
    <col min="4354" max="4354" width="9.125" style="2952" customWidth="1"/>
    <col min="4355" max="4355" width="6.25" style="2952" customWidth="1"/>
    <col min="4356" max="4356" width="26.25" style="2952" customWidth="1"/>
    <col min="4357" max="4357" width="38.25" style="2952" customWidth="1"/>
    <col min="4358" max="4609" width="9" style="2952"/>
    <col min="4610" max="4610" width="9.125" style="2952" customWidth="1"/>
    <col min="4611" max="4611" width="6.25" style="2952" customWidth="1"/>
    <col min="4612" max="4612" width="26.25" style="2952" customWidth="1"/>
    <col min="4613" max="4613" width="38.25" style="2952" customWidth="1"/>
    <col min="4614" max="4865" width="9" style="2952"/>
    <col min="4866" max="4866" width="9.125" style="2952" customWidth="1"/>
    <col min="4867" max="4867" width="6.25" style="2952" customWidth="1"/>
    <col min="4868" max="4868" width="26.25" style="2952" customWidth="1"/>
    <col min="4869" max="4869" width="38.25" style="2952" customWidth="1"/>
    <col min="4870" max="5121" width="9" style="2952"/>
    <col min="5122" max="5122" width="9.125" style="2952" customWidth="1"/>
    <col min="5123" max="5123" width="6.25" style="2952" customWidth="1"/>
    <col min="5124" max="5124" width="26.25" style="2952" customWidth="1"/>
    <col min="5125" max="5125" width="38.25" style="2952" customWidth="1"/>
    <col min="5126" max="5377" width="9" style="2952"/>
    <col min="5378" max="5378" width="9.125" style="2952" customWidth="1"/>
    <col min="5379" max="5379" width="6.25" style="2952" customWidth="1"/>
    <col min="5380" max="5380" width="26.25" style="2952" customWidth="1"/>
    <col min="5381" max="5381" width="38.25" style="2952" customWidth="1"/>
    <col min="5382" max="5633" width="9" style="2952"/>
    <col min="5634" max="5634" width="9.125" style="2952" customWidth="1"/>
    <col min="5635" max="5635" width="6.25" style="2952" customWidth="1"/>
    <col min="5636" max="5636" width="26.25" style="2952" customWidth="1"/>
    <col min="5637" max="5637" width="38.25" style="2952" customWidth="1"/>
    <col min="5638" max="5889" width="9" style="2952"/>
    <col min="5890" max="5890" width="9.125" style="2952" customWidth="1"/>
    <col min="5891" max="5891" width="6.25" style="2952" customWidth="1"/>
    <col min="5892" max="5892" width="26.25" style="2952" customWidth="1"/>
    <col min="5893" max="5893" width="38.25" style="2952" customWidth="1"/>
    <col min="5894" max="6145" width="9" style="2952"/>
    <col min="6146" max="6146" width="9.125" style="2952" customWidth="1"/>
    <col min="6147" max="6147" width="6.25" style="2952" customWidth="1"/>
    <col min="6148" max="6148" width="26.25" style="2952" customWidth="1"/>
    <col min="6149" max="6149" width="38.25" style="2952" customWidth="1"/>
    <col min="6150" max="6401" width="9" style="2952"/>
    <col min="6402" max="6402" width="9.125" style="2952" customWidth="1"/>
    <col min="6403" max="6403" width="6.25" style="2952" customWidth="1"/>
    <col min="6404" max="6404" width="26.25" style="2952" customWidth="1"/>
    <col min="6405" max="6405" width="38.25" style="2952" customWidth="1"/>
    <col min="6406" max="6657" width="9" style="2952"/>
    <col min="6658" max="6658" width="9.125" style="2952" customWidth="1"/>
    <col min="6659" max="6659" width="6.25" style="2952" customWidth="1"/>
    <col min="6660" max="6660" width="26.25" style="2952" customWidth="1"/>
    <col min="6661" max="6661" width="38.25" style="2952" customWidth="1"/>
    <col min="6662" max="6913" width="9" style="2952"/>
    <col min="6914" max="6914" width="9.125" style="2952" customWidth="1"/>
    <col min="6915" max="6915" width="6.25" style="2952" customWidth="1"/>
    <col min="6916" max="6916" width="26.25" style="2952" customWidth="1"/>
    <col min="6917" max="6917" width="38.25" style="2952" customWidth="1"/>
    <col min="6918" max="7169" width="9" style="2952"/>
    <col min="7170" max="7170" width="9.125" style="2952" customWidth="1"/>
    <col min="7171" max="7171" width="6.25" style="2952" customWidth="1"/>
    <col min="7172" max="7172" width="26.25" style="2952" customWidth="1"/>
    <col min="7173" max="7173" width="38.25" style="2952" customWidth="1"/>
    <col min="7174" max="7425" width="9" style="2952"/>
    <col min="7426" max="7426" width="9.125" style="2952" customWidth="1"/>
    <col min="7427" max="7427" width="6.25" style="2952" customWidth="1"/>
    <col min="7428" max="7428" width="26.25" style="2952" customWidth="1"/>
    <col min="7429" max="7429" width="38.25" style="2952" customWidth="1"/>
    <col min="7430" max="7681" width="9" style="2952"/>
    <col min="7682" max="7682" width="9.125" style="2952" customWidth="1"/>
    <col min="7683" max="7683" width="6.25" style="2952" customWidth="1"/>
    <col min="7684" max="7684" width="26.25" style="2952" customWidth="1"/>
    <col min="7685" max="7685" width="38.25" style="2952" customWidth="1"/>
    <col min="7686" max="7937" width="9" style="2952"/>
    <col min="7938" max="7938" width="9.125" style="2952" customWidth="1"/>
    <col min="7939" max="7939" width="6.25" style="2952" customWidth="1"/>
    <col min="7940" max="7940" width="26.25" style="2952" customWidth="1"/>
    <col min="7941" max="7941" width="38.25" style="2952" customWidth="1"/>
    <col min="7942" max="8193" width="9" style="2952"/>
    <col min="8194" max="8194" width="9.125" style="2952" customWidth="1"/>
    <col min="8195" max="8195" width="6.25" style="2952" customWidth="1"/>
    <col min="8196" max="8196" width="26.25" style="2952" customWidth="1"/>
    <col min="8197" max="8197" width="38.25" style="2952" customWidth="1"/>
    <col min="8198" max="8449" width="9" style="2952"/>
    <col min="8450" max="8450" width="9.125" style="2952" customWidth="1"/>
    <col min="8451" max="8451" width="6.25" style="2952" customWidth="1"/>
    <col min="8452" max="8452" width="26.25" style="2952" customWidth="1"/>
    <col min="8453" max="8453" width="38.25" style="2952" customWidth="1"/>
    <col min="8454" max="8705" width="9" style="2952"/>
    <col min="8706" max="8706" width="9.125" style="2952" customWidth="1"/>
    <col min="8707" max="8707" width="6.25" style="2952" customWidth="1"/>
    <col min="8708" max="8708" width="26.25" style="2952" customWidth="1"/>
    <col min="8709" max="8709" width="38.25" style="2952" customWidth="1"/>
    <col min="8710" max="8961" width="9" style="2952"/>
    <col min="8962" max="8962" width="9.125" style="2952" customWidth="1"/>
    <col min="8963" max="8963" width="6.25" style="2952" customWidth="1"/>
    <col min="8964" max="8964" width="26.25" style="2952" customWidth="1"/>
    <col min="8965" max="8965" width="38.25" style="2952" customWidth="1"/>
    <col min="8966" max="9217" width="9" style="2952"/>
    <col min="9218" max="9218" width="9.125" style="2952" customWidth="1"/>
    <col min="9219" max="9219" width="6.25" style="2952" customWidth="1"/>
    <col min="9220" max="9220" width="26.25" style="2952" customWidth="1"/>
    <col min="9221" max="9221" width="38.25" style="2952" customWidth="1"/>
    <col min="9222" max="9473" width="9" style="2952"/>
    <col min="9474" max="9474" width="9.125" style="2952" customWidth="1"/>
    <col min="9475" max="9475" width="6.25" style="2952" customWidth="1"/>
    <col min="9476" max="9476" width="26.25" style="2952" customWidth="1"/>
    <col min="9477" max="9477" width="38.25" style="2952" customWidth="1"/>
    <col min="9478" max="9729" width="9" style="2952"/>
    <col min="9730" max="9730" width="9.125" style="2952" customWidth="1"/>
    <col min="9731" max="9731" width="6.25" style="2952" customWidth="1"/>
    <col min="9732" max="9732" width="26.25" style="2952" customWidth="1"/>
    <col min="9733" max="9733" width="38.25" style="2952" customWidth="1"/>
    <col min="9734" max="9985" width="9" style="2952"/>
    <col min="9986" max="9986" width="9.125" style="2952" customWidth="1"/>
    <col min="9987" max="9987" width="6.25" style="2952" customWidth="1"/>
    <col min="9988" max="9988" width="26.25" style="2952" customWidth="1"/>
    <col min="9989" max="9989" width="38.25" style="2952" customWidth="1"/>
    <col min="9990" max="10241" width="9" style="2952"/>
    <col min="10242" max="10242" width="9.125" style="2952" customWidth="1"/>
    <col min="10243" max="10243" width="6.25" style="2952" customWidth="1"/>
    <col min="10244" max="10244" width="26.25" style="2952" customWidth="1"/>
    <col min="10245" max="10245" width="38.25" style="2952" customWidth="1"/>
    <col min="10246" max="10497" width="9" style="2952"/>
    <col min="10498" max="10498" width="9.125" style="2952" customWidth="1"/>
    <col min="10499" max="10499" width="6.25" style="2952" customWidth="1"/>
    <col min="10500" max="10500" width="26.25" style="2952" customWidth="1"/>
    <col min="10501" max="10501" width="38.25" style="2952" customWidth="1"/>
    <col min="10502" max="10753" width="9" style="2952"/>
    <col min="10754" max="10754" width="9.125" style="2952" customWidth="1"/>
    <col min="10755" max="10755" width="6.25" style="2952" customWidth="1"/>
    <col min="10756" max="10756" width="26.25" style="2952" customWidth="1"/>
    <col min="10757" max="10757" width="38.25" style="2952" customWidth="1"/>
    <col min="10758" max="11009" width="9" style="2952"/>
    <col min="11010" max="11010" width="9.125" style="2952" customWidth="1"/>
    <col min="11011" max="11011" width="6.25" style="2952" customWidth="1"/>
    <col min="11012" max="11012" width="26.25" style="2952" customWidth="1"/>
    <col min="11013" max="11013" width="38.25" style="2952" customWidth="1"/>
    <col min="11014" max="11265" width="9" style="2952"/>
    <col min="11266" max="11266" width="9.125" style="2952" customWidth="1"/>
    <col min="11267" max="11267" width="6.25" style="2952" customWidth="1"/>
    <col min="11268" max="11268" width="26.25" style="2952" customWidth="1"/>
    <col min="11269" max="11269" width="38.25" style="2952" customWidth="1"/>
    <col min="11270" max="11521" width="9" style="2952"/>
    <col min="11522" max="11522" width="9.125" style="2952" customWidth="1"/>
    <col min="11523" max="11523" width="6.25" style="2952" customWidth="1"/>
    <col min="11524" max="11524" width="26.25" style="2952" customWidth="1"/>
    <col min="11525" max="11525" width="38.25" style="2952" customWidth="1"/>
    <col min="11526" max="11777" width="9" style="2952"/>
    <col min="11778" max="11778" width="9.125" style="2952" customWidth="1"/>
    <col min="11779" max="11779" width="6.25" style="2952" customWidth="1"/>
    <col min="11780" max="11780" width="26.25" style="2952" customWidth="1"/>
    <col min="11781" max="11781" width="38.25" style="2952" customWidth="1"/>
    <col min="11782" max="12033" width="9" style="2952"/>
    <col min="12034" max="12034" width="9.125" style="2952" customWidth="1"/>
    <col min="12035" max="12035" width="6.25" style="2952" customWidth="1"/>
    <col min="12036" max="12036" width="26.25" style="2952" customWidth="1"/>
    <col min="12037" max="12037" width="38.25" style="2952" customWidth="1"/>
    <col min="12038" max="12289" width="9" style="2952"/>
    <col min="12290" max="12290" width="9.125" style="2952" customWidth="1"/>
    <col min="12291" max="12291" width="6.25" style="2952" customWidth="1"/>
    <col min="12292" max="12292" width="26.25" style="2952" customWidth="1"/>
    <col min="12293" max="12293" width="38.25" style="2952" customWidth="1"/>
    <col min="12294" max="12545" width="9" style="2952"/>
    <col min="12546" max="12546" width="9.125" style="2952" customWidth="1"/>
    <col min="12547" max="12547" width="6.25" style="2952" customWidth="1"/>
    <col min="12548" max="12548" width="26.25" style="2952" customWidth="1"/>
    <col min="12549" max="12549" width="38.25" style="2952" customWidth="1"/>
    <col min="12550" max="12801" width="9" style="2952"/>
    <col min="12802" max="12802" width="9.125" style="2952" customWidth="1"/>
    <col min="12803" max="12803" width="6.25" style="2952" customWidth="1"/>
    <col min="12804" max="12804" width="26.25" style="2952" customWidth="1"/>
    <col min="12805" max="12805" width="38.25" style="2952" customWidth="1"/>
    <col min="12806" max="13057" width="9" style="2952"/>
    <col min="13058" max="13058" width="9.125" style="2952" customWidth="1"/>
    <col min="13059" max="13059" width="6.25" style="2952" customWidth="1"/>
    <col min="13060" max="13060" width="26.25" style="2952" customWidth="1"/>
    <col min="13061" max="13061" width="38.25" style="2952" customWidth="1"/>
    <col min="13062" max="13313" width="9" style="2952"/>
    <col min="13314" max="13314" width="9.125" style="2952" customWidth="1"/>
    <col min="13315" max="13315" width="6.25" style="2952" customWidth="1"/>
    <col min="13316" max="13316" width="26.25" style="2952" customWidth="1"/>
    <col min="13317" max="13317" width="38.25" style="2952" customWidth="1"/>
    <col min="13318" max="13569" width="9" style="2952"/>
    <col min="13570" max="13570" width="9.125" style="2952" customWidth="1"/>
    <col min="13571" max="13571" width="6.25" style="2952" customWidth="1"/>
    <col min="13572" max="13572" width="26.25" style="2952" customWidth="1"/>
    <col min="13573" max="13573" width="38.25" style="2952" customWidth="1"/>
    <col min="13574" max="13825" width="9" style="2952"/>
    <col min="13826" max="13826" width="9.125" style="2952" customWidth="1"/>
    <col min="13827" max="13827" width="6.25" style="2952" customWidth="1"/>
    <col min="13828" max="13828" width="26.25" style="2952" customWidth="1"/>
    <col min="13829" max="13829" width="38.25" style="2952" customWidth="1"/>
    <col min="13830" max="14081" width="9" style="2952"/>
    <col min="14082" max="14082" width="9.125" style="2952" customWidth="1"/>
    <col min="14083" max="14083" width="6.25" style="2952" customWidth="1"/>
    <col min="14084" max="14084" width="26.25" style="2952" customWidth="1"/>
    <col min="14085" max="14085" width="38.25" style="2952" customWidth="1"/>
    <col min="14086" max="14337" width="9" style="2952"/>
    <col min="14338" max="14338" width="9.125" style="2952" customWidth="1"/>
    <col min="14339" max="14339" width="6.25" style="2952" customWidth="1"/>
    <col min="14340" max="14340" width="26.25" style="2952" customWidth="1"/>
    <col min="14341" max="14341" width="38.25" style="2952" customWidth="1"/>
    <col min="14342" max="14593" width="9" style="2952"/>
    <col min="14594" max="14594" width="9.125" style="2952" customWidth="1"/>
    <col min="14595" max="14595" width="6.25" style="2952" customWidth="1"/>
    <col min="14596" max="14596" width="26.25" style="2952" customWidth="1"/>
    <col min="14597" max="14597" width="38.25" style="2952" customWidth="1"/>
    <col min="14598" max="14849" width="9" style="2952"/>
    <col min="14850" max="14850" width="9.125" style="2952" customWidth="1"/>
    <col min="14851" max="14851" width="6.25" style="2952" customWidth="1"/>
    <col min="14852" max="14852" width="26.25" style="2952" customWidth="1"/>
    <col min="14853" max="14853" width="38.25" style="2952" customWidth="1"/>
    <col min="14854" max="15105" width="9" style="2952"/>
    <col min="15106" max="15106" width="9.125" style="2952" customWidth="1"/>
    <col min="15107" max="15107" width="6.25" style="2952" customWidth="1"/>
    <col min="15108" max="15108" width="26.25" style="2952" customWidth="1"/>
    <col min="15109" max="15109" width="38.25" style="2952" customWidth="1"/>
    <col min="15110" max="15361" width="9" style="2952"/>
    <col min="15362" max="15362" width="9.125" style="2952" customWidth="1"/>
    <col min="15363" max="15363" width="6.25" style="2952" customWidth="1"/>
    <col min="15364" max="15364" width="26.25" style="2952" customWidth="1"/>
    <col min="15365" max="15365" width="38.25" style="2952" customWidth="1"/>
    <col min="15366" max="15617" width="9" style="2952"/>
    <col min="15618" max="15618" width="9.125" style="2952" customWidth="1"/>
    <col min="15619" max="15619" width="6.25" style="2952" customWidth="1"/>
    <col min="15620" max="15620" width="26.25" style="2952" customWidth="1"/>
    <col min="15621" max="15621" width="38.25" style="2952" customWidth="1"/>
    <col min="15622" max="15873" width="9" style="2952"/>
    <col min="15874" max="15874" width="9.125" style="2952" customWidth="1"/>
    <col min="15875" max="15875" width="6.25" style="2952" customWidth="1"/>
    <col min="15876" max="15876" width="26.25" style="2952" customWidth="1"/>
    <col min="15877" max="15877" width="38.25" style="2952" customWidth="1"/>
    <col min="15878" max="16129" width="9" style="2952"/>
    <col min="16130" max="16130" width="9.125" style="2952" customWidth="1"/>
    <col min="16131" max="16131" width="6.25" style="2952" customWidth="1"/>
    <col min="16132" max="16132" width="26.25" style="2952" customWidth="1"/>
    <col min="16133" max="16133" width="38.25" style="2952" customWidth="1"/>
    <col min="16134" max="16384" width="9" style="2952"/>
  </cols>
  <sheetData>
    <row r="1" spans="2:6" ht="20.25" customHeight="1">
      <c r="B1" s="3260" t="s">
        <v>3603</v>
      </c>
      <c r="C1" s="3260"/>
      <c r="D1" s="3260"/>
      <c r="E1" s="3260"/>
      <c r="F1" s="3260"/>
    </row>
    <row r="2" spans="2:6" ht="9" customHeight="1" thickBot="1">
      <c r="B2" s="3260"/>
      <c r="C2" s="3260"/>
      <c r="D2" s="3260"/>
      <c r="E2" s="3260"/>
      <c r="F2" s="3260"/>
    </row>
    <row r="3" spans="2:6" ht="19.5" customHeight="1" thickBot="1">
      <c r="B3" s="4007" t="s">
        <v>3745</v>
      </c>
      <c r="C3" s="4008"/>
      <c r="D3" s="4008"/>
      <c r="E3" s="4008"/>
      <c r="F3" s="4009"/>
    </row>
    <row r="4" spans="2:6" ht="8.25" customHeight="1" thickBot="1">
      <c r="B4" s="3260"/>
      <c r="C4" s="3260"/>
      <c r="D4" s="3260"/>
      <c r="E4" s="3260"/>
      <c r="F4" s="3260"/>
    </row>
    <row r="5" spans="2:6" ht="19.5" customHeight="1" thickBot="1">
      <c r="B5" s="3261" t="s">
        <v>1419</v>
      </c>
      <c r="C5" s="3262" t="s">
        <v>2508</v>
      </c>
      <c r="D5" s="3263" t="s">
        <v>3604</v>
      </c>
      <c r="E5" s="3264" t="s">
        <v>3605</v>
      </c>
      <c r="F5" s="3265" t="s">
        <v>3606</v>
      </c>
    </row>
    <row r="6" spans="2:6" ht="19.5" customHeight="1">
      <c r="B6" s="3266" t="s">
        <v>3746</v>
      </c>
      <c r="C6" s="3267">
        <v>5</v>
      </c>
      <c r="D6" s="3268" t="s">
        <v>3747</v>
      </c>
      <c r="E6" s="3269" t="s">
        <v>3748</v>
      </c>
      <c r="F6" s="3270" t="s">
        <v>3749</v>
      </c>
    </row>
    <row r="7" spans="2:6" ht="19.5" customHeight="1" thickBot="1">
      <c r="B7" s="3271" t="s">
        <v>3750</v>
      </c>
      <c r="C7" s="3272">
        <v>4</v>
      </c>
      <c r="D7" s="3273" t="s">
        <v>3751</v>
      </c>
      <c r="E7" s="3274" t="s">
        <v>3752</v>
      </c>
      <c r="F7" s="3275" t="s">
        <v>3753</v>
      </c>
    </row>
    <row r="8" spans="2:6" ht="6" customHeight="1" thickBot="1">
      <c r="B8" s="3276"/>
      <c r="C8" s="3276"/>
      <c r="D8" s="3277"/>
      <c r="E8" s="3278"/>
      <c r="F8" s="3278"/>
    </row>
    <row r="9" spans="2:6" ht="19.5" customHeight="1" thickBot="1">
      <c r="B9" s="3261" t="s">
        <v>1419</v>
      </c>
      <c r="C9" s="3262" t="s">
        <v>2508</v>
      </c>
      <c r="D9" s="3263" t="s">
        <v>3604</v>
      </c>
      <c r="E9" s="3264" t="s">
        <v>3605</v>
      </c>
      <c r="F9" s="3265" t="s">
        <v>3606</v>
      </c>
    </row>
    <row r="10" spans="2:6" ht="19.5" customHeight="1">
      <c r="B10" s="3279" t="str">
        <f>IF(COUNTIF(スコア!$BK:$BK,"&gt;3")&gt;=ROW(A1),INDEX(スコア!BJ:BJ,LARGE(INDEX((スコア!$BK$9:$BK$180&gt;3)*ROW(スコア!$BK$9:$BK$180),),COUNTIF(スコア!$BK:$BK,"&gt;3")-ROW(A1)+1)),"")</f>
        <v/>
      </c>
      <c r="C10" s="3280" t="str">
        <f>IF(COUNTIF(スコア!$BK:$BK,"&gt;3")&gt;=ROW(B1),INDEX(スコア!BK:BK,LARGE(INDEX((スコア!$BK$9:$BK$180&gt;3)*ROW(スコア!$BK$9:$BK$180),),COUNTIF(スコア!$BK:$BK,"&gt;3")-ROW(B1)+1)),"")</f>
        <v/>
      </c>
      <c r="D10" s="3280" t="str">
        <f>IF(COUNTIF(スコア!$BK:$BK,"&gt;3")&gt;=ROW(C1),INDEX(スコア!BL:BL,LARGE(INDEX((スコア!$BK$9:$BK$180&gt;3)*ROW(スコア!$BK$9:$BK$180),),COUNTIF(スコア!$BK:$BK,"&gt;3")-ROW(C1)+1)),"")</f>
        <v/>
      </c>
      <c r="E10" s="3258"/>
      <c r="F10" s="3259"/>
    </row>
    <row r="11" spans="2:6" ht="19.5" customHeight="1">
      <c r="B11" s="3279" t="str">
        <f>IF(COUNTIF(スコア!$BK:$BK,"&gt;3")&gt;=ROW(A2),INDEX(スコア!BJ:BJ,LARGE(INDEX((スコア!$BK$9:$BK$180&gt;3)*ROW(スコア!$BK$9:$BK$180),),COUNTIF(スコア!$BK:$BK,"&gt;3")-ROW(A2)+1)),"")</f>
        <v/>
      </c>
      <c r="C11" s="3280" t="str">
        <f>IF(COUNTIF(スコア!$BK:$BK,"&gt;3")&gt;=ROW(B2),INDEX(スコア!BK:BK,LARGE(INDEX((スコア!$BK$9:$BK$180&gt;3)*ROW(スコア!$BK$9:$BK$180),),COUNTIF(スコア!$BK:$BK,"&gt;3")-ROW(B2)+1)),"")</f>
        <v/>
      </c>
      <c r="D11" s="3280" t="str">
        <f>IF(COUNTIF(スコア!$BK:$BK,"&gt;3")&gt;=ROW(C2),INDEX(スコア!BL:BL,LARGE(INDEX((スコア!$BK$9:$BK$180&gt;3)*ROW(スコア!$BK$9:$BK$180),),COUNTIF(スコア!$BK:$BK,"&gt;3")-ROW(C2)+1)),"")</f>
        <v/>
      </c>
      <c r="E11" s="3258"/>
      <c r="F11" s="3259"/>
    </row>
    <row r="12" spans="2:6" ht="19.5" customHeight="1">
      <c r="B12" s="3279" t="str">
        <f>IF(COUNTIF(スコア!$BK:$BK,"&gt;3")&gt;=ROW(A3),INDEX(スコア!BJ:BJ,LARGE(INDEX((スコア!$BK$9:$BK$180&gt;3)*ROW(スコア!$BK$9:$BK$180),),COUNTIF(スコア!$BK:$BK,"&gt;3")-ROW(A3)+1)),"")</f>
        <v/>
      </c>
      <c r="C12" s="3280" t="str">
        <f>IF(COUNTIF(スコア!$BK:$BK,"&gt;3")&gt;=ROW(B3),INDEX(スコア!BK:BK,LARGE(INDEX((スコア!$BK$9:$BK$180&gt;3)*ROW(スコア!$BK$9:$BK$180),),COUNTIF(スコア!$BK:$BK,"&gt;3")-ROW(B3)+1)),"")</f>
        <v/>
      </c>
      <c r="D12" s="3280" t="str">
        <f>IF(COUNTIF(スコア!$BK:$BK,"&gt;3")&gt;=ROW(C3),INDEX(スコア!BL:BL,LARGE(INDEX((スコア!$BK$9:$BK$180&gt;3)*ROW(スコア!$BK$9:$BK$180),),COUNTIF(スコア!$BK:$BK,"&gt;3")-ROW(C3)+1)),"")</f>
        <v/>
      </c>
      <c r="E12" s="3258"/>
      <c r="F12" s="3259"/>
    </row>
    <row r="13" spans="2:6" ht="19.5" customHeight="1">
      <c r="B13" s="3279" t="str">
        <f>IF(COUNTIF(スコア!$BK:$BK,"&gt;3")&gt;=ROW(A4),INDEX(スコア!BJ:BJ,LARGE(INDEX((スコア!$BK$9:$BK$180&gt;3)*ROW(スコア!$BK$9:$BK$180),),COUNTIF(スコア!$BK:$BK,"&gt;3")-ROW(A4)+1)),"")</f>
        <v/>
      </c>
      <c r="C13" s="3280" t="str">
        <f>IF(COUNTIF(スコア!$BK:$BK,"&gt;3")&gt;=ROW(B4),INDEX(スコア!BK:BK,LARGE(INDEX((スコア!$BK$9:$BK$180&gt;3)*ROW(スコア!$BK$9:$BK$180),),COUNTIF(スコア!$BK:$BK,"&gt;3")-ROW(B4)+1)),"")</f>
        <v/>
      </c>
      <c r="D13" s="3280" t="str">
        <f>IF(COUNTIF(スコア!$BK:$BK,"&gt;3")&gt;=ROW(C4),INDEX(スコア!BL:BL,LARGE(INDEX((スコア!$BK$9:$BK$180&gt;3)*ROW(スコア!$BK$9:$BK$180),),COUNTIF(スコア!$BK:$BK,"&gt;3")-ROW(C4)+1)),"")</f>
        <v/>
      </c>
      <c r="E13" s="3258"/>
      <c r="F13" s="3259"/>
    </row>
    <row r="14" spans="2:6" ht="19.5" customHeight="1">
      <c r="B14" s="3279" t="str">
        <f>IF(COUNTIF(スコア!$BK:$BK,"&gt;3")&gt;=ROW(A5),INDEX(スコア!BJ:BJ,LARGE(INDEX((スコア!$BK$9:$BK$180&gt;3)*ROW(スコア!$BK$9:$BK$180),),COUNTIF(スコア!$BK:$BK,"&gt;3")-ROW(A5)+1)),"")</f>
        <v/>
      </c>
      <c r="C14" s="3280" t="str">
        <f>IF(COUNTIF(スコア!$BK:$BK,"&gt;3")&gt;=ROW(B5),INDEX(スコア!BK:BK,LARGE(INDEX((スコア!$BK$9:$BK$180&gt;3)*ROW(スコア!$BK$9:$BK$180),),COUNTIF(スコア!$BK:$BK,"&gt;3")-ROW(B5)+1)),"")</f>
        <v/>
      </c>
      <c r="D14" s="3280" t="str">
        <f>IF(COUNTIF(スコア!$BK:$BK,"&gt;3")&gt;=ROW(C5),INDEX(スコア!BL:BL,LARGE(INDEX((スコア!$BK$9:$BK$180&gt;3)*ROW(スコア!$BK$9:$BK$180),),COUNTIF(スコア!$BK:$BK,"&gt;3")-ROW(C5)+1)),"")</f>
        <v/>
      </c>
      <c r="E14" s="3258"/>
      <c r="F14" s="3259"/>
    </row>
    <row r="15" spans="2:6" ht="19.5" customHeight="1">
      <c r="B15" s="3279" t="str">
        <f>IF(COUNTIF(スコア!$BK:$BK,"&gt;3")&gt;=ROW(A6),INDEX(スコア!BJ:BJ,LARGE(INDEX((スコア!$BK$9:$BK$180&gt;3)*ROW(スコア!$BK$9:$BK$180),),COUNTIF(スコア!$BK:$BK,"&gt;3")-ROW(A6)+1)),"")</f>
        <v/>
      </c>
      <c r="C15" s="3280" t="str">
        <f>IF(COUNTIF(スコア!$BK:$BK,"&gt;3")&gt;=ROW(B6),INDEX(スコア!BK:BK,LARGE(INDEX((スコア!$BK$9:$BK$180&gt;3)*ROW(スコア!$BK$9:$BK$180),),COUNTIF(スコア!$BK:$BK,"&gt;3")-ROW(B6)+1)),"")</f>
        <v/>
      </c>
      <c r="D15" s="3280" t="str">
        <f>IF(COUNTIF(スコア!$BK:$BK,"&gt;3")&gt;=ROW(C6),INDEX(スコア!BL:BL,LARGE(INDEX((スコア!$BK$9:$BK$180&gt;3)*ROW(スコア!$BK$9:$BK$180),),COUNTIF(スコア!$BK:$BK,"&gt;3")-ROW(C6)+1)),"")</f>
        <v/>
      </c>
      <c r="E15" s="3258"/>
      <c r="F15" s="3259"/>
    </row>
    <row r="16" spans="2:6" ht="19.5" customHeight="1">
      <c r="B16" s="3279" t="str">
        <f>IF(COUNTIF(スコア!$BK:$BK,"&gt;3")&gt;=ROW(A7),INDEX(スコア!BJ:BJ,LARGE(INDEX((スコア!$BK$9:$BK$180&gt;3)*ROW(スコア!$BK$9:$BK$180),),COUNTIF(スコア!$BK:$BK,"&gt;3")-ROW(A7)+1)),"")</f>
        <v/>
      </c>
      <c r="C16" s="3280" t="str">
        <f>IF(COUNTIF(スコア!$BK:$BK,"&gt;3")&gt;=ROW(B7),INDEX(スコア!BK:BK,LARGE(INDEX((スコア!$BK$9:$BK$180&gt;3)*ROW(スコア!$BK$9:$BK$180),),COUNTIF(スコア!$BK:$BK,"&gt;3")-ROW(B7)+1)),"")</f>
        <v/>
      </c>
      <c r="D16" s="3280" t="str">
        <f>IF(COUNTIF(スコア!$BK:$BK,"&gt;3")&gt;=ROW(C7),INDEX(スコア!BL:BL,LARGE(INDEX((スコア!$BK$9:$BK$180&gt;3)*ROW(スコア!$BK$9:$BK$180),),COUNTIF(スコア!$BK:$BK,"&gt;3")-ROW(C7)+1)),"")</f>
        <v/>
      </c>
      <c r="E16" s="3258"/>
      <c r="F16" s="3259"/>
    </row>
    <row r="17" spans="2:6" ht="19.5" customHeight="1">
      <c r="B17" s="3279" t="str">
        <f>IF(COUNTIF(スコア!$BK:$BK,"&gt;3")&gt;=ROW(A8),INDEX(スコア!BJ:BJ,LARGE(INDEX((スコア!$BK$9:$BK$180&gt;3)*ROW(スコア!$BK$9:$BK$180),),COUNTIF(スコア!$BK:$BK,"&gt;3")-ROW(A8)+1)),"")</f>
        <v/>
      </c>
      <c r="C17" s="3280" t="str">
        <f>IF(COUNTIF(スコア!$BK:$BK,"&gt;3")&gt;=ROW(B8),INDEX(スコア!BK:BK,LARGE(INDEX((スコア!$BK$9:$BK$180&gt;3)*ROW(スコア!$BK$9:$BK$180),),COUNTIF(スコア!$BK:$BK,"&gt;3")-ROW(B8)+1)),"")</f>
        <v/>
      </c>
      <c r="D17" s="3280" t="str">
        <f>IF(COUNTIF(スコア!$BK:$BK,"&gt;3")&gt;=ROW(C8),INDEX(スコア!BL:BL,LARGE(INDEX((スコア!$BK$9:$BK$180&gt;3)*ROW(スコア!$BK$9:$BK$180),),COUNTIF(スコア!$BK:$BK,"&gt;3")-ROW(C8)+1)),"")</f>
        <v/>
      </c>
      <c r="E17" s="3258"/>
      <c r="F17" s="3259"/>
    </row>
    <row r="18" spans="2:6" ht="19.5" customHeight="1">
      <c r="B18" s="3279" t="str">
        <f>IF(COUNTIF(スコア!$BK:$BK,"&gt;3")&gt;=ROW(A9),INDEX(スコア!BJ:BJ,LARGE(INDEX((スコア!$BK$9:$BK$180&gt;3)*ROW(スコア!$BK$9:$BK$180),),COUNTIF(スコア!$BK:$BK,"&gt;3")-ROW(A9)+1)),"")</f>
        <v/>
      </c>
      <c r="C18" s="3280" t="str">
        <f>IF(COUNTIF(スコア!$BK:$BK,"&gt;3")&gt;=ROW(B9),INDEX(スコア!BK:BK,LARGE(INDEX((スコア!$BK$9:$BK$180&gt;3)*ROW(スコア!$BK$9:$BK$180),),COUNTIF(スコア!$BK:$BK,"&gt;3")-ROW(B9)+1)),"")</f>
        <v/>
      </c>
      <c r="D18" s="3280" t="str">
        <f>IF(COUNTIF(スコア!$BK:$BK,"&gt;3")&gt;=ROW(C9),INDEX(スコア!BL:BL,LARGE(INDEX((スコア!$BK$9:$BK$180&gt;3)*ROW(スコア!$BK$9:$BK$180),),COUNTIF(スコア!$BK:$BK,"&gt;3")-ROW(C9)+1)),"")</f>
        <v/>
      </c>
      <c r="E18" s="3258"/>
      <c r="F18" s="3259"/>
    </row>
    <row r="19" spans="2:6" ht="19.5" customHeight="1">
      <c r="B19" s="3279" t="str">
        <f>IF(COUNTIF(スコア!$BK:$BK,"&gt;3")&gt;=ROW(A10),INDEX(スコア!BJ:BJ,LARGE(INDEX((スコア!$BK$9:$BK$180&gt;3)*ROW(スコア!$BK$9:$BK$180),),COUNTIF(スコア!$BK:$BK,"&gt;3")-ROW(A10)+1)),"")</f>
        <v/>
      </c>
      <c r="C19" s="3280" t="str">
        <f>IF(COUNTIF(スコア!$BK:$BK,"&gt;3")&gt;=ROW(B10),INDEX(スコア!BK:BK,LARGE(INDEX((スコア!$BK$9:$BK$180&gt;3)*ROW(スコア!$BK$9:$BK$180),),COUNTIF(スコア!$BK:$BK,"&gt;3")-ROW(B10)+1)),"")</f>
        <v/>
      </c>
      <c r="D19" s="3280" t="str">
        <f>IF(COUNTIF(スコア!$BK:$BK,"&gt;3")&gt;=ROW(C10),INDEX(スコア!BL:BL,LARGE(INDEX((スコア!$BK$9:$BK$180&gt;3)*ROW(スコア!$BK$9:$BK$180),),COUNTIF(スコア!$BK:$BK,"&gt;3")-ROW(C10)+1)),"")</f>
        <v/>
      </c>
      <c r="E19" s="3258"/>
      <c r="F19" s="3259"/>
    </row>
    <row r="20" spans="2:6" ht="19.5" customHeight="1">
      <c r="B20" s="3279" t="str">
        <f>IF(COUNTIF(スコア!$BK:$BK,"&gt;3")&gt;=ROW(A11),INDEX(スコア!BJ:BJ,LARGE(INDEX((スコア!$BK$9:$BK$180&gt;3)*ROW(スコア!$BK$9:$BK$180),),COUNTIF(スコア!$BK:$BK,"&gt;3")-ROW(A11)+1)),"")</f>
        <v/>
      </c>
      <c r="C20" s="3280" t="str">
        <f>IF(COUNTIF(スコア!$BK:$BK,"&gt;3")&gt;=ROW(B11),INDEX(スコア!BK:BK,LARGE(INDEX((スコア!$BK$9:$BK$180&gt;3)*ROW(スコア!$BK$9:$BK$180),),COUNTIF(スコア!$BK:$BK,"&gt;3")-ROW(B11)+1)),"")</f>
        <v/>
      </c>
      <c r="D20" s="3280" t="str">
        <f>IF(COUNTIF(スコア!$BK:$BK,"&gt;3")&gt;=ROW(C11),INDEX(スコア!BL:BL,LARGE(INDEX((スコア!$BK$9:$BK$180&gt;3)*ROW(スコア!$BK$9:$BK$180),),COUNTIF(スコア!$BK:$BK,"&gt;3")-ROW(C11)+1)),"")</f>
        <v/>
      </c>
      <c r="E20" s="3258"/>
      <c r="F20" s="3259"/>
    </row>
    <row r="21" spans="2:6" ht="19.5" customHeight="1">
      <c r="B21" s="3279" t="str">
        <f>IF(COUNTIF(スコア!$BK:$BK,"&gt;3")&gt;=ROW(A12),INDEX(スコア!BJ:BJ,LARGE(INDEX((スコア!$BK$9:$BK$180&gt;3)*ROW(スコア!$BK$9:$BK$180),),COUNTIF(スコア!$BK:$BK,"&gt;3")-ROW(A12)+1)),"")</f>
        <v/>
      </c>
      <c r="C21" s="3280" t="str">
        <f>IF(COUNTIF(スコア!$BK:$BK,"&gt;3")&gt;=ROW(B12),INDEX(スコア!BK:BK,LARGE(INDEX((スコア!$BK$9:$BK$180&gt;3)*ROW(スコア!$BK$9:$BK$180),),COUNTIF(スコア!$BK:$BK,"&gt;3")-ROW(B12)+1)),"")</f>
        <v/>
      </c>
      <c r="D21" s="3280" t="str">
        <f>IF(COUNTIF(スコア!$BK:$BK,"&gt;3")&gt;=ROW(C12),INDEX(スコア!BL:BL,LARGE(INDEX((スコア!$BK$9:$BK$180&gt;3)*ROW(スコア!$BK$9:$BK$180),),COUNTIF(スコア!$BK:$BK,"&gt;3")-ROW(C12)+1)),"")</f>
        <v/>
      </c>
      <c r="E21" s="3258"/>
      <c r="F21" s="3259"/>
    </row>
    <row r="22" spans="2:6" ht="19.5" customHeight="1">
      <c r="B22" s="3279" t="str">
        <f>IF(COUNTIF(スコア!$BK:$BK,"&gt;3")&gt;=ROW(A13),INDEX(スコア!BJ:BJ,LARGE(INDEX((スコア!$BK$9:$BK$180&gt;3)*ROW(スコア!$BK$9:$BK$180),),COUNTIF(スコア!$BK:$BK,"&gt;3")-ROW(A13)+1)),"")</f>
        <v/>
      </c>
      <c r="C22" s="3280" t="str">
        <f>IF(COUNTIF(スコア!$BK:$BK,"&gt;3")&gt;=ROW(B13),INDEX(スコア!BK:BK,LARGE(INDEX((スコア!$BK$9:$BK$180&gt;3)*ROW(スコア!$BK$9:$BK$180),),COUNTIF(スコア!$BK:$BK,"&gt;3")-ROW(B13)+1)),"")</f>
        <v/>
      </c>
      <c r="D22" s="3280" t="str">
        <f>IF(COUNTIF(スコア!$BK:$BK,"&gt;3")&gt;=ROW(C13),INDEX(スコア!BL:BL,LARGE(INDEX((スコア!$BK$9:$BK$180&gt;3)*ROW(スコア!$BK$9:$BK$180),),COUNTIF(スコア!$BK:$BK,"&gt;3")-ROW(C13)+1)),"")</f>
        <v/>
      </c>
      <c r="E22" s="3258"/>
      <c r="F22" s="3259"/>
    </row>
    <row r="23" spans="2:6" ht="19.5" customHeight="1">
      <c r="B23" s="3279" t="str">
        <f>IF(COUNTIF(スコア!$BK:$BK,"&gt;3")&gt;=ROW(A14),INDEX(スコア!BJ:BJ,LARGE(INDEX((スコア!$BK$9:$BK$180&gt;3)*ROW(スコア!$BK$9:$BK$180),),COUNTIF(スコア!$BK:$BK,"&gt;3")-ROW(A14)+1)),"")</f>
        <v/>
      </c>
      <c r="C23" s="3280" t="str">
        <f>IF(COUNTIF(スコア!$BK:$BK,"&gt;3")&gt;=ROW(B14),INDEX(スコア!BK:BK,LARGE(INDEX((スコア!$BK$9:$BK$180&gt;3)*ROW(スコア!$BK$9:$BK$180),),COUNTIF(スコア!$BK:$BK,"&gt;3")-ROW(B14)+1)),"")</f>
        <v/>
      </c>
      <c r="D23" s="3280" t="str">
        <f>IF(COUNTIF(スコア!$BK:$BK,"&gt;3")&gt;=ROW(C14),INDEX(スコア!BL:BL,LARGE(INDEX((スコア!$BK$9:$BK$180&gt;3)*ROW(スコア!$BK$9:$BK$180),),COUNTIF(スコア!$BK:$BK,"&gt;3")-ROW(C14)+1)),"")</f>
        <v/>
      </c>
      <c r="E23" s="3258"/>
      <c r="F23" s="3259"/>
    </row>
    <row r="24" spans="2:6" ht="19.5" customHeight="1">
      <c r="B24" s="3279" t="str">
        <f>IF(COUNTIF(スコア!$BK:$BK,"&gt;3")&gt;=ROW(A15),INDEX(スコア!BJ:BJ,LARGE(INDEX((スコア!$BK$9:$BK$180&gt;3)*ROW(スコア!$BK$9:$BK$180),),COUNTIF(スコア!$BK:$BK,"&gt;3")-ROW(A15)+1)),"")</f>
        <v/>
      </c>
      <c r="C24" s="3280" t="str">
        <f>IF(COUNTIF(スコア!$BK:$BK,"&gt;3")&gt;=ROW(B15),INDEX(スコア!BK:BK,LARGE(INDEX((スコア!$BK$9:$BK$180&gt;3)*ROW(スコア!$BK$9:$BK$180),),COUNTIF(スコア!$BK:$BK,"&gt;3")-ROW(B15)+1)),"")</f>
        <v/>
      </c>
      <c r="D24" s="3280" t="str">
        <f>IF(COUNTIF(スコア!$BK:$BK,"&gt;3")&gt;=ROW(C15),INDEX(スコア!BL:BL,LARGE(INDEX((スコア!$BK$9:$BK$180&gt;3)*ROW(スコア!$BK$9:$BK$180),),COUNTIF(スコア!$BK:$BK,"&gt;3")-ROW(C15)+1)),"")</f>
        <v/>
      </c>
      <c r="E24" s="3258"/>
      <c r="F24" s="3259"/>
    </row>
    <row r="25" spans="2:6" ht="19.5" customHeight="1">
      <c r="B25" s="3279" t="str">
        <f>IF(COUNTIF(スコア!$BK:$BK,"&gt;3")&gt;=ROW(A16),INDEX(スコア!BJ:BJ,LARGE(INDEX((スコア!$BK$9:$BK$180&gt;3)*ROW(スコア!$BK$9:$BK$180),),COUNTIF(スコア!$BK:$BK,"&gt;3")-ROW(A16)+1)),"")</f>
        <v/>
      </c>
      <c r="C25" s="3280" t="str">
        <f>IF(COUNTIF(スコア!$BK:$BK,"&gt;3")&gt;=ROW(B16),INDEX(スコア!BK:BK,LARGE(INDEX((スコア!$BK$9:$BK$180&gt;3)*ROW(スコア!$BK$9:$BK$180),),COUNTIF(スコア!$BK:$BK,"&gt;3")-ROW(B16)+1)),"")</f>
        <v/>
      </c>
      <c r="D25" s="3280" t="str">
        <f>IF(COUNTIF(スコア!$BK:$BK,"&gt;3")&gt;=ROW(C16),INDEX(スコア!BL:BL,LARGE(INDEX((スコア!$BK$9:$BK$180&gt;3)*ROW(スコア!$BK$9:$BK$180),),COUNTIF(スコア!$BK:$BK,"&gt;3")-ROW(C16)+1)),"")</f>
        <v/>
      </c>
      <c r="E25" s="3258"/>
      <c r="F25" s="3259"/>
    </row>
    <row r="26" spans="2:6" ht="19.5" customHeight="1">
      <c r="B26" s="3279" t="str">
        <f>IF(COUNTIF(スコア!$BK:$BK,"&gt;3")&gt;=ROW(A17),INDEX(スコア!BJ:BJ,LARGE(INDEX((スコア!$BK$9:$BK$180&gt;3)*ROW(スコア!$BK$9:$BK$180),),COUNTIF(スコア!$BK:$BK,"&gt;3")-ROW(A17)+1)),"")</f>
        <v/>
      </c>
      <c r="C26" s="3280" t="str">
        <f>IF(COUNTIF(スコア!$BK:$BK,"&gt;3")&gt;=ROW(B17),INDEX(スコア!BK:BK,LARGE(INDEX((スコア!$BK$9:$BK$180&gt;3)*ROW(スコア!$BK$9:$BK$180),),COUNTIF(スコア!$BK:$BK,"&gt;3")-ROW(B17)+1)),"")</f>
        <v/>
      </c>
      <c r="D26" s="3280" t="str">
        <f>IF(COUNTIF(スコア!$BK:$BK,"&gt;3")&gt;=ROW(C17),INDEX(スコア!BL:BL,LARGE(INDEX((スコア!$BK$9:$BK$180&gt;3)*ROW(スコア!$BK$9:$BK$180),),COUNTIF(スコア!$BK:$BK,"&gt;3")-ROW(C17)+1)),"")</f>
        <v/>
      </c>
      <c r="E26" s="3258"/>
      <c r="F26" s="3259"/>
    </row>
    <row r="27" spans="2:6" ht="19.5" customHeight="1">
      <c r="B27" s="3279" t="str">
        <f>IF(COUNTIF(スコア!$BK:$BK,"&gt;3")&gt;=ROW(A18),INDEX(スコア!BJ:BJ,LARGE(INDEX((スコア!$BK$9:$BK$180&gt;3)*ROW(スコア!$BK$9:$BK$180),),COUNTIF(スコア!$BK:$BK,"&gt;3")-ROW(A18)+1)),"")</f>
        <v/>
      </c>
      <c r="C27" s="3280" t="str">
        <f>IF(COUNTIF(スコア!$BK:$BK,"&gt;3")&gt;=ROW(B18),INDEX(スコア!BK:BK,LARGE(INDEX((スコア!$BK$9:$BK$180&gt;3)*ROW(スコア!$BK$9:$BK$180),),COUNTIF(スコア!$BK:$BK,"&gt;3")-ROW(B18)+1)),"")</f>
        <v/>
      </c>
      <c r="D27" s="3280" t="str">
        <f>IF(COUNTIF(スコア!$BK:$BK,"&gt;3")&gt;=ROW(C18),INDEX(スコア!BL:BL,LARGE(INDEX((スコア!$BK$9:$BK$180&gt;3)*ROW(スコア!$BK$9:$BK$180),),COUNTIF(スコア!$BK:$BK,"&gt;3")-ROW(C18)+1)),"")</f>
        <v/>
      </c>
      <c r="E27" s="3258"/>
      <c r="F27" s="3259"/>
    </row>
    <row r="28" spans="2:6" ht="19.5" customHeight="1">
      <c r="B28" s="3279" t="str">
        <f>IF(COUNTIF(スコア!$BK:$BK,"&gt;3")&gt;=ROW(A19),INDEX(スコア!BJ:BJ,LARGE(INDEX((スコア!$BK$9:$BK$180&gt;3)*ROW(スコア!$BK$9:$BK$180),),COUNTIF(スコア!$BK:$BK,"&gt;3")-ROW(A19)+1)),"")</f>
        <v/>
      </c>
      <c r="C28" s="3280" t="str">
        <f>IF(COUNTIF(スコア!$BK:$BK,"&gt;3")&gt;=ROW(B19),INDEX(スコア!BK:BK,LARGE(INDEX((スコア!$BK$9:$BK$180&gt;3)*ROW(スコア!$BK$9:$BK$180),),COUNTIF(スコア!$BK:$BK,"&gt;3")-ROW(B19)+1)),"")</f>
        <v/>
      </c>
      <c r="D28" s="3280" t="str">
        <f>IF(COUNTIF(スコア!$BK:$BK,"&gt;3")&gt;=ROW(C19),INDEX(スコア!BL:BL,LARGE(INDEX((スコア!$BK$9:$BK$180&gt;3)*ROW(スコア!$BK$9:$BK$180),),COUNTIF(スコア!$BK:$BK,"&gt;3")-ROW(C19)+1)),"")</f>
        <v/>
      </c>
      <c r="E28" s="3258"/>
      <c r="F28" s="3259"/>
    </row>
    <row r="29" spans="2:6" ht="19.5" customHeight="1">
      <c r="B29" s="3279" t="str">
        <f>IF(COUNTIF(スコア!$BK:$BK,"&gt;3")&gt;=ROW(A20),INDEX(スコア!BJ:BJ,LARGE(INDEX((スコア!$BK$9:$BK$180&gt;3)*ROW(スコア!$BK$9:$BK$180),),COUNTIF(スコア!$BK:$BK,"&gt;3")-ROW(A20)+1)),"")</f>
        <v/>
      </c>
      <c r="C29" s="3280" t="str">
        <f>IF(COUNTIF(スコア!$BK:$BK,"&gt;3")&gt;=ROW(B20),INDEX(スコア!BK:BK,LARGE(INDEX((スコア!$BK$9:$BK$180&gt;3)*ROW(スコア!$BK$9:$BK$180),),COUNTIF(スコア!$BK:$BK,"&gt;3")-ROW(B20)+1)),"")</f>
        <v/>
      </c>
      <c r="D29" s="3280" t="str">
        <f>IF(COUNTIF(スコア!$BK:$BK,"&gt;3")&gt;=ROW(C20),INDEX(スコア!BL:BL,LARGE(INDEX((スコア!$BK$9:$BK$180&gt;3)*ROW(スコア!$BK$9:$BK$180),),COUNTIF(スコア!$BK:$BK,"&gt;3")-ROW(C20)+1)),"")</f>
        <v/>
      </c>
      <c r="E29" s="3258"/>
      <c r="F29" s="3259"/>
    </row>
    <row r="30" spans="2:6" ht="19.5" customHeight="1">
      <c r="B30" s="3279" t="str">
        <f>IF(COUNTIF(スコア!$BK:$BK,"&gt;3")&gt;=ROW(A21),INDEX(スコア!BJ:BJ,LARGE(INDEX((スコア!$BK$9:$BK$180&gt;3)*ROW(スコア!$BK$9:$BK$180),),COUNTIF(スコア!$BK:$BK,"&gt;3")-ROW(A21)+1)),"")</f>
        <v/>
      </c>
      <c r="C30" s="3280" t="str">
        <f>IF(COUNTIF(スコア!$BK:$BK,"&gt;3")&gt;=ROW(B21),INDEX(スコア!BK:BK,LARGE(INDEX((スコア!$BK$9:$BK$180&gt;3)*ROW(スコア!$BK$9:$BK$180),),COUNTIF(スコア!$BK:$BK,"&gt;3")-ROW(B21)+1)),"")</f>
        <v/>
      </c>
      <c r="D30" s="3280" t="str">
        <f>IF(COUNTIF(スコア!$BK:$BK,"&gt;3")&gt;=ROW(C21),INDEX(スコア!BL:BL,LARGE(INDEX((スコア!$BK$9:$BK$180&gt;3)*ROW(スコア!$BK$9:$BK$180),),COUNTIF(スコア!$BK:$BK,"&gt;3")-ROW(C21)+1)),"")</f>
        <v/>
      </c>
      <c r="E30" s="3258"/>
      <c r="F30" s="3259"/>
    </row>
    <row r="31" spans="2:6" ht="19.5" customHeight="1">
      <c r="B31" s="3279" t="str">
        <f>IF(COUNTIF(スコア!$BK:$BK,"&gt;3")&gt;=ROW(A22),INDEX(スコア!BJ:BJ,LARGE(INDEX((スコア!$BK$9:$BK$180&gt;3)*ROW(スコア!$BK$9:$BK$180),),COUNTIF(スコア!$BK:$BK,"&gt;3")-ROW(A22)+1)),"")</f>
        <v/>
      </c>
      <c r="C31" s="3280" t="str">
        <f>IF(COUNTIF(スコア!$BK:$BK,"&gt;3")&gt;=ROW(B22),INDEX(スコア!BK:BK,LARGE(INDEX((スコア!$BK$9:$BK$180&gt;3)*ROW(スコア!$BK$9:$BK$180),),COUNTIF(スコア!$BK:$BK,"&gt;3")-ROW(B22)+1)),"")</f>
        <v/>
      </c>
      <c r="D31" s="3280" t="str">
        <f>IF(COUNTIF(スコア!$BK:$BK,"&gt;3")&gt;=ROW(C22),INDEX(スコア!BL:BL,LARGE(INDEX((スコア!$BK$9:$BK$180&gt;3)*ROW(スコア!$BK$9:$BK$180),),COUNTIF(スコア!$BK:$BK,"&gt;3")-ROW(C22)+1)),"")</f>
        <v/>
      </c>
      <c r="E31" s="3258"/>
      <c r="F31" s="3259"/>
    </row>
    <row r="32" spans="2:6" ht="19.5" customHeight="1">
      <c r="B32" s="3279" t="str">
        <f>IF(COUNTIF(スコア!$BK:$BK,"&gt;3")&gt;=ROW(A23),INDEX(スコア!BJ:BJ,LARGE(INDEX((スコア!$BK$9:$BK$180&gt;3)*ROW(スコア!$BK$9:$BK$180),),COUNTIF(スコア!$BK:$BK,"&gt;3")-ROW(A23)+1)),"")</f>
        <v/>
      </c>
      <c r="C32" s="3280" t="str">
        <f>IF(COUNTIF(スコア!$BK:$BK,"&gt;3")&gt;=ROW(B23),INDEX(スコア!BK:BK,LARGE(INDEX((スコア!$BK$9:$BK$180&gt;3)*ROW(スコア!$BK$9:$BK$180),),COUNTIF(スコア!$BK:$BK,"&gt;3")-ROW(B23)+1)),"")</f>
        <v/>
      </c>
      <c r="D32" s="3280" t="str">
        <f>IF(COUNTIF(スコア!$BK:$BK,"&gt;3")&gt;=ROW(C23),INDEX(スコア!BL:BL,LARGE(INDEX((スコア!$BK$9:$BK$180&gt;3)*ROW(スコア!$BK$9:$BK$180),),COUNTIF(スコア!$BK:$BK,"&gt;3")-ROW(C23)+1)),"")</f>
        <v/>
      </c>
      <c r="E32" s="3258"/>
      <c r="F32" s="3259"/>
    </row>
    <row r="33" spans="2:6" ht="19.5" customHeight="1">
      <c r="B33" s="3279" t="str">
        <f>IF(COUNTIF(スコア!$BK:$BK,"&gt;3")&gt;=ROW(A24),INDEX(スコア!BJ:BJ,LARGE(INDEX((スコア!$BK$9:$BK$180&gt;3)*ROW(スコア!$BK$9:$BK$180),),COUNTIF(スコア!$BK:$BK,"&gt;3")-ROW(A24)+1)),"")</f>
        <v/>
      </c>
      <c r="C33" s="3280" t="str">
        <f>IF(COUNTIF(スコア!$BK:$BK,"&gt;3")&gt;=ROW(B24),INDEX(スコア!BK:BK,LARGE(INDEX((スコア!$BK$9:$BK$180&gt;3)*ROW(スコア!$BK$9:$BK$180),),COUNTIF(スコア!$BK:$BK,"&gt;3")-ROW(B24)+1)),"")</f>
        <v/>
      </c>
      <c r="D33" s="3280" t="str">
        <f>IF(COUNTIF(スコア!$BK:$BK,"&gt;3")&gt;=ROW(C24),INDEX(スコア!BL:BL,LARGE(INDEX((スコア!$BK$9:$BK$180&gt;3)*ROW(スコア!$BK$9:$BK$180),),COUNTIF(スコア!$BK:$BK,"&gt;3")-ROW(C24)+1)),"")</f>
        <v/>
      </c>
      <c r="E33" s="3258"/>
      <c r="F33" s="3259"/>
    </row>
    <row r="34" spans="2:6" ht="19.5" customHeight="1">
      <c r="B34" s="3279" t="str">
        <f>IF(COUNTIF(スコア!$BK:$BK,"&gt;3")&gt;=ROW(A25),INDEX(スコア!BJ:BJ,LARGE(INDEX((スコア!$BK$9:$BK$180&gt;3)*ROW(スコア!$BK$9:$BK$180),),COUNTIF(スコア!$BK:$BK,"&gt;3")-ROW(A25)+1)),"")</f>
        <v/>
      </c>
      <c r="C34" s="3280" t="str">
        <f>IF(COUNTIF(スコア!$BK:$BK,"&gt;3")&gt;=ROW(B25),INDEX(スコア!BK:BK,LARGE(INDEX((スコア!$BK$9:$BK$180&gt;3)*ROW(スコア!$BK$9:$BK$180),),COUNTIF(スコア!$BK:$BK,"&gt;3")-ROW(B25)+1)),"")</f>
        <v/>
      </c>
      <c r="D34" s="3280" t="str">
        <f>IF(COUNTIF(スコア!$BK:$BK,"&gt;3")&gt;=ROW(C25),INDEX(スコア!BL:BL,LARGE(INDEX((スコア!$BK$9:$BK$180&gt;3)*ROW(スコア!$BK$9:$BK$180),),COUNTIF(スコア!$BK:$BK,"&gt;3")-ROW(C25)+1)),"")</f>
        <v/>
      </c>
      <c r="E34" s="3258"/>
      <c r="F34" s="3259"/>
    </row>
    <row r="35" spans="2:6" ht="19.5" customHeight="1">
      <c r="B35" s="3279" t="str">
        <f>IF(COUNTIF(スコア!$BK:$BK,"&gt;3")&gt;=ROW(A26),INDEX(スコア!BJ:BJ,LARGE(INDEX((スコア!$BK$9:$BK$180&gt;3)*ROW(スコア!$BK$9:$BK$180),),COUNTIF(スコア!$BK:$BK,"&gt;3")-ROW(A26)+1)),"")</f>
        <v/>
      </c>
      <c r="C35" s="3280" t="str">
        <f>IF(COUNTIF(スコア!$BK:$BK,"&gt;3")&gt;=ROW(B26),INDEX(スコア!BK:BK,LARGE(INDEX((スコア!$BK$9:$BK$180&gt;3)*ROW(スコア!$BK$9:$BK$180),),COUNTIF(スコア!$BK:$BK,"&gt;3")-ROW(B26)+1)),"")</f>
        <v/>
      </c>
      <c r="D35" s="3280" t="str">
        <f>IF(COUNTIF(スコア!$BK:$BK,"&gt;3")&gt;=ROW(C26),INDEX(スコア!BL:BL,LARGE(INDEX((スコア!$BK$9:$BK$180&gt;3)*ROW(スコア!$BK$9:$BK$180),),COUNTIF(スコア!$BK:$BK,"&gt;3")-ROW(C26)+1)),"")</f>
        <v/>
      </c>
      <c r="E35" s="3258"/>
      <c r="F35" s="3259"/>
    </row>
    <row r="36" spans="2:6" ht="19.5" customHeight="1">
      <c r="B36" s="3279" t="str">
        <f>IF(COUNTIF(スコア!$BK:$BK,"&gt;3")&gt;=ROW(A27),INDEX(スコア!BJ:BJ,LARGE(INDEX((スコア!$BK$9:$BK$180&gt;3)*ROW(スコア!$BK$9:$BK$180),),COUNTIF(スコア!$BK:$BK,"&gt;3")-ROW(A27)+1)),"")</f>
        <v/>
      </c>
      <c r="C36" s="3280" t="str">
        <f>IF(COUNTIF(スコア!$BK:$BK,"&gt;3")&gt;=ROW(B27),INDEX(スコア!BK:BK,LARGE(INDEX((スコア!$BK$9:$BK$180&gt;3)*ROW(スコア!$BK$9:$BK$180),),COUNTIF(スコア!$BK:$BK,"&gt;3")-ROW(B27)+1)),"")</f>
        <v/>
      </c>
      <c r="D36" s="3280" t="str">
        <f>IF(COUNTIF(スコア!$BK:$BK,"&gt;3")&gt;=ROW(C27),INDEX(スコア!BL:BL,LARGE(INDEX((スコア!$BK$9:$BK$180&gt;3)*ROW(スコア!$BK$9:$BK$180),),COUNTIF(スコア!$BK:$BK,"&gt;3")-ROW(C27)+1)),"")</f>
        <v/>
      </c>
      <c r="E36" s="3258"/>
      <c r="F36" s="3259"/>
    </row>
    <row r="37" spans="2:6" ht="19.5" customHeight="1">
      <c r="B37" s="3279" t="str">
        <f>IF(COUNTIF(スコア!$BK:$BK,"&gt;3")&gt;=ROW(A28),INDEX(スコア!BJ:BJ,LARGE(INDEX((スコア!$BK$9:$BK$180&gt;3)*ROW(スコア!$BK$9:$BK$180),),COUNTIF(スコア!$BK:$BK,"&gt;3")-ROW(A28)+1)),"")</f>
        <v/>
      </c>
      <c r="C37" s="3280" t="str">
        <f>IF(COUNTIF(スコア!$BK:$BK,"&gt;3")&gt;=ROW(B28),INDEX(スコア!BK:BK,LARGE(INDEX((スコア!$BK$9:$BK$180&gt;3)*ROW(スコア!$BK$9:$BK$180),),COUNTIF(スコア!$BK:$BK,"&gt;3")-ROW(B28)+1)),"")</f>
        <v/>
      </c>
      <c r="D37" s="3280" t="str">
        <f>IF(COUNTIF(スコア!$BK:$BK,"&gt;3")&gt;=ROW(C28),INDEX(スコア!BL:BL,LARGE(INDEX((スコア!$BK$9:$BK$180&gt;3)*ROW(スコア!$BK$9:$BK$180),),COUNTIF(スコア!$BK:$BK,"&gt;3")-ROW(C28)+1)),"")</f>
        <v/>
      </c>
      <c r="E37" s="3258"/>
      <c r="F37" s="3259"/>
    </row>
    <row r="38" spans="2:6" ht="19.5" customHeight="1">
      <c r="B38" s="3279" t="str">
        <f>IF(COUNTIF(スコア!$BK:$BK,"&gt;3")&gt;=ROW(A29),INDEX(スコア!BJ:BJ,LARGE(INDEX((スコア!$BK$9:$BK$180&gt;3)*ROW(スコア!$BK$9:$BK$180),),COUNTIF(スコア!$BK:$BK,"&gt;3")-ROW(A29)+1)),"")</f>
        <v/>
      </c>
      <c r="C38" s="3280" t="str">
        <f>IF(COUNTIF(スコア!$BK:$BK,"&gt;3")&gt;=ROW(B29),INDEX(スコア!BK:BK,LARGE(INDEX((スコア!$BK$9:$BK$180&gt;3)*ROW(スコア!$BK$9:$BK$180),),COUNTIF(スコア!$BK:$BK,"&gt;3")-ROW(B29)+1)),"")</f>
        <v/>
      </c>
      <c r="D38" s="3280" t="str">
        <f>IF(COUNTIF(スコア!$BK:$BK,"&gt;3")&gt;=ROW(C29),INDEX(スコア!BL:BL,LARGE(INDEX((スコア!$BK$9:$BK$180&gt;3)*ROW(スコア!$BK$9:$BK$180),),COUNTIF(スコア!$BK:$BK,"&gt;3")-ROW(C29)+1)),"")</f>
        <v/>
      </c>
      <c r="E38" s="3258"/>
      <c r="F38" s="3259"/>
    </row>
    <row r="39" spans="2:6" ht="19.5" customHeight="1">
      <c r="B39" s="3279" t="str">
        <f>IF(COUNTIF(スコア!$BK:$BK,"&gt;3")&gt;=ROW(A30),INDEX(スコア!BJ:BJ,LARGE(INDEX((スコア!$BK$9:$BK$180&gt;3)*ROW(スコア!$BK$9:$BK$180),),COUNTIF(スコア!$BK:$BK,"&gt;3")-ROW(A30)+1)),"")</f>
        <v/>
      </c>
      <c r="C39" s="3280" t="str">
        <f>IF(COUNTIF(スコア!$BK:$BK,"&gt;3")&gt;=ROW(B30),INDEX(スコア!BK:BK,LARGE(INDEX((スコア!$BK$9:$BK$180&gt;3)*ROW(スコア!$BK$9:$BK$180),),COUNTIF(スコア!$BK:$BK,"&gt;3")-ROW(B30)+1)),"")</f>
        <v/>
      </c>
      <c r="D39" s="3280" t="str">
        <f>IF(COUNTIF(スコア!$BK:$BK,"&gt;3")&gt;=ROW(C30),INDEX(スコア!BL:BL,LARGE(INDEX((スコア!$BK$9:$BK$180&gt;3)*ROW(スコア!$BK$9:$BK$180),),COUNTIF(スコア!$BK:$BK,"&gt;3")-ROW(C30)+1)),"")</f>
        <v/>
      </c>
      <c r="E39" s="3258"/>
      <c r="F39" s="3259"/>
    </row>
    <row r="40" spans="2:6" ht="19.5" customHeight="1">
      <c r="B40" s="3279" t="str">
        <f>IF(COUNTIF(スコア!$BK:$BK,"&gt;3")&gt;=ROW(A31),INDEX(スコア!BJ:BJ,LARGE(INDEX((スコア!$BK$9:$BK$180&gt;3)*ROW(スコア!$BK$9:$BK$180),),COUNTIF(スコア!$BK:$BK,"&gt;3")-ROW(A31)+1)),"")</f>
        <v/>
      </c>
      <c r="C40" s="3280" t="str">
        <f>IF(COUNTIF(スコア!$BK:$BK,"&gt;3")&gt;=ROW(B31),INDEX(スコア!BK:BK,LARGE(INDEX((スコア!$BK$9:$BK$180&gt;3)*ROW(スコア!$BK$9:$BK$180),),COUNTIF(スコア!$BK:$BK,"&gt;3")-ROW(B31)+1)),"")</f>
        <v/>
      </c>
      <c r="D40" s="3280" t="str">
        <f>IF(COUNTIF(スコア!$BK:$BK,"&gt;3")&gt;=ROW(C31),INDEX(スコア!BL:BL,LARGE(INDEX((スコア!$BK$9:$BK$180&gt;3)*ROW(スコア!$BK$9:$BK$180),),COUNTIF(スコア!$BK:$BK,"&gt;3")-ROW(C31)+1)),"")</f>
        <v/>
      </c>
      <c r="E40" s="3258"/>
      <c r="F40" s="3259"/>
    </row>
    <row r="41" spans="2:6" ht="19.5" customHeight="1">
      <c r="B41" s="3279" t="str">
        <f>IF(COUNTIF(スコア!$BK:$BK,"&gt;3")&gt;=ROW(A32),INDEX(スコア!BJ:BJ,LARGE(INDEX((スコア!$BK$9:$BK$180&gt;3)*ROW(スコア!$BK$9:$BK$180),),COUNTIF(スコア!$BK:$BK,"&gt;3")-ROW(A32)+1)),"")</f>
        <v/>
      </c>
      <c r="C41" s="3280" t="str">
        <f>IF(COUNTIF(スコア!$BK:$BK,"&gt;3")&gt;=ROW(B32),INDEX(スコア!BK:BK,LARGE(INDEX((スコア!$BK$9:$BK$180&gt;3)*ROW(スコア!$BK$9:$BK$180),),COUNTIF(スコア!$BK:$BK,"&gt;3")-ROW(B32)+1)),"")</f>
        <v/>
      </c>
      <c r="D41" s="3280" t="str">
        <f>IF(COUNTIF(スコア!$BK:$BK,"&gt;3")&gt;=ROW(C32),INDEX(スコア!BL:BL,LARGE(INDEX((スコア!$BK$9:$BK$180&gt;3)*ROW(スコア!$BK$9:$BK$180),),COUNTIF(スコア!$BK:$BK,"&gt;3")-ROW(C32)+1)),"")</f>
        <v/>
      </c>
      <c r="E41" s="3258"/>
      <c r="F41" s="3259"/>
    </row>
    <row r="42" spans="2:6" ht="19.5" customHeight="1">
      <c r="B42" s="3279" t="str">
        <f>IF(COUNTIF(スコア!$BK:$BK,"&gt;3")&gt;=ROW(A33),INDEX(スコア!BJ:BJ,LARGE(INDEX((スコア!$BK$9:$BK$180&gt;3)*ROW(スコア!$BK$9:$BK$180),),COUNTIF(スコア!$BK:$BK,"&gt;3")-ROW(A33)+1)),"")</f>
        <v/>
      </c>
      <c r="C42" s="3280" t="str">
        <f>IF(COUNTIF(スコア!$BK:$BK,"&gt;3")&gt;=ROW(B33),INDEX(スコア!BK:BK,LARGE(INDEX((スコア!$BK$9:$BK$180&gt;3)*ROW(スコア!$BK$9:$BK$180),),COUNTIF(スコア!$BK:$BK,"&gt;3")-ROW(B33)+1)),"")</f>
        <v/>
      </c>
      <c r="D42" s="3280" t="str">
        <f>IF(COUNTIF(スコア!$BK:$BK,"&gt;3")&gt;=ROW(C33),INDEX(スコア!BL:BL,LARGE(INDEX((スコア!$BK$9:$BK$180&gt;3)*ROW(スコア!$BK$9:$BK$180),),COUNTIF(スコア!$BK:$BK,"&gt;3")-ROW(C33)+1)),"")</f>
        <v/>
      </c>
      <c r="E42" s="3258"/>
      <c r="F42" s="3259"/>
    </row>
    <row r="43" spans="2:6" ht="19.5" customHeight="1">
      <c r="B43" s="3279" t="str">
        <f>IF(COUNTIF(スコア!$BK:$BK,"&gt;3")&gt;=ROW(A34),INDEX(スコア!BJ:BJ,LARGE(INDEX((スコア!$BK$9:$BK$180&gt;3)*ROW(スコア!$BK$9:$BK$180),),COUNTIF(スコア!$BK:$BK,"&gt;3")-ROW(A34)+1)),"")</f>
        <v/>
      </c>
      <c r="C43" s="3280" t="str">
        <f>IF(COUNTIF(スコア!$BK:$BK,"&gt;3")&gt;=ROW(B34),INDEX(スコア!BK:BK,LARGE(INDEX((スコア!$BK$9:$BK$180&gt;3)*ROW(スコア!$BK$9:$BK$180),),COUNTIF(スコア!$BK:$BK,"&gt;3")-ROW(B34)+1)),"")</f>
        <v/>
      </c>
      <c r="D43" s="3280" t="str">
        <f>IF(COUNTIF(スコア!$BK:$BK,"&gt;3")&gt;=ROW(C34),INDEX(スコア!BL:BL,LARGE(INDEX((スコア!$BK$9:$BK$180&gt;3)*ROW(スコア!$BK$9:$BK$180),),COUNTIF(スコア!$BK:$BK,"&gt;3")-ROW(C34)+1)),"")</f>
        <v/>
      </c>
      <c r="E43" s="3258"/>
      <c r="F43" s="3259"/>
    </row>
    <row r="44" spans="2:6" ht="19.5" customHeight="1">
      <c r="B44" s="3279" t="str">
        <f>IF(COUNTIF(スコア!$BK:$BK,"&gt;3")&gt;=ROW(A35),INDEX(スコア!BJ:BJ,LARGE(INDEX((スコア!$BK$9:$BK$180&gt;3)*ROW(スコア!$BK$9:$BK$180),),COUNTIF(スコア!$BK:$BK,"&gt;3")-ROW(A35)+1)),"")</f>
        <v/>
      </c>
      <c r="C44" s="3280" t="str">
        <f>IF(COUNTIF(スコア!$BK:$BK,"&gt;3")&gt;=ROW(B35),INDEX(スコア!BK:BK,LARGE(INDEX((スコア!$BK$9:$BK$180&gt;3)*ROW(スコア!$BK$9:$BK$180),),COUNTIF(スコア!$BK:$BK,"&gt;3")-ROW(B35)+1)),"")</f>
        <v/>
      </c>
      <c r="D44" s="3280" t="str">
        <f>IF(COUNTIF(スコア!$BK:$BK,"&gt;3")&gt;=ROW(C35),INDEX(スコア!BL:BL,LARGE(INDEX((スコア!$BK$9:$BK$180&gt;3)*ROW(スコア!$BK$9:$BK$180),),COUNTIF(スコア!$BK:$BK,"&gt;3")-ROW(C35)+1)),"")</f>
        <v/>
      </c>
      <c r="E44" s="3258"/>
      <c r="F44" s="3259"/>
    </row>
    <row r="45" spans="2:6" ht="19.5" customHeight="1">
      <c r="B45" s="3279" t="str">
        <f>IF(COUNTIF(スコア!$BK:$BK,"&gt;3")&gt;=ROW(A36),INDEX(スコア!BJ:BJ,LARGE(INDEX((スコア!$BK$9:$BK$180&gt;3)*ROW(スコア!$BK$9:$BK$180),),COUNTIF(スコア!$BK:$BK,"&gt;3")-ROW(A36)+1)),"")</f>
        <v/>
      </c>
      <c r="C45" s="3280" t="str">
        <f>IF(COUNTIF(スコア!$BK:$BK,"&gt;3")&gt;=ROW(B36),INDEX(スコア!BK:BK,LARGE(INDEX((スコア!$BK$9:$BK$180&gt;3)*ROW(スコア!$BK$9:$BK$180),),COUNTIF(スコア!$BK:$BK,"&gt;3")-ROW(B36)+1)),"")</f>
        <v/>
      </c>
      <c r="D45" s="3280" t="str">
        <f>IF(COUNTIF(スコア!$BK:$BK,"&gt;3")&gt;=ROW(C36),INDEX(スコア!BL:BL,LARGE(INDEX((スコア!$BK$9:$BK$180&gt;3)*ROW(スコア!$BK$9:$BK$180),),COUNTIF(スコア!$BK:$BK,"&gt;3")-ROW(C36)+1)),"")</f>
        <v/>
      </c>
      <c r="E45" s="3258"/>
      <c r="F45" s="3259"/>
    </row>
    <row r="46" spans="2:6" ht="19.5" customHeight="1">
      <c r="B46" s="3279" t="str">
        <f>IF(COUNTIF(スコア!$BK:$BK,"&gt;3")&gt;=ROW(A37),INDEX(スコア!BJ:BJ,LARGE(INDEX((スコア!$BK$9:$BK$180&gt;3)*ROW(スコア!$BK$9:$BK$180),),COUNTIF(スコア!$BK:$BK,"&gt;3")-ROW(A37)+1)),"")</f>
        <v/>
      </c>
      <c r="C46" s="3280" t="str">
        <f>IF(COUNTIF(スコア!$BK:$BK,"&gt;3")&gt;=ROW(B37),INDEX(スコア!BK:BK,LARGE(INDEX((スコア!$BK$9:$BK$180&gt;3)*ROW(スコア!$BK$9:$BK$180),),COUNTIF(スコア!$BK:$BK,"&gt;3")-ROW(B37)+1)),"")</f>
        <v/>
      </c>
      <c r="D46" s="3280" t="str">
        <f>IF(COUNTIF(スコア!$BK:$BK,"&gt;3")&gt;=ROW(C37),INDEX(スコア!BL:BL,LARGE(INDEX((スコア!$BK$9:$BK$180&gt;3)*ROW(スコア!$BK$9:$BK$180),),COUNTIF(スコア!$BK:$BK,"&gt;3")-ROW(C37)+1)),"")</f>
        <v/>
      </c>
      <c r="E46" s="3258"/>
      <c r="F46" s="3259"/>
    </row>
    <row r="47" spans="2:6" ht="19.5" customHeight="1">
      <c r="B47" s="3279" t="str">
        <f>IF(COUNTIF(スコア!$BK:$BK,"&gt;3")&gt;=ROW(A38),INDEX(スコア!BJ:BJ,LARGE(INDEX((スコア!$BK$9:$BK$180&gt;3)*ROW(スコア!$BK$9:$BK$180),),COUNTIF(スコア!$BK:$BK,"&gt;3")-ROW(A38)+1)),"")</f>
        <v/>
      </c>
      <c r="C47" s="3280" t="str">
        <f>IF(COUNTIF(スコア!$BK:$BK,"&gt;3")&gt;=ROW(B38),INDEX(スコア!BK:BK,LARGE(INDEX((スコア!$BK$9:$BK$180&gt;3)*ROW(スコア!$BK$9:$BK$180),),COUNTIF(スコア!$BK:$BK,"&gt;3")-ROW(B38)+1)),"")</f>
        <v/>
      </c>
      <c r="D47" s="3280" t="str">
        <f>IF(COUNTIF(スコア!$BK:$BK,"&gt;3")&gt;=ROW(C38),INDEX(スコア!BL:BL,LARGE(INDEX((スコア!$BK$9:$BK$180&gt;3)*ROW(スコア!$BK$9:$BK$180),),COUNTIF(スコア!$BK:$BK,"&gt;3")-ROW(C38)+1)),"")</f>
        <v/>
      </c>
      <c r="E47" s="3258"/>
      <c r="F47" s="3259"/>
    </row>
    <row r="48" spans="2:6" ht="19.5" customHeight="1">
      <c r="B48" s="3279" t="str">
        <f>IF(COUNTIF(スコア!$BK:$BK,"&gt;3")&gt;=ROW(A39),INDEX(スコア!BJ:BJ,LARGE(INDEX((スコア!$BK$9:$BK$180&gt;3)*ROW(スコア!$BK$9:$BK$180),),COUNTIF(スコア!$BK:$BK,"&gt;3")-ROW(A39)+1)),"")</f>
        <v/>
      </c>
      <c r="C48" s="3280" t="str">
        <f>IF(COUNTIF(スコア!$BK:$BK,"&gt;3")&gt;=ROW(B39),INDEX(スコア!BK:BK,LARGE(INDEX((スコア!$BK$9:$BK$180&gt;3)*ROW(スコア!$BK$9:$BK$180),),COUNTIF(スコア!$BK:$BK,"&gt;3")-ROW(B39)+1)),"")</f>
        <v/>
      </c>
      <c r="D48" s="3280" t="str">
        <f>IF(COUNTIF(スコア!$BK:$BK,"&gt;3")&gt;=ROW(C39),INDEX(スコア!BL:BL,LARGE(INDEX((スコア!$BK$9:$BK$180&gt;3)*ROW(スコア!$BK$9:$BK$180),),COUNTIF(スコア!$BK:$BK,"&gt;3")-ROW(C39)+1)),"")</f>
        <v/>
      </c>
      <c r="E48" s="3258"/>
      <c r="F48" s="3259"/>
    </row>
    <row r="49" spans="2:6" ht="19.5" customHeight="1">
      <c r="B49" s="3279" t="str">
        <f>IF(COUNTIF(スコア!$BK:$BK,"&gt;3")&gt;=ROW(A40),INDEX(スコア!BJ:BJ,LARGE(INDEX((スコア!$BK$9:$BK$180&gt;3)*ROW(スコア!$BK$9:$BK$180),),COUNTIF(スコア!$BK:$BK,"&gt;3")-ROW(A40)+1)),"")</f>
        <v/>
      </c>
      <c r="C49" s="3280" t="str">
        <f>IF(COUNTIF(スコア!$BK:$BK,"&gt;3")&gt;=ROW(B40),INDEX(スコア!BK:BK,LARGE(INDEX((スコア!$BK$9:$BK$180&gt;3)*ROW(スコア!$BK$9:$BK$180),),COUNTIF(スコア!$BK:$BK,"&gt;3")-ROW(B40)+1)),"")</f>
        <v/>
      </c>
      <c r="D49" s="3280" t="str">
        <f>IF(COUNTIF(スコア!$BK:$BK,"&gt;3")&gt;=ROW(C40),INDEX(スコア!BL:BL,LARGE(INDEX((スコア!$BK$9:$BK$180&gt;3)*ROW(スコア!$BK$9:$BK$180),),COUNTIF(スコア!$BK:$BK,"&gt;3")-ROW(C40)+1)),"")</f>
        <v/>
      </c>
      <c r="E49" s="3258"/>
      <c r="F49" s="3259"/>
    </row>
    <row r="50" spans="2:6" ht="19.5" customHeight="1">
      <c r="B50" s="3279" t="str">
        <f>IF(COUNTIF(スコア!$BK:$BK,"&gt;3")&gt;=ROW(A41),INDEX(スコア!BJ:BJ,LARGE(INDEX((スコア!$BK$9:$BK$180&gt;3)*ROW(スコア!$BK$9:$BK$180),),COUNTIF(スコア!$BK:$BK,"&gt;3")-ROW(A41)+1)),"")</f>
        <v/>
      </c>
      <c r="C50" s="3280" t="str">
        <f>IF(COUNTIF(スコア!$BK:$BK,"&gt;3")&gt;=ROW(B41),INDEX(スコア!BK:BK,LARGE(INDEX((スコア!$BK$9:$BK$180&gt;3)*ROW(スコア!$BK$9:$BK$180),),COUNTIF(スコア!$BK:$BK,"&gt;3")-ROW(B41)+1)),"")</f>
        <v/>
      </c>
      <c r="D50" s="3280" t="str">
        <f>IF(COUNTIF(スコア!$BK:$BK,"&gt;3")&gt;=ROW(C41),INDEX(スコア!BL:BL,LARGE(INDEX((スコア!$BK$9:$BK$180&gt;3)*ROW(スコア!$BK$9:$BK$180),),COUNTIF(スコア!$BK:$BK,"&gt;3")-ROW(C41)+1)),"")</f>
        <v/>
      </c>
      <c r="E50" s="3258"/>
      <c r="F50" s="3259"/>
    </row>
    <row r="51" spans="2:6" ht="19.5" customHeight="1">
      <c r="B51" s="3279" t="str">
        <f>IF(COUNTIF(スコア!$BK:$BK,"&gt;3")&gt;=ROW(A42),INDEX(スコア!BJ:BJ,LARGE(INDEX((スコア!$BK$9:$BK$180&gt;3)*ROW(スコア!$BK$9:$BK$180),),COUNTIF(スコア!$BK:$BK,"&gt;3")-ROW(A42)+1)),"")</f>
        <v/>
      </c>
      <c r="C51" s="3280" t="str">
        <f>IF(COUNTIF(スコア!$BK:$BK,"&gt;3")&gt;=ROW(B42),INDEX(スコア!BK:BK,LARGE(INDEX((スコア!$BK$9:$BK$180&gt;3)*ROW(スコア!$BK$9:$BK$180),),COUNTIF(スコア!$BK:$BK,"&gt;3")-ROW(B42)+1)),"")</f>
        <v/>
      </c>
      <c r="D51" s="3280" t="str">
        <f>IF(COUNTIF(スコア!$BK:$BK,"&gt;3")&gt;=ROW(C42),INDEX(スコア!BL:BL,LARGE(INDEX((スコア!$BK$9:$BK$180&gt;3)*ROW(スコア!$BK$9:$BK$180),),COUNTIF(スコア!$BK:$BK,"&gt;3")-ROW(C42)+1)),"")</f>
        <v/>
      </c>
      <c r="E51" s="3258"/>
      <c r="F51" s="3259"/>
    </row>
    <row r="52" spans="2:6" ht="19.5" customHeight="1">
      <c r="B52" s="3279" t="str">
        <f>IF(COUNTIF(スコア!$BK:$BK,"&gt;3")&gt;=ROW(A43),INDEX(スコア!BJ:BJ,LARGE(INDEX((スコア!$BK$9:$BK$180&gt;3)*ROW(スコア!$BK$9:$BK$180),),COUNTIF(スコア!$BK:$BK,"&gt;3")-ROW(A43)+1)),"")</f>
        <v/>
      </c>
      <c r="C52" s="3280" t="str">
        <f>IF(COUNTIF(スコア!$BK:$BK,"&gt;3")&gt;=ROW(B43),INDEX(スコア!BK:BK,LARGE(INDEX((スコア!$BK$9:$BK$180&gt;3)*ROW(スコア!$BK$9:$BK$180),),COUNTIF(スコア!$BK:$BK,"&gt;3")-ROW(B43)+1)),"")</f>
        <v/>
      </c>
      <c r="D52" s="3280" t="str">
        <f>IF(COUNTIF(スコア!$BK:$BK,"&gt;3")&gt;=ROW(C43),INDEX(スコア!BL:BL,LARGE(INDEX((スコア!$BK$9:$BK$180&gt;3)*ROW(スコア!$BK$9:$BK$180),),COUNTIF(スコア!$BK:$BK,"&gt;3")-ROW(C43)+1)),"")</f>
        <v/>
      </c>
      <c r="E52" s="3258"/>
      <c r="F52" s="3259"/>
    </row>
    <row r="53" spans="2:6" ht="19.5" customHeight="1">
      <c r="B53" s="3279" t="str">
        <f>IF(COUNTIF(スコア!$BK:$BK,"&gt;3")&gt;=ROW(A44),INDEX(スコア!BJ:BJ,LARGE(INDEX((スコア!$BK$9:$BK$180&gt;3)*ROW(スコア!$BK$9:$BK$180),),COUNTIF(スコア!$BK:$BK,"&gt;3")-ROW(A44)+1)),"")</f>
        <v/>
      </c>
      <c r="C53" s="3280" t="str">
        <f>IF(COUNTIF(スコア!$BK:$BK,"&gt;3")&gt;=ROW(B44),INDEX(スコア!BK:BK,LARGE(INDEX((スコア!$BK$9:$BK$180&gt;3)*ROW(スコア!$BK$9:$BK$180),),COUNTIF(スコア!$BK:$BK,"&gt;3")-ROW(B44)+1)),"")</f>
        <v/>
      </c>
      <c r="D53" s="3280" t="str">
        <f>IF(COUNTIF(スコア!$BK:$BK,"&gt;3")&gt;=ROW(C44),INDEX(スコア!BL:BL,LARGE(INDEX((スコア!$BK$9:$BK$180&gt;3)*ROW(スコア!$BK$9:$BK$180),),COUNTIF(スコア!$BK:$BK,"&gt;3")-ROW(C44)+1)),"")</f>
        <v/>
      </c>
      <c r="E53" s="3258"/>
      <c r="F53" s="3259"/>
    </row>
    <row r="54" spans="2:6" ht="19.5" customHeight="1">
      <c r="B54" s="3279" t="str">
        <f>IF(COUNTIF(スコア!$BK:$BK,"&gt;3")&gt;=ROW(A45),INDEX(スコア!BJ:BJ,LARGE(INDEX((スコア!$BK$9:$BK$180&gt;3)*ROW(スコア!$BK$9:$BK$180),),COUNTIF(スコア!$BK:$BK,"&gt;3")-ROW(A45)+1)),"")</f>
        <v/>
      </c>
      <c r="C54" s="3280" t="str">
        <f>IF(COUNTIF(スコア!$BK:$BK,"&gt;3")&gt;=ROW(B45),INDEX(スコア!BK:BK,LARGE(INDEX((スコア!$BK$9:$BK$180&gt;3)*ROW(スコア!$BK$9:$BK$180),),COUNTIF(スコア!$BK:$BK,"&gt;3")-ROW(B45)+1)),"")</f>
        <v/>
      </c>
      <c r="D54" s="3280" t="str">
        <f>IF(COUNTIF(スコア!$BK:$BK,"&gt;3")&gt;=ROW(C45),INDEX(スコア!BL:BL,LARGE(INDEX((スコア!$BK$9:$BK$180&gt;3)*ROW(スコア!$BK$9:$BK$180),),COUNTIF(スコア!$BK:$BK,"&gt;3")-ROW(C45)+1)),"")</f>
        <v/>
      </c>
      <c r="E54" s="3258"/>
      <c r="F54" s="3259"/>
    </row>
    <row r="55" spans="2:6" ht="19.5" customHeight="1">
      <c r="B55" s="3279" t="str">
        <f>IF(COUNTIF(スコア!$BK:$BK,"&gt;3")&gt;=ROW(A46),INDEX(スコア!BJ:BJ,LARGE(INDEX((スコア!$BK$9:$BK$180&gt;3)*ROW(スコア!$BK$9:$BK$180),),COUNTIF(スコア!$BK:$BK,"&gt;3")-ROW(A46)+1)),"")</f>
        <v/>
      </c>
      <c r="C55" s="3280" t="str">
        <f>IF(COUNTIF(スコア!$BK:$BK,"&gt;3")&gt;=ROW(B46),INDEX(スコア!BK:BK,LARGE(INDEX((スコア!$BK$9:$BK$180&gt;3)*ROW(スコア!$BK$9:$BK$180),),COUNTIF(スコア!$BK:$BK,"&gt;3")-ROW(B46)+1)),"")</f>
        <v/>
      </c>
      <c r="D55" s="3280" t="str">
        <f>IF(COUNTIF(スコア!$BK:$BK,"&gt;3")&gt;=ROW(C46),INDEX(スコア!BL:BL,LARGE(INDEX((スコア!$BK$9:$BK$180&gt;3)*ROW(スコア!$BK$9:$BK$180),),COUNTIF(スコア!$BK:$BK,"&gt;3")-ROW(C46)+1)),"")</f>
        <v/>
      </c>
      <c r="E55" s="3258"/>
      <c r="F55" s="3259"/>
    </row>
    <row r="56" spans="2:6" ht="19.5" customHeight="1">
      <c r="B56" s="3279" t="str">
        <f>IF(COUNTIF(スコア!$BK:$BK,"&gt;3")&gt;=ROW(A47),INDEX(スコア!BJ:BJ,LARGE(INDEX((スコア!$BK$9:$BK$180&gt;3)*ROW(スコア!$BK$9:$BK$180),),COUNTIF(スコア!$BK:$BK,"&gt;3")-ROW(A47)+1)),"")</f>
        <v/>
      </c>
      <c r="C56" s="3280" t="str">
        <f>IF(COUNTIF(スコア!$BK:$BK,"&gt;3")&gt;=ROW(B47),INDEX(スコア!BK:BK,LARGE(INDEX((スコア!$BK$9:$BK$180&gt;3)*ROW(スコア!$BK$9:$BK$180),),COUNTIF(スコア!$BK:$BK,"&gt;3")-ROW(B47)+1)),"")</f>
        <v/>
      </c>
      <c r="D56" s="3280" t="str">
        <f>IF(COUNTIF(スコア!$BK:$BK,"&gt;3")&gt;=ROW(C47),INDEX(スコア!BL:BL,LARGE(INDEX((スコア!$BK$9:$BK$180&gt;3)*ROW(スコア!$BK$9:$BK$180),),COUNTIF(スコア!$BK:$BK,"&gt;3")-ROW(C47)+1)),"")</f>
        <v/>
      </c>
      <c r="E56" s="3258"/>
      <c r="F56" s="3259"/>
    </row>
    <row r="57" spans="2:6" ht="19.5" customHeight="1">
      <c r="B57" s="3279" t="str">
        <f>IF(COUNTIF(スコア!$BK:$BK,"&gt;3")&gt;=ROW(A48),INDEX(スコア!BJ:BJ,LARGE(INDEX((スコア!$BK$9:$BK$180&gt;3)*ROW(スコア!$BK$9:$BK$180),),COUNTIF(スコア!$BK:$BK,"&gt;3")-ROW(A48)+1)),"")</f>
        <v/>
      </c>
      <c r="C57" s="3280" t="str">
        <f>IF(COUNTIF(スコア!$BK:$BK,"&gt;3")&gt;=ROW(B48),INDEX(スコア!BK:BK,LARGE(INDEX((スコア!$BK$9:$BK$180&gt;3)*ROW(スコア!$BK$9:$BK$180),),COUNTIF(スコア!$BK:$BK,"&gt;3")-ROW(B48)+1)),"")</f>
        <v/>
      </c>
      <c r="D57" s="3280" t="str">
        <f>IF(COUNTIF(スコア!$BK:$BK,"&gt;3")&gt;=ROW(C48),INDEX(スコア!BL:BL,LARGE(INDEX((スコア!$BK$9:$BK$180&gt;3)*ROW(スコア!$BK$9:$BK$180),),COUNTIF(スコア!$BK:$BK,"&gt;3")-ROW(C48)+1)),"")</f>
        <v/>
      </c>
      <c r="E57" s="3258"/>
      <c r="F57" s="3259"/>
    </row>
    <row r="58" spans="2:6" ht="19.5" customHeight="1">
      <c r="B58" s="3279" t="str">
        <f>IF(COUNTIF(スコア!$BK:$BK,"&gt;3")&gt;=ROW(A49),INDEX(スコア!BJ:BJ,LARGE(INDEX((スコア!$BK$9:$BK$180&gt;3)*ROW(スコア!$BK$9:$BK$180),),COUNTIF(スコア!$BK:$BK,"&gt;3")-ROW(A49)+1)),"")</f>
        <v/>
      </c>
      <c r="C58" s="3280" t="str">
        <f>IF(COUNTIF(スコア!$BK:$BK,"&gt;3")&gt;=ROW(B49),INDEX(スコア!BK:BK,LARGE(INDEX((スコア!$BK$9:$BK$180&gt;3)*ROW(スコア!$BK$9:$BK$180),),COUNTIF(スコア!$BK:$BK,"&gt;3")-ROW(B49)+1)),"")</f>
        <v/>
      </c>
      <c r="D58" s="3280" t="str">
        <f>IF(COUNTIF(スコア!$BK:$BK,"&gt;3")&gt;=ROW(C49),INDEX(スコア!BL:BL,LARGE(INDEX((スコア!$BK$9:$BK$180&gt;3)*ROW(スコア!$BK$9:$BK$180),),COUNTIF(スコア!$BK:$BK,"&gt;3")-ROW(C49)+1)),"")</f>
        <v/>
      </c>
      <c r="E58" s="3258"/>
      <c r="F58" s="3259"/>
    </row>
    <row r="59" spans="2:6" ht="19.5" customHeight="1">
      <c r="B59" s="3279" t="str">
        <f>IF(COUNTIF(スコア!$BK:$BK,"&gt;3")&gt;=ROW(A50),INDEX(スコア!BJ:BJ,LARGE(INDEX((スコア!$BK$9:$BK$180&gt;3)*ROW(スコア!$BK$9:$BK$180),),COUNTIF(スコア!$BK:$BK,"&gt;3")-ROW(A50)+1)),"")</f>
        <v/>
      </c>
      <c r="C59" s="3280" t="str">
        <f>IF(COUNTIF(スコア!$BK:$BK,"&gt;3")&gt;=ROW(B50),INDEX(スコア!BK:BK,LARGE(INDEX((スコア!$BK$9:$BK$180&gt;3)*ROW(スコア!$BK$9:$BK$180),),COUNTIF(スコア!$BK:$BK,"&gt;3")-ROW(B50)+1)),"")</f>
        <v/>
      </c>
      <c r="D59" s="3280" t="str">
        <f>IF(COUNTIF(スコア!$BK:$BK,"&gt;3")&gt;=ROW(C50),INDEX(スコア!BL:BL,LARGE(INDEX((スコア!$BK$9:$BK$180&gt;3)*ROW(スコア!$BK$9:$BK$180),),COUNTIF(スコア!$BK:$BK,"&gt;3")-ROW(C50)+1)),"")</f>
        <v/>
      </c>
      <c r="E59" s="3258"/>
      <c r="F59" s="3259"/>
    </row>
    <row r="60" spans="2:6" ht="19.5" customHeight="1">
      <c r="B60" s="3279" t="str">
        <f>IF(COUNTIF(スコア!$BK:$BK,"&gt;3")&gt;=ROW(A51),INDEX(スコア!BJ:BJ,LARGE(INDEX((スコア!$BK$9:$BK$180&gt;3)*ROW(スコア!$BK$9:$BK$180),),COUNTIF(スコア!$BK:$BK,"&gt;3")-ROW(A51)+1)),"")</f>
        <v/>
      </c>
      <c r="C60" s="3280" t="str">
        <f>IF(COUNTIF(スコア!$BK:$BK,"&gt;3")&gt;=ROW(B51),INDEX(スコア!BK:BK,LARGE(INDEX((スコア!$BK$9:$BK$180&gt;3)*ROW(スコア!$BK$9:$BK$180),),COUNTIF(スコア!$BK:$BK,"&gt;3")-ROW(B51)+1)),"")</f>
        <v/>
      </c>
      <c r="D60" s="3280" t="str">
        <f>IF(COUNTIF(スコア!$BK:$BK,"&gt;3")&gt;=ROW(C51),INDEX(スコア!BL:BL,LARGE(INDEX((スコア!$BK$9:$BK$180&gt;3)*ROW(スコア!$BK$9:$BK$180),),COUNTIF(スコア!$BK:$BK,"&gt;3")-ROW(C51)+1)),"")</f>
        <v/>
      </c>
      <c r="E60" s="3258"/>
      <c r="F60" s="3259"/>
    </row>
    <row r="61" spans="2:6" ht="19.5" customHeight="1">
      <c r="B61" s="3279" t="str">
        <f>IF(COUNTIF(スコア!$BK:$BK,"&gt;3")&gt;=ROW(A52),INDEX(スコア!BJ:BJ,LARGE(INDEX((スコア!$BK$9:$BK$180&gt;3)*ROW(スコア!$BK$9:$BK$180),),COUNTIF(スコア!$BK:$BK,"&gt;3")-ROW(A52)+1)),"")</f>
        <v/>
      </c>
      <c r="C61" s="3280" t="str">
        <f>IF(COUNTIF(スコア!$BK:$BK,"&gt;3")&gt;=ROW(B52),INDEX(スコア!BK:BK,LARGE(INDEX((スコア!$BK$9:$BK$180&gt;3)*ROW(スコア!$BK$9:$BK$180),),COUNTIF(スコア!$BK:$BK,"&gt;3")-ROW(B52)+1)),"")</f>
        <v/>
      </c>
      <c r="D61" s="3280" t="str">
        <f>IF(COUNTIF(スコア!$BK:$BK,"&gt;3")&gt;=ROW(C52),INDEX(スコア!BL:BL,LARGE(INDEX((スコア!$BK$9:$BK$180&gt;3)*ROW(スコア!$BK$9:$BK$180),),COUNTIF(スコア!$BK:$BK,"&gt;3")-ROW(C52)+1)),"")</f>
        <v/>
      </c>
      <c r="E61" s="3258"/>
      <c r="F61" s="3259"/>
    </row>
    <row r="62" spans="2:6" ht="19.5" customHeight="1">
      <c r="B62" s="3279" t="str">
        <f>IF(COUNTIF(スコア!$BK:$BK,"&gt;3")&gt;=ROW(A53),INDEX(スコア!BJ:BJ,LARGE(INDEX((スコア!$BK$9:$BK$180&gt;3)*ROW(スコア!$BK$9:$BK$180),),COUNTIF(スコア!$BK:$BK,"&gt;3")-ROW(A53)+1)),"")</f>
        <v/>
      </c>
      <c r="C62" s="3280" t="str">
        <f>IF(COUNTIF(スコア!$BK:$BK,"&gt;3")&gt;=ROW(B53),INDEX(スコア!BK:BK,LARGE(INDEX((スコア!$BK$9:$BK$180&gt;3)*ROW(スコア!$BK$9:$BK$180),),COUNTIF(スコア!$BK:$BK,"&gt;3")-ROW(B53)+1)),"")</f>
        <v/>
      </c>
      <c r="D62" s="3280" t="str">
        <f>IF(COUNTIF(スコア!$BK:$BK,"&gt;3")&gt;=ROW(C53),INDEX(スコア!BL:BL,LARGE(INDEX((スコア!$BK$9:$BK$180&gt;3)*ROW(スコア!$BK$9:$BK$180),),COUNTIF(スコア!$BK:$BK,"&gt;3")-ROW(C53)+1)),"")</f>
        <v/>
      </c>
      <c r="E62" s="3258"/>
      <c r="F62" s="3259"/>
    </row>
    <row r="63" spans="2:6" ht="19.5" customHeight="1">
      <c r="B63" s="3279" t="str">
        <f>IF(COUNTIF(スコア!$BK:$BK,"&gt;3")&gt;=ROW(A54),INDEX(スコア!BJ:BJ,LARGE(INDEX((スコア!$BK$9:$BK$180&gt;3)*ROW(スコア!$BK$9:$BK$180),),COUNTIF(スコア!$BK:$BK,"&gt;3")-ROW(A54)+1)),"")</f>
        <v/>
      </c>
      <c r="C63" s="3280" t="str">
        <f>IF(COUNTIF(スコア!$BK:$BK,"&gt;3")&gt;=ROW(B54),INDEX(スコア!BK:BK,LARGE(INDEX((スコア!$BK$9:$BK$180&gt;3)*ROW(スコア!$BK$9:$BK$180),),COUNTIF(スコア!$BK:$BK,"&gt;3")-ROW(B54)+1)),"")</f>
        <v/>
      </c>
      <c r="D63" s="3280" t="str">
        <f>IF(COUNTIF(スコア!$BK:$BK,"&gt;3")&gt;=ROW(C54),INDEX(スコア!BL:BL,LARGE(INDEX((スコア!$BK$9:$BK$180&gt;3)*ROW(スコア!$BK$9:$BK$180),),COUNTIF(スコア!$BK:$BK,"&gt;3")-ROW(C54)+1)),"")</f>
        <v/>
      </c>
      <c r="E63" s="3258"/>
      <c r="F63" s="3259"/>
    </row>
    <row r="64" spans="2:6" ht="19.5" customHeight="1">
      <c r="B64" s="3279" t="str">
        <f>IF(COUNTIF(スコア!$BK:$BK,"&gt;3")&gt;=ROW(A55),INDEX(スコア!BJ:BJ,LARGE(INDEX((スコア!$BK$9:$BK$180&gt;3)*ROW(スコア!$BK$9:$BK$180),),COUNTIF(スコア!$BK:$BK,"&gt;3")-ROW(A55)+1)),"")</f>
        <v/>
      </c>
      <c r="C64" s="3280" t="str">
        <f>IF(COUNTIF(スコア!$BK:$BK,"&gt;3")&gt;=ROW(B55),INDEX(スコア!BK:BK,LARGE(INDEX((スコア!$BK$9:$BK$180&gt;3)*ROW(スコア!$BK$9:$BK$180),),COUNTIF(スコア!$BK:$BK,"&gt;3")-ROW(B55)+1)),"")</f>
        <v/>
      </c>
      <c r="D64" s="3280" t="str">
        <f>IF(COUNTIF(スコア!$BK:$BK,"&gt;3")&gt;=ROW(C55),INDEX(スコア!BL:BL,LARGE(INDEX((スコア!$BK$9:$BK$180&gt;3)*ROW(スコア!$BK$9:$BK$180),),COUNTIF(スコア!$BK:$BK,"&gt;3")-ROW(C55)+1)),"")</f>
        <v/>
      </c>
      <c r="E64" s="3258"/>
      <c r="F64" s="3259"/>
    </row>
    <row r="65" spans="2:6" ht="19.5" customHeight="1">
      <c r="B65" s="3279" t="str">
        <f>IF(COUNTIF(スコア!$BK:$BK,"&gt;3")&gt;=ROW(A56),INDEX(スコア!BJ:BJ,LARGE(INDEX((スコア!$BK$9:$BK$180&gt;3)*ROW(スコア!$BK$9:$BK$180),),COUNTIF(スコア!$BK:$BK,"&gt;3")-ROW(A56)+1)),"")</f>
        <v/>
      </c>
      <c r="C65" s="3280" t="str">
        <f>IF(COUNTIF(スコア!$BK:$BK,"&gt;3")&gt;=ROW(B56),INDEX(スコア!BK:BK,LARGE(INDEX((スコア!$BK$9:$BK$180&gt;3)*ROW(スコア!$BK$9:$BK$180),),COUNTIF(スコア!$BK:$BK,"&gt;3")-ROW(B56)+1)),"")</f>
        <v/>
      </c>
      <c r="D65" s="3280" t="str">
        <f>IF(COUNTIF(スコア!$BK:$BK,"&gt;3")&gt;=ROW(C56),INDEX(スコア!BL:BL,LARGE(INDEX((スコア!$BK$9:$BK$180&gt;3)*ROW(スコア!$BK$9:$BK$180),),COUNTIF(スコア!$BK:$BK,"&gt;3")-ROW(C56)+1)),"")</f>
        <v/>
      </c>
      <c r="E65" s="3258"/>
      <c r="F65" s="3259"/>
    </row>
    <row r="66" spans="2:6" ht="19.5" customHeight="1">
      <c r="B66" s="3279" t="str">
        <f>IF(COUNTIF(スコア!$BK:$BK,"&gt;3")&gt;=ROW(A57),INDEX(スコア!BJ:BJ,LARGE(INDEX((スコア!$BK$9:$BK$180&gt;3)*ROW(スコア!$BK$9:$BK$180),),COUNTIF(スコア!$BK:$BK,"&gt;3")-ROW(A57)+1)),"")</f>
        <v/>
      </c>
      <c r="C66" s="3280" t="str">
        <f>IF(COUNTIF(スコア!$BK:$BK,"&gt;3")&gt;=ROW(B57),INDEX(スコア!BK:BK,LARGE(INDEX((スコア!$BK$9:$BK$180&gt;3)*ROW(スコア!$BK$9:$BK$180),),COUNTIF(スコア!$BK:$BK,"&gt;3")-ROW(B57)+1)),"")</f>
        <v/>
      </c>
      <c r="D66" s="3280" t="str">
        <f>IF(COUNTIF(スコア!$BK:$BK,"&gt;3")&gt;=ROW(C57),INDEX(スコア!BL:BL,LARGE(INDEX((スコア!$BK$9:$BK$180&gt;3)*ROW(スコア!$BK$9:$BK$180),),COUNTIF(スコア!$BK:$BK,"&gt;3")-ROW(C57)+1)),"")</f>
        <v/>
      </c>
      <c r="E66" s="3258"/>
      <c r="F66" s="3259"/>
    </row>
    <row r="67" spans="2:6" ht="19.5" customHeight="1">
      <c r="B67" s="3279" t="str">
        <f>IF(COUNTIF(スコア!$BK:$BK,"&gt;3")&gt;=ROW(A58),INDEX(スコア!BJ:BJ,LARGE(INDEX((スコア!$BK$9:$BK$180&gt;3)*ROW(スコア!$BK$9:$BK$180),),COUNTIF(スコア!$BK:$BK,"&gt;3")-ROW(A58)+1)),"")</f>
        <v/>
      </c>
      <c r="C67" s="3280" t="str">
        <f>IF(COUNTIF(スコア!$BK:$BK,"&gt;3")&gt;=ROW(B58),INDEX(スコア!BK:BK,LARGE(INDEX((スコア!$BK$9:$BK$180&gt;3)*ROW(スコア!$BK$9:$BK$180),),COUNTIF(スコア!$BK:$BK,"&gt;3")-ROW(B58)+1)),"")</f>
        <v/>
      </c>
      <c r="D67" s="3280" t="str">
        <f>IF(COUNTIF(スコア!$BK:$BK,"&gt;3")&gt;=ROW(C58),INDEX(スコア!BL:BL,LARGE(INDEX((スコア!$BK$9:$BK$180&gt;3)*ROW(スコア!$BK$9:$BK$180),),COUNTIF(スコア!$BK:$BK,"&gt;3")-ROW(C58)+1)),"")</f>
        <v/>
      </c>
      <c r="E67" s="3258"/>
      <c r="F67" s="3259"/>
    </row>
    <row r="68" spans="2:6" ht="19.5" customHeight="1">
      <c r="B68" s="3279" t="str">
        <f>IF(COUNTIF(スコア!$BK:$BK,"&gt;3")&gt;=ROW(A59),INDEX(スコア!BJ:BJ,LARGE(INDEX((スコア!$BK$9:$BK$180&gt;3)*ROW(スコア!$BK$9:$BK$180),),COUNTIF(スコア!$BK:$BK,"&gt;3")-ROW(A59)+1)),"")</f>
        <v/>
      </c>
      <c r="C68" s="3280" t="str">
        <f>IF(COUNTIF(スコア!$BK:$BK,"&gt;3")&gt;=ROW(B59),INDEX(スコア!BK:BK,LARGE(INDEX((スコア!$BK$9:$BK$180&gt;3)*ROW(スコア!$BK$9:$BK$180),),COUNTIF(スコア!$BK:$BK,"&gt;3")-ROW(B59)+1)),"")</f>
        <v/>
      </c>
      <c r="D68" s="3280" t="str">
        <f>IF(COUNTIF(スコア!$BK:$BK,"&gt;3")&gt;=ROW(C59),INDEX(スコア!BL:BL,LARGE(INDEX((スコア!$BK$9:$BK$180&gt;3)*ROW(スコア!$BK$9:$BK$180),),COUNTIF(スコア!$BK:$BK,"&gt;3")-ROW(C59)+1)),"")</f>
        <v/>
      </c>
      <c r="E68" s="3258"/>
      <c r="F68" s="3259"/>
    </row>
    <row r="69" spans="2:6" ht="19.5" customHeight="1">
      <c r="B69" s="3279" t="str">
        <f>IF(COUNTIF(スコア!$BK:$BK,"&gt;3")&gt;=ROW(A60),INDEX(スコア!BJ:BJ,LARGE(INDEX((スコア!$BK$9:$BK$180&gt;3)*ROW(スコア!$BK$9:$BK$180),),COUNTIF(スコア!$BK:$BK,"&gt;3")-ROW(A60)+1)),"")</f>
        <v/>
      </c>
      <c r="C69" s="3280" t="str">
        <f>IF(COUNTIF(スコア!$BK:$BK,"&gt;3")&gt;=ROW(B60),INDEX(スコア!BK:BK,LARGE(INDEX((スコア!$BK$9:$BK$180&gt;3)*ROW(スコア!$BK$9:$BK$180),),COUNTIF(スコア!$BK:$BK,"&gt;3")-ROW(B60)+1)),"")</f>
        <v/>
      </c>
      <c r="D69" s="3280" t="str">
        <f>IF(COUNTIF(スコア!$BK:$BK,"&gt;3")&gt;=ROW(C60),INDEX(スコア!BL:BL,LARGE(INDEX((スコア!$BK$9:$BK$180&gt;3)*ROW(スコア!$BK$9:$BK$180),),COUNTIF(スコア!$BK:$BK,"&gt;3")-ROW(C60)+1)),"")</f>
        <v/>
      </c>
      <c r="E69" s="3258"/>
      <c r="F69" s="3259"/>
    </row>
    <row r="70" spans="2:6" ht="19.5" customHeight="1">
      <c r="B70" s="3279" t="str">
        <f>IF(COUNTIF(スコア!$BK:$BK,"&gt;3")&gt;=ROW(A61),INDEX(スコア!BJ:BJ,LARGE(INDEX((スコア!$BK$9:$BK$180&gt;3)*ROW(スコア!$BK$9:$BK$180),),COUNTIF(スコア!$BK:$BK,"&gt;3")-ROW(A61)+1)),"")</f>
        <v/>
      </c>
      <c r="C70" s="3280" t="str">
        <f>IF(COUNTIF(スコア!$BK:$BK,"&gt;3")&gt;=ROW(B61),INDEX(スコア!BK:BK,LARGE(INDEX((スコア!$BK$9:$BK$180&gt;3)*ROW(スコア!$BK$9:$BK$180),),COUNTIF(スコア!$BK:$BK,"&gt;3")-ROW(B61)+1)),"")</f>
        <v/>
      </c>
      <c r="D70" s="3280" t="str">
        <f>IF(COUNTIF(スコア!$BK:$BK,"&gt;3")&gt;=ROW(C61),INDEX(スコア!BL:BL,LARGE(INDEX((スコア!$BK$9:$BK$180&gt;3)*ROW(スコア!$BK$9:$BK$180),),COUNTIF(スコア!$BK:$BK,"&gt;3")-ROW(C61)+1)),"")</f>
        <v/>
      </c>
      <c r="E70" s="3258"/>
      <c r="F70" s="3259"/>
    </row>
    <row r="71" spans="2:6" ht="19.5" customHeight="1">
      <c r="B71" s="3279" t="str">
        <f>IF(COUNTIF(スコア!$BK:$BK,"&gt;3")&gt;=ROW(A62),INDEX(スコア!BJ:BJ,LARGE(INDEX((スコア!$BK$9:$BK$180&gt;3)*ROW(スコア!$BK$9:$BK$180),),COUNTIF(スコア!$BK:$BK,"&gt;3")-ROW(A62)+1)),"")</f>
        <v/>
      </c>
      <c r="C71" s="3280" t="str">
        <f>IF(COUNTIF(スコア!$BK:$BK,"&gt;3")&gt;=ROW(B62),INDEX(スコア!BK:BK,LARGE(INDEX((スコア!$BK$9:$BK$180&gt;3)*ROW(スコア!$BK$9:$BK$180),),COUNTIF(スコア!$BK:$BK,"&gt;3")-ROW(B62)+1)),"")</f>
        <v/>
      </c>
      <c r="D71" s="3280" t="str">
        <f>IF(COUNTIF(スコア!$BK:$BK,"&gt;3")&gt;=ROW(C62),INDEX(スコア!BL:BL,LARGE(INDEX((スコア!$BK$9:$BK$180&gt;3)*ROW(スコア!$BK$9:$BK$180),),COUNTIF(スコア!$BK:$BK,"&gt;3")-ROW(C62)+1)),"")</f>
        <v/>
      </c>
      <c r="E71" s="3258"/>
      <c r="F71" s="3259"/>
    </row>
    <row r="72" spans="2:6" ht="19.5" customHeight="1">
      <c r="B72" s="3279" t="str">
        <f>IF(COUNTIF(スコア!$BK:$BK,"&gt;3")&gt;=ROW(A63),INDEX(スコア!BJ:BJ,LARGE(INDEX((スコア!$BK$9:$BK$180&gt;3)*ROW(スコア!$BK$9:$BK$180),),COUNTIF(スコア!$BK:$BK,"&gt;3")-ROW(A63)+1)),"")</f>
        <v/>
      </c>
      <c r="C72" s="3280" t="str">
        <f>IF(COUNTIF(スコア!$BK:$BK,"&gt;3")&gt;=ROW(B63),INDEX(スコア!BK:BK,LARGE(INDEX((スコア!$BK$9:$BK$180&gt;3)*ROW(スコア!$BK$9:$BK$180),),COUNTIF(スコア!$BK:$BK,"&gt;3")-ROW(B63)+1)),"")</f>
        <v/>
      </c>
      <c r="D72" s="3280" t="str">
        <f>IF(COUNTIF(スコア!$BK:$BK,"&gt;3")&gt;=ROW(C63),INDEX(スコア!BL:BL,LARGE(INDEX((スコア!$BK$9:$BK$180&gt;3)*ROW(スコア!$BK$9:$BK$180),),COUNTIF(スコア!$BK:$BK,"&gt;3")-ROW(C63)+1)),"")</f>
        <v/>
      </c>
      <c r="E72" s="3258"/>
      <c r="F72" s="3259"/>
    </row>
    <row r="73" spans="2:6" ht="19.5" customHeight="1">
      <c r="B73" s="3279" t="str">
        <f>IF(COUNTIF(スコア!$BK:$BK,"&gt;3")&gt;=ROW(A64),INDEX(スコア!BJ:BJ,LARGE(INDEX((スコア!$BK$9:$BK$180&gt;3)*ROW(スコア!$BK$9:$BK$180),),COUNTIF(スコア!$BK:$BK,"&gt;3")-ROW(A64)+1)),"")</f>
        <v/>
      </c>
      <c r="C73" s="3280" t="str">
        <f>IF(COUNTIF(スコア!$BK:$BK,"&gt;3")&gt;=ROW(B64),INDEX(スコア!BK:BK,LARGE(INDEX((スコア!$BK$9:$BK$180&gt;3)*ROW(スコア!$BK$9:$BK$180),),COUNTIF(スコア!$BK:$BK,"&gt;3")-ROW(B64)+1)),"")</f>
        <v/>
      </c>
      <c r="D73" s="3280" t="str">
        <f>IF(COUNTIF(スコア!$BK:$BK,"&gt;3")&gt;=ROW(C64),INDEX(スコア!BL:BL,LARGE(INDEX((スコア!$BK$9:$BK$180&gt;3)*ROW(スコア!$BK$9:$BK$180),),COUNTIF(スコア!$BK:$BK,"&gt;3")-ROW(C64)+1)),"")</f>
        <v/>
      </c>
      <c r="E73" s="3258"/>
      <c r="F73" s="3259"/>
    </row>
    <row r="74" spans="2:6" ht="19.5" customHeight="1">
      <c r="B74" s="3279" t="str">
        <f>IF(COUNTIF(スコア!$BK:$BK,"&gt;3")&gt;=ROW(A65),INDEX(スコア!BJ:BJ,LARGE(INDEX((スコア!$BK$9:$BK$180&gt;3)*ROW(スコア!$BK$9:$BK$180),),COUNTIF(スコア!$BK:$BK,"&gt;3")-ROW(A65)+1)),"")</f>
        <v/>
      </c>
      <c r="C74" s="3280" t="str">
        <f>IF(COUNTIF(スコア!$BK:$BK,"&gt;3")&gt;=ROW(B65),INDEX(スコア!BK:BK,LARGE(INDEX((スコア!$BK$9:$BK$180&gt;3)*ROW(スコア!$BK$9:$BK$180),),COUNTIF(スコア!$BK:$BK,"&gt;3")-ROW(B65)+1)),"")</f>
        <v/>
      </c>
      <c r="D74" s="3280" t="str">
        <f>IF(COUNTIF(スコア!$BK:$BK,"&gt;3")&gt;=ROW(C65),INDEX(スコア!BL:BL,LARGE(INDEX((スコア!$BK$9:$BK$180&gt;3)*ROW(スコア!$BK$9:$BK$180),),COUNTIF(スコア!$BK:$BK,"&gt;3")-ROW(C65)+1)),"")</f>
        <v/>
      </c>
      <c r="E74" s="3258"/>
      <c r="F74" s="3259"/>
    </row>
    <row r="75" spans="2:6" ht="19.5" customHeight="1">
      <c r="B75" s="3279" t="str">
        <f>IF(COUNTIF(スコア!$BK:$BK,"&gt;3")&gt;=ROW(A66),INDEX(スコア!BJ:BJ,LARGE(INDEX((スコア!$BK$9:$BK$180&gt;3)*ROW(スコア!$BK$9:$BK$180),),COUNTIF(スコア!$BK:$BK,"&gt;3")-ROW(A66)+1)),"")</f>
        <v/>
      </c>
      <c r="C75" s="3280" t="str">
        <f>IF(COUNTIF(スコア!$BK:$BK,"&gt;3")&gt;=ROW(B66),INDEX(スコア!BK:BK,LARGE(INDEX((スコア!$BK$9:$BK$180&gt;3)*ROW(スコア!$BK$9:$BK$180),),COUNTIF(スコア!$BK:$BK,"&gt;3")-ROW(B66)+1)),"")</f>
        <v/>
      </c>
      <c r="D75" s="3280" t="str">
        <f>IF(COUNTIF(スコア!$BK:$BK,"&gt;3")&gt;=ROW(C66),INDEX(スコア!BL:BL,LARGE(INDEX((スコア!$BK$9:$BK$180&gt;3)*ROW(スコア!$BK$9:$BK$180),),COUNTIF(スコア!$BK:$BK,"&gt;3")-ROW(C66)+1)),"")</f>
        <v/>
      </c>
      <c r="E75" s="3258"/>
      <c r="F75" s="3259"/>
    </row>
    <row r="76" spans="2:6" ht="19.5" customHeight="1">
      <c r="B76" s="3279" t="str">
        <f>IF(COUNTIF(スコア!$BK:$BK,"&gt;3")&gt;=ROW(A67),INDEX(スコア!BJ:BJ,LARGE(INDEX((スコア!$BK$9:$BK$180&gt;3)*ROW(スコア!$BK$9:$BK$180),),COUNTIF(スコア!$BK:$BK,"&gt;3")-ROW(A67)+1)),"")</f>
        <v/>
      </c>
      <c r="C76" s="3280" t="str">
        <f>IF(COUNTIF(スコア!$BK:$BK,"&gt;3")&gt;=ROW(B67),INDEX(スコア!BK:BK,LARGE(INDEX((スコア!$BK$9:$BK$180&gt;3)*ROW(スコア!$BK$9:$BK$180),),COUNTIF(スコア!$BK:$BK,"&gt;3")-ROW(B67)+1)),"")</f>
        <v/>
      </c>
      <c r="D76" s="3280" t="str">
        <f>IF(COUNTIF(スコア!$BK:$BK,"&gt;3")&gt;=ROW(C67),INDEX(スコア!BL:BL,LARGE(INDEX((スコア!$BK$9:$BK$180&gt;3)*ROW(スコア!$BK$9:$BK$180),),COUNTIF(スコア!$BK:$BK,"&gt;3")-ROW(C67)+1)),"")</f>
        <v/>
      </c>
      <c r="E76" s="3258"/>
      <c r="F76" s="3259"/>
    </row>
    <row r="77" spans="2:6" ht="19.5" customHeight="1">
      <c r="B77" s="3279" t="str">
        <f>IF(COUNTIF(スコア!$BK:$BK,"&gt;3")&gt;=ROW(A68),INDEX(スコア!BJ:BJ,LARGE(INDEX((スコア!$BK$9:$BK$180&gt;3)*ROW(スコア!$BK$9:$BK$180),),COUNTIF(スコア!$BK:$BK,"&gt;3")-ROW(A68)+1)),"")</f>
        <v/>
      </c>
      <c r="C77" s="3280" t="str">
        <f>IF(COUNTIF(スコア!$BK:$BK,"&gt;3")&gt;=ROW(B68),INDEX(スコア!BK:BK,LARGE(INDEX((スコア!$BK$9:$BK$180&gt;3)*ROW(スコア!$BK$9:$BK$180),),COUNTIF(スコア!$BK:$BK,"&gt;3")-ROW(B68)+1)),"")</f>
        <v/>
      </c>
      <c r="D77" s="3280" t="str">
        <f>IF(COUNTIF(スコア!$BK:$BK,"&gt;3")&gt;=ROW(C68),INDEX(スコア!BL:BL,LARGE(INDEX((スコア!$BK$9:$BK$180&gt;3)*ROW(スコア!$BK$9:$BK$180),),COUNTIF(スコア!$BK:$BK,"&gt;3")-ROW(C68)+1)),"")</f>
        <v/>
      </c>
      <c r="E77" s="3258"/>
      <c r="F77" s="3259"/>
    </row>
    <row r="78" spans="2:6" ht="19.5" customHeight="1">
      <c r="B78" s="3279" t="str">
        <f>IF(COUNTIF(スコア!$BK:$BK,"&gt;3")&gt;=ROW(A69),INDEX(スコア!BJ:BJ,LARGE(INDEX((スコア!$BK$9:$BK$180&gt;3)*ROW(スコア!$BK$9:$BK$180),),COUNTIF(スコア!$BK:$BK,"&gt;3")-ROW(A69)+1)),"")</f>
        <v/>
      </c>
      <c r="C78" s="3280" t="str">
        <f>IF(COUNTIF(スコア!$BK:$BK,"&gt;3")&gt;=ROW(B69),INDEX(スコア!BK:BK,LARGE(INDEX((スコア!$BK$9:$BK$180&gt;3)*ROW(スコア!$BK$9:$BK$180),),COUNTIF(スコア!$BK:$BK,"&gt;3")-ROW(B69)+1)),"")</f>
        <v/>
      </c>
      <c r="D78" s="3280" t="str">
        <f>IF(COUNTIF(スコア!$BK:$BK,"&gt;3")&gt;=ROW(C69),INDEX(スコア!BL:BL,LARGE(INDEX((スコア!$BK$9:$BK$180&gt;3)*ROW(スコア!$BK$9:$BK$180),),COUNTIF(スコア!$BK:$BK,"&gt;3")-ROW(C69)+1)),"")</f>
        <v/>
      </c>
      <c r="E78" s="3258"/>
      <c r="F78" s="3259"/>
    </row>
    <row r="79" spans="2:6" ht="19.5" customHeight="1">
      <c r="B79" s="3279" t="str">
        <f>IF(COUNTIF(スコア!$BK:$BK,"&gt;3")&gt;=ROW(A70),INDEX(スコア!BJ:BJ,LARGE(INDEX((スコア!$BK$9:$BK$180&gt;3)*ROW(スコア!$BK$9:$BK$180),),COUNTIF(スコア!$BK:$BK,"&gt;3")-ROW(A70)+1)),"")</f>
        <v/>
      </c>
      <c r="C79" s="3280" t="str">
        <f>IF(COUNTIF(スコア!$BK:$BK,"&gt;3")&gt;=ROW(B70),INDEX(スコア!BK:BK,LARGE(INDEX((スコア!$BK$9:$BK$180&gt;3)*ROW(スコア!$BK$9:$BK$180),),COUNTIF(スコア!$BK:$BK,"&gt;3")-ROW(B70)+1)),"")</f>
        <v/>
      </c>
      <c r="D79" s="3280" t="str">
        <f>IF(COUNTIF(スコア!$BK:$BK,"&gt;3")&gt;=ROW(C70),INDEX(スコア!BL:BL,LARGE(INDEX((スコア!$BK$9:$BK$180&gt;3)*ROW(スコア!$BK$9:$BK$180),),COUNTIF(スコア!$BK:$BK,"&gt;3")-ROW(C70)+1)),"")</f>
        <v/>
      </c>
      <c r="E79" s="3258"/>
      <c r="F79" s="3259"/>
    </row>
    <row r="80" spans="2:6" ht="19.5" customHeight="1">
      <c r="B80" s="3279" t="str">
        <f>IF(COUNTIF(スコア!$BK:$BK,"&gt;3")&gt;=ROW(A71),INDEX(スコア!BJ:BJ,LARGE(INDEX((スコア!$BK$9:$BK$180&gt;3)*ROW(スコア!$BK$9:$BK$180),),COUNTIF(スコア!$BK:$BK,"&gt;3")-ROW(A71)+1)),"")</f>
        <v/>
      </c>
      <c r="C80" s="3280" t="str">
        <f>IF(COUNTIF(スコア!$BK:$BK,"&gt;3")&gt;=ROW(B71),INDEX(スコア!BK:BK,LARGE(INDEX((スコア!$BK$9:$BK$180&gt;3)*ROW(スコア!$BK$9:$BK$180),),COUNTIF(スコア!$BK:$BK,"&gt;3")-ROW(B71)+1)),"")</f>
        <v/>
      </c>
      <c r="D80" s="3280" t="str">
        <f>IF(COUNTIF(スコア!$BK:$BK,"&gt;3")&gt;=ROW(C71),INDEX(スコア!BL:BL,LARGE(INDEX((スコア!$BK$9:$BK$180&gt;3)*ROW(スコア!$BK$9:$BK$180),),COUNTIF(スコア!$BK:$BK,"&gt;3")-ROW(C71)+1)),"")</f>
        <v/>
      </c>
      <c r="E80" s="3258"/>
      <c r="F80" s="3259"/>
    </row>
    <row r="81" spans="2:6" ht="19.5" customHeight="1">
      <c r="B81" s="3279" t="str">
        <f>IF(COUNTIF(スコア!$BK:$BK,"&gt;3")&gt;=ROW(A72),INDEX(スコア!BJ:BJ,LARGE(INDEX((スコア!$BK$9:$BK$180&gt;3)*ROW(スコア!$BK$9:$BK$180),),COUNTIF(スコア!$BK:$BK,"&gt;3")-ROW(A72)+1)),"")</f>
        <v/>
      </c>
      <c r="C81" s="3280" t="str">
        <f>IF(COUNTIF(スコア!$BK:$BK,"&gt;3")&gt;=ROW(B72),INDEX(スコア!BK:BK,LARGE(INDEX((スコア!$BK$9:$BK$180&gt;3)*ROW(スコア!$BK$9:$BK$180),),COUNTIF(スコア!$BK:$BK,"&gt;3")-ROW(B72)+1)),"")</f>
        <v/>
      </c>
      <c r="D81" s="3280" t="str">
        <f>IF(COUNTIF(スコア!$BK:$BK,"&gt;3")&gt;=ROW(C72),INDEX(スコア!BL:BL,LARGE(INDEX((スコア!$BK$9:$BK$180&gt;3)*ROW(スコア!$BK$9:$BK$180),),COUNTIF(スコア!$BK:$BK,"&gt;3")-ROW(C72)+1)),"")</f>
        <v/>
      </c>
      <c r="E81" s="3258"/>
      <c r="F81" s="3259"/>
    </row>
    <row r="82" spans="2:6" ht="19.5" customHeight="1">
      <c r="B82" s="3279" t="str">
        <f>IF(COUNTIF(スコア!$BK:$BK,"&gt;3")&gt;=ROW(A73),INDEX(スコア!BJ:BJ,LARGE(INDEX((スコア!$BK$9:$BK$180&gt;3)*ROW(スコア!$BK$9:$BK$180),),COUNTIF(スコア!$BK:$BK,"&gt;3")-ROW(A73)+1)),"")</f>
        <v/>
      </c>
      <c r="C82" s="3280" t="str">
        <f>IF(COUNTIF(スコア!$BK:$BK,"&gt;3")&gt;=ROW(B73),INDEX(スコア!BK:BK,LARGE(INDEX((スコア!$BK$9:$BK$180&gt;3)*ROW(スコア!$BK$9:$BK$180),),COUNTIF(スコア!$BK:$BK,"&gt;3")-ROW(B73)+1)),"")</f>
        <v/>
      </c>
      <c r="D82" s="3280" t="str">
        <f>IF(COUNTIF(スコア!$BK:$BK,"&gt;3")&gt;=ROW(C73),INDEX(スコア!BL:BL,LARGE(INDEX((スコア!$BK$9:$BK$180&gt;3)*ROW(スコア!$BK$9:$BK$180),),COUNTIF(スコア!$BK:$BK,"&gt;3")-ROW(C73)+1)),"")</f>
        <v/>
      </c>
      <c r="E82" s="3258"/>
      <c r="F82" s="3259"/>
    </row>
    <row r="83" spans="2:6" ht="19.5" customHeight="1">
      <c r="B83" s="3279" t="str">
        <f>IF(COUNTIF(スコア!$BK:$BK,"&gt;3")&gt;=ROW(A74),INDEX(スコア!BJ:BJ,LARGE(INDEX((スコア!$BK$9:$BK$180&gt;3)*ROW(スコア!$BK$9:$BK$180),),COUNTIF(スコア!$BK:$BK,"&gt;3")-ROW(A74)+1)),"")</f>
        <v/>
      </c>
      <c r="C83" s="3280" t="str">
        <f>IF(COUNTIF(スコア!$BK:$BK,"&gt;3")&gt;=ROW(B74),INDEX(スコア!BK:BK,LARGE(INDEX((スコア!$BK$9:$BK$180&gt;3)*ROW(スコア!$BK$9:$BK$180),),COUNTIF(スコア!$BK:$BK,"&gt;3")-ROW(B74)+1)),"")</f>
        <v/>
      </c>
      <c r="D83" s="3280" t="str">
        <f>IF(COUNTIF(スコア!$BK:$BK,"&gt;3")&gt;=ROW(C74),INDEX(スコア!BL:BL,LARGE(INDEX((スコア!$BK$9:$BK$180&gt;3)*ROW(スコア!$BK$9:$BK$180),),COUNTIF(スコア!$BK:$BK,"&gt;3")-ROW(C74)+1)),"")</f>
        <v/>
      </c>
      <c r="E83" s="3258"/>
      <c r="F83" s="3259"/>
    </row>
    <row r="84" spans="2:6" ht="19.5" customHeight="1">
      <c r="B84" s="3279" t="str">
        <f>IF(COUNTIF(スコア!$BK:$BK,"&gt;3")&gt;=ROW(A75),INDEX(スコア!BJ:BJ,LARGE(INDEX((スコア!$BK$9:$BK$180&gt;3)*ROW(スコア!$BK$9:$BK$180),),COUNTIF(スコア!$BK:$BK,"&gt;3")-ROW(A75)+1)),"")</f>
        <v/>
      </c>
      <c r="C84" s="3280" t="str">
        <f>IF(COUNTIF(スコア!$BK:$BK,"&gt;3")&gt;=ROW(B75),INDEX(スコア!BK:BK,LARGE(INDEX((スコア!$BK$9:$BK$180&gt;3)*ROW(スコア!$BK$9:$BK$180),),COUNTIF(スコア!$BK:$BK,"&gt;3")-ROW(B75)+1)),"")</f>
        <v/>
      </c>
      <c r="D84" s="3280" t="str">
        <f>IF(COUNTIF(スコア!$BK:$BK,"&gt;3")&gt;=ROW(C75),INDEX(スコア!BL:BL,LARGE(INDEX((スコア!$BK$9:$BK$180&gt;3)*ROW(スコア!$BK$9:$BK$180),),COUNTIF(スコア!$BK:$BK,"&gt;3")-ROW(C75)+1)),"")</f>
        <v/>
      </c>
      <c r="E84" s="3258"/>
      <c r="F84" s="3259"/>
    </row>
    <row r="85" spans="2:6" ht="19.5" customHeight="1">
      <c r="B85" s="3279" t="str">
        <f>IF(COUNTIF(スコア!$BK:$BK,"&gt;3")&gt;=ROW(A76),INDEX(スコア!BJ:BJ,LARGE(INDEX((スコア!$BK$9:$BK$180&gt;3)*ROW(スコア!$BK$9:$BK$180),),COUNTIF(スコア!$BK:$BK,"&gt;3")-ROW(A76)+1)),"")</f>
        <v/>
      </c>
      <c r="C85" s="3280" t="str">
        <f>IF(COUNTIF(スコア!$BK:$BK,"&gt;3")&gt;=ROW(B76),INDEX(スコア!BK:BK,LARGE(INDEX((スコア!$BK$9:$BK$180&gt;3)*ROW(スコア!$BK$9:$BK$180),),COUNTIF(スコア!$BK:$BK,"&gt;3")-ROW(B76)+1)),"")</f>
        <v/>
      </c>
      <c r="D85" s="3280" t="str">
        <f>IF(COUNTIF(スコア!$BK:$BK,"&gt;3")&gt;=ROW(C76),INDEX(スコア!BL:BL,LARGE(INDEX((スコア!$BK$9:$BK$180&gt;3)*ROW(スコア!$BK$9:$BK$180),),COUNTIF(スコア!$BK:$BK,"&gt;3")-ROW(C76)+1)),"")</f>
        <v/>
      </c>
      <c r="E85" s="3258"/>
      <c r="F85" s="3259"/>
    </row>
    <row r="86" spans="2:6" ht="19.5" customHeight="1">
      <c r="B86" s="3279" t="str">
        <f>IF(COUNTIF(スコア!$BK:$BK,"&gt;3")&gt;=ROW(A77),INDEX(スコア!BJ:BJ,LARGE(INDEX((スコア!$BK$9:$BK$180&gt;3)*ROW(スコア!$BK$9:$BK$180),),COUNTIF(スコア!$BK:$BK,"&gt;3")-ROW(A77)+1)),"")</f>
        <v/>
      </c>
      <c r="C86" s="3280" t="str">
        <f>IF(COUNTIF(スコア!$BK:$BK,"&gt;3")&gt;=ROW(B77),INDEX(スコア!BK:BK,LARGE(INDEX((スコア!$BK$9:$BK$180&gt;3)*ROW(スコア!$BK$9:$BK$180),),COUNTIF(スコア!$BK:$BK,"&gt;3")-ROW(B77)+1)),"")</f>
        <v/>
      </c>
      <c r="D86" s="3280" t="str">
        <f>IF(COUNTIF(スコア!$BK:$BK,"&gt;3")&gt;=ROW(C77),INDEX(スコア!BL:BL,LARGE(INDEX((スコア!$BK$9:$BK$180&gt;3)*ROW(スコア!$BK$9:$BK$180),),COUNTIF(スコア!$BK:$BK,"&gt;3")-ROW(C77)+1)),"")</f>
        <v/>
      </c>
      <c r="E86" s="3258"/>
      <c r="F86" s="3259"/>
    </row>
    <row r="87" spans="2:6" ht="19.5" customHeight="1">
      <c r="B87" s="3279" t="str">
        <f>IF(COUNTIF(スコア!$BK:$BK,"&gt;3")&gt;=ROW(A78),INDEX(スコア!BJ:BJ,LARGE(INDEX((スコア!$BK$9:$BK$180&gt;3)*ROW(スコア!$BK$9:$BK$180),),COUNTIF(スコア!$BK:$BK,"&gt;3")-ROW(A78)+1)),"")</f>
        <v/>
      </c>
      <c r="C87" s="3280" t="str">
        <f>IF(COUNTIF(スコア!$BK:$BK,"&gt;3")&gt;=ROW(B78),INDEX(スコア!BK:BK,LARGE(INDEX((スコア!$BK$9:$BK$180&gt;3)*ROW(スコア!$BK$9:$BK$180),),COUNTIF(スコア!$BK:$BK,"&gt;3")-ROW(B78)+1)),"")</f>
        <v/>
      </c>
      <c r="D87" s="3280" t="str">
        <f>IF(COUNTIF(スコア!$BK:$BK,"&gt;3")&gt;=ROW(C78),INDEX(スコア!BL:BL,LARGE(INDEX((スコア!$BK$9:$BK$180&gt;3)*ROW(スコア!$BK$9:$BK$180),),COUNTIF(スコア!$BK:$BK,"&gt;3")-ROW(C78)+1)),"")</f>
        <v/>
      </c>
      <c r="E87" s="3258"/>
      <c r="F87" s="3259"/>
    </row>
    <row r="88" spans="2:6" ht="19.5" customHeight="1">
      <c r="B88" s="3279" t="str">
        <f>IF(COUNTIF(スコア!$BK:$BK,"&gt;3")&gt;=ROW(A79),INDEX(スコア!BJ:BJ,LARGE(INDEX((スコア!$BK$9:$BK$180&gt;3)*ROW(スコア!$BK$9:$BK$180),),COUNTIF(スコア!$BK:$BK,"&gt;3")-ROW(A79)+1)),"")</f>
        <v/>
      </c>
      <c r="C88" s="3280" t="str">
        <f>IF(COUNTIF(スコア!$BK:$BK,"&gt;3")&gt;=ROW(B79),INDEX(スコア!BK:BK,LARGE(INDEX((スコア!$BK$9:$BK$180&gt;3)*ROW(スコア!$BK$9:$BK$180),),COUNTIF(スコア!$BK:$BK,"&gt;3")-ROW(B79)+1)),"")</f>
        <v/>
      </c>
      <c r="D88" s="3280" t="str">
        <f>IF(COUNTIF(スコア!$BK:$BK,"&gt;3")&gt;=ROW(C79),INDEX(スコア!BL:BL,LARGE(INDEX((スコア!$BK$9:$BK$180&gt;3)*ROW(スコア!$BK$9:$BK$180),),COUNTIF(スコア!$BK:$BK,"&gt;3")-ROW(C79)+1)),"")</f>
        <v/>
      </c>
      <c r="E88" s="3258"/>
      <c r="F88" s="3259"/>
    </row>
    <row r="89" spans="2:6" ht="19.5" customHeight="1">
      <c r="B89" s="3279" t="str">
        <f>IF(COUNTIF(スコア!$BK:$BK,"&gt;3")&gt;=ROW(A80),INDEX(スコア!BJ:BJ,LARGE(INDEX((スコア!$BK$9:$BK$180&gt;3)*ROW(スコア!$BK$9:$BK$180),),COUNTIF(スコア!$BK:$BK,"&gt;3")-ROW(A80)+1)),"")</f>
        <v/>
      </c>
      <c r="C89" s="3280" t="str">
        <f>IF(COUNTIF(スコア!$BK:$BK,"&gt;3")&gt;=ROW(B80),INDEX(スコア!BK:BK,LARGE(INDEX((スコア!$BK$9:$BK$180&gt;3)*ROW(スコア!$BK$9:$BK$180),),COUNTIF(スコア!$BK:$BK,"&gt;3")-ROW(B80)+1)),"")</f>
        <v/>
      </c>
      <c r="D89" s="3280" t="str">
        <f>IF(COUNTIF(スコア!$BK:$BK,"&gt;3")&gt;=ROW(C80),INDEX(スコア!BL:BL,LARGE(INDEX((スコア!$BK$9:$BK$180&gt;3)*ROW(スコア!$BK$9:$BK$180),),COUNTIF(スコア!$BK:$BK,"&gt;3")-ROW(C80)+1)),"")</f>
        <v/>
      </c>
      <c r="E89" s="3258"/>
      <c r="F89" s="3259"/>
    </row>
    <row r="90" spans="2:6" ht="19.5" customHeight="1">
      <c r="B90" s="3279" t="str">
        <f>IF(COUNTIF(スコア!$BK:$BK,"&gt;3")&gt;=ROW(A81),INDEX(スコア!BJ:BJ,LARGE(INDEX((スコア!$BK$9:$BK$180&gt;3)*ROW(スコア!$BK$9:$BK$180),),COUNTIF(スコア!$BK:$BK,"&gt;3")-ROW(A81)+1)),"")</f>
        <v/>
      </c>
      <c r="C90" s="3280" t="str">
        <f>IF(COUNTIF(スコア!$BK:$BK,"&gt;3")&gt;=ROW(B81),INDEX(スコア!BK:BK,LARGE(INDEX((スコア!$BK$9:$BK$180&gt;3)*ROW(スコア!$BK$9:$BK$180),),COUNTIF(スコア!$BK:$BK,"&gt;3")-ROW(B81)+1)),"")</f>
        <v/>
      </c>
      <c r="D90" s="3280" t="str">
        <f>IF(COUNTIF(スコア!$BK:$BK,"&gt;3")&gt;=ROW(C81),INDEX(スコア!BL:BL,LARGE(INDEX((スコア!$BK$9:$BK$180&gt;3)*ROW(スコア!$BK$9:$BK$180),),COUNTIF(スコア!$BK:$BK,"&gt;3")-ROW(C81)+1)),"")</f>
        <v/>
      </c>
      <c r="E90" s="3258"/>
      <c r="F90" s="3259"/>
    </row>
    <row r="91" spans="2:6" ht="19.5" customHeight="1">
      <c r="B91" s="3279" t="str">
        <f>IF(COUNTIF(スコア!$BK:$BK,"&gt;3")&gt;=ROW(A82),INDEX(スコア!BJ:BJ,LARGE(INDEX((スコア!$BK$9:$BK$180&gt;3)*ROW(スコア!$BK$9:$BK$180),),COUNTIF(スコア!$BK:$BK,"&gt;3")-ROW(A82)+1)),"")</f>
        <v/>
      </c>
      <c r="C91" s="3280" t="str">
        <f>IF(COUNTIF(スコア!$BK:$BK,"&gt;3")&gt;=ROW(B82),INDEX(スコア!BK:BK,LARGE(INDEX((スコア!$BK$9:$BK$180&gt;3)*ROW(スコア!$BK$9:$BK$180),),COUNTIF(スコア!$BK:$BK,"&gt;3")-ROW(B82)+1)),"")</f>
        <v/>
      </c>
      <c r="D91" s="3280" t="str">
        <f>IF(COUNTIF(スコア!$BK:$BK,"&gt;3")&gt;=ROW(C82),INDEX(スコア!BL:BL,LARGE(INDEX((スコア!$BK$9:$BK$180&gt;3)*ROW(スコア!$BK$9:$BK$180),),COUNTIF(スコア!$BK:$BK,"&gt;3")-ROW(C82)+1)),"")</f>
        <v/>
      </c>
      <c r="E91" s="3258"/>
      <c r="F91" s="3259"/>
    </row>
    <row r="92" spans="2:6" ht="19.5" customHeight="1">
      <c r="B92" s="3279" t="str">
        <f>IF(COUNTIF(スコア!$BK:$BK,"&gt;3")&gt;=ROW(A83),INDEX(スコア!BJ:BJ,LARGE(INDEX((スコア!$BK$9:$BK$180&gt;3)*ROW(スコア!$BK$9:$BK$180),),COUNTIF(スコア!$BK:$BK,"&gt;3")-ROW(A83)+1)),"")</f>
        <v/>
      </c>
      <c r="C92" s="3280" t="str">
        <f>IF(COUNTIF(スコア!$BK:$BK,"&gt;3")&gt;=ROW(B83),INDEX(スコア!BK:BK,LARGE(INDEX((スコア!$BK$9:$BK$180&gt;3)*ROW(スコア!$BK$9:$BK$180),),COUNTIF(スコア!$BK:$BK,"&gt;3")-ROW(B83)+1)),"")</f>
        <v/>
      </c>
      <c r="D92" s="3280" t="str">
        <f>IF(COUNTIF(スコア!$BK:$BK,"&gt;3")&gt;=ROW(C83),INDEX(スコア!BL:BL,LARGE(INDEX((スコア!$BK$9:$BK$180&gt;3)*ROW(スコア!$BK$9:$BK$180),),COUNTIF(スコア!$BK:$BK,"&gt;3")-ROW(C83)+1)),"")</f>
        <v/>
      </c>
      <c r="E92" s="3258"/>
      <c r="F92" s="3259"/>
    </row>
    <row r="93" spans="2:6" ht="19.5" customHeight="1">
      <c r="B93" s="3279" t="str">
        <f>IF(COUNTIF(スコア!$BK:$BK,"&gt;3")&gt;=ROW(A84),INDEX(スコア!BJ:BJ,LARGE(INDEX((スコア!$BK$9:$BK$180&gt;3)*ROW(スコア!$BK$9:$BK$180),),COUNTIF(スコア!$BK:$BK,"&gt;3")-ROW(A84)+1)),"")</f>
        <v/>
      </c>
      <c r="C93" s="3280" t="str">
        <f>IF(COUNTIF(スコア!$BK:$BK,"&gt;3")&gt;=ROW(B84),INDEX(スコア!BK:BK,LARGE(INDEX((スコア!$BK$9:$BK$180&gt;3)*ROW(スコア!$BK$9:$BK$180),),COUNTIF(スコア!$BK:$BK,"&gt;3")-ROW(B84)+1)),"")</f>
        <v/>
      </c>
      <c r="D93" s="3280" t="str">
        <f>IF(COUNTIF(スコア!$BK:$BK,"&gt;3")&gt;=ROW(C84),INDEX(スコア!BL:BL,LARGE(INDEX((スコア!$BK$9:$BK$180&gt;3)*ROW(スコア!$BK$9:$BK$180),),COUNTIF(スコア!$BK:$BK,"&gt;3")-ROW(C84)+1)),"")</f>
        <v/>
      </c>
      <c r="E93" s="3258"/>
      <c r="F93" s="3259"/>
    </row>
    <row r="94" spans="2:6" ht="19.5" customHeight="1">
      <c r="B94" s="3279" t="str">
        <f>IF(COUNTIF(スコア!$BK:$BK,"&gt;3")&gt;=ROW(A85),INDEX(スコア!BJ:BJ,LARGE(INDEX((スコア!$BK$9:$BK$180&gt;3)*ROW(スコア!$BK$9:$BK$180),),COUNTIF(スコア!$BK:$BK,"&gt;3")-ROW(A85)+1)),"")</f>
        <v/>
      </c>
      <c r="C94" s="3280" t="str">
        <f>IF(COUNTIF(スコア!$BK:$BK,"&gt;3")&gt;=ROW(B85),INDEX(スコア!BK:BK,LARGE(INDEX((スコア!$BK$9:$BK$180&gt;3)*ROW(スコア!$BK$9:$BK$180),),COUNTIF(スコア!$BK:$BK,"&gt;3")-ROW(B85)+1)),"")</f>
        <v/>
      </c>
      <c r="D94" s="3280" t="str">
        <f>IF(COUNTIF(スコア!$BK:$BK,"&gt;3")&gt;=ROW(C85),INDEX(スコア!BL:BL,LARGE(INDEX((スコア!$BK$9:$BK$180&gt;3)*ROW(スコア!$BK$9:$BK$180),),COUNTIF(スコア!$BK:$BK,"&gt;3")-ROW(C85)+1)),"")</f>
        <v/>
      </c>
      <c r="E94" s="3258"/>
      <c r="F94" s="3259"/>
    </row>
    <row r="95" spans="2:6" ht="19.5" customHeight="1">
      <c r="B95" s="3279" t="str">
        <f>IF(COUNTIF(スコア!$BK:$BK,"&gt;3")&gt;=ROW(A86),INDEX(スコア!BJ:BJ,LARGE(INDEX((スコア!$BK$9:$BK$180&gt;3)*ROW(スコア!$BK$9:$BK$180),),COUNTIF(スコア!$BK:$BK,"&gt;3")-ROW(A86)+1)),"")</f>
        <v/>
      </c>
      <c r="C95" s="3280" t="str">
        <f>IF(COUNTIF(スコア!$BK:$BK,"&gt;3")&gt;=ROW(B86),INDEX(スコア!BK:BK,LARGE(INDEX((スコア!$BK$9:$BK$180&gt;3)*ROW(スコア!$BK$9:$BK$180),),COUNTIF(スコア!$BK:$BK,"&gt;3")-ROW(B86)+1)),"")</f>
        <v/>
      </c>
      <c r="D95" s="3280" t="str">
        <f>IF(COUNTIF(スコア!$BK:$BK,"&gt;3")&gt;=ROW(C86),INDEX(スコア!BL:BL,LARGE(INDEX((スコア!$BK$9:$BK$180&gt;3)*ROW(スコア!$BK$9:$BK$180),),COUNTIF(スコア!$BK:$BK,"&gt;3")-ROW(C86)+1)),"")</f>
        <v/>
      </c>
      <c r="E95" s="3258"/>
      <c r="F95" s="3259"/>
    </row>
    <row r="96" spans="2:6" ht="19.5" customHeight="1">
      <c r="B96" s="3279" t="str">
        <f>IF(COUNTIF(スコア!$BK:$BK,"&gt;3")&gt;=ROW(A87),INDEX(スコア!BJ:BJ,LARGE(INDEX((スコア!$BK$9:$BK$180&gt;3)*ROW(スコア!$BK$9:$BK$180),),COUNTIF(スコア!$BK:$BK,"&gt;3")-ROW(A87)+1)),"")</f>
        <v/>
      </c>
      <c r="C96" s="3280" t="str">
        <f>IF(COUNTIF(スコア!$BK:$BK,"&gt;3")&gt;=ROW(B87),INDEX(スコア!BK:BK,LARGE(INDEX((スコア!$BK$9:$BK$180&gt;3)*ROW(スコア!$BK$9:$BK$180),),COUNTIF(スコア!$BK:$BK,"&gt;3")-ROW(B87)+1)),"")</f>
        <v/>
      </c>
      <c r="D96" s="3280" t="str">
        <f>IF(COUNTIF(スコア!$BK:$BK,"&gt;3")&gt;=ROW(C87),INDEX(スコア!BL:BL,LARGE(INDEX((スコア!$BK$9:$BK$180&gt;3)*ROW(スコア!$BK$9:$BK$180),),COUNTIF(スコア!$BK:$BK,"&gt;3")-ROW(C87)+1)),"")</f>
        <v/>
      </c>
      <c r="E96" s="3258"/>
      <c r="F96" s="3259"/>
    </row>
    <row r="97" spans="2:6" ht="19.5" customHeight="1">
      <c r="B97" s="3279" t="str">
        <f>IF(COUNTIF(スコア!$BK:$BK,"&gt;3")&gt;=ROW(A88),INDEX(スコア!BJ:BJ,LARGE(INDEX((スコア!$BK$9:$BK$180&gt;3)*ROW(スコア!$BK$9:$BK$180),),COUNTIF(スコア!$BK:$BK,"&gt;3")-ROW(A88)+1)),"")</f>
        <v/>
      </c>
      <c r="C97" s="3280" t="str">
        <f>IF(COUNTIF(スコア!$BK:$BK,"&gt;3")&gt;=ROW(B88),INDEX(スコア!BK:BK,LARGE(INDEX((スコア!$BK$9:$BK$180&gt;3)*ROW(スコア!$BK$9:$BK$180),),COUNTIF(スコア!$BK:$BK,"&gt;3")-ROW(B88)+1)),"")</f>
        <v/>
      </c>
      <c r="D97" s="3280" t="str">
        <f>IF(COUNTIF(スコア!$BK:$BK,"&gt;3")&gt;=ROW(C88),INDEX(スコア!BL:BL,LARGE(INDEX((スコア!$BK$9:$BK$180&gt;3)*ROW(スコア!$BK$9:$BK$180),),COUNTIF(スコア!$BK:$BK,"&gt;3")-ROW(C88)+1)),"")</f>
        <v/>
      </c>
      <c r="E97" s="3258"/>
      <c r="F97" s="3259"/>
    </row>
    <row r="98" spans="2:6" ht="19.5" customHeight="1">
      <c r="B98" s="3279" t="str">
        <f>IF(COUNTIF(スコア!$BK:$BK,"&gt;3")&gt;=ROW(A89),INDEX(スコア!BJ:BJ,LARGE(INDEX((スコア!$BK$9:$BK$180&gt;3)*ROW(スコア!$BK$9:$BK$180),),COUNTIF(スコア!$BK:$BK,"&gt;3")-ROW(A89)+1)),"")</f>
        <v/>
      </c>
      <c r="C98" s="3280" t="str">
        <f>IF(COUNTIF(スコア!$BK:$BK,"&gt;3")&gt;=ROW(B89),INDEX(スコア!BK:BK,LARGE(INDEX((スコア!$BK$9:$BK$180&gt;3)*ROW(スコア!$BK$9:$BK$180),),COUNTIF(スコア!$BK:$BK,"&gt;3")-ROW(B89)+1)),"")</f>
        <v/>
      </c>
      <c r="D98" s="3280" t="str">
        <f>IF(COUNTIF(スコア!$BK:$BK,"&gt;3")&gt;=ROW(C89),INDEX(スコア!BL:BL,LARGE(INDEX((スコア!$BK$9:$BK$180&gt;3)*ROW(スコア!$BK$9:$BK$180),),COUNTIF(スコア!$BK:$BK,"&gt;3")-ROW(C89)+1)),"")</f>
        <v/>
      </c>
      <c r="E98" s="3258"/>
      <c r="F98" s="3259"/>
    </row>
    <row r="99" spans="2:6" ht="19.5" customHeight="1">
      <c r="B99" s="3279" t="str">
        <f>IF(COUNTIF(スコア!$BK:$BK,"&gt;3")&gt;=ROW(A90),INDEX(スコア!BJ:BJ,LARGE(INDEX((スコア!$BK$9:$BK$180&gt;3)*ROW(スコア!$BK$9:$BK$180),),COUNTIF(スコア!$BK:$BK,"&gt;3")-ROW(A90)+1)),"")</f>
        <v/>
      </c>
      <c r="C99" s="3280" t="str">
        <f>IF(COUNTIF(スコア!$BK:$BK,"&gt;3")&gt;=ROW(B90),INDEX(スコア!BK:BK,LARGE(INDEX((スコア!$BK$9:$BK$180&gt;3)*ROW(スコア!$BK$9:$BK$180),),COUNTIF(スコア!$BK:$BK,"&gt;3")-ROW(B90)+1)),"")</f>
        <v/>
      </c>
      <c r="D99" s="3280" t="str">
        <f>IF(COUNTIF(スコア!$BK:$BK,"&gt;3")&gt;=ROW(C90),INDEX(スコア!BL:BL,LARGE(INDEX((スコア!$BK$9:$BK$180&gt;3)*ROW(スコア!$BK$9:$BK$180),),COUNTIF(スコア!$BK:$BK,"&gt;3")-ROW(C90)+1)),"")</f>
        <v/>
      </c>
      <c r="E99" s="3258"/>
      <c r="F99" s="3259"/>
    </row>
    <row r="100" spans="2:6" ht="19.5" customHeight="1">
      <c r="B100" s="3279" t="str">
        <f>IF(COUNTIF(スコア!$BK:$BK,"&gt;3")&gt;=ROW(A91),INDEX(スコア!BJ:BJ,LARGE(INDEX((スコア!$BK$9:$BK$180&gt;3)*ROW(スコア!$BK$9:$BK$180),),COUNTIF(スコア!$BK:$BK,"&gt;3")-ROW(A91)+1)),"")</f>
        <v/>
      </c>
      <c r="C100" s="3280" t="str">
        <f>IF(COUNTIF(スコア!$BK:$BK,"&gt;3")&gt;=ROW(B91),INDEX(スコア!BK:BK,LARGE(INDEX((スコア!$BK$9:$BK$180&gt;3)*ROW(スコア!$BK$9:$BK$180),),COUNTIF(スコア!$BK:$BK,"&gt;3")-ROW(B91)+1)),"")</f>
        <v/>
      </c>
      <c r="D100" s="3280" t="str">
        <f>IF(COUNTIF(スコア!$BK:$BK,"&gt;3")&gt;=ROW(C91),INDEX(スコア!BL:BL,LARGE(INDEX((スコア!$BK$9:$BK$180&gt;3)*ROW(スコア!$BK$9:$BK$180),),COUNTIF(スコア!$BK:$BK,"&gt;3")-ROW(C91)+1)),"")</f>
        <v/>
      </c>
      <c r="E100" s="3258"/>
      <c r="F100" s="3259"/>
    </row>
    <row r="101" spans="2:6" ht="19.5" customHeight="1">
      <c r="B101" s="3279" t="str">
        <f>IF(COUNTIF(スコア!$BK:$BK,"&gt;3")&gt;=ROW(A92),INDEX(スコア!BJ:BJ,LARGE(INDEX((スコア!$BK$9:$BK$180&gt;3)*ROW(スコア!$BK$9:$BK$180),),COUNTIF(スコア!$BK:$BK,"&gt;3")-ROW(A92)+1)),"")</f>
        <v/>
      </c>
      <c r="C101" s="3280" t="str">
        <f>IF(COUNTIF(スコア!$BK:$BK,"&gt;3")&gt;=ROW(B92),INDEX(スコア!BK:BK,LARGE(INDEX((スコア!$BK$9:$BK$180&gt;3)*ROW(スコア!$BK$9:$BK$180),),COUNTIF(スコア!$BK:$BK,"&gt;3")-ROW(B92)+1)),"")</f>
        <v/>
      </c>
      <c r="D101" s="3280" t="str">
        <f>IF(COUNTIF(スコア!$BK:$BK,"&gt;3")&gt;=ROW(C92),INDEX(スコア!BL:BL,LARGE(INDEX((スコア!$BK$9:$BK$180&gt;3)*ROW(スコア!$BK$9:$BK$180),),COUNTIF(スコア!$BK:$BK,"&gt;3")-ROW(C92)+1)),"")</f>
        <v/>
      </c>
      <c r="E101" s="3258"/>
      <c r="F101" s="3259"/>
    </row>
    <row r="102" spans="2:6" ht="19.5" customHeight="1">
      <c r="B102" s="3279" t="str">
        <f>IF(COUNTIF(スコア!$BK:$BK,"&gt;3")&gt;=ROW(A93),INDEX(スコア!BJ:BJ,LARGE(INDEX((スコア!$BK$9:$BK$180&gt;3)*ROW(スコア!$BK$9:$BK$180),),COUNTIF(スコア!$BK:$BK,"&gt;3")-ROW(A93)+1)),"")</f>
        <v/>
      </c>
      <c r="C102" s="3280" t="str">
        <f>IF(COUNTIF(スコア!$BK:$BK,"&gt;3")&gt;=ROW(B93),INDEX(スコア!BK:BK,LARGE(INDEX((スコア!$BK$9:$BK$180&gt;3)*ROW(スコア!$BK$9:$BK$180),),COUNTIF(スコア!$BK:$BK,"&gt;3")-ROW(B93)+1)),"")</f>
        <v/>
      </c>
      <c r="D102" s="3280" t="str">
        <f>IF(COUNTIF(スコア!$BK:$BK,"&gt;3")&gt;=ROW(C93),INDEX(スコア!BL:BL,LARGE(INDEX((スコア!$BK$9:$BK$180&gt;3)*ROW(スコア!$BK$9:$BK$180),),COUNTIF(スコア!$BK:$BK,"&gt;3")-ROW(C93)+1)),"")</f>
        <v/>
      </c>
      <c r="E102" s="3258"/>
      <c r="F102" s="3259"/>
    </row>
    <row r="103" spans="2:6" ht="19.5" customHeight="1">
      <c r="B103" s="3279" t="str">
        <f>IF(COUNTIF(スコア!$BK:$BK,"&gt;3")&gt;=ROW(A94),INDEX(スコア!BJ:BJ,LARGE(INDEX((スコア!$BK$9:$BK$180&gt;3)*ROW(スコア!$BK$9:$BK$180),),COUNTIF(スコア!$BK:$BK,"&gt;3")-ROW(A94)+1)),"")</f>
        <v/>
      </c>
      <c r="C103" s="3280" t="str">
        <f>IF(COUNTIF(スコア!$BK:$BK,"&gt;3")&gt;=ROW(B94),INDEX(スコア!BK:BK,LARGE(INDEX((スコア!$BK$9:$BK$180&gt;3)*ROW(スコア!$BK$9:$BK$180),),COUNTIF(スコア!$BK:$BK,"&gt;3")-ROW(B94)+1)),"")</f>
        <v/>
      </c>
      <c r="D103" s="3280" t="str">
        <f>IF(COUNTIF(スコア!$BK:$BK,"&gt;3")&gt;=ROW(C94),INDEX(スコア!BL:BL,LARGE(INDEX((スコア!$BK$9:$BK$180&gt;3)*ROW(スコア!$BK$9:$BK$180),),COUNTIF(スコア!$BK:$BK,"&gt;3")-ROW(C94)+1)),"")</f>
        <v/>
      </c>
      <c r="E103" s="3258"/>
      <c r="F103" s="3259"/>
    </row>
    <row r="104" spans="2:6" ht="19.5" customHeight="1">
      <c r="B104" s="3279" t="str">
        <f>IF(COUNTIF(スコア!$BK:$BK,"&gt;3")&gt;=ROW(A95),INDEX(スコア!BJ:BJ,LARGE(INDEX((スコア!$BK$9:$BK$180&gt;3)*ROW(スコア!$BK$9:$BK$180),),COUNTIF(スコア!$BK:$BK,"&gt;3")-ROW(A95)+1)),"")</f>
        <v/>
      </c>
      <c r="C104" s="3280" t="str">
        <f>IF(COUNTIF(スコア!$BK:$BK,"&gt;3")&gt;=ROW(B95),INDEX(スコア!BK:BK,LARGE(INDEX((スコア!$BK$9:$BK$180&gt;3)*ROW(スコア!$BK$9:$BK$180),),COUNTIF(スコア!$BK:$BK,"&gt;3")-ROW(B95)+1)),"")</f>
        <v/>
      </c>
      <c r="D104" s="3280" t="str">
        <f>IF(COUNTIF(スコア!$BK:$BK,"&gt;3")&gt;=ROW(C95),INDEX(スコア!BL:BL,LARGE(INDEX((スコア!$BK$9:$BK$180&gt;3)*ROW(スコア!$BK$9:$BK$180),),COUNTIF(スコア!$BK:$BK,"&gt;3")-ROW(C95)+1)),"")</f>
        <v/>
      </c>
      <c r="E104" s="3258"/>
      <c r="F104" s="3259"/>
    </row>
    <row r="105" spans="2:6" ht="19.5" customHeight="1">
      <c r="B105" s="3279" t="str">
        <f>IF(COUNTIF(スコア!$BK:$BK,"&gt;3")&gt;=ROW(A96),INDEX(スコア!BJ:BJ,LARGE(INDEX((スコア!$BK$9:$BK$180&gt;3)*ROW(スコア!$BK$9:$BK$180),),COUNTIF(スコア!$BK:$BK,"&gt;3")-ROW(A96)+1)),"")</f>
        <v/>
      </c>
      <c r="C105" s="3280" t="str">
        <f>IF(COUNTIF(スコア!$BK:$BK,"&gt;3")&gt;=ROW(B96),INDEX(スコア!BK:BK,LARGE(INDEX((スコア!$BK$9:$BK$180&gt;3)*ROW(スコア!$BK$9:$BK$180),),COUNTIF(スコア!$BK:$BK,"&gt;3")-ROW(B96)+1)),"")</f>
        <v/>
      </c>
      <c r="D105" s="3280" t="str">
        <f>IF(COUNTIF(スコア!$BK:$BK,"&gt;3")&gt;=ROW(C96),INDEX(スコア!BL:BL,LARGE(INDEX((スコア!$BK$9:$BK$180&gt;3)*ROW(スコア!$BK$9:$BK$180),),COUNTIF(スコア!$BK:$BK,"&gt;3")-ROW(C96)+1)),"")</f>
        <v/>
      </c>
      <c r="E105" s="3258"/>
      <c r="F105" s="3259"/>
    </row>
    <row r="106" spans="2:6" ht="19.5" customHeight="1">
      <c r="B106" s="3279" t="str">
        <f>IF(COUNTIF(スコア!$BK:$BK,"&gt;3")&gt;=ROW(A97),INDEX(スコア!BJ:BJ,LARGE(INDEX((スコア!$BK$9:$BK$180&gt;3)*ROW(スコア!$BK$9:$BK$180),),COUNTIF(スコア!$BK:$BK,"&gt;3")-ROW(A97)+1)),"")</f>
        <v/>
      </c>
      <c r="C106" s="3280" t="str">
        <f>IF(COUNTIF(スコア!$BK:$BK,"&gt;3")&gt;=ROW(B97),INDEX(スコア!BK:BK,LARGE(INDEX((スコア!$BK$9:$BK$180&gt;3)*ROW(スコア!$BK$9:$BK$180),),COUNTIF(スコア!$BK:$BK,"&gt;3")-ROW(B97)+1)),"")</f>
        <v/>
      </c>
      <c r="D106" s="3280" t="str">
        <f>IF(COUNTIF(スコア!$BK:$BK,"&gt;3")&gt;=ROW(C97),INDEX(スコア!BL:BL,LARGE(INDEX((スコア!$BK$9:$BK$180&gt;3)*ROW(スコア!$BK$9:$BK$180),),COUNTIF(スコア!$BK:$BK,"&gt;3")-ROW(C97)+1)),"")</f>
        <v/>
      </c>
      <c r="E106" s="3258"/>
      <c r="F106" s="3259"/>
    </row>
    <row r="107" spans="2:6" ht="19.5" customHeight="1">
      <c r="B107" s="3279" t="str">
        <f>IF(COUNTIF(スコア!$BK:$BK,"&gt;3")&gt;=ROW(A98),INDEX(スコア!BJ:BJ,LARGE(INDEX((スコア!$BK$9:$BK$180&gt;3)*ROW(スコア!$BK$9:$BK$180),),COUNTIF(スコア!$BK:$BK,"&gt;3")-ROW(A98)+1)),"")</f>
        <v/>
      </c>
      <c r="C107" s="3280" t="str">
        <f>IF(COUNTIF(スコア!$BK:$BK,"&gt;3")&gt;=ROW(B98),INDEX(スコア!BK:BK,LARGE(INDEX((スコア!$BK$9:$BK$180&gt;3)*ROW(スコア!$BK$9:$BK$180),),COUNTIF(スコア!$BK:$BK,"&gt;3")-ROW(B98)+1)),"")</f>
        <v/>
      </c>
      <c r="D107" s="3280" t="str">
        <f>IF(COUNTIF(スコア!$BK:$BK,"&gt;3")&gt;=ROW(C98),INDEX(スコア!BL:BL,LARGE(INDEX((スコア!$BK$9:$BK$180&gt;3)*ROW(スコア!$BK$9:$BK$180),),COUNTIF(スコア!$BK:$BK,"&gt;3")-ROW(C98)+1)),"")</f>
        <v/>
      </c>
      <c r="E107" s="3258"/>
      <c r="F107" s="3259"/>
    </row>
    <row r="108" spans="2:6" ht="19.5" customHeight="1">
      <c r="B108" s="3279" t="str">
        <f>IF(COUNTIF(スコア!$BK:$BK,"&gt;3")&gt;=ROW(A99),INDEX(スコア!BJ:BJ,LARGE(INDEX((スコア!$BK$9:$BK$180&gt;3)*ROW(スコア!$BK$9:$BK$180),),COUNTIF(スコア!$BK:$BK,"&gt;3")-ROW(A99)+1)),"")</f>
        <v/>
      </c>
      <c r="C108" s="3280" t="str">
        <f>IF(COUNTIF(スコア!$BK:$BK,"&gt;3")&gt;=ROW(B99),INDEX(スコア!BK:BK,LARGE(INDEX((スコア!$BK$9:$BK$180&gt;3)*ROW(スコア!$BK$9:$BK$180),),COUNTIF(スコア!$BK:$BK,"&gt;3")-ROW(B99)+1)),"")</f>
        <v/>
      </c>
      <c r="D108" s="3280" t="str">
        <f>IF(COUNTIF(スコア!$BK:$BK,"&gt;3")&gt;=ROW(C99),INDEX(スコア!BL:BL,LARGE(INDEX((スコア!$BK$9:$BK$180&gt;3)*ROW(スコア!$BK$9:$BK$180),),COUNTIF(スコア!$BK:$BK,"&gt;3")-ROW(C99)+1)),"")</f>
        <v/>
      </c>
      <c r="E108" s="3258"/>
      <c r="F108" s="3259"/>
    </row>
    <row r="109" spans="2:6" ht="19.5" customHeight="1">
      <c r="B109" s="3279" t="str">
        <f>IF(COUNTIF(スコア!$BK:$BK,"&gt;3")&gt;=ROW(A100),INDEX(スコア!BJ:BJ,LARGE(INDEX((スコア!$BK$9:$BK$180&gt;3)*ROW(スコア!$BK$9:$BK$180),),COUNTIF(スコア!$BK:$BK,"&gt;3")-ROW(A100)+1)),"")</f>
        <v/>
      </c>
      <c r="C109" s="3280" t="str">
        <f>IF(COUNTIF(スコア!$BK:$BK,"&gt;3")&gt;=ROW(B100),INDEX(スコア!BK:BK,LARGE(INDEX((スコア!$BK$9:$BK$180&gt;3)*ROW(スコア!$BK$9:$BK$180),),COUNTIF(スコア!$BK:$BK,"&gt;3")-ROW(B100)+1)),"")</f>
        <v/>
      </c>
      <c r="D109" s="3280" t="str">
        <f>IF(COUNTIF(スコア!$BK:$BK,"&gt;3")&gt;=ROW(C100),INDEX(スコア!BL:BL,LARGE(INDEX((スコア!$BK$9:$BK$180&gt;3)*ROW(スコア!$BK$9:$BK$180),),COUNTIF(スコア!$BK:$BK,"&gt;3")-ROW(C100)+1)),"")</f>
        <v/>
      </c>
      <c r="E109" s="3258"/>
      <c r="F109" s="3259"/>
    </row>
    <row r="110" spans="2:6" ht="19.5" customHeight="1" thickBot="1">
      <c r="B110" s="3271" t="str">
        <f>IF(COUNTIF(スコア!$BK:$BK,"&gt;3")&gt;=ROW(A101),INDEX(スコア!BJ:BJ,LARGE(INDEX((スコア!$BK$9:$BK$180&gt;3)*ROW(スコア!$BK$9:$BK$180),),COUNTIF(スコア!$BK:$BK,"&gt;3")-ROW(A101)+1)),"")</f>
        <v/>
      </c>
      <c r="C110" s="3272" t="str">
        <f>IF(COUNTIF(スコア!$BK:$BK,"&gt;3")&gt;=ROW(B101),INDEX(スコア!BK:BK,LARGE(INDEX((スコア!$BK$9:$BK$180&gt;3)*ROW(スコア!$BK$9:$BK$180),),COUNTIF(スコア!$BK:$BK,"&gt;3")-ROW(B101)+1)),"")</f>
        <v/>
      </c>
      <c r="D110" s="3272" t="str">
        <f>IF(COUNTIF(スコア!$BK:$BK,"&gt;3")&gt;=ROW(C101),INDEX(スコア!BL:BL,LARGE(INDEX((スコア!$BK$9:$BK$180&gt;3)*ROW(スコア!$BK$9:$BK$180),),COUNTIF(スコア!$BK:$BK,"&gt;3")-ROW(C101)+1)),"")</f>
        <v/>
      </c>
      <c r="E110" s="3256"/>
      <c r="F110" s="3257"/>
    </row>
    <row r="111" spans="2:6" ht="19.5" customHeight="1"/>
    <row r="112" spans="2:6"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row r="140" ht="19.5" customHeight="1"/>
    <row r="141" ht="19.5" customHeight="1"/>
    <row r="142" ht="19.5" customHeight="1"/>
    <row r="143" ht="19.5" customHeight="1"/>
    <row r="144" ht="19.5" customHeight="1"/>
    <row r="145" ht="19.5" customHeight="1"/>
    <row r="146" ht="19.5" customHeight="1"/>
    <row r="147" ht="19.5" customHeight="1"/>
    <row r="148" ht="19.5" customHeight="1"/>
    <row r="149" ht="19.5" customHeight="1"/>
    <row r="150" ht="19.5" customHeight="1"/>
    <row r="151" ht="19.5" customHeight="1"/>
    <row r="152" ht="19.5" customHeight="1"/>
    <row r="153" ht="19.5" customHeight="1"/>
    <row r="154" ht="19.5" customHeight="1"/>
    <row r="155" ht="19.5" customHeight="1"/>
    <row r="156" ht="19.5" customHeight="1"/>
    <row r="157" ht="19.5" customHeight="1"/>
    <row r="158" ht="19.5" customHeight="1"/>
    <row r="159" ht="19.5" customHeight="1"/>
    <row r="160" ht="19.5" customHeight="1"/>
    <row r="161" ht="19.5" customHeight="1"/>
    <row r="162" ht="19.5" customHeight="1"/>
    <row r="163" ht="19.5" customHeight="1"/>
    <row r="164" ht="19.5" customHeight="1"/>
    <row r="165" ht="19.5" customHeight="1"/>
    <row r="166" ht="19.5" customHeight="1"/>
    <row r="167" ht="19.5" customHeight="1"/>
    <row r="168" ht="19.5" customHeight="1"/>
    <row r="169" ht="19.5" customHeight="1"/>
    <row r="170" ht="19.5" customHeight="1"/>
  </sheetData>
  <sheetProtection password="CC47" sheet="1" objects="1" scenarios="1"/>
  <mergeCells count="1">
    <mergeCell ref="B3:F3"/>
  </mergeCells>
  <phoneticPr fontId="21"/>
  <pageMargins left="0.9055118110236221" right="0.51181102362204722" top="0.74803149606299213" bottom="0.74803149606299213" header="0.31496062992125984" footer="0.31496062992125984"/>
  <pageSetup paperSize="9" orientation="portrait" r:id="rId1"/>
  <colBreaks count="1" manualBreakCount="1">
    <brk id="1" max="1048575" man="1"/>
  </colBreaks>
  <drawing r:id="rId2"/>
</worksheet>
</file>

<file path=xl/worksheets/sheet17.xml><?xml version="1.0" encoding="utf-8"?>
<worksheet xmlns="http://schemas.openxmlformats.org/spreadsheetml/2006/main" xmlns:r="http://schemas.openxmlformats.org/officeDocument/2006/relationships">
  <sheetPr codeName="Sheet16">
    <pageSetUpPr autoPageBreaks="0"/>
  </sheetPr>
  <dimension ref="A1:CF219"/>
  <sheetViews>
    <sheetView showGridLines="0" zoomScaleNormal="100" zoomScaleSheetLayoutView="100" zoomScalePageLayoutView="25" workbookViewId="0">
      <selection activeCell="D7" sqref="D7"/>
    </sheetView>
  </sheetViews>
  <sheetFormatPr defaultColWidth="0" defaultRowHeight="13.5" zeroHeight="1"/>
  <cols>
    <col min="1" max="1" width="1.25" customWidth="1"/>
    <col min="2" max="2" width="7.25" style="1918" customWidth="1"/>
    <col min="3" max="3" width="37" style="1919" customWidth="1"/>
    <col min="4" max="4" width="8.875" style="1920" bestFit="1" customWidth="1"/>
    <col min="5" max="5" width="8.875" style="1921" bestFit="1" customWidth="1"/>
    <col min="6" max="6" width="1.625" customWidth="1"/>
    <col min="7" max="14" width="7.875" style="1921" customWidth="1"/>
    <col min="15" max="15" width="2.625" customWidth="1"/>
    <col min="16" max="16" width="5.875" style="1922" customWidth="1"/>
    <col min="17" max="17" width="11.375" style="1922" customWidth="1"/>
    <col min="18" max="18" width="37.25" style="1923" customWidth="1"/>
    <col min="19" max="31" width="6.625" style="1924" customWidth="1"/>
    <col min="32" max="32" width="1.625" customWidth="1"/>
    <col min="33" max="33" width="10.5" style="1925" bestFit="1" customWidth="1"/>
    <col min="34" max="34" width="6.875" style="136" bestFit="1" customWidth="1"/>
    <col min="35" max="35" width="40.625" style="1926" bestFit="1" customWidth="1"/>
    <col min="36" max="36" width="6.375" style="136" bestFit="1" customWidth="1"/>
    <col min="37" max="37" width="5.625" style="136" bestFit="1" customWidth="1"/>
    <col min="38" max="39" width="6.375" style="136" bestFit="1" customWidth="1"/>
    <col min="40" max="40" width="5.625" style="136" bestFit="1" customWidth="1"/>
    <col min="41" max="41" width="6.125" style="136" bestFit="1" customWidth="1"/>
    <col min="42" max="42" width="8" style="136" bestFit="1" customWidth="1"/>
    <col min="43" max="43" width="6.375" style="136" bestFit="1" customWidth="1"/>
    <col min="44" max="44" width="6" style="136" bestFit="1" customWidth="1"/>
    <col min="45" max="45" width="6.375" style="136" bestFit="1" customWidth="1"/>
    <col min="46" max="46" width="5.625" style="136" bestFit="1" customWidth="1"/>
    <col min="47" max="47" width="7" style="136" bestFit="1" customWidth="1"/>
    <col min="48" max="48" width="7.875" style="136" customWidth="1"/>
    <col min="49" max="49" width="3.5" customWidth="1"/>
    <col min="50" max="50" width="12.5" style="1925" hidden="1" customWidth="1"/>
    <col min="51" max="51" width="6.875" style="136" hidden="1" customWidth="1"/>
    <col min="52" max="52" width="40.625" style="1926" hidden="1" customWidth="1"/>
    <col min="53" max="53" width="6.375" style="136" hidden="1" customWidth="1"/>
    <col min="54" max="54" width="5" style="136" hidden="1" customWidth="1"/>
    <col min="55" max="56" width="6.375" style="136" hidden="1" customWidth="1"/>
    <col min="57" max="57" width="5" style="136" hidden="1" customWidth="1"/>
    <col min="58" max="58" width="6.125" style="136" hidden="1" customWidth="1"/>
    <col min="59" max="59" width="8" style="136" hidden="1" customWidth="1"/>
    <col min="60" max="60" width="6.375" style="136" hidden="1" customWidth="1"/>
    <col min="61" max="61" width="6" style="136" hidden="1" customWidth="1"/>
    <col min="62" max="62" width="6.375" style="136" hidden="1" customWidth="1"/>
    <col min="63" max="63" width="5.625" style="136" hidden="1" customWidth="1"/>
    <col min="64" max="64" width="7" style="136" hidden="1" customWidth="1"/>
    <col min="65" max="65" width="8.875" style="136" hidden="1" customWidth="1"/>
    <col min="66" max="66" width="1.375" hidden="1" customWidth="1"/>
    <col min="67" max="67" width="9.75" style="1925" hidden="1" customWidth="1"/>
    <col min="68" max="68" width="6.875" style="136" hidden="1" customWidth="1"/>
    <col min="69" max="69" width="37.625" style="1926" hidden="1" customWidth="1"/>
    <col min="70" max="82" width="6.625" style="136" hidden="1" customWidth="1"/>
    <col min="83" max="83" width="1.875" style="1423" customWidth="1"/>
    <col min="84" max="84" width="4.75" hidden="1" customWidth="1"/>
    <col min="85" max="16384" width="0" style="1423" hidden="1"/>
  </cols>
  <sheetData>
    <row r="1" spans="1:84"/>
    <row r="2" spans="1:84" s="1939" customFormat="1" ht="17.25">
      <c r="A2"/>
      <c r="B2" s="1927" t="s">
        <v>973</v>
      </c>
      <c r="C2" s="1928"/>
      <c r="D2" s="1929"/>
      <c r="E2" s="1930"/>
      <c r="F2"/>
      <c r="G2" s="1930"/>
      <c r="H2" s="1930"/>
      <c r="I2" s="1931"/>
      <c r="J2" s="1931"/>
      <c r="K2" s="1930"/>
      <c r="L2" s="1930"/>
      <c r="M2" s="1930"/>
      <c r="N2" s="1930"/>
      <c r="O2"/>
      <c r="P2" s="1932" t="s">
        <v>974</v>
      </c>
      <c r="Q2" s="1933"/>
      <c r="R2" s="1934"/>
      <c r="S2" s="1935"/>
      <c r="T2" s="1936"/>
      <c r="U2" s="1936"/>
      <c r="V2" s="1936"/>
      <c r="W2" s="1936"/>
      <c r="X2" s="1936"/>
      <c r="Y2" s="1936"/>
      <c r="Z2" s="1936"/>
      <c r="AA2" s="1936"/>
      <c r="AB2" s="1936"/>
      <c r="AC2" s="1936"/>
      <c r="AD2" s="1936"/>
      <c r="AE2" s="1936"/>
      <c r="AF2"/>
      <c r="AG2" s="1937"/>
      <c r="AH2" s="1935"/>
      <c r="AI2" s="1938"/>
      <c r="AJ2" s="1935"/>
      <c r="AK2" s="1935"/>
      <c r="AL2" s="1935"/>
      <c r="AM2" s="1935"/>
      <c r="AN2" s="1935"/>
      <c r="AO2" s="1935"/>
      <c r="AP2" s="1935"/>
      <c r="AQ2" s="1935"/>
      <c r="AR2" s="1935"/>
      <c r="AS2" s="1935"/>
      <c r="AT2" s="1935"/>
      <c r="AU2" s="1935"/>
      <c r="AV2" s="1935"/>
      <c r="AW2"/>
      <c r="AX2" s="1937"/>
      <c r="AY2" s="1935"/>
      <c r="AZ2" s="1938"/>
      <c r="BA2" s="1935"/>
      <c r="BB2" s="1935"/>
      <c r="BC2" s="1935"/>
      <c r="BD2" s="1935"/>
      <c r="BE2" s="1935"/>
      <c r="BF2" s="1935"/>
      <c r="BG2" s="1935"/>
      <c r="BH2" s="1935"/>
      <c r="BI2" s="1935"/>
      <c r="BJ2" s="1935"/>
      <c r="BK2" s="1935"/>
      <c r="BL2" s="1935"/>
      <c r="BM2" s="1935"/>
      <c r="BN2"/>
      <c r="BO2" s="1937"/>
      <c r="BP2" s="1935"/>
      <c r="BQ2" s="1938"/>
      <c r="BR2" s="1935"/>
      <c r="BS2" s="1935"/>
      <c r="BT2" s="1935"/>
      <c r="BU2" s="1935"/>
      <c r="BV2" s="1935"/>
      <c r="BW2" s="1935"/>
      <c r="BX2" s="1935"/>
      <c r="BY2" s="1935"/>
      <c r="BZ2" s="1935"/>
      <c r="CA2" s="1935"/>
      <c r="CB2" s="1935"/>
      <c r="CC2" s="1935"/>
      <c r="CD2" s="1935"/>
      <c r="CF2"/>
    </row>
    <row r="3" spans="1:84" s="1939" customFormat="1" ht="17.25">
      <c r="A3"/>
      <c r="B3" s="1927"/>
      <c r="C3" s="1928"/>
      <c r="D3" s="1929"/>
      <c r="E3" s="1930"/>
      <c r="F3"/>
      <c r="G3" s="1930"/>
      <c r="H3" s="1930"/>
      <c r="I3" s="1931"/>
      <c r="J3" s="1931"/>
      <c r="K3" s="1930"/>
      <c r="L3" s="1930"/>
      <c r="M3" s="1930"/>
      <c r="N3" s="1930"/>
      <c r="O3"/>
      <c r="P3" s="1940">
        <f>メイン!I42</f>
        <v>0</v>
      </c>
      <c r="Q3" s="879" t="str">
        <f>LEFT(メイン!C5,6)</f>
        <v>CASBEE</v>
      </c>
      <c r="R3" s="1941"/>
      <c r="S3" s="1942"/>
      <c r="T3" s="1936"/>
      <c r="U3" s="1936"/>
      <c r="V3" s="1936"/>
      <c r="W3" s="1936"/>
      <c r="X3" s="1936"/>
      <c r="Y3" s="1936"/>
      <c r="Z3" s="1936"/>
      <c r="AA3" s="1936"/>
      <c r="AB3" s="1936"/>
      <c r="AC3" s="1936"/>
      <c r="AD3" s="1936"/>
      <c r="AE3" s="1936"/>
      <c r="AF3"/>
      <c r="AG3" s="1940" t="s">
        <v>975</v>
      </c>
      <c r="AH3" s="1935"/>
      <c r="AI3" s="1943"/>
      <c r="AJ3" s="1936"/>
      <c r="AK3" s="1936"/>
      <c r="AL3" s="1936"/>
      <c r="AM3" s="1936"/>
      <c r="AN3" s="1936"/>
      <c r="AO3" s="1936"/>
      <c r="AP3" s="1936"/>
      <c r="AQ3" s="1936"/>
      <c r="AR3" s="1936"/>
      <c r="AS3" s="1936"/>
      <c r="AT3" s="1936"/>
      <c r="AU3" s="1936"/>
      <c r="AV3" s="1936"/>
      <c r="AW3"/>
      <c r="AX3" s="1940" t="s">
        <v>976</v>
      </c>
      <c r="AY3" s="1935"/>
      <c r="AZ3" s="1943"/>
      <c r="BA3" s="1936"/>
      <c r="BB3" s="1936"/>
      <c r="BC3" s="1936"/>
      <c r="BD3" s="1936"/>
      <c r="BE3" s="1936"/>
      <c r="BF3" s="1936"/>
      <c r="BG3" s="1936"/>
      <c r="BH3" s="1936"/>
      <c r="BI3" s="1936"/>
      <c r="BJ3" s="1936"/>
      <c r="BK3" s="1936"/>
      <c r="BL3" s="1936"/>
      <c r="BM3" s="1936"/>
      <c r="BN3"/>
      <c r="BO3" s="1940" t="s">
        <v>977</v>
      </c>
      <c r="BP3" s="1935"/>
      <c r="BQ3" s="1943"/>
      <c r="BR3" s="1936"/>
      <c r="BS3" s="1936"/>
      <c r="BT3" s="1936"/>
      <c r="BU3" s="1936"/>
      <c r="BV3" s="1936"/>
      <c r="BW3" s="1936"/>
      <c r="BX3" s="1936"/>
      <c r="BY3" s="1936"/>
      <c r="BZ3" s="1936"/>
      <c r="CA3" s="1936"/>
      <c r="CB3" s="1936"/>
      <c r="CC3" s="1936"/>
      <c r="CD3" s="1936"/>
      <c r="CE3" s="1936"/>
      <c r="CF3"/>
    </row>
    <row r="4" spans="1:84" s="1939" customFormat="1" ht="4.5" customHeight="1">
      <c r="A4"/>
      <c r="B4" s="1927"/>
      <c r="C4" s="1928"/>
      <c r="D4" s="1929"/>
      <c r="E4" s="1930"/>
      <c r="F4"/>
      <c r="G4" s="1930"/>
      <c r="H4" s="1930"/>
      <c r="I4" s="1931"/>
      <c r="J4" s="1931"/>
      <c r="K4" s="1930"/>
      <c r="L4" s="1930"/>
      <c r="M4" s="1930"/>
      <c r="N4" s="1930"/>
      <c r="O4"/>
      <c r="P4" s="1933"/>
      <c r="Q4" s="1933"/>
      <c r="R4" s="1943"/>
      <c r="S4" s="1936"/>
      <c r="T4" s="1936"/>
      <c r="U4" s="1936"/>
      <c r="V4" s="1936"/>
      <c r="W4" s="1936"/>
      <c r="X4" s="1936"/>
      <c r="Y4" s="1936"/>
      <c r="Z4" s="1936"/>
      <c r="AA4" s="1936"/>
      <c r="AB4" s="1936"/>
      <c r="AC4" s="1936"/>
      <c r="AD4" s="1936"/>
      <c r="AE4" s="1936"/>
      <c r="AF4"/>
      <c r="AG4" s="1940"/>
      <c r="AH4" s="1933"/>
      <c r="AI4" s="1943"/>
      <c r="AJ4" s="1936"/>
      <c r="AK4" s="1936"/>
      <c r="AL4" s="1936"/>
      <c r="AM4" s="1936"/>
      <c r="AN4" s="1936"/>
      <c r="AO4" s="1936"/>
      <c r="AP4" s="1936"/>
      <c r="AQ4" s="1936"/>
      <c r="AR4" s="1936"/>
      <c r="AS4" s="1936"/>
      <c r="AT4" s="1936"/>
      <c r="AU4" s="1936"/>
      <c r="AV4" s="1936"/>
      <c r="AW4"/>
      <c r="AX4" s="1940"/>
      <c r="AY4" s="1933"/>
      <c r="AZ4" s="1943"/>
      <c r="BA4" s="1936"/>
      <c r="BB4" s="1936"/>
      <c r="BC4" s="1936"/>
      <c r="BD4" s="1936"/>
      <c r="BE4" s="1936"/>
      <c r="BF4" s="1936"/>
      <c r="BG4" s="1936"/>
      <c r="BH4" s="1936"/>
      <c r="BI4" s="1936"/>
      <c r="BJ4" s="1936"/>
      <c r="BK4" s="1936"/>
      <c r="BL4" s="1936"/>
      <c r="BM4" s="1936"/>
      <c r="BN4"/>
      <c r="BO4" s="1940"/>
      <c r="BP4" s="1933"/>
      <c r="BQ4" s="1943"/>
      <c r="BR4" s="1936"/>
      <c r="BS4" s="1936"/>
      <c r="BT4" s="1936"/>
      <c r="BU4" s="1936"/>
      <c r="BV4" s="1936"/>
      <c r="BW4" s="1936"/>
      <c r="BX4" s="1936"/>
      <c r="BY4" s="1936"/>
      <c r="BZ4" s="1936"/>
      <c r="CA4" s="1936"/>
      <c r="CB4" s="1936"/>
      <c r="CC4" s="1936"/>
      <c r="CD4" s="1936"/>
      <c r="CE4" s="1936"/>
      <c r="CF4"/>
    </row>
    <row r="5" spans="1:84">
      <c r="B5" s="1944"/>
      <c r="C5" s="1945"/>
      <c r="D5" s="1946" t="s">
        <v>978</v>
      </c>
      <c r="E5" s="1947"/>
      <c r="G5" s="1948" t="s">
        <v>979</v>
      </c>
      <c r="H5" s="1949"/>
      <c r="I5" s="1950" t="s">
        <v>980</v>
      </c>
      <c r="J5" s="1951"/>
      <c r="K5" s="1948" t="s">
        <v>981</v>
      </c>
      <c r="L5" s="1949"/>
      <c r="M5" s="1948" t="s">
        <v>982</v>
      </c>
      <c r="N5" s="1949"/>
      <c r="P5" s="1952"/>
      <c r="Q5" s="1952"/>
      <c r="R5" s="1953"/>
      <c r="S5" s="4010" t="s">
        <v>745</v>
      </c>
      <c r="T5" s="4010"/>
      <c r="U5" s="4010"/>
      <c r="V5" s="4010"/>
      <c r="W5" s="4010"/>
      <c r="X5" s="4010"/>
      <c r="Y5" s="4010"/>
      <c r="Z5" s="4010"/>
      <c r="AA5" s="4011"/>
      <c r="AB5" s="1954" t="s">
        <v>746</v>
      </c>
      <c r="AC5" s="4010" t="s">
        <v>747</v>
      </c>
      <c r="AD5" s="4010"/>
      <c r="AE5" s="4010"/>
      <c r="AG5" s="1955"/>
      <c r="AH5" s="1952"/>
      <c r="AI5" s="1956"/>
      <c r="AJ5" s="4010" t="s">
        <v>745</v>
      </c>
      <c r="AK5" s="4010"/>
      <c r="AL5" s="4010"/>
      <c r="AM5" s="4010"/>
      <c r="AN5" s="4010"/>
      <c r="AO5" s="4010"/>
      <c r="AP5" s="4010"/>
      <c r="AQ5" s="4010"/>
      <c r="AR5" s="4011"/>
      <c r="AS5" s="1954" t="s">
        <v>746</v>
      </c>
      <c r="AT5" s="4010" t="s">
        <v>747</v>
      </c>
      <c r="AU5" s="4010"/>
      <c r="AV5" s="4010"/>
      <c r="AX5" s="1955"/>
      <c r="AY5" s="1952"/>
      <c r="AZ5" s="1956"/>
      <c r="BA5" s="4010" t="s">
        <v>745</v>
      </c>
      <c r="BB5" s="4010"/>
      <c r="BC5" s="4010"/>
      <c r="BD5" s="4010"/>
      <c r="BE5" s="4010"/>
      <c r="BF5" s="4010"/>
      <c r="BG5" s="4010"/>
      <c r="BH5" s="4010"/>
      <c r="BI5" s="4011"/>
      <c r="BJ5" s="1954" t="s">
        <v>746</v>
      </c>
      <c r="BK5" s="4010" t="s">
        <v>747</v>
      </c>
      <c r="BL5" s="4010"/>
      <c r="BM5" s="4010"/>
      <c r="BO5" s="1955"/>
      <c r="BP5" s="1952"/>
      <c r="BQ5" s="1956"/>
      <c r="BR5" s="4010" t="s">
        <v>745</v>
      </c>
      <c r="BS5" s="4010"/>
      <c r="BT5" s="4010"/>
      <c r="BU5" s="4010"/>
      <c r="BV5" s="4010"/>
      <c r="BW5" s="4010"/>
      <c r="BX5" s="4010"/>
      <c r="BY5" s="4010"/>
      <c r="BZ5" s="4011"/>
      <c r="CA5" s="1954" t="s">
        <v>746</v>
      </c>
      <c r="CB5" s="4010" t="s">
        <v>747</v>
      </c>
      <c r="CC5" s="4010"/>
      <c r="CD5" s="4010"/>
      <c r="CE5" s="2441"/>
    </row>
    <row r="6" spans="1:84" s="1964" customFormat="1">
      <c r="A6"/>
      <c r="B6" s="1957"/>
      <c r="C6" s="1958"/>
      <c r="D6" s="1959" t="s">
        <v>748</v>
      </c>
      <c r="E6" s="1959" t="s">
        <v>749</v>
      </c>
      <c r="F6"/>
      <c r="G6" s="1959" t="s">
        <v>748</v>
      </c>
      <c r="H6" s="1959" t="s">
        <v>749</v>
      </c>
      <c r="I6" s="1959" t="s">
        <v>748</v>
      </c>
      <c r="J6" s="1959" t="s">
        <v>749</v>
      </c>
      <c r="K6" s="1959" t="s">
        <v>748</v>
      </c>
      <c r="L6" s="1959" t="s">
        <v>749</v>
      </c>
      <c r="M6" s="1959" t="s">
        <v>748</v>
      </c>
      <c r="N6" s="1959" t="s">
        <v>749</v>
      </c>
      <c r="O6"/>
      <c r="P6" s="1953"/>
      <c r="Q6" s="1953" t="s">
        <v>1781</v>
      </c>
      <c r="R6" s="1953" t="s">
        <v>750</v>
      </c>
      <c r="S6" s="1960" t="s">
        <v>348</v>
      </c>
      <c r="T6" s="1960" t="s">
        <v>350</v>
      </c>
      <c r="U6" s="1960" t="s">
        <v>352</v>
      </c>
      <c r="V6" s="1960" t="s">
        <v>354</v>
      </c>
      <c r="W6" s="1960" t="s">
        <v>358</v>
      </c>
      <c r="X6" s="1960" t="s">
        <v>360</v>
      </c>
      <c r="Y6" s="1960" t="s">
        <v>362</v>
      </c>
      <c r="Z6" s="1961" t="s">
        <v>1614</v>
      </c>
      <c r="AA6" s="1960" t="s">
        <v>364</v>
      </c>
      <c r="AB6" s="1960" t="s">
        <v>350</v>
      </c>
      <c r="AC6" s="1962" t="s">
        <v>1757</v>
      </c>
      <c r="AD6" s="1960" t="s">
        <v>183</v>
      </c>
      <c r="AE6" s="1960" t="s">
        <v>184</v>
      </c>
      <c r="AF6"/>
      <c r="AG6" s="1963"/>
      <c r="AH6" s="1953" t="s">
        <v>1781</v>
      </c>
      <c r="AI6" s="1956" t="s">
        <v>750</v>
      </c>
      <c r="AJ6" s="1960" t="s">
        <v>348</v>
      </c>
      <c r="AK6" s="1960" t="s">
        <v>350</v>
      </c>
      <c r="AL6" s="1960" t="s">
        <v>352</v>
      </c>
      <c r="AM6" s="1960" t="s">
        <v>354</v>
      </c>
      <c r="AN6" s="1960" t="s">
        <v>358</v>
      </c>
      <c r="AO6" s="1960" t="s">
        <v>360</v>
      </c>
      <c r="AP6" s="1960" t="s">
        <v>362</v>
      </c>
      <c r="AQ6" s="1961" t="s">
        <v>1614</v>
      </c>
      <c r="AR6" s="1960" t="s">
        <v>364</v>
      </c>
      <c r="AS6" s="1960" t="s">
        <v>350</v>
      </c>
      <c r="AT6" s="1962" t="s">
        <v>1757</v>
      </c>
      <c r="AU6" s="1960" t="s">
        <v>183</v>
      </c>
      <c r="AV6" s="1960" t="s">
        <v>184</v>
      </c>
      <c r="AW6"/>
      <c r="AX6" s="1963"/>
      <c r="AY6" s="1953" t="s">
        <v>1781</v>
      </c>
      <c r="AZ6" s="1956" t="s">
        <v>750</v>
      </c>
      <c r="BA6" s="1960" t="s">
        <v>348</v>
      </c>
      <c r="BB6" s="1960" t="s">
        <v>350</v>
      </c>
      <c r="BC6" s="1960" t="s">
        <v>352</v>
      </c>
      <c r="BD6" s="1960" t="s">
        <v>354</v>
      </c>
      <c r="BE6" s="1960" t="s">
        <v>358</v>
      </c>
      <c r="BF6" s="1960" t="s">
        <v>360</v>
      </c>
      <c r="BG6" s="1960" t="s">
        <v>362</v>
      </c>
      <c r="BH6" s="1961" t="s">
        <v>1614</v>
      </c>
      <c r="BI6" s="1960" t="s">
        <v>364</v>
      </c>
      <c r="BJ6" s="1960" t="s">
        <v>350</v>
      </c>
      <c r="BK6" s="1962" t="s">
        <v>1757</v>
      </c>
      <c r="BL6" s="1960" t="s">
        <v>183</v>
      </c>
      <c r="BM6" s="1960" t="s">
        <v>184</v>
      </c>
      <c r="BN6"/>
      <c r="BO6" s="1963"/>
      <c r="BP6" s="1953" t="s">
        <v>1781</v>
      </c>
      <c r="BQ6" s="1956" t="s">
        <v>750</v>
      </c>
      <c r="BR6" s="1960" t="s">
        <v>348</v>
      </c>
      <c r="BS6" s="1960" t="s">
        <v>350</v>
      </c>
      <c r="BT6" s="1960" t="s">
        <v>352</v>
      </c>
      <c r="BU6" s="1960" t="s">
        <v>354</v>
      </c>
      <c r="BV6" s="1960" t="s">
        <v>358</v>
      </c>
      <c r="BW6" s="1960" t="s">
        <v>360</v>
      </c>
      <c r="BX6" s="1960" t="s">
        <v>362</v>
      </c>
      <c r="BY6" s="1961" t="s">
        <v>1614</v>
      </c>
      <c r="BZ6" s="1960" t="s">
        <v>364</v>
      </c>
      <c r="CA6" s="1960" t="s">
        <v>350</v>
      </c>
      <c r="CB6" s="1962" t="s">
        <v>1757</v>
      </c>
      <c r="CC6" s="1960" t="s">
        <v>183</v>
      </c>
      <c r="CD6" s="1960" t="s">
        <v>184</v>
      </c>
      <c r="CE6" s="2442"/>
      <c r="CF6"/>
    </row>
    <row r="7" spans="1:84">
      <c r="B7" s="1965"/>
      <c r="C7" s="1966" t="s">
        <v>185</v>
      </c>
      <c r="D7" s="1967" t="e">
        <f>1-E7</f>
        <v>#DIV/0!</v>
      </c>
      <c r="E7" s="1968" t="e">
        <f>(AC8*W7)+(AD8*X7)+(AE8*Y7)</f>
        <v>#DIV/0!</v>
      </c>
      <c r="G7" s="1968"/>
      <c r="H7" s="1968"/>
      <c r="I7" s="1968"/>
      <c r="J7" s="1968"/>
      <c r="K7" s="1968"/>
      <c r="L7" s="1968"/>
      <c r="M7" s="1968"/>
      <c r="N7" s="1968"/>
      <c r="P7" s="1952"/>
      <c r="Q7" s="1952" t="s">
        <v>751</v>
      </c>
      <c r="R7" s="1953" t="s">
        <v>752</v>
      </c>
      <c r="S7" s="1969" t="e">
        <f>メイン!C47/メイン!$C$19</f>
        <v>#DIV/0!</v>
      </c>
      <c r="T7" s="1969" t="e">
        <f>(メイン!E49+メイン!E52+メイン!E53)/メイン!$C$19</f>
        <v>#DIV/0!</v>
      </c>
      <c r="U7" s="1969" t="e">
        <f>メイン!C54/メイン!$C$19</f>
        <v>#DIV/0!</v>
      </c>
      <c r="V7" s="1969" t="e">
        <f>メイン!C56/メイン!$C$19</f>
        <v>#DIV/0!</v>
      </c>
      <c r="W7" s="1969" t="e">
        <f>メイン!C61/メイン!$C$19</f>
        <v>#DIV/0!</v>
      </c>
      <c r="X7" s="1969" t="e">
        <f>メイン!C62/メイン!$C$19</f>
        <v>#DIV/0!</v>
      </c>
      <c r="Y7" s="1969" t="e">
        <f>メイン!C64/メイン!$C$19</f>
        <v>#DIV/0!</v>
      </c>
      <c r="Z7" s="1969" t="e">
        <f>メイン!C57/メイン!$C$19</f>
        <v>#DIV/0!</v>
      </c>
      <c r="AA7" s="1969" t="e">
        <f>メイン!C60/メイン!$C$19</f>
        <v>#DIV/0!</v>
      </c>
      <c r="AB7" s="1969" t="e">
        <f>(メイン!E50+メイン!E51)/メイン!$C$19</f>
        <v>#DIV/0!</v>
      </c>
      <c r="AC7" s="1969" t="e">
        <f>W7</f>
        <v>#DIV/0!</v>
      </c>
      <c r="AD7" s="1969" t="e">
        <f>X7</f>
        <v>#DIV/0!</v>
      </c>
      <c r="AE7" s="1969" t="e">
        <f>Y7</f>
        <v>#DIV/0!</v>
      </c>
      <c r="AG7" s="1955"/>
      <c r="AH7" s="1952"/>
      <c r="AI7" s="1956"/>
      <c r="AJ7" s="1971"/>
      <c r="AK7" s="1971"/>
      <c r="AL7" s="1971"/>
      <c r="AM7" s="1971"/>
      <c r="AN7" s="1971"/>
      <c r="AO7" s="1971"/>
      <c r="AP7" s="1971"/>
      <c r="AQ7" s="1972"/>
      <c r="AR7" s="1971"/>
      <c r="AS7" s="1971"/>
      <c r="AT7" s="1971"/>
      <c r="AU7" s="1971"/>
      <c r="AV7" s="1971"/>
      <c r="AX7" s="1955"/>
      <c r="AY7" s="1952"/>
      <c r="AZ7" s="1956"/>
      <c r="BA7" s="1971"/>
      <c r="BB7" s="1971"/>
      <c r="BC7" s="1971"/>
      <c r="BD7" s="1971"/>
      <c r="BE7" s="1971"/>
      <c r="BF7" s="1971"/>
      <c r="BG7" s="1971"/>
      <c r="BH7" s="1972"/>
      <c r="BI7" s="1971"/>
      <c r="BJ7" s="1971"/>
      <c r="BK7" s="1971"/>
      <c r="BL7" s="1971"/>
      <c r="BM7" s="1971"/>
      <c r="BO7" s="1955"/>
      <c r="BP7" s="1952"/>
      <c r="BQ7" s="1956"/>
      <c r="BR7" s="1971"/>
      <c r="BS7" s="1971"/>
      <c r="BT7" s="1971"/>
      <c r="BU7" s="1971"/>
      <c r="BV7" s="1971"/>
      <c r="BW7" s="1971"/>
      <c r="BX7" s="1971"/>
      <c r="BY7" s="1972"/>
      <c r="BZ7" s="1971"/>
      <c r="CA7" s="1971"/>
      <c r="CB7" s="1971"/>
      <c r="CC7" s="1971"/>
      <c r="CD7" s="1971"/>
      <c r="CE7" s="2443"/>
    </row>
    <row r="8" spans="1:84" s="1406" customFormat="1" ht="14.25">
      <c r="A8"/>
      <c r="B8" s="1973" t="s">
        <v>186</v>
      </c>
      <c r="C8" s="1974" t="s">
        <v>762</v>
      </c>
      <c r="D8" s="1975"/>
      <c r="E8" s="1976"/>
      <c r="F8"/>
      <c r="G8" s="1976"/>
      <c r="H8" s="1976"/>
      <c r="I8" s="1976" t="e">
        <f>G9+G61+G109</f>
        <v>#DIV/0!</v>
      </c>
      <c r="J8" s="1976" t="e">
        <f>H9+H61+H109</f>
        <v>#DIV/0!</v>
      </c>
      <c r="K8" s="1976"/>
      <c r="L8" s="1976"/>
      <c r="M8" s="1976"/>
      <c r="N8" s="1976"/>
      <c r="O8"/>
      <c r="P8" s="1973"/>
      <c r="Q8" s="1973" t="s">
        <v>187</v>
      </c>
      <c r="R8" s="1953" t="s">
        <v>763</v>
      </c>
      <c r="S8" s="1969"/>
      <c r="T8" s="1969"/>
      <c r="U8" s="1969"/>
      <c r="V8" s="1969"/>
      <c r="W8" s="1969">
        <f>1-メイン!F68</f>
        <v>1</v>
      </c>
      <c r="X8" s="1969">
        <f>1-メイン!F69</f>
        <v>1</v>
      </c>
      <c r="Y8" s="1969">
        <f>1-メイン!F70</f>
        <v>1</v>
      </c>
      <c r="Z8" s="1970"/>
      <c r="AA8" s="1969"/>
      <c r="AB8" s="1969"/>
      <c r="AC8" s="1977">
        <f>メイン!F68</f>
        <v>0</v>
      </c>
      <c r="AD8" s="1978">
        <f>メイン!F69</f>
        <v>0</v>
      </c>
      <c r="AE8" s="1969">
        <f>メイン!F70</f>
        <v>0</v>
      </c>
      <c r="AF8"/>
      <c r="AG8" s="1979" t="s">
        <v>188</v>
      </c>
      <c r="AH8" s="1973"/>
      <c r="AI8" s="1980" t="s">
        <v>189</v>
      </c>
      <c r="AJ8" s="1981"/>
      <c r="AK8" s="1981"/>
      <c r="AL8" s="1981"/>
      <c r="AM8" s="1981"/>
      <c r="AN8" s="1981"/>
      <c r="AO8" s="1981"/>
      <c r="AP8" s="1981"/>
      <c r="AQ8" s="1982"/>
      <c r="AR8" s="1981"/>
      <c r="AS8" s="1981"/>
      <c r="AT8" s="1983"/>
      <c r="AU8" s="1984"/>
      <c r="AV8" s="1984"/>
      <c r="AW8"/>
      <c r="AX8" s="1979" t="s">
        <v>188</v>
      </c>
      <c r="AY8" s="1973"/>
      <c r="AZ8" s="1980" t="s">
        <v>189</v>
      </c>
      <c r="BA8" s="1981"/>
      <c r="BB8" s="1981"/>
      <c r="BC8" s="1981"/>
      <c r="BD8" s="1981"/>
      <c r="BE8" s="1981"/>
      <c r="BF8" s="1981"/>
      <c r="BG8" s="1981"/>
      <c r="BH8" s="1982"/>
      <c r="BI8" s="1981"/>
      <c r="BJ8" s="1981"/>
      <c r="BK8" s="1983"/>
      <c r="BL8" s="1984"/>
      <c r="BM8" s="1984"/>
      <c r="BN8"/>
      <c r="BO8" s="1979" t="s">
        <v>188</v>
      </c>
      <c r="BP8" s="1973"/>
      <c r="BQ8" s="1980" t="s">
        <v>189</v>
      </c>
      <c r="BR8" s="1981"/>
      <c r="BS8" s="1981"/>
      <c r="BT8" s="1981"/>
      <c r="BU8" s="1981"/>
      <c r="BV8" s="1981"/>
      <c r="BW8" s="1981"/>
      <c r="BX8" s="1981"/>
      <c r="BY8" s="1982"/>
      <c r="BZ8" s="1981"/>
      <c r="CA8" s="1981"/>
      <c r="CB8" s="1983"/>
      <c r="CC8" s="1984"/>
      <c r="CD8" s="1984"/>
      <c r="CE8" s="2444"/>
      <c r="CF8"/>
    </row>
    <row r="9" spans="1:84" s="1406" customFormat="1">
      <c r="A9"/>
      <c r="B9" s="1985" t="str">
        <f t="shared" ref="B9:B41" si="0">P9</f>
        <v>Q1</v>
      </c>
      <c r="C9" s="1986" t="str">
        <f t="shared" ref="C9:C40" si="1">R9</f>
        <v>室内環境</v>
      </c>
      <c r="D9" s="1987" t="e">
        <f>IF(I$8=0,0,G9/I$8)</f>
        <v>#DIV/0!</v>
      </c>
      <c r="E9" s="1988" t="e">
        <f>IF(J$8=0,0,H9/J$8)</f>
        <v>#DIV/0!</v>
      </c>
      <c r="F9"/>
      <c r="G9" s="1988" t="e">
        <f t="shared" ref="G9:G40" si="2">K9*M9</f>
        <v>#DIV/0!</v>
      </c>
      <c r="H9" s="1988" t="e">
        <f t="shared" ref="H9:H40" si="3">L9*N9</f>
        <v>#DIV/0!</v>
      </c>
      <c r="I9" s="1988" t="e">
        <f>G10+G20+G34+G47</f>
        <v>#DIV/0!</v>
      </c>
      <c r="J9" s="1988" t="e">
        <f>H10+H20+H34+H47</f>
        <v>#DIV/0!</v>
      </c>
      <c r="K9" s="1988" t="e">
        <f>IF(スコア!S9=0,0,1)</f>
        <v>#DIV/0!</v>
      </c>
      <c r="L9" s="1988">
        <f>IF(スコア!Q9=0,0,1)</f>
        <v>0</v>
      </c>
      <c r="M9" s="1988" t="e">
        <f t="shared" ref="M9:M40" si="4">SUMPRODUCT($S$7:$AB$7,S9:AB9)</f>
        <v>#DIV/0!</v>
      </c>
      <c r="N9" s="1988" t="e">
        <f t="shared" ref="N9:N40" si="5">(AC$7*AC9)+(AD$7*AD9)+(AE$7*AE9)</f>
        <v>#DIV/0!</v>
      </c>
      <c r="O9"/>
      <c r="P9" s="1985" t="str">
        <f t="shared" ref="P9:P72" si="6">IF($P$3=1,AX9,IF($P$3=2,BO9,AG9))</f>
        <v>Q1</v>
      </c>
      <c r="Q9" s="1985" t="str">
        <f t="shared" ref="Q9:Q72" si="7">IF($P$3=1,AY9,IF($P$3=2,BP9,AH9))</f>
        <v xml:space="preserve"> Q</v>
      </c>
      <c r="R9" s="1989" t="str">
        <f t="shared" ref="R9:R61" si="8">IF($P$3=1,AZ9,IF($P$3=2,BQ9,AI9))</f>
        <v>室内環境</v>
      </c>
      <c r="S9" s="1990">
        <f t="shared" ref="S9:S40" si="9">IF($P$3=1,BA9,IF($P$3=2,BR9,AJ9))</f>
        <v>0.4</v>
      </c>
      <c r="T9" s="1990">
        <f t="shared" ref="T9:T40" si="10">IF($P$3=1,BB9,IF($P$3=2,BS9,AK9))</f>
        <v>0.4</v>
      </c>
      <c r="U9" s="1990">
        <f t="shared" ref="U9:U40" si="11">IF($P$3=1,BC9,IF($P$3=2,BT9,AL9))</f>
        <v>0.4</v>
      </c>
      <c r="V9" s="1990">
        <f t="shared" ref="V9:V40" si="12">IF($P$3=1,BD9,IF($P$3=2,BU9,AM9))</f>
        <v>0.4</v>
      </c>
      <c r="W9" s="1990">
        <f t="shared" ref="W9:W40" si="13">IF($P$3=1,BE9,IF($P$3=2,BV9,AN9))</f>
        <v>0.4</v>
      </c>
      <c r="X9" s="1990">
        <f t="shared" ref="X9:X40" si="14">IF($P$3=1,BF9,IF($P$3=2,BW9,AO9))</f>
        <v>0.4</v>
      </c>
      <c r="Y9" s="1990">
        <f t="shared" ref="Y9:Y40" si="15">IF($P$3=1,BG9,IF($P$3=2,BX9,AP9))</f>
        <v>0.4</v>
      </c>
      <c r="Z9" s="1990">
        <f t="shared" ref="Z9:Z40" si="16">IF($P$3=1,BH9,IF($P$3=2,BY9,AQ9))</f>
        <v>0.4</v>
      </c>
      <c r="AA9" s="2572">
        <f>IF(Q3="coCASB",0,IF($P$3=1,BI9,IF($P$3=2,BZ9,AR9)))</f>
        <v>0.3</v>
      </c>
      <c r="AB9" s="1990">
        <f t="shared" ref="AB9:AB40" si="17">IF($P$3=1,BJ9,IF($P$3=2,CA9,AS9))</f>
        <v>0.4</v>
      </c>
      <c r="AC9" s="1991">
        <f t="shared" ref="AC9:AC40" si="18">IF($P$3=1,BK9,IF($P$3=2,CB9,AT9))</f>
        <v>0</v>
      </c>
      <c r="AD9" s="1990">
        <f t="shared" ref="AD9:AD40" si="19">IF($P$3=1,BL9,IF($P$3=2,CC9,AU9))</f>
        <v>0</v>
      </c>
      <c r="AE9" s="1990">
        <f t="shared" ref="AE9:AE40" si="20">IF($P$3=1,BM9,IF($P$3=2,CD9,AV9))</f>
        <v>0</v>
      </c>
      <c r="AF9"/>
      <c r="AG9" s="1985" t="s">
        <v>190</v>
      </c>
      <c r="AH9" s="1992" t="s">
        <v>764</v>
      </c>
      <c r="AI9" s="1989" t="s">
        <v>191</v>
      </c>
      <c r="AJ9" s="1990">
        <v>0.4</v>
      </c>
      <c r="AK9" s="1990">
        <v>0.4</v>
      </c>
      <c r="AL9" s="1990">
        <v>0.4</v>
      </c>
      <c r="AM9" s="1990">
        <v>0.4</v>
      </c>
      <c r="AN9" s="1990">
        <v>0.4</v>
      </c>
      <c r="AO9" s="1990">
        <v>0.4</v>
      </c>
      <c r="AP9" s="1990">
        <v>0.4</v>
      </c>
      <c r="AQ9" s="1990">
        <v>0.4</v>
      </c>
      <c r="AR9" s="1990">
        <v>0.3</v>
      </c>
      <c r="AS9" s="1993">
        <v>0.4</v>
      </c>
      <c r="AT9" s="1994"/>
      <c r="AU9" s="1993"/>
      <c r="AV9" s="1993"/>
      <c r="AW9"/>
      <c r="AX9" s="1985" t="s">
        <v>190</v>
      </c>
      <c r="AY9" s="1992" t="s">
        <v>764</v>
      </c>
      <c r="AZ9" s="1989" t="s">
        <v>191</v>
      </c>
      <c r="BA9" s="1993">
        <v>0.4</v>
      </c>
      <c r="BB9" s="1993">
        <v>0.4</v>
      </c>
      <c r="BC9" s="1993">
        <v>0.4</v>
      </c>
      <c r="BD9" s="1993">
        <v>0.4</v>
      </c>
      <c r="BE9" s="1993">
        <v>0.4</v>
      </c>
      <c r="BF9" s="1993">
        <v>0.4</v>
      </c>
      <c r="BG9" s="1993">
        <v>0.4</v>
      </c>
      <c r="BH9" s="1993">
        <v>0.4</v>
      </c>
      <c r="BI9" s="1993">
        <v>0.3</v>
      </c>
      <c r="BJ9" s="1993">
        <v>0.4</v>
      </c>
      <c r="BK9" s="1994"/>
      <c r="BL9" s="1993"/>
      <c r="BM9" s="1993"/>
      <c r="BN9"/>
      <c r="BO9" s="1985" t="s">
        <v>190</v>
      </c>
      <c r="BP9" s="1992" t="s">
        <v>764</v>
      </c>
      <c r="BQ9" s="1989" t="s">
        <v>191</v>
      </c>
      <c r="BR9" s="1993">
        <v>0.4</v>
      </c>
      <c r="BS9" s="1993">
        <v>0.4</v>
      </c>
      <c r="BT9" s="1993">
        <v>0.4</v>
      </c>
      <c r="BU9" s="1993">
        <v>0.4</v>
      </c>
      <c r="BV9" s="1993">
        <v>0.4</v>
      </c>
      <c r="BW9" s="1993">
        <v>0.4</v>
      </c>
      <c r="BX9" s="1993">
        <v>0.4</v>
      </c>
      <c r="BY9" s="1993">
        <v>0.4</v>
      </c>
      <c r="BZ9" s="1993">
        <v>0.3</v>
      </c>
      <c r="CA9" s="1993">
        <v>0.4</v>
      </c>
      <c r="CB9" s="1994"/>
      <c r="CC9" s="1993"/>
      <c r="CD9" s="1993"/>
      <c r="CE9" s="2445"/>
      <c r="CF9"/>
    </row>
    <row r="10" spans="1:84" s="1406" customFormat="1">
      <c r="A10"/>
      <c r="B10" s="1985">
        <f t="shared" si="0"/>
        <v>1</v>
      </c>
      <c r="C10" s="1995" t="str">
        <f t="shared" si="1"/>
        <v>音環境</v>
      </c>
      <c r="D10" s="1996" t="e">
        <f>IF(I$9=0,0,G10/I$9)</f>
        <v>#DIV/0!</v>
      </c>
      <c r="E10" s="1997" t="e">
        <f>IF(J$9=0,0,H10/J$9)</f>
        <v>#DIV/0!</v>
      </c>
      <c r="F10"/>
      <c r="G10" s="1997" t="e">
        <f t="shared" si="2"/>
        <v>#DIV/0!</v>
      </c>
      <c r="H10" s="1997" t="e">
        <f t="shared" si="3"/>
        <v>#DIV/0!</v>
      </c>
      <c r="I10" s="1998" t="e">
        <f>G11+G14+G19</f>
        <v>#DIV/0!</v>
      </c>
      <c r="J10" s="1998" t="e">
        <f>H11+H14+H19</f>
        <v>#DIV/0!</v>
      </c>
      <c r="K10" s="1997" t="e">
        <f>IF(スコア!O10=0,0,1)</f>
        <v>#DIV/0!</v>
      </c>
      <c r="L10" s="1997" t="e">
        <f>IF(スコア!Q10=0,0,1)</f>
        <v>#DIV/0!</v>
      </c>
      <c r="M10" s="1997" t="e">
        <f t="shared" si="4"/>
        <v>#DIV/0!</v>
      </c>
      <c r="N10" s="1997" t="e">
        <f t="shared" si="5"/>
        <v>#DIV/0!</v>
      </c>
      <c r="O10"/>
      <c r="P10" s="1999">
        <f t="shared" si="6"/>
        <v>1</v>
      </c>
      <c r="Q10" s="1999" t="str">
        <f t="shared" si="7"/>
        <v xml:space="preserve"> Q1</v>
      </c>
      <c r="R10" s="2000" t="str">
        <f t="shared" si="8"/>
        <v>音環境</v>
      </c>
      <c r="S10" s="2001">
        <f t="shared" si="9"/>
        <v>0.15</v>
      </c>
      <c r="T10" s="2001">
        <f t="shared" si="10"/>
        <v>0.15</v>
      </c>
      <c r="U10" s="2001">
        <f t="shared" si="11"/>
        <v>0.15</v>
      </c>
      <c r="V10" s="2001">
        <f t="shared" si="12"/>
        <v>0.15</v>
      </c>
      <c r="W10" s="2001">
        <f t="shared" si="13"/>
        <v>0.15</v>
      </c>
      <c r="X10" s="2001">
        <f t="shared" si="14"/>
        <v>0.15</v>
      </c>
      <c r="Y10" s="2001">
        <f t="shared" si="15"/>
        <v>0.15</v>
      </c>
      <c r="Z10" s="2002">
        <f t="shared" si="16"/>
        <v>0.23</v>
      </c>
      <c r="AA10" s="2001">
        <f t="shared" ref="AA10:AA40" si="21">IF($P$3=1,BI10,IF($P$3=2,BZ10,AR10))</f>
        <v>0.15</v>
      </c>
      <c r="AB10" s="2001">
        <f t="shared" si="17"/>
        <v>0.15</v>
      </c>
      <c r="AC10" s="2003">
        <f t="shared" si="18"/>
        <v>0</v>
      </c>
      <c r="AD10" s="2001">
        <f t="shared" si="19"/>
        <v>0</v>
      </c>
      <c r="AE10" s="2001">
        <f t="shared" si="20"/>
        <v>0</v>
      </c>
      <c r="AF10"/>
      <c r="AG10" s="1999">
        <v>1</v>
      </c>
      <c r="AH10" s="2004" t="s">
        <v>765</v>
      </c>
      <c r="AI10" s="2000" t="s">
        <v>755</v>
      </c>
      <c r="AJ10" s="2001">
        <v>0.15</v>
      </c>
      <c r="AK10" s="2001">
        <v>0.15</v>
      </c>
      <c r="AL10" s="2001">
        <v>0.15</v>
      </c>
      <c r="AM10" s="2001">
        <v>0.15</v>
      </c>
      <c r="AN10" s="2001">
        <v>0.15</v>
      </c>
      <c r="AO10" s="2001">
        <v>0.15</v>
      </c>
      <c r="AP10" s="2001">
        <v>0.15</v>
      </c>
      <c r="AQ10" s="2002">
        <v>0.23</v>
      </c>
      <c r="AR10" s="2001">
        <v>0.15</v>
      </c>
      <c r="AS10" s="2005">
        <v>0.15</v>
      </c>
      <c r="AT10" s="2006"/>
      <c r="AU10" s="2005"/>
      <c r="AV10" s="2005"/>
      <c r="AW10"/>
      <c r="AX10" s="1999">
        <v>1</v>
      </c>
      <c r="AY10" s="2004" t="s">
        <v>765</v>
      </c>
      <c r="AZ10" s="2000" t="s">
        <v>755</v>
      </c>
      <c r="BA10" s="2005">
        <v>0.15</v>
      </c>
      <c r="BB10" s="2005">
        <v>0.15</v>
      </c>
      <c r="BC10" s="2005">
        <v>0.15</v>
      </c>
      <c r="BD10" s="2005">
        <v>0.15</v>
      </c>
      <c r="BE10" s="2005">
        <v>0.15</v>
      </c>
      <c r="BF10" s="2005">
        <v>0.15</v>
      </c>
      <c r="BG10" s="2005">
        <v>0.15</v>
      </c>
      <c r="BH10" s="2007">
        <v>0.23</v>
      </c>
      <c r="BI10" s="2005">
        <v>0.15</v>
      </c>
      <c r="BJ10" s="2005">
        <v>0.15</v>
      </c>
      <c r="BK10" s="2006"/>
      <c r="BL10" s="2005"/>
      <c r="BM10" s="2005"/>
      <c r="BN10"/>
      <c r="BO10" s="1999">
        <v>1</v>
      </c>
      <c r="BP10" s="2004" t="s">
        <v>765</v>
      </c>
      <c r="BQ10" s="2000" t="s">
        <v>755</v>
      </c>
      <c r="BR10" s="2005">
        <v>0.15</v>
      </c>
      <c r="BS10" s="2005">
        <v>0.15</v>
      </c>
      <c r="BT10" s="2005">
        <v>0.15</v>
      </c>
      <c r="BU10" s="2005">
        <v>0.15</v>
      </c>
      <c r="BV10" s="2005">
        <v>0.15</v>
      </c>
      <c r="BW10" s="2005">
        <v>0.15</v>
      </c>
      <c r="BX10" s="2005">
        <v>0.15</v>
      </c>
      <c r="BY10" s="2007">
        <v>0.23</v>
      </c>
      <c r="BZ10" s="2005">
        <v>0.15</v>
      </c>
      <c r="CA10" s="2005">
        <v>0.15</v>
      </c>
      <c r="CB10" s="2006"/>
      <c r="CC10" s="2005"/>
      <c r="CD10" s="2005"/>
      <c r="CE10" s="2446"/>
      <c r="CF10"/>
    </row>
    <row r="11" spans="1:84">
      <c r="B11" s="1985">
        <f t="shared" si="0"/>
        <v>1.1000000000000001</v>
      </c>
      <c r="C11" s="2008" t="str">
        <f t="shared" si="1"/>
        <v>騒音</v>
      </c>
      <c r="D11" s="2009" t="e">
        <f>IF(I$10=0,0,G11/I$10)</f>
        <v>#DIV/0!</v>
      </c>
      <c r="E11" s="2009" t="e">
        <f>IF(J$10=0,0,H11/J$10)</f>
        <v>#DIV/0!</v>
      </c>
      <c r="G11" s="2010" t="e">
        <f t="shared" si="2"/>
        <v>#DIV/0!</v>
      </c>
      <c r="H11" s="2010" t="e">
        <f t="shared" si="3"/>
        <v>#DIV/0!</v>
      </c>
      <c r="I11" s="1998" t="e">
        <f>SUM(G12:G13)</f>
        <v>#DIV/0!</v>
      </c>
      <c r="J11" s="1998" t="e">
        <f>SUM(H12:H13)</f>
        <v>#DIV/0!</v>
      </c>
      <c r="K11" s="2010" t="e">
        <f>IF(スコア!O11=0,0,1)</f>
        <v>#DIV/0!</v>
      </c>
      <c r="L11" s="2010" t="e">
        <f>IF(スコア!Q11=0,0,1)</f>
        <v>#DIV/0!</v>
      </c>
      <c r="M11" s="2010" t="e">
        <f t="shared" si="4"/>
        <v>#DIV/0!</v>
      </c>
      <c r="N11" s="2010" t="e">
        <f t="shared" si="5"/>
        <v>#DIV/0!</v>
      </c>
      <c r="P11" s="2011">
        <f t="shared" si="6"/>
        <v>1.1000000000000001</v>
      </c>
      <c r="Q11" s="2011" t="str">
        <f t="shared" si="7"/>
        <v xml:space="preserve"> Q1 1</v>
      </c>
      <c r="R11" s="2012" t="str">
        <f t="shared" si="8"/>
        <v>騒音</v>
      </c>
      <c r="S11" s="2013">
        <f t="shared" si="9"/>
        <v>0.4</v>
      </c>
      <c r="T11" s="2013">
        <f t="shared" si="10"/>
        <v>0.4</v>
      </c>
      <c r="U11" s="2013">
        <f t="shared" si="11"/>
        <v>0.8</v>
      </c>
      <c r="V11" s="2013">
        <f t="shared" si="12"/>
        <v>0.4</v>
      </c>
      <c r="W11" s="2013">
        <f t="shared" si="13"/>
        <v>0.4</v>
      </c>
      <c r="X11" s="2013">
        <f t="shared" si="14"/>
        <v>0.8</v>
      </c>
      <c r="Y11" s="2013">
        <f t="shared" si="15"/>
        <v>0.8</v>
      </c>
      <c r="Z11" s="2013">
        <f t="shared" si="16"/>
        <v>0.8</v>
      </c>
      <c r="AA11" s="2013">
        <f t="shared" si="21"/>
        <v>0.5</v>
      </c>
      <c r="AB11" s="2013">
        <f t="shared" si="17"/>
        <v>0.4</v>
      </c>
      <c r="AC11" s="2014">
        <f t="shared" si="18"/>
        <v>0.5</v>
      </c>
      <c r="AD11" s="2013">
        <f t="shared" si="19"/>
        <v>0.4</v>
      </c>
      <c r="AE11" s="2013">
        <f t="shared" si="20"/>
        <v>0.4</v>
      </c>
      <c r="AG11" s="2011">
        <v>1.1000000000000001</v>
      </c>
      <c r="AH11" s="2015" t="s">
        <v>766</v>
      </c>
      <c r="AI11" s="2016" t="s">
        <v>192</v>
      </c>
      <c r="AJ11" s="2017">
        <v>0.4</v>
      </c>
      <c r="AK11" s="2013">
        <v>0.4</v>
      </c>
      <c r="AL11" s="2013">
        <v>0.8</v>
      </c>
      <c r="AM11" s="2013">
        <v>0.4</v>
      </c>
      <c r="AN11" s="2017">
        <v>0.4</v>
      </c>
      <c r="AO11" s="2013">
        <v>0.8</v>
      </c>
      <c r="AP11" s="2013">
        <v>0.8</v>
      </c>
      <c r="AQ11" s="2017">
        <v>0.8</v>
      </c>
      <c r="AR11" s="2017">
        <v>0.5</v>
      </c>
      <c r="AS11" s="2018">
        <v>0.4</v>
      </c>
      <c r="AT11" s="2019">
        <v>0.5</v>
      </c>
      <c r="AU11" s="2018">
        <v>0.4</v>
      </c>
      <c r="AV11" s="2018">
        <v>0.4</v>
      </c>
      <c r="AX11" s="2011">
        <v>1.1000000000000001</v>
      </c>
      <c r="AY11" s="2015" t="s">
        <v>766</v>
      </c>
      <c r="AZ11" s="2016" t="s">
        <v>192</v>
      </c>
      <c r="BA11" s="2018"/>
      <c r="BB11" s="2018"/>
      <c r="BC11" s="2018"/>
      <c r="BD11" s="2018"/>
      <c r="BE11" s="2018"/>
      <c r="BF11" s="2018"/>
      <c r="BG11" s="2018"/>
      <c r="BH11" s="2020">
        <v>0.4</v>
      </c>
      <c r="BI11" s="2018"/>
      <c r="BJ11" s="2018"/>
      <c r="BK11" s="2019"/>
      <c r="BL11" s="2018"/>
      <c r="BM11" s="2018"/>
      <c r="BO11" s="2011">
        <v>1.1000000000000001</v>
      </c>
      <c r="BP11" s="2015" t="s">
        <v>766</v>
      </c>
      <c r="BQ11" s="2016" t="s">
        <v>192</v>
      </c>
      <c r="BR11" s="2018">
        <v>0.4</v>
      </c>
      <c r="BS11" s="2018">
        <v>0.4</v>
      </c>
      <c r="BT11" s="2018">
        <v>0.4</v>
      </c>
      <c r="BU11" s="2018">
        <v>0.4</v>
      </c>
      <c r="BV11" s="2018">
        <v>0.4</v>
      </c>
      <c r="BW11" s="2018">
        <v>0.4</v>
      </c>
      <c r="BX11" s="2018">
        <v>0.5</v>
      </c>
      <c r="BY11" s="2018">
        <v>0.4</v>
      </c>
      <c r="BZ11" s="2018">
        <v>0.4</v>
      </c>
      <c r="CA11" s="2018">
        <v>0.4</v>
      </c>
      <c r="CB11" s="2018">
        <v>0.4</v>
      </c>
      <c r="CC11" s="2018">
        <v>0.4</v>
      </c>
      <c r="CD11" s="2018">
        <v>0.5</v>
      </c>
      <c r="CE11" s="2447"/>
    </row>
    <row r="12" spans="1:84" hidden="1">
      <c r="B12" s="1985" t="str">
        <f t="shared" si="0"/>
        <v>1.1.1</v>
      </c>
      <c r="C12" s="2008" t="str">
        <f t="shared" si="1"/>
        <v>室内騒音レベル</v>
      </c>
      <c r="D12" s="2009" t="e">
        <f>IF(I$11=0,0,G12/I$11)</f>
        <v>#DIV/0!</v>
      </c>
      <c r="E12" s="2009" t="e">
        <f>IF(J$11=0,0,H12/J$11)</f>
        <v>#DIV/0!</v>
      </c>
      <c r="G12" s="2010" t="e">
        <f t="shared" si="2"/>
        <v>#DIV/0!</v>
      </c>
      <c r="H12" s="2010" t="e">
        <f t="shared" si="3"/>
        <v>#DIV/0!</v>
      </c>
      <c r="I12" s="1998"/>
      <c r="J12" s="1998"/>
      <c r="K12" s="2010">
        <f>IF(スコア!O12=0,0,1)</f>
        <v>1</v>
      </c>
      <c r="L12" s="2010">
        <f>IF(スコア!Q12=0,0,1)</f>
        <v>1</v>
      </c>
      <c r="M12" s="2010" t="e">
        <f t="shared" si="4"/>
        <v>#DIV/0!</v>
      </c>
      <c r="N12" s="2010" t="e">
        <f t="shared" si="5"/>
        <v>#DIV/0!</v>
      </c>
      <c r="P12" s="2011" t="str">
        <f t="shared" si="6"/>
        <v>1.1.1</v>
      </c>
      <c r="Q12" s="2011" t="str">
        <f t="shared" si="7"/>
        <v xml:space="preserve"> Q1 1.1</v>
      </c>
      <c r="R12" s="2012" t="str">
        <f t="shared" si="8"/>
        <v>室内騒音レベル</v>
      </c>
      <c r="S12" s="2013">
        <f t="shared" si="9"/>
        <v>0.4</v>
      </c>
      <c r="T12" s="2013">
        <f t="shared" si="10"/>
        <v>1</v>
      </c>
      <c r="U12" s="2013">
        <f t="shared" si="11"/>
        <v>1</v>
      </c>
      <c r="V12" s="2013">
        <f t="shared" si="12"/>
        <v>1</v>
      </c>
      <c r="W12" s="2013">
        <f t="shared" si="13"/>
        <v>0.4</v>
      </c>
      <c r="X12" s="2013">
        <f t="shared" si="14"/>
        <v>1</v>
      </c>
      <c r="Y12" s="2013">
        <f t="shared" si="15"/>
        <v>1</v>
      </c>
      <c r="Z12" s="2013">
        <f t="shared" si="16"/>
        <v>1</v>
      </c>
      <c r="AA12" s="2013">
        <f t="shared" si="21"/>
        <v>0.4</v>
      </c>
      <c r="AB12" s="2013">
        <f t="shared" si="17"/>
        <v>1</v>
      </c>
      <c r="AC12" s="2014">
        <f t="shared" si="18"/>
        <v>0.4</v>
      </c>
      <c r="AD12" s="2013">
        <f t="shared" si="19"/>
        <v>1</v>
      </c>
      <c r="AE12" s="2013">
        <f t="shared" si="20"/>
        <v>1</v>
      </c>
      <c r="AG12" s="2011" t="s">
        <v>767</v>
      </c>
      <c r="AH12" s="2015" t="s">
        <v>768</v>
      </c>
      <c r="AI12" s="2016" t="s">
        <v>769</v>
      </c>
      <c r="AJ12" s="2013">
        <v>0.4</v>
      </c>
      <c r="AK12" s="2013">
        <v>1</v>
      </c>
      <c r="AL12" s="2013">
        <v>1</v>
      </c>
      <c r="AM12" s="2013">
        <v>1</v>
      </c>
      <c r="AN12" s="2013">
        <v>0.4</v>
      </c>
      <c r="AO12" s="2013">
        <v>1</v>
      </c>
      <c r="AP12" s="2013">
        <v>1</v>
      </c>
      <c r="AQ12" s="2013">
        <v>1</v>
      </c>
      <c r="AR12" s="2013">
        <v>0.4</v>
      </c>
      <c r="AS12" s="2018">
        <v>1</v>
      </c>
      <c r="AT12" s="2019">
        <v>0.4</v>
      </c>
      <c r="AU12" s="2018">
        <v>1</v>
      </c>
      <c r="AV12" s="2018">
        <v>1</v>
      </c>
      <c r="AX12" s="2011" t="s">
        <v>767</v>
      </c>
      <c r="AY12" s="2015" t="s">
        <v>768</v>
      </c>
      <c r="AZ12" s="2016" t="s">
        <v>769</v>
      </c>
      <c r="BA12" s="2018"/>
      <c r="BB12" s="2018"/>
      <c r="BC12" s="2018"/>
      <c r="BD12" s="2018"/>
      <c r="BE12" s="2018"/>
      <c r="BF12" s="2018"/>
      <c r="BG12" s="2018"/>
      <c r="BH12" s="2020">
        <v>1</v>
      </c>
      <c r="BI12" s="2018"/>
      <c r="BJ12" s="2018"/>
      <c r="BK12" s="2019"/>
      <c r="BL12" s="2018"/>
      <c r="BM12" s="2018"/>
      <c r="BO12" s="2011" t="s">
        <v>767</v>
      </c>
      <c r="BP12" s="2015" t="s">
        <v>768</v>
      </c>
      <c r="BQ12" s="2016" t="s">
        <v>769</v>
      </c>
      <c r="BR12" s="2018">
        <v>0.5</v>
      </c>
      <c r="BS12" s="2018">
        <v>0.5</v>
      </c>
      <c r="BT12" s="2018">
        <v>0.5</v>
      </c>
      <c r="BU12" s="2018">
        <v>0.5</v>
      </c>
      <c r="BV12" s="2018">
        <v>0.5</v>
      </c>
      <c r="BW12" s="2018">
        <v>0.5</v>
      </c>
      <c r="BX12" s="2018">
        <v>1</v>
      </c>
      <c r="BY12" s="2018">
        <v>0.5</v>
      </c>
      <c r="BZ12" s="2018">
        <v>0.5</v>
      </c>
      <c r="CA12" s="2018">
        <v>0.5</v>
      </c>
      <c r="CB12" s="2019">
        <v>0.5</v>
      </c>
      <c r="CC12" s="2018">
        <v>0.5</v>
      </c>
      <c r="CD12" s="2018">
        <v>0.5</v>
      </c>
      <c r="CE12" s="2447"/>
    </row>
    <row r="13" spans="1:84" hidden="1">
      <c r="B13" s="1985" t="str">
        <f t="shared" si="0"/>
        <v>1.1.2</v>
      </c>
      <c r="C13" s="2008" t="str">
        <f t="shared" si="1"/>
        <v>設備騒音対策</v>
      </c>
      <c r="D13" s="2009" t="e">
        <f>IF(I$11=0,0,G13/I$11)</f>
        <v>#DIV/0!</v>
      </c>
      <c r="E13" s="2009" t="e">
        <f>IF(J$11=0,0,H13/J$11)</f>
        <v>#DIV/0!</v>
      </c>
      <c r="G13" s="2010" t="e">
        <f t="shared" si="2"/>
        <v>#DIV/0!</v>
      </c>
      <c r="H13" s="2010" t="e">
        <f t="shared" si="3"/>
        <v>#DIV/0!</v>
      </c>
      <c r="I13" s="1998"/>
      <c r="J13" s="1998"/>
      <c r="K13" s="2010" t="e">
        <f>IF(スコア!O13=0,0,1)</f>
        <v>#DIV/0!</v>
      </c>
      <c r="L13" s="2010" t="e">
        <f>IF(スコア!Q13=0,0,1)</f>
        <v>#DIV/0!</v>
      </c>
      <c r="M13" s="2010" t="e">
        <f t="shared" si="4"/>
        <v>#DIV/0!</v>
      </c>
      <c r="N13" s="2010" t="e">
        <f t="shared" si="5"/>
        <v>#DIV/0!</v>
      </c>
      <c r="P13" s="2011" t="str">
        <f t="shared" si="6"/>
        <v>1.1.2</v>
      </c>
      <c r="Q13" s="2011" t="str">
        <f t="shared" si="7"/>
        <v xml:space="preserve"> Q1 1.1</v>
      </c>
      <c r="R13" s="2012" t="str">
        <f t="shared" si="8"/>
        <v>設備騒音対策</v>
      </c>
      <c r="S13" s="2013">
        <f t="shared" si="9"/>
        <v>0.6</v>
      </c>
      <c r="T13" s="2013">
        <f t="shared" si="10"/>
        <v>0</v>
      </c>
      <c r="U13" s="2013">
        <f t="shared" si="11"/>
        <v>0</v>
      </c>
      <c r="V13" s="2013">
        <f t="shared" si="12"/>
        <v>0</v>
      </c>
      <c r="W13" s="2013">
        <f t="shared" si="13"/>
        <v>0.6</v>
      </c>
      <c r="X13" s="2013">
        <f t="shared" si="14"/>
        <v>0</v>
      </c>
      <c r="Y13" s="2013">
        <f t="shared" si="15"/>
        <v>0</v>
      </c>
      <c r="Z13" s="2013">
        <f t="shared" si="16"/>
        <v>0</v>
      </c>
      <c r="AA13" s="2013">
        <f t="shared" si="21"/>
        <v>0.6</v>
      </c>
      <c r="AB13" s="2013">
        <f t="shared" si="17"/>
        <v>0</v>
      </c>
      <c r="AC13" s="2014">
        <f t="shared" si="18"/>
        <v>0.6</v>
      </c>
      <c r="AD13" s="2013">
        <f t="shared" si="19"/>
        <v>0</v>
      </c>
      <c r="AE13" s="2013">
        <f t="shared" si="20"/>
        <v>0</v>
      </c>
      <c r="AG13" s="2011" t="s">
        <v>770</v>
      </c>
      <c r="AH13" s="2015" t="s">
        <v>768</v>
      </c>
      <c r="AI13" s="2016" t="s">
        <v>771</v>
      </c>
      <c r="AJ13" s="2013">
        <v>0.6</v>
      </c>
      <c r="AK13" s="2013"/>
      <c r="AL13" s="2013"/>
      <c r="AM13" s="2013"/>
      <c r="AN13" s="2013">
        <v>0.6</v>
      </c>
      <c r="AO13" s="2013"/>
      <c r="AP13" s="2013"/>
      <c r="AQ13" s="2013"/>
      <c r="AR13" s="2013">
        <v>0.6</v>
      </c>
      <c r="AS13" s="2018"/>
      <c r="AT13" s="2019">
        <v>0.6</v>
      </c>
      <c r="AU13" s="2018"/>
      <c r="AV13" s="2018"/>
      <c r="AX13" s="2011" t="s">
        <v>770</v>
      </c>
      <c r="AY13" s="2015" t="s">
        <v>768</v>
      </c>
      <c r="AZ13" s="2016" t="s">
        <v>771</v>
      </c>
      <c r="BA13" s="2018"/>
      <c r="BB13" s="2018"/>
      <c r="BC13" s="2018"/>
      <c r="BD13" s="2018"/>
      <c r="BE13" s="2018"/>
      <c r="BF13" s="2018"/>
      <c r="BG13" s="2018"/>
      <c r="BH13" s="2020"/>
      <c r="BI13" s="2018"/>
      <c r="BJ13" s="2018"/>
      <c r="BK13" s="2019"/>
      <c r="BL13" s="2018"/>
      <c r="BM13" s="2018"/>
      <c r="BO13" s="2011" t="s">
        <v>770</v>
      </c>
      <c r="BP13" s="2015" t="s">
        <v>768</v>
      </c>
      <c r="BQ13" s="2016" t="s">
        <v>771</v>
      </c>
      <c r="BR13" s="2018">
        <v>0.5</v>
      </c>
      <c r="BS13" s="2018">
        <v>0.5</v>
      </c>
      <c r="BT13" s="2018">
        <v>0.5</v>
      </c>
      <c r="BU13" s="2018">
        <v>0.5</v>
      </c>
      <c r="BV13" s="2018">
        <v>0.5</v>
      </c>
      <c r="BW13" s="2018">
        <v>0.5</v>
      </c>
      <c r="BX13" s="2018"/>
      <c r="BY13" s="2018">
        <v>0.5</v>
      </c>
      <c r="BZ13" s="2018">
        <v>0.5</v>
      </c>
      <c r="CA13" s="2018">
        <v>0.5</v>
      </c>
      <c r="CB13" s="2019">
        <v>0.5</v>
      </c>
      <c r="CC13" s="2018">
        <v>0.5</v>
      </c>
      <c r="CD13" s="2018">
        <v>0.5</v>
      </c>
      <c r="CE13" s="2447"/>
    </row>
    <row r="14" spans="1:84">
      <c r="B14" s="1985">
        <f t="shared" si="0"/>
        <v>1.2</v>
      </c>
      <c r="C14" s="1445" t="str">
        <f t="shared" si="1"/>
        <v>遮音</v>
      </c>
      <c r="D14" s="2009" t="e">
        <f>IF(I$10=0,0,G14/I$10)</f>
        <v>#DIV/0!</v>
      </c>
      <c r="E14" s="2009" t="e">
        <f>IF(J$10=0,0,H14/J$10)</f>
        <v>#DIV/0!</v>
      </c>
      <c r="G14" s="2010" t="e">
        <f t="shared" si="2"/>
        <v>#DIV/0!</v>
      </c>
      <c r="H14" s="2010" t="e">
        <f t="shared" si="3"/>
        <v>#DIV/0!</v>
      </c>
      <c r="I14" s="1998" t="e">
        <f>SUM(G15:G18)</f>
        <v>#DIV/0!</v>
      </c>
      <c r="J14" s="1998" t="e">
        <f>SUM(H15:H18)</f>
        <v>#DIV/0!</v>
      </c>
      <c r="K14" s="2010" t="e">
        <f>IF(スコア!O14=0,0,1)</f>
        <v>#DIV/0!</v>
      </c>
      <c r="L14" s="2010" t="e">
        <f>IF(スコア!Q14=0,0,1)</f>
        <v>#DIV/0!</v>
      </c>
      <c r="M14" s="2010" t="e">
        <f t="shared" si="4"/>
        <v>#DIV/0!</v>
      </c>
      <c r="N14" s="2010" t="e">
        <f t="shared" si="5"/>
        <v>#DIV/0!</v>
      </c>
      <c r="P14" s="2011">
        <f t="shared" si="6"/>
        <v>1.2</v>
      </c>
      <c r="Q14" s="2011" t="str">
        <f t="shared" si="7"/>
        <v xml:space="preserve"> Q1 1</v>
      </c>
      <c r="R14" s="2012" t="str">
        <f t="shared" si="8"/>
        <v>遮音</v>
      </c>
      <c r="S14" s="2013">
        <f t="shared" si="9"/>
        <v>0.4</v>
      </c>
      <c r="T14" s="2013">
        <f t="shared" si="10"/>
        <v>0.4</v>
      </c>
      <c r="U14" s="2013">
        <f t="shared" si="11"/>
        <v>0</v>
      </c>
      <c r="V14" s="2013">
        <f t="shared" si="12"/>
        <v>0.4</v>
      </c>
      <c r="W14" s="2013">
        <f t="shared" si="13"/>
        <v>0.4</v>
      </c>
      <c r="X14" s="2013">
        <f t="shared" si="14"/>
        <v>0</v>
      </c>
      <c r="Y14" s="2013">
        <f t="shared" si="15"/>
        <v>0</v>
      </c>
      <c r="Z14" s="2013">
        <f t="shared" si="16"/>
        <v>0</v>
      </c>
      <c r="AA14" s="2013">
        <f t="shared" si="21"/>
        <v>0.5</v>
      </c>
      <c r="AB14" s="2013">
        <f t="shared" si="17"/>
        <v>0.4</v>
      </c>
      <c r="AC14" s="2014">
        <f t="shared" si="18"/>
        <v>0.5</v>
      </c>
      <c r="AD14" s="2013">
        <f t="shared" si="19"/>
        <v>0.4</v>
      </c>
      <c r="AE14" s="2013">
        <f t="shared" si="20"/>
        <v>0.4</v>
      </c>
      <c r="AG14" s="2011">
        <v>1.2</v>
      </c>
      <c r="AH14" s="2015" t="s">
        <v>766</v>
      </c>
      <c r="AI14" s="1449" t="s">
        <v>2369</v>
      </c>
      <c r="AJ14" s="2017">
        <v>0.4</v>
      </c>
      <c r="AK14" s="2013">
        <v>0.4</v>
      </c>
      <c r="AL14" s="2013"/>
      <c r="AM14" s="2013">
        <v>0.4</v>
      </c>
      <c r="AN14" s="2017">
        <v>0.4</v>
      </c>
      <c r="AO14" s="2013"/>
      <c r="AP14" s="2013"/>
      <c r="AQ14" s="2013"/>
      <c r="AR14" s="2017">
        <v>0.5</v>
      </c>
      <c r="AS14" s="2018">
        <v>0.4</v>
      </c>
      <c r="AT14" s="2019">
        <v>0.5</v>
      </c>
      <c r="AU14" s="2018">
        <v>0.4</v>
      </c>
      <c r="AV14" s="2021">
        <v>0.4</v>
      </c>
      <c r="AX14" s="2011">
        <v>1.2</v>
      </c>
      <c r="AY14" s="2015" t="s">
        <v>766</v>
      </c>
      <c r="AZ14" s="1449" t="s">
        <v>2369</v>
      </c>
      <c r="BA14" s="2018">
        <v>0.7</v>
      </c>
      <c r="BB14" s="2018">
        <v>0.7</v>
      </c>
      <c r="BC14" s="2018">
        <v>0.7</v>
      </c>
      <c r="BD14" s="2018">
        <v>0.7</v>
      </c>
      <c r="BE14" s="2018">
        <v>0.7</v>
      </c>
      <c r="BF14" s="2018">
        <v>0.7</v>
      </c>
      <c r="BG14" s="2018">
        <v>1</v>
      </c>
      <c r="BH14" s="2020">
        <v>0.4</v>
      </c>
      <c r="BI14" s="2018">
        <v>0.7</v>
      </c>
      <c r="BJ14" s="2018">
        <v>0.7</v>
      </c>
      <c r="BK14" s="2019">
        <v>0.7</v>
      </c>
      <c r="BL14" s="2018">
        <v>0.7</v>
      </c>
      <c r="BM14" s="2018">
        <v>1</v>
      </c>
      <c r="BO14" s="2011">
        <v>1.2</v>
      </c>
      <c r="BP14" s="2015" t="s">
        <v>766</v>
      </c>
      <c r="BQ14" s="1449" t="s">
        <v>2369</v>
      </c>
      <c r="BR14" s="2018">
        <v>0.4</v>
      </c>
      <c r="BS14" s="2018">
        <v>0.4</v>
      </c>
      <c r="BT14" s="2018">
        <v>0.4</v>
      </c>
      <c r="BU14" s="2018">
        <v>0.4</v>
      </c>
      <c r="BV14" s="2018">
        <v>0.4</v>
      </c>
      <c r="BW14" s="2018">
        <v>0.4</v>
      </c>
      <c r="BX14" s="2018">
        <v>0.5</v>
      </c>
      <c r="BY14" s="2018">
        <v>0.4</v>
      </c>
      <c r="BZ14" s="2018">
        <v>0.4</v>
      </c>
      <c r="CA14" s="2018">
        <v>0.4</v>
      </c>
      <c r="CB14" s="2018">
        <v>0.4</v>
      </c>
      <c r="CC14" s="2018">
        <v>0.4</v>
      </c>
      <c r="CD14" s="2018">
        <v>0.5</v>
      </c>
      <c r="CE14" s="2447"/>
    </row>
    <row r="15" spans="1:84">
      <c r="B15" s="1985" t="str">
        <f t="shared" si="0"/>
        <v>1.2.1</v>
      </c>
      <c r="C15" s="1445" t="str">
        <f t="shared" si="1"/>
        <v>開口部遮音性能</v>
      </c>
      <c r="D15" s="2009" t="e">
        <f t="shared" ref="D15:E18" si="22">IF(I$14=0,0,G15/I$14)</f>
        <v>#DIV/0!</v>
      </c>
      <c r="E15" s="2009" t="e">
        <f>IF(J$14=0,0,H15/J$14)</f>
        <v>#DIV/0!</v>
      </c>
      <c r="G15" s="2010" t="e">
        <f t="shared" si="2"/>
        <v>#DIV/0!</v>
      </c>
      <c r="H15" s="2010" t="e">
        <f t="shared" si="3"/>
        <v>#DIV/0!</v>
      </c>
      <c r="I15" s="1998"/>
      <c r="J15" s="1998"/>
      <c r="K15" s="2010">
        <f>IF(スコア!O15=0,0,1)</f>
        <v>0</v>
      </c>
      <c r="L15" s="2010">
        <f>IF(スコア!Q15=0,0,1)</f>
        <v>0</v>
      </c>
      <c r="M15" s="2010" t="e">
        <f t="shared" si="4"/>
        <v>#DIV/0!</v>
      </c>
      <c r="N15" s="2010" t="e">
        <f t="shared" si="5"/>
        <v>#DIV/0!</v>
      </c>
      <c r="P15" s="2011" t="str">
        <f t="shared" si="6"/>
        <v>1.2.1</v>
      </c>
      <c r="Q15" s="2011" t="str">
        <f t="shared" si="7"/>
        <v xml:space="preserve"> Q1 1.2</v>
      </c>
      <c r="R15" s="2012" t="str">
        <f t="shared" si="8"/>
        <v>開口部遮音性能</v>
      </c>
      <c r="S15" s="2013">
        <f t="shared" si="9"/>
        <v>0</v>
      </c>
      <c r="T15" s="2013">
        <f t="shared" si="10"/>
        <v>0</v>
      </c>
      <c r="U15" s="2013">
        <f t="shared" si="11"/>
        <v>0</v>
      </c>
      <c r="V15" s="2013">
        <f t="shared" si="12"/>
        <v>0</v>
      </c>
      <c r="W15" s="2013">
        <f t="shared" si="13"/>
        <v>0</v>
      </c>
      <c r="X15" s="2013">
        <f t="shared" si="14"/>
        <v>0</v>
      </c>
      <c r="Y15" s="2013">
        <f t="shared" si="15"/>
        <v>0</v>
      </c>
      <c r="Z15" s="2022">
        <f t="shared" si="16"/>
        <v>0</v>
      </c>
      <c r="AA15" s="2013">
        <f t="shared" si="21"/>
        <v>0</v>
      </c>
      <c r="AB15" s="2013">
        <f t="shared" si="17"/>
        <v>0</v>
      </c>
      <c r="AC15" s="2014">
        <f t="shared" si="18"/>
        <v>0</v>
      </c>
      <c r="AD15" s="2013">
        <f t="shared" si="19"/>
        <v>0</v>
      </c>
      <c r="AE15" s="2013">
        <f t="shared" si="20"/>
        <v>0</v>
      </c>
      <c r="AG15" s="2011" t="s">
        <v>193</v>
      </c>
      <c r="AH15" s="2015" t="s">
        <v>772</v>
      </c>
      <c r="AI15" s="1449" t="s">
        <v>194</v>
      </c>
      <c r="AJ15" s="2023"/>
      <c r="AK15" s="2023"/>
      <c r="AL15" s="2023"/>
      <c r="AM15" s="2023"/>
      <c r="AN15" s="2023"/>
      <c r="AO15" s="2023"/>
      <c r="AP15" s="2023"/>
      <c r="AQ15" s="2023"/>
      <c r="AR15" s="2023"/>
      <c r="AS15" s="2018"/>
      <c r="AT15" s="2019"/>
      <c r="AU15" s="2018"/>
      <c r="AV15" s="2018"/>
      <c r="AX15" s="2011" t="s">
        <v>193</v>
      </c>
      <c r="AY15" s="2015" t="s">
        <v>772</v>
      </c>
      <c r="AZ15" s="1449" t="s">
        <v>194</v>
      </c>
      <c r="BA15" s="2018">
        <v>0.6</v>
      </c>
      <c r="BB15" s="2018">
        <v>0.4</v>
      </c>
      <c r="BC15" s="2018">
        <v>1</v>
      </c>
      <c r="BD15" s="2018">
        <v>0.6</v>
      </c>
      <c r="BE15" s="2018">
        <v>0.4</v>
      </c>
      <c r="BF15" s="2018">
        <v>1</v>
      </c>
      <c r="BG15" s="2018">
        <v>1</v>
      </c>
      <c r="BH15" s="2020">
        <v>1</v>
      </c>
      <c r="BI15" s="2018">
        <v>0.6</v>
      </c>
      <c r="BJ15" s="2018">
        <v>0.4</v>
      </c>
      <c r="BK15" s="2019">
        <v>0.3</v>
      </c>
      <c r="BL15" s="2018">
        <v>0.3</v>
      </c>
      <c r="BM15" s="2018">
        <v>0.3</v>
      </c>
      <c r="BO15" s="2011" t="s">
        <v>193</v>
      </c>
      <c r="BP15" s="2015" t="s">
        <v>772</v>
      </c>
      <c r="BQ15" s="1449" t="s">
        <v>194</v>
      </c>
      <c r="BR15" s="2018">
        <v>0.6</v>
      </c>
      <c r="BS15" s="2018">
        <v>0.3</v>
      </c>
      <c r="BT15" s="2018">
        <v>1</v>
      </c>
      <c r="BU15" s="2018">
        <v>0.6</v>
      </c>
      <c r="BV15" s="2018">
        <v>0.4</v>
      </c>
      <c r="BW15" s="2018">
        <v>1</v>
      </c>
      <c r="BX15" s="2018">
        <v>1</v>
      </c>
      <c r="BY15" s="2018">
        <v>1</v>
      </c>
      <c r="BZ15" s="2018">
        <v>0.6</v>
      </c>
      <c r="CA15" s="2018">
        <v>0.3</v>
      </c>
      <c r="CB15" s="2018">
        <v>0.3</v>
      </c>
      <c r="CC15" s="2018">
        <v>0.3</v>
      </c>
      <c r="CD15" s="2018">
        <v>0.3</v>
      </c>
      <c r="CE15" s="2447"/>
    </row>
    <row r="16" spans="1:84">
      <c r="B16" s="1985" t="str">
        <f t="shared" si="0"/>
        <v>1.2.2</v>
      </c>
      <c r="C16" s="1445" t="str">
        <f t="shared" si="1"/>
        <v>界壁遮音性能</v>
      </c>
      <c r="D16" s="2009" t="e">
        <f t="shared" si="22"/>
        <v>#DIV/0!</v>
      </c>
      <c r="E16" s="2009" t="e">
        <f t="shared" si="22"/>
        <v>#DIV/0!</v>
      </c>
      <c r="G16" s="2010" t="e">
        <f t="shared" si="2"/>
        <v>#DIV/0!</v>
      </c>
      <c r="H16" s="2010" t="e">
        <f t="shared" si="3"/>
        <v>#DIV/0!</v>
      </c>
      <c r="I16" s="2010"/>
      <c r="J16" s="2010"/>
      <c r="K16" s="2010">
        <f>IF(スコア!O16=0,0,1)</f>
        <v>1</v>
      </c>
      <c r="L16" s="2010">
        <f>IF(スコア!Q16=0,0,1)</f>
        <v>1</v>
      </c>
      <c r="M16" s="2010" t="e">
        <f t="shared" si="4"/>
        <v>#DIV/0!</v>
      </c>
      <c r="N16" s="2010" t="e">
        <f t="shared" si="5"/>
        <v>#DIV/0!</v>
      </c>
      <c r="P16" s="2011" t="str">
        <f t="shared" si="6"/>
        <v>1.2.2</v>
      </c>
      <c r="Q16" s="2011" t="str">
        <f t="shared" si="7"/>
        <v xml:space="preserve"> Q1 1.2</v>
      </c>
      <c r="R16" s="2012" t="str">
        <f t="shared" si="8"/>
        <v>界壁遮音性能</v>
      </c>
      <c r="S16" s="2013">
        <f t="shared" si="9"/>
        <v>1</v>
      </c>
      <c r="T16" s="2013">
        <f t="shared" si="10"/>
        <v>0.4</v>
      </c>
      <c r="U16" s="2013">
        <f t="shared" si="11"/>
        <v>0</v>
      </c>
      <c r="V16" s="2013">
        <f t="shared" si="12"/>
        <v>1</v>
      </c>
      <c r="W16" s="2013">
        <f t="shared" si="13"/>
        <v>0.4</v>
      </c>
      <c r="X16" s="2013">
        <f t="shared" si="14"/>
        <v>0</v>
      </c>
      <c r="Y16" s="2013">
        <f t="shared" si="15"/>
        <v>0</v>
      </c>
      <c r="Z16" s="2022">
        <f t="shared" si="16"/>
        <v>0</v>
      </c>
      <c r="AA16" s="2013">
        <f t="shared" si="21"/>
        <v>1</v>
      </c>
      <c r="AB16" s="2013">
        <f t="shared" si="17"/>
        <v>0.4</v>
      </c>
      <c r="AC16" s="2014">
        <f t="shared" si="18"/>
        <v>1</v>
      </c>
      <c r="AD16" s="2013">
        <f t="shared" si="19"/>
        <v>0.4</v>
      </c>
      <c r="AE16" s="2013">
        <f t="shared" si="20"/>
        <v>0.4</v>
      </c>
      <c r="AG16" s="2011" t="s">
        <v>195</v>
      </c>
      <c r="AH16" s="2015" t="s">
        <v>772</v>
      </c>
      <c r="AI16" s="1449" t="s">
        <v>582</v>
      </c>
      <c r="AJ16" s="2024">
        <v>1</v>
      </c>
      <c r="AK16" s="2018">
        <v>0.4</v>
      </c>
      <c r="AL16" s="2018"/>
      <c r="AM16" s="2018">
        <v>1</v>
      </c>
      <c r="AN16" s="2024">
        <v>0.4</v>
      </c>
      <c r="AO16" s="2018"/>
      <c r="AP16" s="2018"/>
      <c r="AQ16" s="2025"/>
      <c r="AR16" s="2024">
        <v>1</v>
      </c>
      <c r="AS16" s="2018">
        <v>0.4</v>
      </c>
      <c r="AT16" s="2019">
        <v>1</v>
      </c>
      <c r="AU16" s="2018">
        <v>0.4</v>
      </c>
      <c r="AV16" s="2018">
        <v>0.4</v>
      </c>
      <c r="AX16" s="2011" t="s">
        <v>195</v>
      </c>
      <c r="AY16" s="2015" t="s">
        <v>772</v>
      </c>
      <c r="AZ16" s="1449" t="s">
        <v>582</v>
      </c>
      <c r="BA16" s="2018">
        <v>0.4</v>
      </c>
      <c r="BB16" s="2018">
        <v>0.3</v>
      </c>
      <c r="BC16" s="2018"/>
      <c r="BD16" s="2018">
        <v>0.4</v>
      </c>
      <c r="BE16" s="2018">
        <v>0.6</v>
      </c>
      <c r="BF16" s="2018"/>
      <c r="BG16" s="2018"/>
      <c r="BH16" s="2020"/>
      <c r="BI16" s="2018">
        <v>0.4</v>
      </c>
      <c r="BJ16" s="2018">
        <v>0.3</v>
      </c>
      <c r="BK16" s="2019">
        <v>0.3</v>
      </c>
      <c r="BL16" s="2018">
        <v>0.3</v>
      </c>
      <c r="BM16" s="2018">
        <v>0.3</v>
      </c>
      <c r="BO16" s="2011" t="s">
        <v>195</v>
      </c>
      <c r="BP16" s="2015" t="s">
        <v>772</v>
      </c>
      <c r="BQ16" s="1449" t="s">
        <v>582</v>
      </c>
      <c r="BR16" s="2018">
        <v>0.4</v>
      </c>
      <c r="BS16" s="2018">
        <v>0.3</v>
      </c>
      <c r="BT16" s="2018"/>
      <c r="BU16" s="2018">
        <v>0.4</v>
      </c>
      <c r="BV16" s="2018">
        <v>0.6</v>
      </c>
      <c r="BW16" s="2018"/>
      <c r="BX16" s="2018"/>
      <c r="BY16" s="2018"/>
      <c r="BZ16" s="2018">
        <v>0.4</v>
      </c>
      <c r="CA16" s="2018">
        <v>0.3</v>
      </c>
      <c r="CB16" s="2018">
        <v>0.3</v>
      </c>
      <c r="CC16" s="2018">
        <v>0.3</v>
      </c>
      <c r="CD16" s="2018">
        <v>0.3</v>
      </c>
      <c r="CE16" s="2447"/>
    </row>
    <row r="17" spans="1:84">
      <c r="B17" s="1985" t="str">
        <f t="shared" si="0"/>
        <v>1.2.3</v>
      </c>
      <c r="C17" s="1445" t="str">
        <f t="shared" si="1"/>
        <v>界床遮音性能（軽量衝撃源）</v>
      </c>
      <c r="D17" s="2009" t="e">
        <f t="shared" si="22"/>
        <v>#DIV/0!</v>
      </c>
      <c r="E17" s="2009" t="e">
        <f t="shared" si="22"/>
        <v>#DIV/0!</v>
      </c>
      <c r="G17" s="2010" t="e">
        <f t="shared" si="2"/>
        <v>#DIV/0!</v>
      </c>
      <c r="H17" s="2010" t="e">
        <f t="shared" si="3"/>
        <v>#DIV/0!</v>
      </c>
      <c r="I17" s="2010"/>
      <c r="J17" s="2010"/>
      <c r="K17" s="2010">
        <f>IF(スコア!O17=0,0,1)</f>
        <v>1</v>
      </c>
      <c r="L17" s="2010">
        <f>IF(スコア!Q17=0,0,1)</f>
        <v>1</v>
      </c>
      <c r="M17" s="2010" t="e">
        <f t="shared" si="4"/>
        <v>#DIV/0!</v>
      </c>
      <c r="N17" s="2010" t="e">
        <f t="shared" si="5"/>
        <v>#DIV/0!</v>
      </c>
      <c r="P17" s="2011" t="str">
        <f t="shared" si="6"/>
        <v>1.2.3</v>
      </c>
      <c r="Q17" s="2011" t="str">
        <f t="shared" si="7"/>
        <v xml:space="preserve"> Q1 1.2</v>
      </c>
      <c r="R17" s="2012" t="str">
        <f t="shared" si="8"/>
        <v>界床遮音性能（軽量衝撃源）</v>
      </c>
      <c r="S17" s="2013">
        <f t="shared" si="9"/>
        <v>0</v>
      </c>
      <c r="T17" s="2013">
        <f t="shared" si="10"/>
        <v>0.3</v>
      </c>
      <c r="U17" s="2013">
        <f t="shared" si="11"/>
        <v>0</v>
      </c>
      <c r="V17" s="2013">
        <f t="shared" si="12"/>
        <v>0</v>
      </c>
      <c r="W17" s="2013">
        <f t="shared" si="13"/>
        <v>0.6</v>
      </c>
      <c r="X17" s="2013">
        <f t="shared" si="14"/>
        <v>0</v>
      </c>
      <c r="Y17" s="2013">
        <f t="shared" si="15"/>
        <v>0</v>
      </c>
      <c r="Z17" s="2022">
        <f t="shared" si="16"/>
        <v>0</v>
      </c>
      <c r="AA17" s="2013">
        <f t="shared" si="21"/>
        <v>0</v>
      </c>
      <c r="AB17" s="2013">
        <f t="shared" si="17"/>
        <v>0.3</v>
      </c>
      <c r="AC17" s="2014">
        <f t="shared" si="18"/>
        <v>0</v>
      </c>
      <c r="AD17" s="2013">
        <f t="shared" si="19"/>
        <v>0.3</v>
      </c>
      <c r="AE17" s="2013">
        <f t="shared" si="20"/>
        <v>0.3</v>
      </c>
      <c r="AG17" s="2011" t="s">
        <v>196</v>
      </c>
      <c r="AH17" s="2015" t="s">
        <v>772</v>
      </c>
      <c r="AI17" s="1449" t="s">
        <v>583</v>
      </c>
      <c r="AJ17" s="2018"/>
      <c r="AK17" s="2018">
        <v>0.3</v>
      </c>
      <c r="AL17" s="2018"/>
      <c r="AM17" s="2018"/>
      <c r="AN17" s="2024">
        <v>0.6</v>
      </c>
      <c r="AO17" s="2018"/>
      <c r="AP17" s="2018"/>
      <c r="AQ17" s="2025"/>
      <c r="AR17" s="2018"/>
      <c r="AS17" s="2018">
        <v>0.3</v>
      </c>
      <c r="AT17" s="2019"/>
      <c r="AU17" s="2018">
        <v>0.3</v>
      </c>
      <c r="AV17" s="2018">
        <v>0.3</v>
      </c>
      <c r="AX17" s="2011" t="s">
        <v>196</v>
      </c>
      <c r="AY17" s="2015" t="s">
        <v>772</v>
      </c>
      <c r="AZ17" s="1449" t="s">
        <v>583</v>
      </c>
      <c r="BA17" s="2018"/>
      <c r="BB17" s="2018">
        <v>0.15</v>
      </c>
      <c r="BC17" s="2018"/>
      <c r="BD17" s="2018"/>
      <c r="BE17" s="2018"/>
      <c r="BF17" s="2018"/>
      <c r="BG17" s="2018"/>
      <c r="BH17" s="2020"/>
      <c r="BI17" s="2018"/>
      <c r="BJ17" s="2018">
        <v>0.15</v>
      </c>
      <c r="BK17" s="2019">
        <v>0.2</v>
      </c>
      <c r="BL17" s="2018">
        <v>0.2</v>
      </c>
      <c r="BM17" s="2018">
        <v>0.2</v>
      </c>
      <c r="BO17" s="2011" t="s">
        <v>196</v>
      </c>
      <c r="BP17" s="2015" t="s">
        <v>772</v>
      </c>
      <c r="BQ17" s="1449" t="s">
        <v>583</v>
      </c>
      <c r="BR17" s="2018"/>
      <c r="BS17" s="2018">
        <v>0.2</v>
      </c>
      <c r="BT17" s="2018"/>
      <c r="BU17" s="2018"/>
      <c r="BV17" s="2018"/>
      <c r="BW17" s="2018"/>
      <c r="BX17" s="2018"/>
      <c r="BY17" s="2025"/>
      <c r="BZ17" s="2018"/>
      <c r="CA17" s="2018">
        <v>0.2</v>
      </c>
      <c r="CB17" s="2019">
        <v>0.2</v>
      </c>
      <c r="CC17" s="2018">
        <v>0.2</v>
      </c>
      <c r="CD17" s="2018">
        <v>0.2</v>
      </c>
      <c r="CE17" s="2447"/>
    </row>
    <row r="18" spans="1:84">
      <c r="B18" s="1985" t="str">
        <f t="shared" si="0"/>
        <v>1.2.4</v>
      </c>
      <c r="C18" s="1445" t="str">
        <f t="shared" si="1"/>
        <v>界床遮音性能（重量衝撃源）</v>
      </c>
      <c r="D18" s="2009" t="e">
        <f t="shared" si="22"/>
        <v>#DIV/0!</v>
      </c>
      <c r="E18" s="2009" t="e">
        <f t="shared" si="22"/>
        <v>#DIV/0!</v>
      </c>
      <c r="G18" s="2010" t="e">
        <f t="shared" si="2"/>
        <v>#DIV/0!</v>
      </c>
      <c r="H18" s="2010" t="e">
        <f t="shared" si="3"/>
        <v>#DIV/0!</v>
      </c>
      <c r="I18" s="2010"/>
      <c r="J18" s="2010"/>
      <c r="K18" s="2010">
        <f>IF(スコア!O18=0,0,1)</f>
        <v>1</v>
      </c>
      <c r="L18" s="2010">
        <f>IF(スコア!Q18=0,0,1)</f>
        <v>1</v>
      </c>
      <c r="M18" s="2010" t="e">
        <f t="shared" si="4"/>
        <v>#DIV/0!</v>
      </c>
      <c r="N18" s="2010" t="e">
        <f t="shared" si="5"/>
        <v>#DIV/0!</v>
      </c>
      <c r="P18" s="2011" t="str">
        <f t="shared" si="6"/>
        <v>1.2.4</v>
      </c>
      <c r="Q18" s="2011" t="str">
        <f t="shared" si="7"/>
        <v xml:space="preserve"> Q1 1.2</v>
      </c>
      <c r="R18" s="2012" t="str">
        <f t="shared" si="8"/>
        <v>界床遮音性能（重量衝撃源）</v>
      </c>
      <c r="S18" s="2013">
        <f t="shared" si="9"/>
        <v>0</v>
      </c>
      <c r="T18" s="2013">
        <f t="shared" si="10"/>
        <v>0.3</v>
      </c>
      <c r="U18" s="2013">
        <f t="shared" si="11"/>
        <v>0</v>
      </c>
      <c r="V18" s="2013">
        <f t="shared" si="12"/>
        <v>0</v>
      </c>
      <c r="W18" s="2013">
        <f t="shared" si="13"/>
        <v>0</v>
      </c>
      <c r="X18" s="2013">
        <f t="shared" si="14"/>
        <v>0</v>
      </c>
      <c r="Y18" s="2013">
        <f t="shared" si="15"/>
        <v>0</v>
      </c>
      <c r="Z18" s="2022">
        <f t="shared" si="16"/>
        <v>0</v>
      </c>
      <c r="AA18" s="2013">
        <f t="shared" si="21"/>
        <v>0</v>
      </c>
      <c r="AB18" s="2013">
        <f t="shared" si="17"/>
        <v>0.3</v>
      </c>
      <c r="AC18" s="2014">
        <f t="shared" si="18"/>
        <v>0</v>
      </c>
      <c r="AD18" s="2013">
        <f t="shared" si="19"/>
        <v>0.3</v>
      </c>
      <c r="AE18" s="2013">
        <f t="shared" si="20"/>
        <v>0.3</v>
      </c>
      <c r="AG18" s="2011" t="s">
        <v>197</v>
      </c>
      <c r="AH18" s="2015" t="s">
        <v>772</v>
      </c>
      <c r="AI18" s="1449" t="s">
        <v>584</v>
      </c>
      <c r="AJ18" s="2018"/>
      <c r="AK18" s="2018">
        <v>0.3</v>
      </c>
      <c r="AL18" s="2018"/>
      <c r="AM18" s="2018"/>
      <c r="AN18" s="2018"/>
      <c r="AO18" s="2018"/>
      <c r="AP18" s="2018"/>
      <c r="AQ18" s="2025"/>
      <c r="AR18" s="2018"/>
      <c r="AS18" s="2018">
        <v>0.3</v>
      </c>
      <c r="AT18" s="2019"/>
      <c r="AU18" s="2018">
        <v>0.3</v>
      </c>
      <c r="AV18" s="2018">
        <v>0.3</v>
      </c>
      <c r="AX18" s="2011" t="s">
        <v>197</v>
      </c>
      <c r="AY18" s="2015" t="s">
        <v>772</v>
      </c>
      <c r="AZ18" s="1449" t="s">
        <v>584</v>
      </c>
      <c r="BA18" s="2018"/>
      <c r="BB18" s="2018">
        <v>0.15</v>
      </c>
      <c r="BC18" s="2018"/>
      <c r="BD18" s="2018"/>
      <c r="BE18" s="2018"/>
      <c r="BF18" s="2018"/>
      <c r="BG18" s="2018"/>
      <c r="BH18" s="2020"/>
      <c r="BI18" s="2018"/>
      <c r="BJ18" s="2018">
        <v>0.15</v>
      </c>
      <c r="BK18" s="2019">
        <v>0.2</v>
      </c>
      <c r="BL18" s="2018">
        <v>0.2</v>
      </c>
      <c r="BM18" s="2018">
        <v>0.2</v>
      </c>
      <c r="BO18" s="2011" t="s">
        <v>197</v>
      </c>
      <c r="BP18" s="2015" t="s">
        <v>772</v>
      </c>
      <c r="BQ18" s="1449" t="s">
        <v>584</v>
      </c>
      <c r="BR18" s="2018"/>
      <c r="BS18" s="2018">
        <v>0.2</v>
      </c>
      <c r="BT18" s="2018"/>
      <c r="BU18" s="2018"/>
      <c r="BV18" s="2018"/>
      <c r="BW18" s="2018"/>
      <c r="BX18" s="2018"/>
      <c r="BY18" s="2025"/>
      <c r="BZ18" s="2018"/>
      <c r="CA18" s="2018">
        <v>0.2</v>
      </c>
      <c r="CB18" s="2019">
        <v>0.2</v>
      </c>
      <c r="CC18" s="2018">
        <v>0.2</v>
      </c>
      <c r="CD18" s="2018">
        <v>0.2</v>
      </c>
      <c r="CE18" s="2447"/>
    </row>
    <row r="19" spans="1:84">
      <c r="B19" s="1985">
        <f t="shared" si="0"/>
        <v>1.3</v>
      </c>
      <c r="C19" s="1445" t="str">
        <f t="shared" si="1"/>
        <v>吸音</v>
      </c>
      <c r="D19" s="2009" t="e">
        <f>IF(I$10=0,0,G19/I$10)</f>
        <v>#DIV/0!</v>
      </c>
      <c r="E19" s="2009" t="e">
        <f>IF(J$10=0,0,H19/J$10)</f>
        <v>#DIV/0!</v>
      </c>
      <c r="G19" s="2010" t="e">
        <f t="shared" si="2"/>
        <v>#DIV/0!</v>
      </c>
      <c r="H19" s="2010" t="e">
        <f t="shared" si="3"/>
        <v>#DIV/0!</v>
      </c>
      <c r="I19" s="2010"/>
      <c r="J19" s="2010"/>
      <c r="K19" s="2010">
        <f>IF(スコア!O19=0,0,1)</f>
        <v>1</v>
      </c>
      <c r="L19" s="2010">
        <f>IF(スコア!Q19=0,0,1)</f>
        <v>1</v>
      </c>
      <c r="M19" s="2010" t="e">
        <f t="shared" si="4"/>
        <v>#DIV/0!</v>
      </c>
      <c r="N19" s="2010" t="e">
        <f t="shared" si="5"/>
        <v>#DIV/0!</v>
      </c>
      <c r="P19" s="2011">
        <f t="shared" si="6"/>
        <v>1.3</v>
      </c>
      <c r="Q19" s="2011" t="str">
        <f t="shared" si="7"/>
        <v xml:space="preserve"> Q1 1</v>
      </c>
      <c r="R19" s="2012" t="str">
        <f t="shared" si="8"/>
        <v>吸音</v>
      </c>
      <c r="S19" s="2013">
        <f t="shared" si="9"/>
        <v>0.2</v>
      </c>
      <c r="T19" s="2013">
        <f t="shared" si="10"/>
        <v>0.2</v>
      </c>
      <c r="U19" s="2013">
        <f t="shared" si="11"/>
        <v>0.2</v>
      </c>
      <c r="V19" s="2013">
        <f t="shared" si="12"/>
        <v>0.2</v>
      </c>
      <c r="W19" s="2013">
        <f t="shared" si="13"/>
        <v>0.2</v>
      </c>
      <c r="X19" s="2013">
        <f t="shared" si="14"/>
        <v>0.2</v>
      </c>
      <c r="Y19" s="2013">
        <f t="shared" si="15"/>
        <v>0.2</v>
      </c>
      <c r="Z19" s="2022">
        <f t="shared" si="16"/>
        <v>0.2</v>
      </c>
      <c r="AA19" s="2013">
        <f t="shared" si="21"/>
        <v>0</v>
      </c>
      <c r="AB19" s="2013">
        <f t="shared" si="17"/>
        <v>0.2</v>
      </c>
      <c r="AC19" s="2014">
        <f t="shared" si="18"/>
        <v>0</v>
      </c>
      <c r="AD19" s="2013">
        <f t="shared" si="19"/>
        <v>0.2</v>
      </c>
      <c r="AE19" s="2013">
        <f t="shared" si="20"/>
        <v>0.2</v>
      </c>
      <c r="AG19" s="2011">
        <v>1.3</v>
      </c>
      <c r="AH19" s="2015" t="s">
        <v>766</v>
      </c>
      <c r="AI19" s="1449" t="s">
        <v>585</v>
      </c>
      <c r="AJ19" s="2024">
        <v>0.2</v>
      </c>
      <c r="AK19" s="2013">
        <v>0.2</v>
      </c>
      <c r="AL19" s="2013">
        <v>0.2</v>
      </c>
      <c r="AM19" s="2013">
        <v>0.2</v>
      </c>
      <c r="AN19" s="2024">
        <v>0.2</v>
      </c>
      <c r="AO19" s="2013">
        <v>0.2</v>
      </c>
      <c r="AP19" s="2013">
        <v>0.2</v>
      </c>
      <c r="AQ19" s="2024">
        <v>0.2</v>
      </c>
      <c r="AR19" s="2013"/>
      <c r="AS19" s="2018">
        <v>0.2</v>
      </c>
      <c r="AT19" s="2019"/>
      <c r="AU19" s="2018">
        <v>0.2</v>
      </c>
      <c r="AV19" s="2024">
        <v>0.2</v>
      </c>
      <c r="AX19" s="2011">
        <v>1.3</v>
      </c>
      <c r="AY19" s="2015" t="s">
        <v>766</v>
      </c>
      <c r="AZ19" s="1449" t="s">
        <v>585</v>
      </c>
      <c r="BA19" s="2018">
        <v>0.3</v>
      </c>
      <c r="BB19" s="2018">
        <v>0.3</v>
      </c>
      <c r="BC19" s="2018">
        <v>0.3</v>
      </c>
      <c r="BD19" s="2018">
        <v>0.3</v>
      </c>
      <c r="BE19" s="2018">
        <v>0.3</v>
      </c>
      <c r="BF19" s="2018">
        <v>0.3</v>
      </c>
      <c r="BG19" s="2018">
        <v>0</v>
      </c>
      <c r="BH19" s="2020">
        <v>0.2</v>
      </c>
      <c r="BI19" s="2018">
        <v>0.3</v>
      </c>
      <c r="BJ19" s="2018">
        <v>0.3</v>
      </c>
      <c r="BK19" s="2019">
        <v>0.3</v>
      </c>
      <c r="BL19" s="2018">
        <v>0.3</v>
      </c>
      <c r="BM19" s="2018">
        <v>0</v>
      </c>
      <c r="BO19" s="2011">
        <v>1.3</v>
      </c>
      <c r="BP19" s="2015" t="s">
        <v>766</v>
      </c>
      <c r="BQ19" s="1449" t="s">
        <v>585</v>
      </c>
      <c r="BR19" s="2018">
        <v>0.2</v>
      </c>
      <c r="BS19" s="2018">
        <v>0.2</v>
      </c>
      <c r="BT19" s="2018">
        <v>0.2</v>
      </c>
      <c r="BU19" s="2018">
        <v>0.2</v>
      </c>
      <c r="BV19" s="2018">
        <v>0.2</v>
      </c>
      <c r="BW19" s="2018">
        <v>0.2</v>
      </c>
      <c r="BX19" s="2018">
        <v>0</v>
      </c>
      <c r="BY19" s="2025">
        <v>0.2</v>
      </c>
      <c r="BZ19" s="2018">
        <v>0.2</v>
      </c>
      <c r="CA19" s="2018">
        <v>0.2</v>
      </c>
      <c r="CB19" s="2019">
        <v>0.2</v>
      </c>
      <c r="CC19" s="2018">
        <v>0.2</v>
      </c>
      <c r="CD19" s="2018">
        <v>0</v>
      </c>
      <c r="CE19" s="2447"/>
    </row>
    <row r="20" spans="1:84" s="1406" customFormat="1">
      <c r="A20"/>
      <c r="B20" s="1985">
        <f t="shared" si="0"/>
        <v>2</v>
      </c>
      <c r="C20" s="2026" t="str">
        <f t="shared" si="1"/>
        <v>温熱環境</v>
      </c>
      <c r="D20" s="1996" t="e">
        <f>IF(I$9=0,0,G20/I$9)</f>
        <v>#DIV/0!</v>
      </c>
      <c r="E20" s="1997" t="e">
        <f>IF(J$9=0,0,H20/J$9)</f>
        <v>#DIV/0!</v>
      </c>
      <c r="F20"/>
      <c r="G20" s="1997" t="e">
        <f t="shared" si="2"/>
        <v>#DIV/0!</v>
      </c>
      <c r="H20" s="1997" t="e">
        <f t="shared" si="3"/>
        <v>#DIV/0!</v>
      </c>
      <c r="I20" s="1997" t="e">
        <f>G21+G30+G31</f>
        <v>#DIV/0!</v>
      </c>
      <c r="J20" s="1997" t="e">
        <f>H21+H30+H31</f>
        <v>#DIV/0!</v>
      </c>
      <c r="K20" s="1997" t="e">
        <f>IF(スコア!O20=0,0,1)</f>
        <v>#DIV/0!</v>
      </c>
      <c r="L20" s="1997" t="e">
        <f>IF(スコア!Q20=0,0,1)</f>
        <v>#DIV/0!</v>
      </c>
      <c r="M20" s="1997" t="e">
        <f t="shared" si="4"/>
        <v>#DIV/0!</v>
      </c>
      <c r="N20" s="1997" t="e">
        <f t="shared" si="5"/>
        <v>#DIV/0!</v>
      </c>
      <c r="O20"/>
      <c r="P20" s="1999">
        <f t="shared" si="6"/>
        <v>2</v>
      </c>
      <c r="Q20" s="1999" t="str">
        <f t="shared" si="7"/>
        <v xml:space="preserve"> Q1</v>
      </c>
      <c r="R20" s="2000" t="str">
        <f t="shared" si="8"/>
        <v>温熱環境</v>
      </c>
      <c r="S20" s="2001">
        <f t="shared" si="9"/>
        <v>0.35</v>
      </c>
      <c r="T20" s="2001">
        <f t="shared" si="10"/>
        <v>0.35</v>
      </c>
      <c r="U20" s="2001">
        <f t="shared" si="11"/>
        <v>0.35</v>
      </c>
      <c r="V20" s="2001">
        <f t="shared" si="12"/>
        <v>0.35</v>
      </c>
      <c r="W20" s="2001">
        <f t="shared" si="13"/>
        <v>0.35</v>
      </c>
      <c r="X20" s="2001">
        <f t="shared" si="14"/>
        <v>0.35</v>
      </c>
      <c r="Y20" s="2001">
        <f t="shared" si="15"/>
        <v>0.35</v>
      </c>
      <c r="Z20" s="2027">
        <f t="shared" si="16"/>
        <v>0.44</v>
      </c>
      <c r="AA20" s="2001">
        <f t="shared" si="21"/>
        <v>0.35</v>
      </c>
      <c r="AB20" s="2001">
        <f t="shared" si="17"/>
        <v>0.35</v>
      </c>
      <c r="AC20" s="2003">
        <f t="shared" si="18"/>
        <v>0</v>
      </c>
      <c r="AD20" s="2001">
        <f t="shared" si="19"/>
        <v>0</v>
      </c>
      <c r="AE20" s="2001">
        <f t="shared" si="20"/>
        <v>0</v>
      </c>
      <c r="AF20"/>
      <c r="AG20" s="1999">
        <v>2</v>
      </c>
      <c r="AH20" s="2004" t="s">
        <v>765</v>
      </c>
      <c r="AI20" s="2028" t="s">
        <v>758</v>
      </c>
      <c r="AJ20" s="2001">
        <v>0.35</v>
      </c>
      <c r="AK20" s="2001">
        <v>0.35</v>
      </c>
      <c r="AL20" s="2001">
        <v>0.35</v>
      </c>
      <c r="AM20" s="2001">
        <v>0.35</v>
      </c>
      <c r="AN20" s="2001">
        <v>0.35</v>
      </c>
      <c r="AO20" s="2001">
        <v>0.35</v>
      </c>
      <c r="AP20" s="2001">
        <v>0.35</v>
      </c>
      <c r="AQ20" s="2001">
        <v>0.44</v>
      </c>
      <c r="AR20" s="2001">
        <v>0.35</v>
      </c>
      <c r="AS20" s="2005">
        <v>0.35</v>
      </c>
      <c r="AT20" s="2006"/>
      <c r="AU20" s="2005"/>
      <c r="AV20" s="2005"/>
      <c r="AW20"/>
      <c r="AX20" s="1999">
        <v>2</v>
      </c>
      <c r="AY20" s="2004" t="s">
        <v>765</v>
      </c>
      <c r="AZ20" s="2028" t="s">
        <v>758</v>
      </c>
      <c r="BA20" s="2005">
        <v>0.35</v>
      </c>
      <c r="BB20" s="2005">
        <v>0.35</v>
      </c>
      <c r="BC20" s="2005">
        <v>0.35</v>
      </c>
      <c r="BD20" s="2005">
        <v>0.35</v>
      </c>
      <c r="BE20" s="2005">
        <v>0.35</v>
      </c>
      <c r="BF20" s="2005">
        <v>0.35</v>
      </c>
      <c r="BG20" s="2005">
        <v>0.35</v>
      </c>
      <c r="BH20" s="2029">
        <v>0.44</v>
      </c>
      <c r="BI20" s="2005">
        <v>0.35</v>
      </c>
      <c r="BJ20" s="2005">
        <v>0.35</v>
      </c>
      <c r="BK20" s="2006"/>
      <c r="BL20" s="2005"/>
      <c r="BM20" s="2005"/>
      <c r="BN20"/>
      <c r="BO20" s="1999">
        <v>2</v>
      </c>
      <c r="BP20" s="2004" t="s">
        <v>765</v>
      </c>
      <c r="BQ20" s="2028" t="s">
        <v>758</v>
      </c>
      <c r="BR20" s="2005">
        <v>0.35</v>
      </c>
      <c r="BS20" s="2005">
        <v>0.35</v>
      </c>
      <c r="BT20" s="2005">
        <v>0.35</v>
      </c>
      <c r="BU20" s="2005">
        <v>0.35</v>
      </c>
      <c r="BV20" s="2005">
        <v>0.35</v>
      </c>
      <c r="BW20" s="2005">
        <v>0.35</v>
      </c>
      <c r="BX20" s="2005">
        <v>0.35</v>
      </c>
      <c r="BY20" s="2029">
        <v>0.44</v>
      </c>
      <c r="BZ20" s="2005">
        <v>0.35</v>
      </c>
      <c r="CA20" s="2005">
        <v>0.35</v>
      </c>
      <c r="CB20" s="2006"/>
      <c r="CC20" s="2005"/>
      <c r="CD20" s="2005"/>
      <c r="CE20" s="2446"/>
      <c r="CF20"/>
    </row>
    <row r="21" spans="1:84">
      <c r="B21" s="1985">
        <f t="shared" si="0"/>
        <v>2.1</v>
      </c>
      <c r="C21" s="2030" t="str">
        <f t="shared" si="1"/>
        <v>室温制御</v>
      </c>
      <c r="D21" s="2009" t="e">
        <f>IF(I$20=0,0,G21/I$20)</f>
        <v>#DIV/0!</v>
      </c>
      <c r="E21" s="2010" t="e">
        <f>IF(J$20=0,0,H21/J$20)</f>
        <v>#DIV/0!</v>
      </c>
      <c r="G21" s="2010" t="e">
        <f t="shared" si="2"/>
        <v>#DIV/0!</v>
      </c>
      <c r="H21" s="2010" t="e">
        <f t="shared" si="3"/>
        <v>#DIV/0!</v>
      </c>
      <c r="I21" s="2010" t="e">
        <f>SUM(G22:G29)</f>
        <v>#DIV/0!</v>
      </c>
      <c r="J21" s="2010" t="e">
        <f>SUM(H22:H29)</f>
        <v>#DIV/0!</v>
      </c>
      <c r="K21" s="2010" t="e">
        <f>IF(スコア!O21=0,0,1)</f>
        <v>#DIV/0!</v>
      </c>
      <c r="L21" s="2010" t="e">
        <f>IF(スコア!Q21=0,0,1)</f>
        <v>#DIV/0!</v>
      </c>
      <c r="M21" s="2010" t="e">
        <f t="shared" si="4"/>
        <v>#DIV/0!</v>
      </c>
      <c r="N21" s="2010" t="e">
        <f t="shared" si="5"/>
        <v>#DIV/0!</v>
      </c>
      <c r="P21" s="2011">
        <f t="shared" si="6"/>
        <v>2.1</v>
      </c>
      <c r="Q21" s="2011" t="str">
        <f t="shared" si="7"/>
        <v xml:space="preserve"> Q1 2</v>
      </c>
      <c r="R21" s="2012" t="str">
        <f t="shared" si="8"/>
        <v>室温制御</v>
      </c>
      <c r="S21" s="2013">
        <f t="shared" si="9"/>
        <v>0.5</v>
      </c>
      <c r="T21" s="2013">
        <f t="shared" si="10"/>
        <v>0.5</v>
      </c>
      <c r="U21" s="2013">
        <f t="shared" si="11"/>
        <v>0.5</v>
      </c>
      <c r="V21" s="2013">
        <f t="shared" si="12"/>
        <v>0.5</v>
      </c>
      <c r="W21" s="2013">
        <f t="shared" si="13"/>
        <v>0.5</v>
      </c>
      <c r="X21" s="2013">
        <f t="shared" si="14"/>
        <v>0.5</v>
      </c>
      <c r="Y21" s="2013">
        <f t="shared" si="15"/>
        <v>0.5</v>
      </c>
      <c r="Z21" s="2031">
        <f t="shared" si="16"/>
        <v>0.5</v>
      </c>
      <c r="AA21" s="2013">
        <f t="shared" si="21"/>
        <v>0.5</v>
      </c>
      <c r="AB21" s="2013">
        <f t="shared" si="17"/>
        <v>0.5</v>
      </c>
      <c r="AC21" s="2014">
        <f t="shared" si="18"/>
        <v>1</v>
      </c>
      <c r="AD21" s="2013">
        <f t="shared" si="19"/>
        <v>1</v>
      </c>
      <c r="AE21" s="2013">
        <f t="shared" si="20"/>
        <v>1</v>
      </c>
      <c r="AG21" s="2011">
        <v>2.1</v>
      </c>
      <c r="AH21" s="2015" t="s">
        <v>773</v>
      </c>
      <c r="AI21" s="2012" t="s">
        <v>587</v>
      </c>
      <c r="AJ21" s="2013">
        <v>0.5</v>
      </c>
      <c r="AK21" s="2013">
        <v>0.5</v>
      </c>
      <c r="AL21" s="2013">
        <v>0.5</v>
      </c>
      <c r="AM21" s="2013">
        <v>0.5</v>
      </c>
      <c r="AN21" s="2013">
        <v>0.5</v>
      </c>
      <c r="AO21" s="2013">
        <v>0.5</v>
      </c>
      <c r="AP21" s="2013">
        <v>0.5</v>
      </c>
      <c r="AQ21" s="2013">
        <v>0.5</v>
      </c>
      <c r="AR21" s="2013">
        <v>0.5</v>
      </c>
      <c r="AS21" s="2018">
        <v>0.5</v>
      </c>
      <c r="AT21" s="2019">
        <v>1</v>
      </c>
      <c r="AU21" s="2018">
        <v>1</v>
      </c>
      <c r="AV21" s="2018">
        <v>1</v>
      </c>
      <c r="AX21" s="2011">
        <v>2.1</v>
      </c>
      <c r="AY21" s="2015" t="s">
        <v>773</v>
      </c>
      <c r="AZ21" s="2012" t="s">
        <v>587</v>
      </c>
      <c r="BA21" s="2018">
        <v>0.5</v>
      </c>
      <c r="BB21" s="2018">
        <v>0.5</v>
      </c>
      <c r="BC21" s="2018">
        <v>0.5</v>
      </c>
      <c r="BD21" s="2018">
        <v>0.5</v>
      </c>
      <c r="BE21" s="2018">
        <v>0.5</v>
      </c>
      <c r="BF21" s="2018">
        <v>0.5</v>
      </c>
      <c r="BG21" s="2018">
        <v>0.5</v>
      </c>
      <c r="BH21" s="2020">
        <v>0.5</v>
      </c>
      <c r="BI21" s="2018">
        <v>0.5</v>
      </c>
      <c r="BJ21" s="2018">
        <v>0.5</v>
      </c>
      <c r="BK21" s="2019">
        <v>0.5</v>
      </c>
      <c r="BL21" s="2018">
        <v>0.5</v>
      </c>
      <c r="BM21" s="2018">
        <v>0.5</v>
      </c>
      <c r="BO21" s="2011">
        <v>2.1</v>
      </c>
      <c r="BP21" s="2015" t="s">
        <v>773</v>
      </c>
      <c r="BQ21" s="2012" t="s">
        <v>587</v>
      </c>
      <c r="BR21" s="2018">
        <v>0.5</v>
      </c>
      <c r="BS21" s="2018">
        <v>0.5</v>
      </c>
      <c r="BT21" s="2018">
        <v>0.5</v>
      </c>
      <c r="BU21" s="2018">
        <v>0.5</v>
      </c>
      <c r="BV21" s="2018">
        <v>0.5</v>
      </c>
      <c r="BW21" s="2018">
        <v>0.5</v>
      </c>
      <c r="BX21" s="2018">
        <v>0.5</v>
      </c>
      <c r="BY21" s="2020">
        <v>0.5</v>
      </c>
      <c r="BZ21" s="2018">
        <v>0.5</v>
      </c>
      <c r="CA21" s="2018">
        <v>0.5</v>
      </c>
      <c r="CB21" s="2019">
        <v>0.5</v>
      </c>
      <c r="CC21" s="2018">
        <v>0.5</v>
      </c>
      <c r="CD21" s="2018">
        <v>0.5</v>
      </c>
      <c r="CE21" s="2447"/>
    </row>
    <row r="22" spans="1:84">
      <c r="B22" s="1985" t="str">
        <f t="shared" si="0"/>
        <v>2.1.1</v>
      </c>
      <c r="C22" s="2008" t="str">
        <f t="shared" si="1"/>
        <v>室温設定</v>
      </c>
      <c r="D22" s="1998" t="e">
        <f t="shared" ref="D22:E29" si="23">IF(I$21&gt;0,G22/I$21,0)</f>
        <v>#DIV/0!</v>
      </c>
      <c r="E22" s="2010" t="e">
        <f t="shared" si="23"/>
        <v>#DIV/0!</v>
      </c>
      <c r="G22" s="2010" t="e">
        <f t="shared" si="2"/>
        <v>#DIV/0!</v>
      </c>
      <c r="H22" s="2010" t="e">
        <f t="shared" si="3"/>
        <v>#DIV/0!</v>
      </c>
      <c r="I22" s="2010"/>
      <c r="J22" s="2010"/>
      <c r="K22" s="2010">
        <f>IF(スコア!O22=0,0,1)</f>
        <v>1</v>
      </c>
      <c r="L22" s="2010">
        <f>IF(スコア!Q22=0,0,1)</f>
        <v>0</v>
      </c>
      <c r="M22" s="2010" t="e">
        <f t="shared" si="4"/>
        <v>#DIV/0!</v>
      </c>
      <c r="N22" s="2010" t="e">
        <f t="shared" si="5"/>
        <v>#DIV/0!</v>
      </c>
      <c r="P22" s="2011" t="str">
        <f t="shared" si="6"/>
        <v>2.1.1</v>
      </c>
      <c r="Q22" s="2011" t="str">
        <f t="shared" si="7"/>
        <v xml:space="preserve"> Q1 2.1</v>
      </c>
      <c r="R22" s="2012" t="str">
        <f t="shared" si="8"/>
        <v>室温設定</v>
      </c>
      <c r="S22" s="2013">
        <f t="shared" si="9"/>
        <v>0.3</v>
      </c>
      <c r="T22" s="2013">
        <f t="shared" si="10"/>
        <v>0.3</v>
      </c>
      <c r="U22" s="2013">
        <f t="shared" si="11"/>
        <v>0.3</v>
      </c>
      <c r="V22" s="2013">
        <f t="shared" si="12"/>
        <v>0.3</v>
      </c>
      <c r="W22" s="2013">
        <f t="shared" si="13"/>
        <v>0.3</v>
      </c>
      <c r="X22" s="2013">
        <f t="shared" si="14"/>
        <v>0.3</v>
      </c>
      <c r="Y22" s="2013">
        <f t="shared" si="15"/>
        <v>0.5</v>
      </c>
      <c r="Z22" s="2031">
        <f t="shared" si="16"/>
        <v>0.3</v>
      </c>
      <c r="AA22" s="2013">
        <f t="shared" si="21"/>
        <v>0.3</v>
      </c>
      <c r="AB22" s="2013">
        <f t="shared" si="17"/>
        <v>0.3</v>
      </c>
      <c r="AC22" s="2014">
        <f t="shared" si="18"/>
        <v>0</v>
      </c>
      <c r="AD22" s="2013">
        <f t="shared" si="19"/>
        <v>0</v>
      </c>
      <c r="AE22" s="2013">
        <f t="shared" si="20"/>
        <v>0</v>
      </c>
      <c r="AG22" s="2011" t="s">
        <v>198</v>
      </c>
      <c r="AH22" s="2015" t="s">
        <v>389</v>
      </c>
      <c r="AI22" s="2016" t="s">
        <v>390</v>
      </c>
      <c r="AJ22" s="2013">
        <v>0.3</v>
      </c>
      <c r="AK22" s="2013">
        <v>0.3</v>
      </c>
      <c r="AL22" s="2013">
        <v>0.3</v>
      </c>
      <c r="AM22" s="2013">
        <v>0.3</v>
      </c>
      <c r="AN22" s="2013">
        <v>0.3</v>
      </c>
      <c r="AO22" s="2013">
        <v>0.3</v>
      </c>
      <c r="AP22" s="2013">
        <v>0.5</v>
      </c>
      <c r="AQ22" s="2031">
        <v>0.3</v>
      </c>
      <c r="AR22" s="2013">
        <v>0.3</v>
      </c>
      <c r="AS22" s="2018">
        <v>0.3</v>
      </c>
      <c r="AT22" s="2019"/>
      <c r="AU22" s="2018"/>
      <c r="AV22" s="2018"/>
      <c r="AX22" s="2011" t="s">
        <v>198</v>
      </c>
      <c r="AY22" s="2015" t="s">
        <v>389</v>
      </c>
      <c r="AZ22" s="2016" t="s">
        <v>739</v>
      </c>
      <c r="BA22" s="2018">
        <v>0.3</v>
      </c>
      <c r="BB22" s="2018">
        <v>0.6</v>
      </c>
      <c r="BC22" s="2018">
        <v>0.3</v>
      </c>
      <c r="BD22" s="2018">
        <v>0.3</v>
      </c>
      <c r="BE22" s="2018">
        <v>0.3</v>
      </c>
      <c r="BF22" s="2018">
        <v>0.3</v>
      </c>
      <c r="BG22" s="2018">
        <v>0.6</v>
      </c>
      <c r="BH22" s="2020">
        <v>0.3</v>
      </c>
      <c r="BI22" s="2018">
        <v>0.3</v>
      </c>
      <c r="BJ22" s="2018">
        <v>0.6</v>
      </c>
      <c r="BK22" s="2019">
        <v>0.6</v>
      </c>
      <c r="BL22" s="2018">
        <v>0.6</v>
      </c>
      <c r="BM22" s="2018">
        <v>0.6</v>
      </c>
      <c r="BO22" s="2011" t="s">
        <v>198</v>
      </c>
      <c r="BP22" s="2015" t="s">
        <v>389</v>
      </c>
      <c r="BQ22" s="2016" t="s">
        <v>739</v>
      </c>
      <c r="BR22" s="2018">
        <v>0.3</v>
      </c>
      <c r="BS22" s="2018">
        <v>0.3</v>
      </c>
      <c r="BT22" s="2018">
        <v>0.3</v>
      </c>
      <c r="BU22" s="2018">
        <v>0.3</v>
      </c>
      <c r="BV22" s="2018">
        <v>0.3</v>
      </c>
      <c r="BW22" s="2018">
        <v>0.3</v>
      </c>
      <c r="BX22" s="2018">
        <v>0.5</v>
      </c>
      <c r="BY22" s="2020">
        <v>0.3</v>
      </c>
      <c r="BZ22" s="2018">
        <v>0.3</v>
      </c>
      <c r="CA22" s="2018">
        <v>0.3</v>
      </c>
      <c r="CB22" s="2019">
        <v>0.4</v>
      </c>
      <c r="CC22" s="2018">
        <v>0.4</v>
      </c>
      <c r="CD22" s="2018">
        <v>0.5</v>
      </c>
      <c r="CE22" s="2447"/>
    </row>
    <row r="23" spans="1:84" hidden="1">
      <c r="B23" s="1985" t="str">
        <f t="shared" si="0"/>
        <v>2.1.2</v>
      </c>
      <c r="C23" s="2008" t="str">
        <f t="shared" si="1"/>
        <v>負荷変動・追従制御性</v>
      </c>
      <c r="D23" s="1998" t="e">
        <f t="shared" si="23"/>
        <v>#DIV/0!</v>
      </c>
      <c r="E23" s="2010" t="e">
        <f t="shared" si="23"/>
        <v>#DIV/0!</v>
      </c>
      <c r="G23" s="2010" t="e">
        <f t="shared" si="2"/>
        <v>#DIV/0!</v>
      </c>
      <c r="H23" s="2010" t="e">
        <f t="shared" si="3"/>
        <v>#DIV/0!</v>
      </c>
      <c r="I23" s="2010"/>
      <c r="J23" s="2010"/>
      <c r="K23" s="2010">
        <f>IF(スコア!O23=0,0,1)</f>
        <v>0</v>
      </c>
      <c r="L23" s="2010">
        <f>IF(スコア!Q23=0,0,1)</f>
        <v>0</v>
      </c>
      <c r="M23" s="2010" t="e">
        <f t="shared" si="4"/>
        <v>#DIV/0!</v>
      </c>
      <c r="N23" s="2010" t="e">
        <f t="shared" si="5"/>
        <v>#DIV/0!</v>
      </c>
      <c r="P23" s="2011" t="str">
        <f t="shared" si="6"/>
        <v>2.1.2</v>
      </c>
      <c r="Q23" s="2011" t="str">
        <f t="shared" si="7"/>
        <v xml:space="preserve"> Q1 2.1</v>
      </c>
      <c r="R23" s="2012" t="str">
        <f t="shared" si="8"/>
        <v>負荷変動・追従制御性</v>
      </c>
      <c r="S23" s="2032">
        <f t="shared" si="9"/>
        <v>0</v>
      </c>
      <c r="T23" s="2013">
        <f t="shared" si="10"/>
        <v>0.2</v>
      </c>
      <c r="U23" s="2013">
        <f t="shared" si="11"/>
        <v>0.2</v>
      </c>
      <c r="V23" s="2013">
        <f t="shared" si="12"/>
        <v>0.2</v>
      </c>
      <c r="W23" s="2013">
        <f t="shared" si="13"/>
        <v>0</v>
      </c>
      <c r="X23" s="2013">
        <f t="shared" si="14"/>
        <v>0</v>
      </c>
      <c r="Y23" s="2013">
        <f t="shared" si="15"/>
        <v>0</v>
      </c>
      <c r="Z23" s="2031">
        <f t="shared" si="16"/>
        <v>0.3</v>
      </c>
      <c r="AA23" s="2032">
        <f t="shared" si="21"/>
        <v>0</v>
      </c>
      <c r="AB23" s="2013">
        <f t="shared" si="17"/>
        <v>0.2</v>
      </c>
      <c r="AC23" s="2014">
        <f t="shared" si="18"/>
        <v>0</v>
      </c>
      <c r="AD23" s="2013">
        <f t="shared" si="19"/>
        <v>0</v>
      </c>
      <c r="AE23" s="2013">
        <f t="shared" si="20"/>
        <v>0</v>
      </c>
      <c r="AG23" s="2011" t="s">
        <v>391</v>
      </c>
      <c r="AH23" s="2015" t="s">
        <v>389</v>
      </c>
      <c r="AI23" s="2016" t="s">
        <v>392</v>
      </c>
      <c r="AJ23" s="2023"/>
      <c r="AK23" s="2023">
        <v>0.2</v>
      </c>
      <c r="AL23" s="2023">
        <v>0.2</v>
      </c>
      <c r="AM23" s="2023">
        <v>0.2</v>
      </c>
      <c r="AN23" s="2023"/>
      <c r="AO23" s="2023"/>
      <c r="AP23" s="2023"/>
      <c r="AQ23" s="2033">
        <v>0.3</v>
      </c>
      <c r="AR23" s="2023"/>
      <c r="AS23" s="2018">
        <v>0.2</v>
      </c>
      <c r="AT23" s="2019"/>
      <c r="AU23" s="2018"/>
      <c r="AV23" s="2018"/>
      <c r="AX23" s="2011" t="s">
        <v>391</v>
      </c>
      <c r="AY23" s="2015" t="s">
        <v>389</v>
      </c>
      <c r="AZ23" s="2016" t="s">
        <v>392</v>
      </c>
      <c r="BA23" s="2034"/>
      <c r="BB23" s="2018"/>
      <c r="BC23" s="2018"/>
      <c r="BD23" s="2018"/>
      <c r="BE23" s="2018"/>
      <c r="BF23" s="2018"/>
      <c r="BG23" s="2018"/>
      <c r="BH23" s="2020"/>
      <c r="BI23" s="2034"/>
      <c r="BJ23" s="2018"/>
      <c r="BK23" s="2019"/>
      <c r="BL23" s="2018"/>
      <c r="BM23" s="2018"/>
      <c r="BO23" s="2011" t="s">
        <v>391</v>
      </c>
      <c r="BP23" s="2015" t="s">
        <v>389</v>
      </c>
      <c r="BQ23" s="2016" t="s">
        <v>392</v>
      </c>
      <c r="BR23" s="2034"/>
      <c r="BS23" s="2018">
        <v>0.2</v>
      </c>
      <c r="BT23" s="2018">
        <v>0.2</v>
      </c>
      <c r="BU23" s="2018">
        <v>0.2</v>
      </c>
      <c r="BV23" s="2018"/>
      <c r="BW23" s="2018"/>
      <c r="BX23" s="2018"/>
      <c r="BY23" s="2020">
        <v>0.3</v>
      </c>
      <c r="BZ23" s="2034"/>
      <c r="CA23" s="2018">
        <v>0.2</v>
      </c>
      <c r="CB23" s="2019"/>
      <c r="CC23" s="2018"/>
      <c r="CD23" s="2018"/>
      <c r="CE23" s="2447"/>
    </row>
    <row r="24" spans="1:84">
      <c r="B24" s="1985" t="str">
        <f t="shared" si="0"/>
        <v>2.1.3</v>
      </c>
      <c r="C24" s="2008" t="str">
        <f t="shared" si="1"/>
        <v>外皮性能</v>
      </c>
      <c r="D24" s="1998" t="e">
        <f t="shared" si="23"/>
        <v>#DIV/0!</v>
      </c>
      <c r="E24" s="2010" t="e">
        <f t="shared" si="23"/>
        <v>#DIV/0!</v>
      </c>
      <c r="G24" s="2010" t="e">
        <f t="shared" si="2"/>
        <v>#DIV/0!</v>
      </c>
      <c r="H24" s="2010" t="e">
        <f t="shared" si="3"/>
        <v>#DIV/0!</v>
      </c>
      <c r="I24" s="2010"/>
      <c r="J24" s="2010"/>
      <c r="K24" s="2010">
        <f>IF(スコア!O24=0,0,1)</f>
        <v>1</v>
      </c>
      <c r="L24" s="2010">
        <f>IF(スコア!Q24=0,0,1)</f>
        <v>1</v>
      </c>
      <c r="M24" s="2010" t="e">
        <f t="shared" si="4"/>
        <v>#DIV/0!</v>
      </c>
      <c r="N24" s="2010" t="e">
        <f t="shared" si="5"/>
        <v>#DIV/0!</v>
      </c>
      <c r="P24" s="2011" t="str">
        <f t="shared" si="6"/>
        <v>2.1.3</v>
      </c>
      <c r="Q24" s="2011" t="str">
        <f t="shared" si="7"/>
        <v xml:space="preserve"> Q1 2.1</v>
      </c>
      <c r="R24" s="2012" t="str">
        <f t="shared" si="8"/>
        <v>外皮性能</v>
      </c>
      <c r="S24" s="2013">
        <f t="shared" si="9"/>
        <v>0.2</v>
      </c>
      <c r="T24" s="2013">
        <f t="shared" si="10"/>
        <v>0.2</v>
      </c>
      <c r="U24" s="2013">
        <f t="shared" si="11"/>
        <v>0.1</v>
      </c>
      <c r="V24" s="2013">
        <f t="shared" si="12"/>
        <v>0.1</v>
      </c>
      <c r="W24" s="2013">
        <f t="shared" si="13"/>
        <v>0.2</v>
      </c>
      <c r="X24" s="2013">
        <f t="shared" si="14"/>
        <v>0.2</v>
      </c>
      <c r="Y24" s="2013">
        <f t="shared" si="15"/>
        <v>0.3</v>
      </c>
      <c r="Z24" s="2031">
        <f t="shared" si="16"/>
        <v>0.1</v>
      </c>
      <c r="AA24" s="2013">
        <f t="shared" si="21"/>
        <v>0.2</v>
      </c>
      <c r="AB24" s="2013">
        <f t="shared" si="17"/>
        <v>0.2</v>
      </c>
      <c r="AC24" s="2014">
        <f t="shared" si="18"/>
        <v>0.5</v>
      </c>
      <c r="AD24" s="2013">
        <f t="shared" si="19"/>
        <v>0.5</v>
      </c>
      <c r="AE24" s="2013">
        <f t="shared" si="20"/>
        <v>0.6</v>
      </c>
      <c r="AG24" s="2011" t="s">
        <v>393</v>
      </c>
      <c r="AH24" s="2015" t="s">
        <v>389</v>
      </c>
      <c r="AI24" s="2016" t="s">
        <v>394</v>
      </c>
      <c r="AJ24" s="2013">
        <v>0.2</v>
      </c>
      <c r="AK24" s="2013">
        <v>0.2</v>
      </c>
      <c r="AL24" s="2013">
        <v>0.1</v>
      </c>
      <c r="AM24" s="2013">
        <v>0.1</v>
      </c>
      <c r="AN24" s="2013">
        <v>0.2</v>
      </c>
      <c r="AO24" s="2013">
        <v>0.2</v>
      </c>
      <c r="AP24" s="2013">
        <v>0.3</v>
      </c>
      <c r="AQ24" s="2031">
        <v>0.1</v>
      </c>
      <c r="AR24" s="2013">
        <v>0.2</v>
      </c>
      <c r="AS24" s="2018">
        <v>0.2</v>
      </c>
      <c r="AT24" s="2019">
        <v>0.5</v>
      </c>
      <c r="AU24" s="2018">
        <v>0.5</v>
      </c>
      <c r="AV24" s="2018">
        <v>0.6</v>
      </c>
      <c r="AX24" s="2011" t="s">
        <v>393</v>
      </c>
      <c r="AY24" s="2015" t="s">
        <v>389</v>
      </c>
      <c r="AZ24" s="2016" t="s">
        <v>394</v>
      </c>
      <c r="BA24" s="2018">
        <v>0.2</v>
      </c>
      <c r="BB24" s="2018">
        <v>0.4</v>
      </c>
      <c r="BC24" s="2018">
        <v>0.2</v>
      </c>
      <c r="BD24" s="2018">
        <v>0.2</v>
      </c>
      <c r="BE24" s="2018">
        <v>0.2</v>
      </c>
      <c r="BF24" s="2018">
        <v>0.2</v>
      </c>
      <c r="BG24" s="2018">
        <v>0.4</v>
      </c>
      <c r="BH24" s="2020">
        <v>0.2</v>
      </c>
      <c r="BI24" s="2018">
        <v>0.2</v>
      </c>
      <c r="BJ24" s="2018">
        <v>0.4</v>
      </c>
      <c r="BK24" s="2019">
        <v>0.4</v>
      </c>
      <c r="BL24" s="2018">
        <v>0.4</v>
      </c>
      <c r="BM24" s="2018">
        <v>0.4</v>
      </c>
      <c r="BO24" s="2011" t="s">
        <v>393</v>
      </c>
      <c r="BP24" s="2015" t="s">
        <v>389</v>
      </c>
      <c r="BQ24" s="2016" t="s">
        <v>394</v>
      </c>
      <c r="BR24" s="2018">
        <v>0.2</v>
      </c>
      <c r="BS24" s="2018">
        <v>0.2</v>
      </c>
      <c r="BT24" s="2018">
        <v>0.1</v>
      </c>
      <c r="BU24" s="2018">
        <v>0.1</v>
      </c>
      <c r="BV24" s="2018">
        <v>0.2</v>
      </c>
      <c r="BW24" s="2018">
        <v>0.2</v>
      </c>
      <c r="BX24" s="2018">
        <v>0.3</v>
      </c>
      <c r="BY24" s="2020">
        <v>0.1</v>
      </c>
      <c r="BZ24" s="2018">
        <v>0.2</v>
      </c>
      <c r="CA24" s="2018">
        <v>0.2</v>
      </c>
      <c r="CB24" s="2019">
        <v>0.3</v>
      </c>
      <c r="CC24" s="2018">
        <v>0.3</v>
      </c>
      <c r="CD24" s="2018">
        <v>0.3</v>
      </c>
      <c r="CE24" s="2447"/>
    </row>
    <row r="25" spans="1:84">
      <c r="B25" s="1985" t="str">
        <f t="shared" si="0"/>
        <v>2.1.4</v>
      </c>
      <c r="C25" s="2008" t="str">
        <f t="shared" si="1"/>
        <v>ゾーン別制御性</v>
      </c>
      <c r="D25" s="1998" t="e">
        <f t="shared" si="23"/>
        <v>#DIV/0!</v>
      </c>
      <c r="E25" s="2010" t="e">
        <f t="shared" si="23"/>
        <v>#DIV/0!</v>
      </c>
      <c r="G25" s="2010" t="e">
        <f t="shared" si="2"/>
        <v>#DIV/0!</v>
      </c>
      <c r="H25" s="2010" t="e">
        <f t="shared" si="3"/>
        <v>#DIV/0!</v>
      </c>
      <c r="I25" s="2010"/>
      <c r="J25" s="2010"/>
      <c r="K25" s="2010">
        <f>IF(スコア!O25=0,0,1)</f>
        <v>1</v>
      </c>
      <c r="L25" s="2010">
        <f>IF(スコア!Q25=0,0,1)</f>
        <v>0</v>
      </c>
      <c r="M25" s="2010" t="e">
        <f t="shared" si="4"/>
        <v>#DIV/0!</v>
      </c>
      <c r="N25" s="2010" t="e">
        <f t="shared" si="5"/>
        <v>#DIV/0!</v>
      </c>
      <c r="P25" s="2011" t="str">
        <f t="shared" si="6"/>
        <v>2.1.4</v>
      </c>
      <c r="Q25" s="2011" t="str">
        <f t="shared" si="7"/>
        <v xml:space="preserve"> Q1 2.1</v>
      </c>
      <c r="R25" s="2012" t="str">
        <f t="shared" si="8"/>
        <v>ゾーン別制御性</v>
      </c>
      <c r="S25" s="2013">
        <f t="shared" si="9"/>
        <v>0.3</v>
      </c>
      <c r="T25" s="2013">
        <f t="shared" si="10"/>
        <v>0</v>
      </c>
      <c r="U25" s="2013">
        <f t="shared" si="11"/>
        <v>0.2</v>
      </c>
      <c r="V25" s="2013">
        <f t="shared" si="12"/>
        <v>0.2</v>
      </c>
      <c r="W25" s="2013">
        <f t="shared" si="13"/>
        <v>0.3</v>
      </c>
      <c r="X25" s="2013">
        <f t="shared" si="14"/>
        <v>0.3</v>
      </c>
      <c r="Y25" s="2013">
        <f t="shared" si="15"/>
        <v>0</v>
      </c>
      <c r="Z25" s="2031">
        <f t="shared" si="16"/>
        <v>0.2</v>
      </c>
      <c r="AA25" s="2013">
        <f t="shared" si="21"/>
        <v>0.3</v>
      </c>
      <c r="AB25" s="2013">
        <f t="shared" si="17"/>
        <v>0</v>
      </c>
      <c r="AC25" s="2014">
        <f t="shared" si="18"/>
        <v>0</v>
      </c>
      <c r="AD25" s="2013">
        <f t="shared" si="19"/>
        <v>0</v>
      </c>
      <c r="AE25" s="2013">
        <f t="shared" si="20"/>
        <v>0</v>
      </c>
      <c r="AG25" s="2011" t="s">
        <v>2122</v>
      </c>
      <c r="AH25" s="2015" t="s">
        <v>389</v>
      </c>
      <c r="AI25" s="2016" t="s">
        <v>2123</v>
      </c>
      <c r="AJ25" s="2013">
        <v>0.3</v>
      </c>
      <c r="AK25" s="2013"/>
      <c r="AL25" s="2013">
        <v>0.2</v>
      </c>
      <c r="AM25" s="2013">
        <v>0.2</v>
      </c>
      <c r="AN25" s="2013">
        <v>0.3</v>
      </c>
      <c r="AO25" s="2013">
        <v>0.3</v>
      </c>
      <c r="AP25" s="2013"/>
      <c r="AQ25" s="2031">
        <v>0.2</v>
      </c>
      <c r="AR25" s="2013">
        <v>0.3</v>
      </c>
      <c r="AS25" s="2018">
        <v>0</v>
      </c>
      <c r="AT25" s="2019"/>
      <c r="AU25" s="2018"/>
      <c r="AV25" s="2018"/>
      <c r="AX25" s="2011" t="s">
        <v>2122</v>
      </c>
      <c r="AY25" s="2015" t="s">
        <v>389</v>
      </c>
      <c r="AZ25" s="2016" t="s">
        <v>2123</v>
      </c>
      <c r="BA25" s="2018">
        <v>0.5</v>
      </c>
      <c r="BB25" s="2018"/>
      <c r="BC25" s="2018">
        <v>0.5</v>
      </c>
      <c r="BD25" s="2018">
        <v>0.5</v>
      </c>
      <c r="BE25" s="2018">
        <v>0.5</v>
      </c>
      <c r="BF25" s="2018">
        <v>0.5</v>
      </c>
      <c r="BG25" s="2018"/>
      <c r="BH25" s="2020">
        <v>0.5</v>
      </c>
      <c r="BI25" s="2018">
        <v>0.5</v>
      </c>
      <c r="BJ25" s="2018"/>
      <c r="BK25" s="2019"/>
      <c r="BL25" s="2018"/>
      <c r="BM25" s="2018"/>
      <c r="BO25" s="2011" t="s">
        <v>2122</v>
      </c>
      <c r="BP25" s="2015" t="s">
        <v>389</v>
      </c>
      <c r="BQ25" s="2016" t="s">
        <v>2123</v>
      </c>
      <c r="BR25" s="2018">
        <v>0.3</v>
      </c>
      <c r="BS25" s="2018"/>
      <c r="BT25" s="2018">
        <v>0.2</v>
      </c>
      <c r="BU25" s="2018">
        <v>0.2</v>
      </c>
      <c r="BV25" s="2018">
        <v>0.3</v>
      </c>
      <c r="BW25" s="2018">
        <v>0.3</v>
      </c>
      <c r="BX25" s="2018"/>
      <c r="BY25" s="2020">
        <v>0.2</v>
      </c>
      <c r="BZ25" s="2018">
        <v>0.3</v>
      </c>
      <c r="CA25" s="2018"/>
      <c r="CB25" s="2019"/>
      <c r="CC25" s="2018"/>
      <c r="CD25" s="2018"/>
      <c r="CE25" s="2447"/>
    </row>
    <row r="26" spans="1:84" hidden="1">
      <c r="B26" s="1985" t="str">
        <f t="shared" si="0"/>
        <v>2.1.5</v>
      </c>
      <c r="C26" s="2008" t="str">
        <f t="shared" si="1"/>
        <v>温度・湿度制御</v>
      </c>
      <c r="D26" s="1998" t="e">
        <f t="shared" si="23"/>
        <v>#DIV/0!</v>
      </c>
      <c r="E26" s="2010" t="e">
        <f t="shared" si="23"/>
        <v>#DIV/0!</v>
      </c>
      <c r="G26" s="2010" t="e">
        <f t="shared" si="2"/>
        <v>#DIV/0!</v>
      </c>
      <c r="H26" s="2010" t="e">
        <f t="shared" si="3"/>
        <v>#DIV/0!</v>
      </c>
      <c r="I26" s="2010"/>
      <c r="J26" s="2010"/>
      <c r="K26" s="2010">
        <f>IF(スコア!O26=0,0,1)</f>
        <v>0</v>
      </c>
      <c r="L26" s="2010">
        <f>IF(スコア!Q26=0,0,1)</f>
        <v>0</v>
      </c>
      <c r="M26" s="2010" t="e">
        <f t="shared" si="4"/>
        <v>#DIV/0!</v>
      </c>
      <c r="N26" s="2010" t="e">
        <f t="shared" si="5"/>
        <v>#DIV/0!</v>
      </c>
      <c r="P26" s="2011" t="str">
        <f t="shared" si="6"/>
        <v>2.1.5</v>
      </c>
      <c r="Q26" s="2011" t="str">
        <f t="shared" si="7"/>
        <v xml:space="preserve"> Q1 2.1</v>
      </c>
      <c r="R26" s="2012" t="str">
        <f t="shared" si="8"/>
        <v>温度・湿度制御</v>
      </c>
      <c r="S26" s="2013">
        <f t="shared" si="9"/>
        <v>0.1</v>
      </c>
      <c r="T26" s="2013">
        <f t="shared" si="10"/>
        <v>0.1</v>
      </c>
      <c r="U26" s="2013">
        <f t="shared" si="11"/>
        <v>0.1</v>
      </c>
      <c r="V26" s="2013">
        <f t="shared" si="12"/>
        <v>0.1</v>
      </c>
      <c r="W26" s="2013">
        <f t="shared" si="13"/>
        <v>0.1</v>
      </c>
      <c r="X26" s="2013">
        <f t="shared" si="14"/>
        <v>0.1</v>
      </c>
      <c r="Y26" s="2013">
        <f t="shared" si="15"/>
        <v>0.2</v>
      </c>
      <c r="Z26" s="2031">
        <f t="shared" si="16"/>
        <v>0.1</v>
      </c>
      <c r="AA26" s="2013">
        <f t="shared" si="21"/>
        <v>0.1</v>
      </c>
      <c r="AB26" s="2013">
        <f t="shared" si="17"/>
        <v>0.1</v>
      </c>
      <c r="AC26" s="2014">
        <f t="shared" si="18"/>
        <v>0.3</v>
      </c>
      <c r="AD26" s="2013">
        <f t="shared" si="19"/>
        <v>0.3</v>
      </c>
      <c r="AE26" s="2013">
        <f t="shared" si="20"/>
        <v>0</v>
      </c>
      <c r="AG26" s="2011" t="s">
        <v>2124</v>
      </c>
      <c r="AH26" s="2015" t="s">
        <v>389</v>
      </c>
      <c r="AI26" s="2016" t="s">
        <v>2125</v>
      </c>
      <c r="AJ26" s="2023">
        <v>0.1</v>
      </c>
      <c r="AK26" s="2023">
        <v>0.1</v>
      </c>
      <c r="AL26" s="2023">
        <v>0.1</v>
      </c>
      <c r="AM26" s="2023">
        <v>0.1</v>
      </c>
      <c r="AN26" s="2023">
        <v>0.1</v>
      </c>
      <c r="AO26" s="2023">
        <v>0.1</v>
      </c>
      <c r="AP26" s="2023">
        <v>0.2</v>
      </c>
      <c r="AQ26" s="2033">
        <v>0.1</v>
      </c>
      <c r="AR26" s="2023">
        <v>0.1</v>
      </c>
      <c r="AS26" s="2018">
        <v>0.1</v>
      </c>
      <c r="AT26" s="2019">
        <v>0.3</v>
      </c>
      <c r="AU26" s="2018">
        <v>0.3</v>
      </c>
      <c r="AV26" s="2018"/>
      <c r="AX26" s="2011" t="s">
        <v>2124</v>
      </c>
      <c r="AY26" s="2015" t="s">
        <v>389</v>
      </c>
      <c r="AZ26" s="2016" t="s">
        <v>2125</v>
      </c>
      <c r="BA26" s="2018"/>
      <c r="BB26" s="2018"/>
      <c r="BC26" s="2018"/>
      <c r="BD26" s="2018"/>
      <c r="BE26" s="2018"/>
      <c r="BF26" s="2018"/>
      <c r="BG26" s="2018"/>
      <c r="BH26" s="2020"/>
      <c r="BI26" s="2018"/>
      <c r="BJ26" s="2018"/>
      <c r="BK26" s="2019"/>
      <c r="BL26" s="2018"/>
      <c r="BM26" s="2018"/>
      <c r="BO26" s="2011" t="s">
        <v>2124</v>
      </c>
      <c r="BP26" s="2015" t="s">
        <v>389</v>
      </c>
      <c r="BQ26" s="2016" t="s">
        <v>2125</v>
      </c>
      <c r="BR26" s="2018">
        <v>0.1</v>
      </c>
      <c r="BS26" s="2018">
        <v>0.1</v>
      </c>
      <c r="BT26" s="2018">
        <v>0.1</v>
      </c>
      <c r="BU26" s="2018">
        <v>0.1</v>
      </c>
      <c r="BV26" s="2018">
        <v>0.1</v>
      </c>
      <c r="BW26" s="2018">
        <v>0.1</v>
      </c>
      <c r="BX26" s="2018">
        <v>0.2</v>
      </c>
      <c r="BY26" s="2020">
        <v>0.1</v>
      </c>
      <c r="BZ26" s="2018">
        <v>0.1</v>
      </c>
      <c r="CA26" s="2018">
        <v>0.1</v>
      </c>
      <c r="CB26" s="2019">
        <v>0.2</v>
      </c>
      <c r="CC26" s="2018">
        <v>0.2</v>
      </c>
      <c r="CD26" s="2018"/>
      <c r="CE26" s="2447"/>
    </row>
    <row r="27" spans="1:84" hidden="1">
      <c r="B27" s="1985" t="str">
        <f t="shared" si="0"/>
        <v>2.1.6</v>
      </c>
      <c r="C27" s="2008" t="str">
        <f t="shared" si="1"/>
        <v>個別制御</v>
      </c>
      <c r="D27" s="1998" t="e">
        <f t="shared" si="23"/>
        <v>#DIV/0!</v>
      </c>
      <c r="E27" s="2010" t="e">
        <f t="shared" si="23"/>
        <v>#DIV/0!</v>
      </c>
      <c r="G27" s="2010" t="e">
        <f t="shared" si="2"/>
        <v>#DIV/0!</v>
      </c>
      <c r="H27" s="2010" t="e">
        <f t="shared" si="3"/>
        <v>#DIV/0!</v>
      </c>
      <c r="I27" s="2010"/>
      <c r="J27" s="2010"/>
      <c r="K27" s="2010">
        <f>IF(スコア!O27=0,0,1)</f>
        <v>0</v>
      </c>
      <c r="L27" s="2010">
        <f>IF(スコア!Q27=0,0,1)</f>
        <v>0</v>
      </c>
      <c r="M27" s="2010" t="e">
        <f t="shared" si="4"/>
        <v>#DIV/0!</v>
      </c>
      <c r="N27" s="2010" t="e">
        <f t="shared" si="5"/>
        <v>#DIV/0!</v>
      </c>
      <c r="P27" s="2011" t="str">
        <f t="shared" si="6"/>
        <v>2.1.6</v>
      </c>
      <c r="Q27" s="2011" t="str">
        <f t="shared" si="7"/>
        <v xml:space="preserve"> Q1 2.1</v>
      </c>
      <c r="R27" s="2012" t="str">
        <f t="shared" si="8"/>
        <v>個別制御</v>
      </c>
      <c r="S27" s="2013">
        <f t="shared" si="9"/>
        <v>0</v>
      </c>
      <c r="T27" s="2013">
        <f t="shared" si="10"/>
        <v>0</v>
      </c>
      <c r="U27" s="2013">
        <f t="shared" si="11"/>
        <v>0</v>
      </c>
      <c r="V27" s="2013">
        <f t="shared" si="12"/>
        <v>0</v>
      </c>
      <c r="W27" s="2013">
        <f t="shared" si="13"/>
        <v>0</v>
      </c>
      <c r="X27" s="2013">
        <f t="shared" si="14"/>
        <v>0</v>
      </c>
      <c r="Y27" s="2013">
        <f t="shared" si="15"/>
        <v>0</v>
      </c>
      <c r="Z27" s="2031">
        <f t="shared" si="16"/>
        <v>0</v>
      </c>
      <c r="AA27" s="2013">
        <f t="shared" si="21"/>
        <v>0</v>
      </c>
      <c r="AB27" s="2013">
        <f t="shared" si="17"/>
        <v>0</v>
      </c>
      <c r="AC27" s="2014">
        <f t="shared" si="18"/>
        <v>0.2</v>
      </c>
      <c r="AD27" s="2013">
        <f t="shared" si="19"/>
        <v>0.2</v>
      </c>
      <c r="AE27" s="2013">
        <f t="shared" si="20"/>
        <v>0.4</v>
      </c>
      <c r="AG27" s="2011" t="s">
        <v>2126</v>
      </c>
      <c r="AH27" s="2015" t="s">
        <v>389</v>
      </c>
      <c r="AI27" s="2016" t="s">
        <v>2127</v>
      </c>
      <c r="AJ27" s="2023"/>
      <c r="AK27" s="2023"/>
      <c r="AL27" s="2023"/>
      <c r="AM27" s="2023"/>
      <c r="AN27" s="2023"/>
      <c r="AO27" s="2023"/>
      <c r="AP27" s="2023"/>
      <c r="AQ27" s="2033"/>
      <c r="AR27" s="2023"/>
      <c r="AS27" s="2018">
        <v>0</v>
      </c>
      <c r="AT27" s="2019">
        <v>0.2</v>
      </c>
      <c r="AU27" s="2018">
        <v>0.2</v>
      </c>
      <c r="AV27" s="2018">
        <v>0.4</v>
      </c>
      <c r="AX27" s="2011" t="s">
        <v>2126</v>
      </c>
      <c r="AY27" s="2015" t="s">
        <v>389</v>
      </c>
      <c r="AZ27" s="2016" t="s">
        <v>2127</v>
      </c>
      <c r="BA27" s="2018"/>
      <c r="BB27" s="2018"/>
      <c r="BC27" s="2018"/>
      <c r="BD27" s="2018"/>
      <c r="BE27" s="2018"/>
      <c r="BF27" s="2018"/>
      <c r="BG27" s="2018"/>
      <c r="BH27" s="2020"/>
      <c r="BI27" s="2018"/>
      <c r="BJ27" s="2018"/>
      <c r="BK27" s="2019"/>
      <c r="BL27" s="2018"/>
      <c r="BM27" s="2018"/>
      <c r="BO27" s="2011" t="s">
        <v>2126</v>
      </c>
      <c r="BP27" s="2015" t="s">
        <v>389</v>
      </c>
      <c r="BQ27" s="2016" t="s">
        <v>2127</v>
      </c>
      <c r="BR27" s="2018"/>
      <c r="BS27" s="2018"/>
      <c r="BT27" s="2018"/>
      <c r="BU27" s="2018"/>
      <c r="BV27" s="2018"/>
      <c r="BW27" s="2018"/>
      <c r="BX27" s="2018"/>
      <c r="BY27" s="2020"/>
      <c r="BZ27" s="2018"/>
      <c r="CA27" s="2018"/>
      <c r="CB27" s="2019">
        <v>0.1</v>
      </c>
      <c r="CC27" s="2018">
        <v>0.1</v>
      </c>
      <c r="CD27" s="2018">
        <v>0.2</v>
      </c>
      <c r="CE27" s="2447"/>
    </row>
    <row r="28" spans="1:84" hidden="1">
      <c r="B28" s="1985" t="str">
        <f t="shared" si="0"/>
        <v>2.1.7</v>
      </c>
      <c r="C28" s="2008" t="str">
        <f t="shared" si="1"/>
        <v>時間外空調に対する配慮</v>
      </c>
      <c r="D28" s="1998" t="e">
        <f t="shared" si="23"/>
        <v>#DIV/0!</v>
      </c>
      <c r="E28" s="2010" t="e">
        <f t="shared" si="23"/>
        <v>#DIV/0!</v>
      </c>
      <c r="G28" s="2010" t="e">
        <f t="shared" si="2"/>
        <v>#DIV/0!</v>
      </c>
      <c r="H28" s="2010" t="e">
        <f t="shared" si="3"/>
        <v>#DIV/0!</v>
      </c>
      <c r="I28" s="2010"/>
      <c r="J28" s="2010"/>
      <c r="K28" s="2010">
        <f>IF(スコア!O28=0,0,1)</f>
        <v>0</v>
      </c>
      <c r="L28" s="2010">
        <f>IF(スコア!Q28=0,0,1)</f>
        <v>0</v>
      </c>
      <c r="M28" s="2010" t="e">
        <f t="shared" si="4"/>
        <v>#DIV/0!</v>
      </c>
      <c r="N28" s="2010" t="e">
        <f t="shared" si="5"/>
        <v>#DIV/0!</v>
      </c>
      <c r="P28" s="2011" t="str">
        <f t="shared" si="6"/>
        <v>2.1.7</v>
      </c>
      <c r="Q28" s="2011" t="str">
        <f t="shared" si="7"/>
        <v xml:space="preserve"> Q1 2.1</v>
      </c>
      <c r="R28" s="2012" t="str">
        <f t="shared" si="8"/>
        <v>時間外空調に対する配慮</v>
      </c>
      <c r="S28" s="2013">
        <f t="shared" si="9"/>
        <v>0.1</v>
      </c>
      <c r="T28" s="2013">
        <f t="shared" si="10"/>
        <v>0.2</v>
      </c>
      <c r="U28" s="2013">
        <f t="shared" si="11"/>
        <v>0</v>
      </c>
      <c r="V28" s="2013">
        <f t="shared" si="12"/>
        <v>0</v>
      </c>
      <c r="W28" s="2013">
        <f t="shared" si="13"/>
        <v>0.1</v>
      </c>
      <c r="X28" s="2013">
        <f t="shared" si="14"/>
        <v>0.1</v>
      </c>
      <c r="Y28" s="2013">
        <f t="shared" si="15"/>
        <v>0</v>
      </c>
      <c r="Z28" s="2031">
        <f t="shared" si="16"/>
        <v>0</v>
      </c>
      <c r="AA28" s="2013">
        <f t="shared" si="21"/>
        <v>0.1</v>
      </c>
      <c r="AB28" s="2013">
        <f t="shared" si="17"/>
        <v>0.2</v>
      </c>
      <c r="AC28" s="2014">
        <f t="shared" si="18"/>
        <v>0</v>
      </c>
      <c r="AD28" s="2013">
        <f t="shared" si="19"/>
        <v>0</v>
      </c>
      <c r="AE28" s="2013">
        <f t="shared" si="20"/>
        <v>0</v>
      </c>
      <c r="AG28" s="2011" t="s">
        <v>2128</v>
      </c>
      <c r="AH28" s="2015" t="s">
        <v>389</v>
      </c>
      <c r="AI28" s="2016" t="s">
        <v>2129</v>
      </c>
      <c r="AJ28" s="2023">
        <v>0.1</v>
      </c>
      <c r="AK28" s="2023">
        <v>0.2</v>
      </c>
      <c r="AL28" s="2023"/>
      <c r="AM28" s="2023"/>
      <c r="AN28" s="2023">
        <v>0.1</v>
      </c>
      <c r="AO28" s="2023">
        <v>0.1</v>
      </c>
      <c r="AP28" s="2023"/>
      <c r="AQ28" s="2033"/>
      <c r="AR28" s="2023">
        <v>0.1</v>
      </c>
      <c r="AS28" s="2018">
        <v>0.2</v>
      </c>
      <c r="AT28" s="2019"/>
      <c r="AU28" s="2018"/>
      <c r="AV28" s="2018"/>
      <c r="AX28" s="2011" t="s">
        <v>2128</v>
      </c>
      <c r="AY28" s="2015" t="s">
        <v>389</v>
      </c>
      <c r="AZ28" s="2016" t="s">
        <v>2129</v>
      </c>
      <c r="BA28" s="2018"/>
      <c r="BB28" s="2018"/>
      <c r="BC28" s="2018"/>
      <c r="BD28" s="2018"/>
      <c r="BE28" s="2018"/>
      <c r="BF28" s="2018"/>
      <c r="BG28" s="2018"/>
      <c r="BH28" s="2020"/>
      <c r="BI28" s="2018"/>
      <c r="BJ28" s="2018"/>
      <c r="BK28" s="2019"/>
      <c r="BL28" s="2018"/>
      <c r="BM28" s="2018"/>
      <c r="BO28" s="2011" t="s">
        <v>2128</v>
      </c>
      <c r="BP28" s="2015" t="s">
        <v>389</v>
      </c>
      <c r="BQ28" s="2016" t="s">
        <v>2129</v>
      </c>
      <c r="BR28" s="2018">
        <v>0.1</v>
      </c>
      <c r="BS28" s="2018">
        <v>0.2</v>
      </c>
      <c r="BT28" s="2018"/>
      <c r="BU28" s="2018"/>
      <c r="BV28" s="2018">
        <v>0.1</v>
      </c>
      <c r="BW28" s="2018">
        <v>0.1</v>
      </c>
      <c r="BX28" s="2018"/>
      <c r="BY28" s="2020"/>
      <c r="BZ28" s="2018">
        <v>0.1</v>
      </c>
      <c r="CA28" s="2018">
        <v>0.2</v>
      </c>
      <c r="CB28" s="2019"/>
      <c r="CC28" s="2018"/>
      <c r="CD28" s="2018"/>
      <c r="CE28" s="2447"/>
    </row>
    <row r="29" spans="1:84" hidden="1">
      <c r="B29" s="1985" t="str">
        <f t="shared" si="0"/>
        <v>2.1.8</v>
      </c>
      <c r="C29" s="2008" t="str">
        <f t="shared" si="1"/>
        <v>監視システム</v>
      </c>
      <c r="D29" s="1998" t="e">
        <f t="shared" si="23"/>
        <v>#DIV/0!</v>
      </c>
      <c r="E29" s="2010" t="e">
        <f t="shared" si="23"/>
        <v>#DIV/0!</v>
      </c>
      <c r="G29" s="2010" t="e">
        <f t="shared" si="2"/>
        <v>#DIV/0!</v>
      </c>
      <c r="H29" s="2010" t="e">
        <f t="shared" si="3"/>
        <v>#DIV/0!</v>
      </c>
      <c r="I29" s="2010"/>
      <c r="J29" s="2010"/>
      <c r="K29" s="2010">
        <f>IF(スコア!O29=0,0,1)</f>
        <v>0</v>
      </c>
      <c r="L29" s="2010">
        <f>IF(スコア!Q29=0,0,1)</f>
        <v>0</v>
      </c>
      <c r="M29" s="2010" t="e">
        <f t="shared" si="4"/>
        <v>#DIV/0!</v>
      </c>
      <c r="N29" s="2010" t="e">
        <f t="shared" si="5"/>
        <v>#DIV/0!</v>
      </c>
      <c r="P29" s="2011" t="str">
        <f t="shared" si="6"/>
        <v>2.1.8</v>
      </c>
      <c r="Q29" s="2011" t="str">
        <f t="shared" si="7"/>
        <v xml:space="preserve"> Q1 2.1</v>
      </c>
      <c r="R29" s="2012" t="str">
        <f t="shared" si="8"/>
        <v>監視システム</v>
      </c>
      <c r="S29" s="2013">
        <f t="shared" si="9"/>
        <v>0</v>
      </c>
      <c r="T29" s="2013">
        <f t="shared" si="10"/>
        <v>0</v>
      </c>
      <c r="U29" s="2013">
        <f t="shared" si="11"/>
        <v>0.1</v>
      </c>
      <c r="V29" s="2013">
        <f t="shared" si="12"/>
        <v>0.1</v>
      </c>
      <c r="W29" s="2013">
        <f t="shared" si="13"/>
        <v>0</v>
      </c>
      <c r="X29" s="2013">
        <f t="shared" si="14"/>
        <v>0</v>
      </c>
      <c r="Y29" s="2013">
        <f t="shared" si="15"/>
        <v>0</v>
      </c>
      <c r="Z29" s="2031">
        <f t="shared" si="16"/>
        <v>0</v>
      </c>
      <c r="AA29" s="2013">
        <f t="shared" si="21"/>
        <v>0</v>
      </c>
      <c r="AB29" s="2013">
        <f t="shared" si="17"/>
        <v>0</v>
      </c>
      <c r="AC29" s="2014">
        <f t="shared" si="18"/>
        <v>0</v>
      </c>
      <c r="AD29" s="2013">
        <f t="shared" si="19"/>
        <v>0</v>
      </c>
      <c r="AE29" s="2013">
        <f t="shared" si="20"/>
        <v>0</v>
      </c>
      <c r="AG29" s="2011" t="s">
        <v>2130</v>
      </c>
      <c r="AH29" s="2015" t="s">
        <v>389</v>
      </c>
      <c r="AI29" s="2016" t="s">
        <v>2131</v>
      </c>
      <c r="AJ29" s="2023"/>
      <c r="AK29" s="2023"/>
      <c r="AL29" s="2023">
        <v>0.1</v>
      </c>
      <c r="AM29" s="2023">
        <v>0.1</v>
      </c>
      <c r="AN29" s="2023"/>
      <c r="AO29" s="2023"/>
      <c r="AP29" s="2023"/>
      <c r="AQ29" s="2033"/>
      <c r="AR29" s="2023"/>
      <c r="AS29" s="2018">
        <v>0</v>
      </c>
      <c r="AT29" s="2019"/>
      <c r="AU29" s="2018"/>
      <c r="AV29" s="2018"/>
      <c r="AX29" s="2011" t="s">
        <v>2130</v>
      </c>
      <c r="AY29" s="2015" t="s">
        <v>389</v>
      </c>
      <c r="AZ29" s="2016" t="s">
        <v>2131</v>
      </c>
      <c r="BA29" s="2018"/>
      <c r="BB29" s="2018"/>
      <c r="BC29" s="2018"/>
      <c r="BD29" s="2018"/>
      <c r="BE29" s="2018"/>
      <c r="BF29" s="2018"/>
      <c r="BG29" s="2018"/>
      <c r="BH29" s="2020"/>
      <c r="BI29" s="2018"/>
      <c r="BJ29" s="2018"/>
      <c r="BK29" s="2019"/>
      <c r="BL29" s="2018"/>
      <c r="BM29" s="2018"/>
      <c r="BO29" s="2011" t="s">
        <v>2130</v>
      </c>
      <c r="BP29" s="2015" t="s">
        <v>389</v>
      </c>
      <c r="BQ29" s="2016" t="s">
        <v>2131</v>
      </c>
      <c r="BR29" s="2018"/>
      <c r="BS29" s="2018"/>
      <c r="BT29" s="2018">
        <v>0.1</v>
      </c>
      <c r="BU29" s="2018">
        <v>0.1</v>
      </c>
      <c r="BV29" s="2018"/>
      <c r="BW29" s="2018"/>
      <c r="BX29" s="2018"/>
      <c r="BY29" s="2020"/>
      <c r="BZ29" s="2018"/>
      <c r="CA29" s="2018"/>
      <c r="CB29" s="2019"/>
      <c r="CC29" s="2018"/>
      <c r="CD29" s="2018"/>
      <c r="CE29" s="2447"/>
    </row>
    <row r="30" spans="1:84">
      <c r="B30" s="1985">
        <f t="shared" si="0"/>
        <v>2.2000000000000002</v>
      </c>
      <c r="C30" s="2030" t="str">
        <f t="shared" si="1"/>
        <v>湿度制御</v>
      </c>
      <c r="D30" s="2009" t="e">
        <f>IF(I$20=0,0,G30/I$20)</f>
        <v>#DIV/0!</v>
      </c>
      <c r="E30" s="2010" t="e">
        <f>IF(J$20=0,0,H30/J$20)</f>
        <v>#DIV/0!</v>
      </c>
      <c r="G30" s="2010" t="e">
        <f t="shared" si="2"/>
        <v>#DIV/0!</v>
      </c>
      <c r="H30" s="2010" t="e">
        <f t="shared" si="3"/>
        <v>#DIV/0!</v>
      </c>
      <c r="I30" s="2010"/>
      <c r="J30" s="2010"/>
      <c r="K30" s="2010">
        <f>IF(スコア!O30=0,0,1)</f>
        <v>1</v>
      </c>
      <c r="L30" s="2010">
        <f>IF(スコア!Q30=0,0,1)</f>
        <v>0</v>
      </c>
      <c r="M30" s="2010" t="e">
        <f t="shared" si="4"/>
        <v>#DIV/0!</v>
      </c>
      <c r="N30" s="2010" t="e">
        <f t="shared" si="5"/>
        <v>#DIV/0!</v>
      </c>
      <c r="P30" s="2011">
        <f t="shared" si="6"/>
        <v>2.2000000000000002</v>
      </c>
      <c r="Q30" s="2011" t="str">
        <f t="shared" si="7"/>
        <v xml:space="preserve"> Q1 2</v>
      </c>
      <c r="R30" s="2012" t="str">
        <f t="shared" si="8"/>
        <v>湿度制御</v>
      </c>
      <c r="S30" s="2013">
        <f t="shared" si="9"/>
        <v>0.2</v>
      </c>
      <c r="T30" s="2013">
        <f t="shared" si="10"/>
        <v>0.2</v>
      </c>
      <c r="U30" s="2013">
        <f t="shared" si="11"/>
        <v>0.2</v>
      </c>
      <c r="V30" s="2013">
        <f t="shared" si="12"/>
        <v>0.2</v>
      </c>
      <c r="W30" s="2013">
        <f t="shared" si="13"/>
        <v>0.2</v>
      </c>
      <c r="X30" s="2013">
        <f t="shared" si="14"/>
        <v>0.2</v>
      </c>
      <c r="Y30" s="2013">
        <f t="shared" si="15"/>
        <v>0.2</v>
      </c>
      <c r="Z30" s="2031">
        <f t="shared" si="16"/>
        <v>0.2</v>
      </c>
      <c r="AA30" s="2013">
        <f t="shared" si="21"/>
        <v>0.2</v>
      </c>
      <c r="AB30" s="2013">
        <f t="shared" si="17"/>
        <v>0.2</v>
      </c>
      <c r="AC30" s="2014">
        <f t="shared" si="18"/>
        <v>0</v>
      </c>
      <c r="AD30" s="2013">
        <f t="shared" si="19"/>
        <v>0</v>
      </c>
      <c r="AE30" s="2013">
        <f t="shared" si="20"/>
        <v>0</v>
      </c>
      <c r="AG30" s="2011">
        <v>2.2000000000000002</v>
      </c>
      <c r="AH30" s="2015" t="s">
        <v>773</v>
      </c>
      <c r="AI30" s="2012" t="s">
        <v>205</v>
      </c>
      <c r="AJ30" s="2013">
        <v>0.2</v>
      </c>
      <c r="AK30" s="2013">
        <v>0.2</v>
      </c>
      <c r="AL30" s="2013">
        <v>0.2</v>
      </c>
      <c r="AM30" s="2013">
        <v>0.2</v>
      </c>
      <c r="AN30" s="2013">
        <v>0.2</v>
      </c>
      <c r="AO30" s="2013">
        <v>0.2</v>
      </c>
      <c r="AP30" s="2013">
        <v>0.2</v>
      </c>
      <c r="AQ30" s="2031">
        <v>0.2</v>
      </c>
      <c r="AR30" s="2013">
        <v>0.2</v>
      </c>
      <c r="AS30" s="2018">
        <v>0.2</v>
      </c>
      <c r="AT30" s="2019"/>
      <c r="AU30" s="2018"/>
      <c r="AV30" s="2018"/>
      <c r="AX30" s="2011">
        <v>2.2000000000000002</v>
      </c>
      <c r="AY30" s="2015" t="s">
        <v>773</v>
      </c>
      <c r="AZ30" s="2012" t="s">
        <v>205</v>
      </c>
      <c r="BA30" s="2018">
        <v>0.2</v>
      </c>
      <c r="BB30" s="2018">
        <v>0.2</v>
      </c>
      <c r="BC30" s="2018">
        <v>0.2</v>
      </c>
      <c r="BD30" s="2018">
        <v>0.2</v>
      </c>
      <c r="BE30" s="2018">
        <v>0.2</v>
      </c>
      <c r="BF30" s="2018">
        <v>0.2</v>
      </c>
      <c r="BG30" s="2018">
        <v>0.2</v>
      </c>
      <c r="BH30" s="2020">
        <v>0.2</v>
      </c>
      <c r="BI30" s="2018">
        <v>0.2</v>
      </c>
      <c r="BJ30" s="2018">
        <v>0.2</v>
      </c>
      <c r="BK30" s="2019">
        <v>0.2</v>
      </c>
      <c r="BL30" s="2018">
        <v>0.2</v>
      </c>
      <c r="BM30" s="2018">
        <v>0.2</v>
      </c>
      <c r="BO30" s="2011">
        <v>2.2000000000000002</v>
      </c>
      <c r="BP30" s="2015" t="s">
        <v>773</v>
      </c>
      <c r="BQ30" s="2012" t="s">
        <v>205</v>
      </c>
      <c r="BR30" s="2018">
        <v>0.2</v>
      </c>
      <c r="BS30" s="2018">
        <v>0.2</v>
      </c>
      <c r="BT30" s="2018">
        <v>0.2</v>
      </c>
      <c r="BU30" s="2018">
        <v>0.2</v>
      </c>
      <c r="BV30" s="2018">
        <v>0.2</v>
      </c>
      <c r="BW30" s="2018">
        <v>0.2</v>
      </c>
      <c r="BX30" s="2018">
        <v>0.2</v>
      </c>
      <c r="BY30" s="2020">
        <v>0.2</v>
      </c>
      <c r="BZ30" s="2018">
        <v>0.2</v>
      </c>
      <c r="CA30" s="2018">
        <v>0.2</v>
      </c>
      <c r="CB30" s="2019">
        <v>0.2</v>
      </c>
      <c r="CC30" s="2018">
        <v>0.2</v>
      </c>
      <c r="CD30" s="2018">
        <v>0.2</v>
      </c>
      <c r="CE30" s="2447"/>
    </row>
    <row r="31" spans="1:84">
      <c r="B31" s="1985">
        <f t="shared" si="0"/>
        <v>2.2999999999999998</v>
      </c>
      <c r="C31" s="2030" t="str">
        <f t="shared" si="1"/>
        <v>空調方式</v>
      </c>
      <c r="D31" s="2009" t="e">
        <f>IF(I$20=0,0,G31/I$20)</f>
        <v>#DIV/0!</v>
      </c>
      <c r="E31" s="2010" t="e">
        <f>IF(J$20=0,0,H31/J$20)</f>
        <v>#DIV/0!</v>
      </c>
      <c r="G31" s="2010" t="e">
        <f t="shared" si="2"/>
        <v>#DIV/0!</v>
      </c>
      <c r="H31" s="2010" t="e">
        <f t="shared" si="3"/>
        <v>#DIV/0!</v>
      </c>
      <c r="I31" s="2010" t="e">
        <f>SUM(G32:G33)</f>
        <v>#DIV/0!</v>
      </c>
      <c r="J31" s="2010" t="e">
        <f>SUM(H32:H33)</f>
        <v>#DIV/0!</v>
      </c>
      <c r="K31" s="2010" t="e">
        <f>IF(スコア!O31=0,0,1)</f>
        <v>#DIV/0!</v>
      </c>
      <c r="L31" s="2010" t="e">
        <f>IF(スコア!Q31=0,0,1)</f>
        <v>#DIV/0!</v>
      </c>
      <c r="M31" s="2010" t="e">
        <f t="shared" si="4"/>
        <v>#DIV/0!</v>
      </c>
      <c r="N31" s="2010" t="e">
        <f t="shared" si="5"/>
        <v>#DIV/0!</v>
      </c>
      <c r="P31" s="2011">
        <f t="shared" si="6"/>
        <v>2.2999999999999998</v>
      </c>
      <c r="Q31" s="2011" t="str">
        <f t="shared" si="7"/>
        <v xml:space="preserve"> Q1 2</v>
      </c>
      <c r="R31" s="2012" t="str">
        <f t="shared" si="8"/>
        <v>空調方式</v>
      </c>
      <c r="S31" s="2013">
        <f t="shared" si="9"/>
        <v>0.3</v>
      </c>
      <c r="T31" s="2013">
        <f t="shared" si="10"/>
        <v>0.3</v>
      </c>
      <c r="U31" s="2013">
        <f t="shared" si="11"/>
        <v>0.3</v>
      </c>
      <c r="V31" s="2013">
        <f t="shared" si="12"/>
        <v>0.3</v>
      </c>
      <c r="W31" s="2013">
        <f t="shared" si="13"/>
        <v>0.3</v>
      </c>
      <c r="X31" s="2013">
        <f t="shared" si="14"/>
        <v>0.3</v>
      </c>
      <c r="Y31" s="2013">
        <f t="shared" si="15"/>
        <v>0.3</v>
      </c>
      <c r="Z31" s="2031">
        <f t="shared" si="16"/>
        <v>0.3</v>
      </c>
      <c r="AA31" s="2013">
        <f t="shared" si="21"/>
        <v>0.3</v>
      </c>
      <c r="AB31" s="2013">
        <f t="shared" si="17"/>
        <v>0.3</v>
      </c>
      <c r="AC31" s="2014">
        <f t="shared" si="18"/>
        <v>0</v>
      </c>
      <c r="AD31" s="2013">
        <f t="shared" si="19"/>
        <v>0</v>
      </c>
      <c r="AE31" s="2013">
        <f t="shared" si="20"/>
        <v>0</v>
      </c>
      <c r="AG31" s="2011">
        <v>2.2999999999999998</v>
      </c>
      <c r="AH31" s="2015" t="s">
        <v>773</v>
      </c>
      <c r="AI31" s="2012" t="s">
        <v>206</v>
      </c>
      <c r="AJ31" s="2013">
        <v>0.3</v>
      </c>
      <c r="AK31" s="2013">
        <v>0.3</v>
      </c>
      <c r="AL31" s="2013">
        <v>0.3</v>
      </c>
      <c r="AM31" s="2013">
        <v>0.3</v>
      </c>
      <c r="AN31" s="2013">
        <v>0.3</v>
      </c>
      <c r="AO31" s="2013">
        <v>0.3</v>
      </c>
      <c r="AP31" s="2013">
        <v>0.3</v>
      </c>
      <c r="AQ31" s="2031">
        <v>0.3</v>
      </c>
      <c r="AR31" s="2013">
        <v>0.3</v>
      </c>
      <c r="AS31" s="2035">
        <v>0.3</v>
      </c>
      <c r="AT31" s="2019"/>
      <c r="AU31" s="2018"/>
      <c r="AV31" s="2018"/>
      <c r="AX31" s="2011">
        <v>2.2999999999999998</v>
      </c>
      <c r="AY31" s="2015" t="s">
        <v>773</v>
      </c>
      <c r="AZ31" s="2012" t="s">
        <v>206</v>
      </c>
      <c r="BA31" s="2018">
        <v>0.3</v>
      </c>
      <c r="BB31" s="2018">
        <v>0.3</v>
      </c>
      <c r="BC31" s="2018">
        <v>0.3</v>
      </c>
      <c r="BD31" s="2018">
        <v>0.3</v>
      </c>
      <c r="BE31" s="2018">
        <v>0.3</v>
      </c>
      <c r="BF31" s="2018">
        <v>0.3</v>
      </c>
      <c r="BG31" s="2018">
        <v>0.3</v>
      </c>
      <c r="BH31" s="2020">
        <v>0.3</v>
      </c>
      <c r="BI31" s="2018">
        <v>0.3</v>
      </c>
      <c r="BJ31" s="2018">
        <v>0.3</v>
      </c>
      <c r="BK31" s="2019">
        <v>0.3</v>
      </c>
      <c r="BL31" s="2018">
        <v>0.3</v>
      </c>
      <c r="BM31" s="2018">
        <v>0.3</v>
      </c>
      <c r="BO31" s="2011">
        <v>2.2999999999999998</v>
      </c>
      <c r="BP31" s="2015" t="s">
        <v>773</v>
      </c>
      <c r="BQ31" s="2012" t="s">
        <v>206</v>
      </c>
      <c r="BR31" s="2018">
        <v>0.3</v>
      </c>
      <c r="BS31" s="2018">
        <v>0.3</v>
      </c>
      <c r="BT31" s="2018">
        <v>0.3</v>
      </c>
      <c r="BU31" s="2018">
        <v>0.3</v>
      </c>
      <c r="BV31" s="2018">
        <v>0.3</v>
      </c>
      <c r="BW31" s="2018">
        <v>0.3</v>
      </c>
      <c r="BX31" s="2018">
        <v>0.3</v>
      </c>
      <c r="BY31" s="2020">
        <v>0.3</v>
      </c>
      <c r="BZ31" s="2018">
        <v>0.3</v>
      </c>
      <c r="CA31" s="2018">
        <v>0.3</v>
      </c>
      <c r="CB31" s="2019">
        <v>0.3</v>
      </c>
      <c r="CC31" s="2018">
        <v>0.3</v>
      </c>
      <c r="CD31" s="2018">
        <v>0.3</v>
      </c>
      <c r="CE31" s="2447"/>
    </row>
    <row r="32" spans="1:84">
      <c r="B32" s="1985" t="str">
        <f t="shared" si="0"/>
        <v>2.3.1</v>
      </c>
      <c r="C32" s="2008" t="str">
        <f t="shared" si="1"/>
        <v>上下温度差</v>
      </c>
      <c r="D32" s="1998" t="e">
        <f>IF(I$31&gt;0,G32/I$31,0)</f>
        <v>#DIV/0!</v>
      </c>
      <c r="E32" s="2010" t="e">
        <f>IF(J$31&gt;0,H32/J$31,0)</f>
        <v>#DIV/0!</v>
      </c>
      <c r="F32" s="2672"/>
      <c r="G32" s="2010" t="e">
        <f t="shared" si="2"/>
        <v>#DIV/0!</v>
      </c>
      <c r="H32" s="2010" t="e">
        <f t="shared" si="3"/>
        <v>#DIV/0!</v>
      </c>
      <c r="I32" s="2010"/>
      <c r="J32" s="2010"/>
      <c r="K32" s="2010">
        <f>IF(スコア!O32=0,0,1)</f>
        <v>1</v>
      </c>
      <c r="L32" s="2010">
        <f>IF(スコア!Q32=0,0,1)</f>
        <v>0</v>
      </c>
      <c r="M32" s="2010" t="e">
        <f t="shared" si="4"/>
        <v>#DIV/0!</v>
      </c>
      <c r="N32" s="2010" t="e">
        <f t="shared" si="5"/>
        <v>#DIV/0!</v>
      </c>
      <c r="O32" s="2672"/>
      <c r="P32" s="2011" t="str">
        <f t="shared" si="6"/>
        <v>2.3.1</v>
      </c>
      <c r="Q32" s="2011" t="str">
        <f t="shared" si="7"/>
        <v xml:space="preserve"> Q1 2.3</v>
      </c>
      <c r="R32" s="2012" t="str">
        <f t="shared" si="8"/>
        <v>上下温度差</v>
      </c>
      <c r="S32" s="2013">
        <f t="shared" si="9"/>
        <v>0.5</v>
      </c>
      <c r="T32" s="2013">
        <f t="shared" si="10"/>
        <v>0.5</v>
      </c>
      <c r="U32" s="2013">
        <f t="shared" si="11"/>
        <v>0.5</v>
      </c>
      <c r="V32" s="2013">
        <f t="shared" si="12"/>
        <v>0.5</v>
      </c>
      <c r="W32" s="2013">
        <f t="shared" si="13"/>
        <v>0.5</v>
      </c>
      <c r="X32" s="2013">
        <f t="shared" si="14"/>
        <v>0.5</v>
      </c>
      <c r="Y32" s="2013">
        <f t="shared" si="15"/>
        <v>0.5</v>
      </c>
      <c r="Z32" s="2022">
        <f t="shared" si="16"/>
        <v>0.5</v>
      </c>
      <c r="AA32" s="2013">
        <f t="shared" si="21"/>
        <v>0.5</v>
      </c>
      <c r="AB32" s="2013">
        <f t="shared" si="17"/>
        <v>0.5</v>
      </c>
      <c r="AC32" s="2014">
        <f t="shared" si="18"/>
        <v>0</v>
      </c>
      <c r="AD32" s="2013">
        <f t="shared" si="19"/>
        <v>0</v>
      </c>
      <c r="AE32" s="2013">
        <f t="shared" si="20"/>
        <v>0</v>
      </c>
      <c r="AG32" s="2011" t="s">
        <v>199</v>
      </c>
      <c r="AH32" s="2015" t="s">
        <v>2132</v>
      </c>
      <c r="AI32" s="2012" t="s">
        <v>207</v>
      </c>
      <c r="AJ32" s="2013">
        <v>0.5</v>
      </c>
      <c r="AK32" s="2013">
        <v>0.5</v>
      </c>
      <c r="AL32" s="2013">
        <v>0.5</v>
      </c>
      <c r="AM32" s="2013">
        <v>0.5</v>
      </c>
      <c r="AN32" s="2013">
        <v>0.5</v>
      </c>
      <c r="AO32" s="2013">
        <v>0.5</v>
      </c>
      <c r="AP32" s="2013">
        <v>0.5</v>
      </c>
      <c r="AQ32" s="2031">
        <v>0.5</v>
      </c>
      <c r="AR32" s="2013">
        <v>0.5</v>
      </c>
      <c r="AS32" s="2035">
        <v>0.5</v>
      </c>
      <c r="AT32" s="2019"/>
      <c r="AU32" s="2019"/>
      <c r="AV32" s="2019"/>
      <c r="AX32" s="2039" t="s">
        <v>200</v>
      </c>
      <c r="AY32" s="2043" t="s">
        <v>2132</v>
      </c>
      <c r="AZ32" s="2044" t="s">
        <v>207</v>
      </c>
      <c r="BA32" s="2045"/>
      <c r="BB32" s="2045"/>
      <c r="BC32" s="2045"/>
      <c r="BD32" s="2045"/>
      <c r="BE32" s="2045"/>
      <c r="BF32" s="2045"/>
      <c r="BG32" s="2045"/>
      <c r="BH32" s="2046"/>
      <c r="BI32" s="2045"/>
      <c r="BJ32" s="2045"/>
      <c r="BK32" s="2047"/>
      <c r="BL32" s="2045"/>
      <c r="BM32" s="2045"/>
      <c r="BO32" s="2039" t="s">
        <v>200</v>
      </c>
      <c r="BP32" s="2043" t="s">
        <v>2132</v>
      </c>
      <c r="BQ32" s="2044" t="s">
        <v>207</v>
      </c>
      <c r="BR32" s="2048"/>
      <c r="BS32" s="2048"/>
      <c r="BT32" s="2048"/>
      <c r="BU32" s="2048"/>
      <c r="BV32" s="2048"/>
      <c r="BW32" s="2048"/>
      <c r="BX32" s="2048"/>
      <c r="BY32" s="2049"/>
      <c r="BZ32" s="2048"/>
      <c r="CA32" s="2048"/>
      <c r="CB32" s="2050"/>
      <c r="CC32" s="2048"/>
      <c r="CD32" s="2048"/>
      <c r="CE32" s="2448"/>
    </row>
    <row r="33" spans="1:84">
      <c r="B33" s="1985" t="str">
        <f t="shared" si="0"/>
        <v>2.3.2</v>
      </c>
      <c r="C33" s="2008" t="str">
        <f t="shared" si="1"/>
        <v>平均気流速度</v>
      </c>
      <c r="D33" s="1998" t="e">
        <f>IF(I$31&gt;0,G33/I$31,0)</f>
        <v>#DIV/0!</v>
      </c>
      <c r="E33" s="2010" t="e">
        <f>IF(J$31&gt;0,H33/J$31,0)</f>
        <v>#DIV/0!</v>
      </c>
      <c r="F33" s="2672"/>
      <c r="G33" s="2010" t="e">
        <f t="shared" si="2"/>
        <v>#DIV/0!</v>
      </c>
      <c r="H33" s="2010" t="e">
        <f t="shared" si="3"/>
        <v>#DIV/0!</v>
      </c>
      <c r="I33" s="2010"/>
      <c r="J33" s="2010"/>
      <c r="K33" s="2010">
        <f>IF(スコア!O33=0,0,1)</f>
        <v>1</v>
      </c>
      <c r="L33" s="2010">
        <f>IF(スコア!Q33=0,0,1)</f>
        <v>0</v>
      </c>
      <c r="M33" s="2010" t="e">
        <f t="shared" si="4"/>
        <v>#DIV/0!</v>
      </c>
      <c r="N33" s="2010" t="e">
        <f t="shared" si="5"/>
        <v>#DIV/0!</v>
      </c>
      <c r="O33" s="2672"/>
      <c r="P33" s="2011" t="str">
        <f t="shared" si="6"/>
        <v>2.3.2</v>
      </c>
      <c r="Q33" s="2011" t="str">
        <f t="shared" si="7"/>
        <v xml:space="preserve"> Q1 2.3</v>
      </c>
      <c r="R33" s="2012" t="str">
        <f t="shared" si="8"/>
        <v>平均気流速度</v>
      </c>
      <c r="S33" s="2013">
        <f t="shared" si="9"/>
        <v>0.5</v>
      </c>
      <c r="T33" s="2013">
        <f t="shared" si="10"/>
        <v>0.5</v>
      </c>
      <c r="U33" s="2013">
        <f t="shared" si="11"/>
        <v>0.5</v>
      </c>
      <c r="V33" s="2013">
        <f t="shared" si="12"/>
        <v>0.5</v>
      </c>
      <c r="W33" s="2013">
        <f t="shared" si="13"/>
        <v>0.5</v>
      </c>
      <c r="X33" s="2013">
        <f t="shared" si="14"/>
        <v>0.5</v>
      </c>
      <c r="Y33" s="2013">
        <f t="shared" si="15"/>
        <v>0.5</v>
      </c>
      <c r="Z33" s="2022">
        <f t="shared" si="16"/>
        <v>0.5</v>
      </c>
      <c r="AA33" s="2013">
        <f t="shared" si="21"/>
        <v>0.5</v>
      </c>
      <c r="AB33" s="2013">
        <f t="shared" si="17"/>
        <v>0.5</v>
      </c>
      <c r="AC33" s="2014">
        <f t="shared" si="18"/>
        <v>0</v>
      </c>
      <c r="AD33" s="2013">
        <f t="shared" si="19"/>
        <v>0</v>
      </c>
      <c r="AE33" s="2013">
        <f t="shared" si="20"/>
        <v>0</v>
      </c>
      <c r="AG33" s="2011" t="s">
        <v>201</v>
      </c>
      <c r="AH33" s="2015" t="s">
        <v>2132</v>
      </c>
      <c r="AI33" s="2012" t="s">
        <v>1489</v>
      </c>
      <c r="AJ33" s="2013">
        <v>0.5</v>
      </c>
      <c r="AK33" s="2013">
        <v>0.5</v>
      </c>
      <c r="AL33" s="2013">
        <v>0.5</v>
      </c>
      <c r="AM33" s="2013">
        <v>0.5</v>
      </c>
      <c r="AN33" s="2013">
        <v>0.5</v>
      </c>
      <c r="AO33" s="2013">
        <v>0.5</v>
      </c>
      <c r="AP33" s="2013">
        <v>0.5</v>
      </c>
      <c r="AQ33" s="2013">
        <v>0.5</v>
      </c>
      <c r="AR33" s="2013">
        <v>0.5</v>
      </c>
      <c r="AS33" s="2035">
        <v>0.5</v>
      </c>
      <c r="AT33" s="2019"/>
      <c r="AU33" s="2019"/>
      <c r="AV33" s="2019"/>
      <c r="AX33" s="2039" t="s">
        <v>202</v>
      </c>
      <c r="AY33" s="2043" t="s">
        <v>2132</v>
      </c>
      <c r="AZ33" s="2044" t="s">
        <v>1489</v>
      </c>
      <c r="BA33" s="2045"/>
      <c r="BB33" s="2045"/>
      <c r="BC33" s="2045"/>
      <c r="BD33" s="2045"/>
      <c r="BE33" s="2045"/>
      <c r="BF33" s="2045"/>
      <c r="BG33" s="2045"/>
      <c r="BH33" s="2046"/>
      <c r="BI33" s="2045"/>
      <c r="BJ33" s="2045"/>
      <c r="BK33" s="2047"/>
      <c r="BL33" s="2045"/>
      <c r="BM33" s="2045"/>
      <c r="BO33" s="2039" t="s">
        <v>202</v>
      </c>
      <c r="BP33" s="2043" t="s">
        <v>2132</v>
      </c>
      <c r="BQ33" s="2044" t="s">
        <v>1489</v>
      </c>
      <c r="BR33" s="2048"/>
      <c r="BS33" s="2048"/>
      <c r="BT33" s="2048"/>
      <c r="BU33" s="2048"/>
      <c r="BV33" s="2048"/>
      <c r="BW33" s="2048"/>
      <c r="BX33" s="2048"/>
      <c r="BY33" s="2049"/>
      <c r="BZ33" s="2048"/>
      <c r="CA33" s="2048"/>
      <c r="CB33" s="2050"/>
      <c r="CC33" s="2048"/>
      <c r="CD33" s="2048"/>
      <c r="CE33" s="2448"/>
    </row>
    <row r="34" spans="1:84" s="1406" customFormat="1">
      <c r="A34"/>
      <c r="B34" s="1985">
        <f t="shared" si="0"/>
        <v>3</v>
      </c>
      <c r="C34" s="1995" t="str">
        <f t="shared" si="1"/>
        <v>光・視環境</v>
      </c>
      <c r="D34" s="1996" t="e">
        <f>IF(I$9=0,0,G34/I$9)</f>
        <v>#DIV/0!</v>
      </c>
      <c r="E34" s="1997" t="e">
        <f>IF(J$9=0,0,H34/J$9)</f>
        <v>#DIV/0!</v>
      </c>
      <c r="F34"/>
      <c r="G34" s="1997" t="e">
        <f t="shared" si="2"/>
        <v>#DIV/0!</v>
      </c>
      <c r="H34" s="1997" t="e">
        <f t="shared" si="3"/>
        <v>#DIV/0!</v>
      </c>
      <c r="I34" s="1997" t="e">
        <f>G35+G39+G43+G46</f>
        <v>#DIV/0!</v>
      </c>
      <c r="J34" s="1997" t="e">
        <f>H35+H39+H43+H46</f>
        <v>#DIV/0!</v>
      </c>
      <c r="K34" s="1997" t="e">
        <f>IF(スコア!O34=0,0,1)</f>
        <v>#DIV/0!</v>
      </c>
      <c r="L34" s="1997" t="e">
        <f>IF(スコア!Q34=0,0,1)</f>
        <v>#DIV/0!</v>
      </c>
      <c r="M34" s="1997" t="e">
        <f t="shared" si="4"/>
        <v>#DIV/0!</v>
      </c>
      <c r="N34" s="1997" t="e">
        <f t="shared" si="5"/>
        <v>#DIV/0!</v>
      </c>
      <c r="O34"/>
      <c r="P34" s="1999">
        <f t="shared" si="6"/>
        <v>3</v>
      </c>
      <c r="Q34" s="1999" t="str">
        <f t="shared" si="7"/>
        <v xml:space="preserve"> Q1</v>
      </c>
      <c r="R34" s="2000" t="str">
        <f t="shared" si="8"/>
        <v>光・視環境</v>
      </c>
      <c r="S34" s="2001">
        <f t="shared" si="9"/>
        <v>0.25</v>
      </c>
      <c r="T34" s="2001">
        <f t="shared" si="10"/>
        <v>0.25</v>
      </c>
      <c r="U34" s="2001">
        <f t="shared" si="11"/>
        <v>0.25</v>
      </c>
      <c r="V34" s="2001">
        <f t="shared" si="12"/>
        <v>0.25</v>
      </c>
      <c r="W34" s="2001">
        <f t="shared" si="13"/>
        <v>0.25</v>
      </c>
      <c r="X34" s="2001">
        <f t="shared" si="14"/>
        <v>0.25</v>
      </c>
      <c r="Y34" s="2001">
        <f t="shared" si="15"/>
        <v>0.25</v>
      </c>
      <c r="Z34" s="2027">
        <f t="shared" si="16"/>
        <v>0</v>
      </c>
      <c r="AA34" s="2001">
        <f t="shared" si="21"/>
        <v>0.25</v>
      </c>
      <c r="AB34" s="2001">
        <f t="shared" si="17"/>
        <v>0.25</v>
      </c>
      <c r="AC34" s="2003">
        <f t="shared" si="18"/>
        <v>0</v>
      </c>
      <c r="AD34" s="2001">
        <f t="shared" si="19"/>
        <v>0</v>
      </c>
      <c r="AE34" s="2001">
        <f t="shared" si="20"/>
        <v>0</v>
      </c>
      <c r="AF34"/>
      <c r="AG34" s="1999">
        <v>3</v>
      </c>
      <c r="AH34" s="2004" t="s">
        <v>765</v>
      </c>
      <c r="AI34" s="2000" t="s">
        <v>760</v>
      </c>
      <c r="AJ34" s="2001">
        <v>0.25</v>
      </c>
      <c r="AK34" s="2001">
        <v>0.25</v>
      </c>
      <c r="AL34" s="2001">
        <v>0.25</v>
      </c>
      <c r="AM34" s="2001">
        <v>0.25</v>
      </c>
      <c r="AN34" s="2001">
        <v>0.25</v>
      </c>
      <c r="AO34" s="2001">
        <v>0.25</v>
      </c>
      <c r="AP34" s="2001">
        <v>0.25</v>
      </c>
      <c r="AQ34" s="2027">
        <v>0</v>
      </c>
      <c r="AR34" s="2001">
        <v>0.25</v>
      </c>
      <c r="AS34" s="2005">
        <v>0.25</v>
      </c>
      <c r="AT34" s="2006"/>
      <c r="AU34" s="2005"/>
      <c r="AV34" s="2005"/>
      <c r="AW34"/>
      <c r="AX34" s="1999">
        <v>3</v>
      </c>
      <c r="AY34" s="2004" t="s">
        <v>765</v>
      </c>
      <c r="AZ34" s="2000" t="s">
        <v>760</v>
      </c>
      <c r="BA34" s="2005">
        <v>0.25</v>
      </c>
      <c r="BB34" s="2005">
        <v>0.25</v>
      </c>
      <c r="BC34" s="2005">
        <v>0.25</v>
      </c>
      <c r="BD34" s="2005">
        <v>0.25</v>
      </c>
      <c r="BE34" s="2005">
        <v>0.25</v>
      </c>
      <c r="BF34" s="2005">
        <v>0.25</v>
      </c>
      <c r="BG34" s="2005">
        <v>0.25</v>
      </c>
      <c r="BH34" s="2029"/>
      <c r="BI34" s="2005">
        <v>0.25</v>
      </c>
      <c r="BJ34" s="2005">
        <v>0.25</v>
      </c>
      <c r="BK34" s="2006"/>
      <c r="BL34" s="2005"/>
      <c r="BM34" s="2005"/>
      <c r="BN34"/>
      <c r="BO34" s="1999">
        <v>3</v>
      </c>
      <c r="BP34" s="2004" t="s">
        <v>765</v>
      </c>
      <c r="BQ34" s="2000" t="s">
        <v>760</v>
      </c>
      <c r="BR34" s="2005">
        <v>0.25</v>
      </c>
      <c r="BS34" s="2005">
        <v>0.25</v>
      </c>
      <c r="BT34" s="2005">
        <v>0.25</v>
      </c>
      <c r="BU34" s="2005">
        <v>0.25</v>
      </c>
      <c r="BV34" s="2005">
        <v>0.25</v>
      </c>
      <c r="BW34" s="2005">
        <v>0.25</v>
      </c>
      <c r="BX34" s="2005">
        <v>0.25</v>
      </c>
      <c r="BY34" s="2029">
        <v>0</v>
      </c>
      <c r="BZ34" s="2005">
        <v>0.25</v>
      </c>
      <c r="CA34" s="2005">
        <v>0.25</v>
      </c>
      <c r="CB34" s="2006"/>
      <c r="CC34" s="2005"/>
      <c r="CD34" s="2005"/>
      <c r="CE34" s="2446"/>
      <c r="CF34"/>
    </row>
    <row r="35" spans="1:84">
      <c r="B35" s="1985">
        <f t="shared" si="0"/>
        <v>3.1</v>
      </c>
      <c r="C35" s="2030" t="str">
        <f t="shared" si="1"/>
        <v>昼光利用</v>
      </c>
      <c r="D35" s="2009" t="e">
        <f>IF(I$34=0,0,G35/I$34)</f>
        <v>#DIV/0!</v>
      </c>
      <c r="E35" s="2010" t="e">
        <f>IF(J$34=0,0,H35/J$34)</f>
        <v>#DIV/0!</v>
      </c>
      <c r="G35" s="2010" t="e">
        <f t="shared" si="2"/>
        <v>#DIV/0!</v>
      </c>
      <c r="H35" s="2010" t="e">
        <f t="shared" si="3"/>
        <v>#DIV/0!</v>
      </c>
      <c r="I35" s="2010" t="e">
        <f>SUM(G36:G38)</f>
        <v>#DIV/0!</v>
      </c>
      <c r="J35" s="2010" t="e">
        <f>SUM(H36:H38)</f>
        <v>#DIV/0!</v>
      </c>
      <c r="K35" s="2010" t="e">
        <f>IF(スコア!O35=0,0,1)</f>
        <v>#DIV/0!</v>
      </c>
      <c r="L35" s="2010" t="e">
        <f>IF(スコア!Q35=0,0,1)</f>
        <v>#DIV/0!</v>
      </c>
      <c r="M35" s="2010" t="e">
        <f t="shared" si="4"/>
        <v>#DIV/0!</v>
      </c>
      <c r="N35" s="2010" t="e">
        <f t="shared" si="5"/>
        <v>#DIV/0!</v>
      </c>
      <c r="P35" s="2011">
        <f t="shared" si="6"/>
        <v>3.1</v>
      </c>
      <c r="Q35" s="2011" t="str">
        <f t="shared" si="7"/>
        <v xml:space="preserve"> Q1 3</v>
      </c>
      <c r="R35" s="2012" t="str">
        <f t="shared" si="8"/>
        <v>昼光利用</v>
      </c>
      <c r="S35" s="2013">
        <f t="shared" si="9"/>
        <v>0.3</v>
      </c>
      <c r="T35" s="2013">
        <f t="shared" si="10"/>
        <v>0.3</v>
      </c>
      <c r="U35" s="2013">
        <f t="shared" si="11"/>
        <v>0.5</v>
      </c>
      <c r="V35" s="2013">
        <f t="shared" si="12"/>
        <v>1</v>
      </c>
      <c r="W35" s="2013">
        <f t="shared" si="13"/>
        <v>0.3</v>
      </c>
      <c r="X35" s="2013">
        <f t="shared" si="14"/>
        <v>0.3</v>
      </c>
      <c r="Y35" s="2013">
        <f t="shared" si="15"/>
        <v>0.3</v>
      </c>
      <c r="Z35" s="2031">
        <f t="shared" si="16"/>
        <v>0</v>
      </c>
      <c r="AA35" s="2013">
        <f t="shared" si="21"/>
        <v>0.3</v>
      </c>
      <c r="AB35" s="2013">
        <f t="shared" si="17"/>
        <v>0.3</v>
      </c>
      <c r="AC35" s="2014">
        <f t="shared" si="18"/>
        <v>0.3</v>
      </c>
      <c r="AD35" s="2013">
        <f t="shared" si="19"/>
        <v>0.3</v>
      </c>
      <c r="AE35" s="2013">
        <f t="shared" si="20"/>
        <v>0.3</v>
      </c>
      <c r="AG35" s="2011">
        <v>3.1</v>
      </c>
      <c r="AH35" s="2015" t="s">
        <v>2133</v>
      </c>
      <c r="AI35" s="2012" t="s">
        <v>1491</v>
      </c>
      <c r="AJ35" s="2013">
        <v>0.3</v>
      </c>
      <c r="AK35" s="2013">
        <v>0.3</v>
      </c>
      <c r="AL35" s="2013">
        <v>0.5</v>
      </c>
      <c r="AM35" s="2013">
        <v>1</v>
      </c>
      <c r="AN35" s="2013">
        <v>0.3</v>
      </c>
      <c r="AO35" s="2013">
        <v>0.3</v>
      </c>
      <c r="AP35" s="2013">
        <v>0.3</v>
      </c>
      <c r="AQ35" s="2031"/>
      <c r="AR35" s="2013">
        <v>0.3</v>
      </c>
      <c r="AS35" s="2018">
        <v>0.3</v>
      </c>
      <c r="AT35" s="2019">
        <v>0.3</v>
      </c>
      <c r="AU35" s="2018">
        <v>0.3</v>
      </c>
      <c r="AV35" s="2018">
        <v>0.3</v>
      </c>
      <c r="AX35" s="2011">
        <v>3.1</v>
      </c>
      <c r="AY35" s="2015" t="s">
        <v>2133</v>
      </c>
      <c r="AZ35" s="2012" t="s">
        <v>1491</v>
      </c>
      <c r="BA35" s="2018">
        <v>0.3</v>
      </c>
      <c r="BB35" s="2018">
        <v>0.3</v>
      </c>
      <c r="BC35" s="2018">
        <v>0.5</v>
      </c>
      <c r="BD35" s="2018">
        <v>1</v>
      </c>
      <c r="BE35" s="2018">
        <v>0.3</v>
      </c>
      <c r="BF35" s="2018">
        <v>0.3</v>
      </c>
      <c r="BG35" s="2018">
        <v>0.3</v>
      </c>
      <c r="BH35" s="2020"/>
      <c r="BI35" s="2018">
        <v>0.3</v>
      </c>
      <c r="BJ35" s="2018">
        <v>0.3</v>
      </c>
      <c r="BK35" s="2019">
        <v>0.3</v>
      </c>
      <c r="BL35" s="2018">
        <v>0.3</v>
      </c>
      <c r="BM35" s="2018">
        <v>0.3</v>
      </c>
      <c r="BO35" s="2011">
        <v>3.1</v>
      </c>
      <c r="BP35" s="2015" t="s">
        <v>2133</v>
      </c>
      <c r="BQ35" s="2012" t="s">
        <v>1491</v>
      </c>
      <c r="BR35" s="2018">
        <v>0.3</v>
      </c>
      <c r="BS35" s="2018">
        <v>0.3</v>
      </c>
      <c r="BT35" s="2018">
        <v>0.5</v>
      </c>
      <c r="BU35" s="2018">
        <v>1</v>
      </c>
      <c r="BV35" s="2018">
        <v>0.3</v>
      </c>
      <c r="BW35" s="2018">
        <v>0.3</v>
      </c>
      <c r="BX35" s="2018">
        <v>0.3</v>
      </c>
      <c r="BY35" s="2020"/>
      <c r="BZ35" s="2018">
        <v>0.3</v>
      </c>
      <c r="CA35" s="2018">
        <v>0.3</v>
      </c>
      <c r="CB35" s="2019">
        <v>0.3</v>
      </c>
      <c r="CC35" s="2018">
        <v>0.3</v>
      </c>
      <c r="CD35" s="2018">
        <v>0.3</v>
      </c>
      <c r="CE35" s="2447"/>
    </row>
    <row r="36" spans="1:84">
      <c r="B36" s="1985" t="str">
        <f t="shared" si="0"/>
        <v>3.1.1</v>
      </c>
      <c r="C36" s="2008" t="str">
        <f t="shared" si="1"/>
        <v>昼光率</v>
      </c>
      <c r="D36" s="1998" t="e">
        <f t="shared" ref="D36:E38" si="24">IF(I$35&gt;0,G36/I$35,0)</f>
        <v>#DIV/0!</v>
      </c>
      <c r="E36" s="2010" t="e">
        <f t="shared" si="24"/>
        <v>#DIV/0!</v>
      </c>
      <c r="G36" s="2010" t="e">
        <f t="shared" si="2"/>
        <v>#DIV/0!</v>
      </c>
      <c r="H36" s="2010" t="e">
        <f t="shared" si="3"/>
        <v>#DIV/0!</v>
      </c>
      <c r="I36" s="2010"/>
      <c r="J36" s="2010"/>
      <c r="K36" s="2010">
        <f>IF(スコア!O36=0,0,1)</f>
        <v>1</v>
      </c>
      <c r="L36" s="2010">
        <f>IF(スコア!Q36=0,0,1)</f>
        <v>1</v>
      </c>
      <c r="M36" s="2010" t="e">
        <f t="shared" si="4"/>
        <v>#DIV/0!</v>
      </c>
      <c r="N36" s="2010" t="e">
        <f t="shared" si="5"/>
        <v>#DIV/0!</v>
      </c>
      <c r="P36" s="2011" t="str">
        <f t="shared" si="6"/>
        <v>3.1.1</v>
      </c>
      <c r="Q36" s="2011" t="str">
        <f t="shared" si="7"/>
        <v xml:space="preserve"> Q1 3.1</v>
      </c>
      <c r="R36" s="2012" t="str">
        <f t="shared" si="8"/>
        <v>昼光率</v>
      </c>
      <c r="S36" s="2013">
        <f t="shared" si="9"/>
        <v>0.6</v>
      </c>
      <c r="T36" s="2013">
        <f t="shared" si="10"/>
        <v>0.6</v>
      </c>
      <c r="U36" s="2013">
        <f t="shared" si="11"/>
        <v>0</v>
      </c>
      <c r="V36" s="2013">
        <f t="shared" si="12"/>
        <v>0</v>
      </c>
      <c r="W36" s="2013">
        <f t="shared" si="13"/>
        <v>0.6</v>
      </c>
      <c r="X36" s="2013">
        <f t="shared" si="14"/>
        <v>0.6</v>
      </c>
      <c r="Y36" s="2013">
        <f t="shared" si="15"/>
        <v>0.6</v>
      </c>
      <c r="Z36" s="2031">
        <f t="shared" si="16"/>
        <v>0</v>
      </c>
      <c r="AA36" s="2013">
        <f t="shared" si="21"/>
        <v>0.6</v>
      </c>
      <c r="AB36" s="2013">
        <f t="shared" si="17"/>
        <v>0.6</v>
      </c>
      <c r="AC36" s="2014">
        <f t="shared" si="18"/>
        <v>0.6</v>
      </c>
      <c r="AD36" s="2013">
        <f t="shared" si="19"/>
        <v>0.6</v>
      </c>
      <c r="AE36" s="2013">
        <f t="shared" si="20"/>
        <v>0.5</v>
      </c>
      <c r="AG36" s="2011" t="s">
        <v>930</v>
      </c>
      <c r="AH36" s="2015" t="s">
        <v>2134</v>
      </c>
      <c r="AI36" s="2016" t="s">
        <v>2135</v>
      </c>
      <c r="AJ36" s="2013">
        <v>0.6</v>
      </c>
      <c r="AK36" s="2013">
        <v>0.6</v>
      </c>
      <c r="AL36" s="2013"/>
      <c r="AM36" s="2013"/>
      <c r="AN36" s="2013">
        <v>0.6</v>
      </c>
      <c r="AO36" s="2013">
        <v>0.6</v>
      </c>
      <c r="AP36" s="2013">
        <v>0.6</v>
      </c>
      <c r="AQ36" s="2031"/>
      <c r="AR36" s="2013">
        <v>0.6</v>
      </c>
      <c r="AS36" s="2018">
        <v>0.6</v>
      </c>
      <c r="AT36" s="2019">
        <v>0.6</v>
      </c>
      <c r="AU36" s="2018">
        <v>0.6</v>
      </c>
      <c r="AV36" s="2018">
        <v>0.5</v>
      </c>
      <c r="AX36" s="2011" t="s">
        <v>930</v>
      </c>
      <c r="AY36" s="2015" t="s">
        <v>2134</v>
      </c>
      <c r="AZ36" s="2016" t="s">
        <v>2135</v>
      </c>
      <c r="BA36" s="2018">
        <v>0.6</v>
      </c>
      <c r="BB36" s="2018">
        <v>0.6</v>
      </c>
      <c r="BC36" s="2018"/>
      <c r="BD36" s="2018"/>
      <c r="BE36" s="2018">
        <v>0.6</v>
      </c>
      <c r="BF36" s="2018">
        <v>0.6</v>
      </c>
      <c r="BG36" s="2018">
        <v>0.6</v>
      </c>
      <c r="BH36" s="2020"/>
      <c r="BI36" s="2018">
        <v>0.6</v>
      </c>
      <c r="BJ36" s="2018">
        <v>0.6</v>
      </c>
      <c r="BK36" s="2019">
        <v>0.6</v>
      </c>
      <c r="BL36" s="2018">
        <v>0.6</v>
      </c>
      <c r="BM36" s="2018">
        <v>0.5</v>
      </c>
      <c r="BO36" s="2011" t="s">
        <v>930</v>
      </c>
      <c r="BP36" s="2015" t="s">
        <v>2134</v>
      </c>
      <c r="BQ36" s="2016" t="s">
        <v>2135</v>
      </c>
      <c r="BR36" s="2018">
        <v>0.6</v>
      </c>
      <c r="BS36" s="2018">
        <v>0.6</v>
      </c>
      <c r="BT36" s="2018"/>
      <c r="BU36" s="2018"/>
      <c r="BV36" s="2018">
        <v>0.6</v>
      </c>
      <c r="BW36" s="2018">
        <v>0.6</v>
      </c>
      <c r="BX36" s="2018">
        <v>0.6</v>
      </c>
      <c r="BY36" s="2020"/>
      <c r="BZ36" s="2018">
        <v>0.6</v>
      </c>
      <c r="CA36" s="2018">
        <v>0.6</v>
      </c>
      <c r="CB36" s="2019">
        <v>0.6</v>
      </c>
      <c r="CC36" s="2018">
        <v>0.6</v>
      </c>
      <c r="CD36" s="2018">
        <v>0.5</v>
      </c>
      <c r="CE36" s="2447"/>
    </row>
    <row r="37" spans="1:84">
      <c r="B37" s="1985" t="str">
        <f t="shared" si="0"/>
        <v>3.1.2</v>
      </c>
      <c r="C37" s="2008" t="str">
        <f t="shared" si="1"/>
        <v>方位別開口</v>
      </c>
      <c r="D37" s="1998" t="e">
        <f t="shared" si="24"/>
        <v>#DIV/0!</v>
      </c>
      <c r="E37" s="2010" t="e">
        <f t="shared" si="24"/>
        <v>#DIV/0!</v>
      </c>
      <c r="G37" s="2010" t="e">
        <f t="shared" si="2"/>
        <v>#DIV/0!</v>
      </c>
      <c r="H37" s="2010" t="e">
        <f t="shared" si="3"/>
        <v>#DIV/0!</v>
      </c>
      <c r="I37" s="2010"/>
      <c r="J37" s="2010"/>
      <c r="K37" s="2010">
        <f>IF(スコア!O37=0,0,1)</f>
        <v>0</v>
      </c>
      <c r="L37" s="2010">
        <f>IF(スコア!Q37=0,0,1)</f>
        <v>1</v>
      </c>
      <c r="M37" s="2010" t="e">
        <f t="shared" si="4"/>
        <v>#DIV/0!</v>
      </c>
      <c r="N37" s="2010" t="e">
        <f t="shared" si="5"/>
        <v>#DIV/0!</v>
      </c>
      <c r="P37" s="2011" t="str">
        <f t="shared" si="6"/>
        <v>3.1.2</v>
      </c>
      <c r="Q37" s="2011" t="str">
        <f t="shared" si="7"/>
        <v xml:space="preserve"> Q1 3.1</v>
      </c>
      <c r="R37" s="2012" t="str">
        <f t="shared" si="8"/>
        <v>方位別開口</v>
      </c>
      <c r="S37" s="2013">
        <f t="shared" si="9"/>
        <v>0</v>
      </c>
      <c r="T37" s="2013">
        <f t="shared" si="10"/>
        <v>0</v>
      </c>
      <c r="U37" s="2013">
        <f t="shared" si="11"/>
        <v>0</v>
      </c>
      <c r="V37" s="2013">
        <f t="shared" si="12"/>
        <v>0</v>
      </c>
      <c r="W37" s="2013">
        <f t="shared" si="13"/>
        <v>0</v>
      </c>
      <c r="X37" s="2013">
        <f t="shared" si="14"/>
        <v>0</v>
      </c>
      <c r="Y37" s="2013">
        <f t="shared" si="15"/>
        <v>0</v>
      </c>
      <c r="Z37" s="2031">
        <f t="shared" si="16"/>
        <v>0</v>
      </c>
      <c r="AA37" s="2013">
        <f t="shared" si="21"/>
        <v>0</v>
      </c>
      <c r="AB37" s="2013">
        <f t="shared" si="17"/>
        <v>0</v>
      </c>
      <c r="AC37" s="2014">
        <f t="shared" si="18"/>
        <v>0</v>
      </c>
      <c r="AD37" s="2013">
        <f t="shared" si="19"/>
        <v>0</v>
      </c>
      <c r="AE37" s="2013">
        <f t="shared" si="20"/>
        <v>0.3</v>
      </c>
      <c r="AG37" s="2011" t="s">
        <v>931</v>
      </c>
      <c r="AH37" s="2015" t="s">
        <v>2134</v>
      </c>
      <c r="AI37" s="2016" t="s">
        <v>2136</v>
      </c>
      <c r="AJ37" s="2013"/>
      <c r="AK37" s="2013"/>
      <c r="AL37" s="2013"/>
      <c r="AM37" s="2013"/>
      <c r="AN37" s="2013"/>
      <c r="AO37" s="2013"/>
      <c r="AP37" s="2013"/>
      <c r="AQ37" s="2031"/>
      <c r="AR37" s="2013"/>
      <c r="AS37" s="2018"/>
      <c r="AT37" s="2019"/>
      <c r="AU37" s="2018"/>
      <c r="AV37" s="2018">
        <v>0.3</v>
      </c>
      <c r="AX37" s="2011" t="s">
        <v>931</v>
      </c>
      <c r="AY37" s="2015" t="s">
        <v>2134</v>
      </c>
      <c r="AZ37" s="2016" t="s">
        <v>2136</v>
      </c>
      <c r="BA37" s="2018"/>
      <c r="BB37" s="2018"/>
      <c r="BC37" s="2018"/>
      <c r="BD37" s="2018"/>
      <c r="BE37" s="2018"/>
      <c r="BF37" s="2018"/>
      <c r="BG37" s="2018"/>
      <c r="BH37" s="2020"/>
      <c r="BI37" s="2018"/>
      <c r="BJ37" s="2018"/>
      <c r="BK37" s="2019"/>
      <c r="BL37" s="2018"/>
      <c r="BM37" s="2018">
        <v>0.3</v>
      </c>
      <c r="BO37" s="2011" t="s">
        <v>931</v>
      </c>
      <c r="BP37" s="2015" t="s">
        <v>2134</v>
      </c>
      <c r="BQ37" s="2016" t="s">
        <v>2136</v>
      </c>
      <c r="BR37" s="2018"/>
      <c r="BS37" s="2018"/>
      <c r="BT37" s="2018"/>
      <c r="BU37" s="2018"/>
      <c r="BV37" s="2018"/>
      <c r="BW37" s="2018"/>
      <c r="BX37" s="2018"/>
      <c r="BY37" s="2020"/>
      <c r="BZ37" s="2018"/>
      <c r="CA37" s="2018"/>
      <c r="CB37" s="2019"/>
      <c r="CC37" s="2018"/>
      <c r="CD37" s="2018">
        <v>0.3</v>
      </c>
      <c r="CE37" s="2447"/>
    </row>
    <row r="38" spans="1:84">
      <c r="B38" s="1985" t="str">
        <f t="shared" si="0"/>
        <v>3.1.3</v>
      </c>
      <c r="C38" s="2008" t="str">
        <f t="shared" si="1"/>
        <v>昼光利用設備</v>
      </c>
      <c r="D38" s="1998" t="e">
        <f t="shared" si="24"/>
        <v>#DIV/0!</v>
      </c>
      <c r="E38" s="2010" t="e">
        <f t="shared" si="24"/>
        <v>#DIV/0!</v>
      </c>
      <c r="G38" s="2010" t="e">
        <f t="shared" si="2"/>
        <v>#DIV/0!</v>
      </c>
      <c r="H38" s="2010" t="e">
        <f t="shared" si="3"/>
        <v>#DIV/0!</v>
      </c>
      <c r="I38" s="2010"/>
      <c r="J38" s="2010"/>
      <c r="K38" s="2010">
        <f>IF(スコア!O38=0,0,1)</f>
        <v>1</v>
      </c>
      <c r="L38" s="2010">
        <f>IF(スコア!Q38=0,0,1)</f>
        <v>1</v>
      </c>
      <c r="M38" s="2010" t="e">
        <f t="shared" si="4"/>
        <v>#DIV/0!</v>
      </c>
      <c r="N38" s="2010" t="e">
        <f t="shared" si="5"/>
        <v>#DIV/0!</v>
      </c>
      <c r="P38" s="2011" t="str">
        <f t="shared" si="6"/>
        <v>3.1.3</v>
      </c>
      <c r="Q38" s="2011" t="str">
        <f t="shared" si="7"/>
        <v xml:space="preserve"> Q1 3.1</v>
      </c>
      <c r="R38" s="2012" t="str">
        <f t="shared" si="8"/>
        <v>昼光利用設備</v>
      </c>
      <c r="S38" s="2013">
        <f t="shared" si="9"/>
        <v>0.4</v>
      </c>
      <c r="T38" s="2013">
        <f t="shared" si="10"/>
        <v>0.4</v>
      </c>
      <c r="U38" s="2013">
        <f t="shared" si="11"/>
        <v>1</v>
      </c>
      <c r="V38" s="2013">
        <f t="shared" si="12"/>
        <v>1</v>
      </c>
      <c r="W38" s="2013">
        <f t="shared" si="13"/>
        <v>0.4</v>
      </c>
      <c r="X38" s="2013">
        <f t="shared" si="14"/>
        <v>0.4</v>
      </c>
      <c r="Y38" s="2013">
        <f t="shared" si="15"/>
        <v>0.4</v>
      </c>
      <c r="Z38" s="2031">
        <f t="shared" si="16"/>
        <v>0</v>
      </c>
      <c r="AA38" s="2013">
        <f t="shared" si="21"/>
        <v>0.4</v>
      </c>
      <c r="AB38" s="2013">
        <f t="shared" si="17"/>
        <v>0.4</v>
      </c>
      <c r="AC38" s="2014">
        <f t="shared" si="18"/>
        <v>0.4</v>
      </c>
      <c r="AD38" s="2013">
        <f t="shared" si="19"/>
        <v>0.4</v>
      </c>
      <c r="AE38" s="2013">
        <f t="shared" si="20"/>
        <v>0.2</v>
      </c>
      <c r="AG38" s="2011" t="s">
        <v>932</v>
      </c>
      <c r="AH38" s="2015" t="s">
        <v>2134</v>
      </c>
      <c r="AI38" s="2016" t="s">
        <v>2137</v>
      </c>
      <c r="AJ38" s="2013">
        <v>0.4</v>
      </c>
      <c r="AK38" s="2013">
        <v>0.4</v>
      </c>
      <c r="AL38" s="2013">
        <v>1</v>
      </c>
      <c r="AM38" s="2013">
        <v>1</v>
      </c>
      <c r="AN38" s="2013">
        <v>0.4</v>
      </c>
      <c r="AO38" s="2013">
        <v>0.4</v>
      </c>
      <c r="AP38" s="2013">
        <v>0.4</v>
      </c>
      <c r="AQ38" s="2031"/>
      <c r="AR38" s="2013">
        <v>0.4</v>
      </c>
      <c r="AS38" s="2018">
        <v>0.4</v>
      </c>
      <c r="AT38" s="2019">
        <v>0.4</v>
      </c>
      <c r="AU38" s="2018">
        <v>0.4</v>
      </c>
      <c r="AV38" s="2018">
        <v>0.2</v>
      </c>
      <c r="AX38" s="2011" t="s">
        <v>932</v>
      </c>
      <c r="AY38" s="2015" t="s">
        <v>2134</v>
      </c>
      <c r="AZ38" s="2016" t="s">
        <v>2137</v>
      </c>
      <c r="BA38" s="2018">
        <v>0.4</v>
      </c>
      <c r="BB38" s="2018">
        <v>0.4</v>
      </c>
      <c r="BC38" s="2018">
        <v>1</v>
      </c>
      <c r="BD38" s="2018">
        <v>1</v>
      </c>
      <c r="BE38" s="2018">
        <v>0.4</v>
      </c>
      <c r="BF38" s="2018">
        <v>0.4</v>
      </c>
      <c r="BG38" s="2018">
        <v>0.4</v>
      </c>
      <c r="BH38" s="2020"/>
      <c r="BI38" s="2018">
        <v>0.4</v>
      </c>
      <c r="BJ38" s="2018">
        <v>0.4</v>
      </c>
      <c r="BK38" s="2019">
        <v>0.4</v>
      </c>
      <c r="BL38" s="2018">
        <v>0.4</v>
      </c>
      <c r="BM38" s="2018">
        <v>0.2</v>
      </c>
      <c r="BO38" s="2011" t="s">
        <v>932</v>
      </c>
      <c r="BP38" s="2015" t="s">
        <v>2134</v>
      </c>
      <c r="BQ38" s="2016" t="s">
        <v>2137</v>
      </c>
      <c r="BR38" s="2018">
        <v>0.4</v>
      </c>
      <c r="BS38" s="2018">
        <v>0.4</v>
      </c>
      <c r="BT38" s="2018">
        <v>1</v>
      </c>
      <c r="BU38" s="2018">
        <v>1</v>
      </c>
      <c r="BV38" s="2018">
        <v>0.4</v>
      </c>
      <c r="BW38" s="2018">
        <v>0.4</v>
      </c>
      <c r="BX38" s="2018">
        <v>0.4</v>
      </c>
      <c r="BY38" s="2020"/>
      <c r="BZ38" s="2018">
        <v>0.4</v>
      </c>
      <c r="CA38" s="2018">
        <v>0.4</v>
      </c>
      <c r="CB38" s="2019">
        <v>0.4</v>
      </c>
      <c r="CC38" s="2018">
        <v>0.4</v>
      </c>
      <c r="CD38" s="2018">
        <v>0.2</v>
      </c>
      <c r="CE38" s="2447"/>
    </row>
    <row r="39" spans="1:84">
      <c r="B39" s="1985">
        <f t="shared" si="0"/>
        <v>3.2</v>
      </c>
      <c r="C39" s="2008" t="str">
        <f t="shared" si="1"/>
        <v>グレア対策</v>
      </c>
      <c r="D39" s="2009" t="e">
        <f>IF(I$34=0,0,G39/I$34)</f>
        <v>#DIV/0!</v>
      </c>
      <c r="E39" s="2010" t="e">
        <f>IF(J$34=0,0,H39/J$34)</f>
        <v>#DIV/0!</v>
      </c>
      <c r="G39" s="2010" t="e">
        <f t="shared" si="2"/>
        <v>#DIV/0!</v>
      </c>
      <c r="H39" s="2010" t="e">
        <f t="shared" si="3"/>
        <v>#DIV/0!</v>
      </c>
      <c r="I39" s="2010" t="e">
        <f>SUM(G40:G42)</f>
        <v>#DIV/0!</v>
      </c>
      <c r="J39" s="2010" t="e">
        <f>SUM(H40:H42)</f>
        <v>#DIV/0!</v>
      </c>
      <c r="K39" s="2010" t="e">
        <f>IF(スコア!O39=0,0,1)</f>
        <v>#DIV/0!</v>
      </c>
      <c r="L39" s="2010" t="e">
        <f>IF(スコア!Q39=0,0,1)</f>
        <v>#DIV/0!</v>
      </c>
      <c r="M39" s="2010" t="e">
        <f t="shared" si="4"/>
        <v>#DIV/0!</v>
      </c>
      <c r="N39" s="2010" t="e">
        <f t="shared" si="5"/>
        <v>#DIV/0!</v>
      </c>
      <c r="P39" s="2011">
        <f t="shared" si="6"/>
        <v>3.2</v>
      </c>
      <c r="Q39" s="2011" t="str">
        <f t="shared" si="7"/>
        <v xml:space="preserve"> Q1 3</v>
      </c>
      <c r="R39" s="2012" t="str">
        <f t="shared" si="8"/>
        <v>グレア対策</v>
      </c>
      <c r="S39" s="2013">
        <f t="shared" si="9"/>
        <v>0.3</v>
      </c>
      <c r="T39" s="2013">
        <f t="shared" si="10"/>
        <v>0.3</v>
      </c>
      <c r="U39" s="2013">
        <f t="shared" si="11"/>
        <v>0</v>
      </c>
      <c r="V39" s="2013">
        <f t="shared" si="12"/>
        <v>0</v>
      </c>
      <c r="W39" s="2013">
        <f t="shared" si="13"/>
        <v>0.3</v>
      </c>
      <c r="X39" s="2013">
        <f t="shared" si="14"/>
        <v>0.3</v>
      </c>
      <c r="Y39" s="2013">
        <f t="shared" si="15"/>
        <v>0.3</v>
      </c>
      <c r="Z39" s="2031">
        <f t="shared" si="16"/>
        <v>0</v>
      </c>
      <c r="AA39" s="2013">
        <f t="shared" si="21"/>
        <v>0.3</v>
      </c>
      <c r="AB39" s="2013">
        <f t="shared" si="17"/>
        <v>0.3</v>
      </c>
      <c r="AC39" s="2014">
        <f t="shared" si="18"/>
        <v>0.3</v>
      </c>
      <c r="AD39" s="2013">
        <f t="shared" si="19"/>
        <v>0.3</v>
      </c>
      <c r="AE39" s="2013">
        <f t="shared" si="20"/>
        <v>0.3</v>
      </c>
      <c r="AG39" s="2011">
        <v>3.2</v>
      </c>
      <c r="AH39" s="2015" t="s">
        <v>2133</v>
      </c>
      <c r="AI39" s="2016" t="s">
        <v>1495</v>
      </c>
      <c r="AJ39" s="2013">
        <v>0.3</v>
      </c>
      <c r="AK39" s="2013">
        <v>0.3</v>
      </c>
      <c r="AL39" s="2013"/>
      <c r="AM39" s="2013"/>
      <c r="AN39" s="2013">
        <v>0.3</v>
      </c>
      <c r="AO39" s="2013">
        <v>0.3</v>
      </c>
      <c r="AP39" s="2013">
        <v>0.3</v>
      </c>
      <c r="AQ39" s="2031"/>
      <c r="AR39" s="2013">
        <v>0.3</v>
      </c>
      <c r="AS39" s="2018">
        <v>0.3</v>
      </c>
      <c r="AT39" s="2019">
        <v>0.3</v>
      </c>
      <c r="AU39" s="2018">
        <v>0.3</v>
      </c>
      <c r="AV39" s="2018">
        <v>0.3</v>
      </c>
      <c r="AX39" s="2011">
        <v>3.2</v>
      </c>
      <c r="AY39" s="2015" t="s">
        <v>2133</v>
      </c>
      <c r="AZ39" s="2016" t="s">
        <v>1495</v>
      </c>
      <c r="BA39" s="2018">
        <v>0.3</v>
      </c>
      <c r="BB39" s="2018">
        <v>0.3</v>
      </c>
      <c r="BC39" s="2018"/>
      <c r="BD39" s="2018"/>
      <c r="BE39" s="2018">
        <v>0.3</v>
      </c>
      <c r="BF39" s="2018">
        <v>0.3</v>
      </c>
      <c r="BG39" s="2018">
        <v>0.3</v>
      </c>
      <c r="BH39" s="2020"/>
      <c r="BI39" s="2018">
        <v>0.3</v>
      </c>
      <c r="BJ39" s="2018">
        <v>0.3</v>
      </c>
      <c r="BK39" s="2019">
        <v>0.3</v>
      </c>
      <c r="BL39" s="2018">
        <v>0.3</v>
      </c>
      <c r="BM39" s="2018">
        <v>0.3</v>
      </c>
      <c r="BO39" s="2011">
        <v>3.2</v>
      </c>
      <c r="BP39" s="2015" t="s">
        <v>2133</v>
      </c>
      <c r="BQ39" s="2016" t="s">
        <v>1495</v>
      </c>
      <c r="BR39" s="2018">
        <v>0.3</v>
      </c>
      <c r="BS39" s="2018">
        <v>0.3</v>
      </c>
      <c r="BT39" s="2018"/>
      <c r="BU39" s="2018"/>
      <c r="BV39" s="2018">
        <v>0.3</v>
      </c>
      <c r="BW39" s="2018">
        <v>0.3</v>
      </c>
      <c r="BX39" s="2018">
        <v>0.3</v>
      </c>
      <c r="BY39" s="2020"/>
      <c r="BZ39" s="2018">
        <v>0.3</v>
      </c>
      <c r="CA39" s="2018">
        <v>0.3</v>
      </c>
      <c r="CB39" s="2019">
        <v>0.3</v>
      </c>
      <c r="CC39" s="2018">
        <v>0.3</v>
      </c>
      <c r="CD39" s="2018">
        <v>0.3</v>
      </c>
      <c r="CE39" s="2447"/>
    </row>
    <row r="40" spans="1:84" hidden="1">
      <c r="B40" s="1985" t="str">
        <f t="shared" si="0"/>
        <v>3.2.1</v>
      </c>
      <c r="C40" s="2008" t="str">
        <f t="shared" si="1"/>
        <v>照明器具のグレア</v>
      </c>
      <c r="D40" s="1998" t="e">
        <f t="shared" ref="D40:E42" si="25">IF(I$39&gt;0,G40/I$39,0)</f>
        <v>#DIV/0!</v>
      </c>
      <c r="E40" s="2010" t="e">
        <f t="shared" si="25"/>
        <v>#DIV/0!</v>
      </c>
      <c r="G40" s="2010" t="e">
        <f t="shared" si="2"/>
        <v>#DIV/0!</v>
      </c>
      <c r="H40" s="2010" t="e">
        <f t="shared" si="3"/>
        <v>#DIV/0!</v>
      </c>
      <c r="I40" s="2010"/>
      <c r="J40" s="2010"/>
      <c r="K40" s="2010">
        <f>IF(スコア!O40=0,0,1)</f>
        <v>0</v>
      </c>
      <c r="L40" s="2010">
        <f>IF(スコア!Q40=0,0,1)</f>
        <v>0</v>
      </c>
      <c r="M40" s="2010" t="e">
        <f t="shared" si="4"/>
        <v>#DIV/0!</v>
      </c>
      <c r="N40" s="2010" t="e">
        <f t="shared" si="5"/>
        <v>#DIV/0!</v>
      </c>
      <c r="P40" s="2011" t="str">
        <f t="shared" si="6"/>
        <v>3.2.1</v>
      </c>
      <c r="Q40" s="2011" t="str">
        <f t="shared" si="7"/>
        <v xml:space="preserve"> Q1 3.2</v>
      </c>
      <c r="R40" s="2012" t="str">
        <f t="shared" si="8"/>
        <v>照明器具のグレア</v>
      </c>
      <c r="S40" s="2013">
        <f t="shared" si="9"/>
        <v>0.4</v>
      </c>
      <c r="T40" s="2013">
        <f t="shared" si="10"/>
        <v>0.4</v>
      </c>
      <c r="U40" s="2013">
        <f t="shared" si="11"/>
        <v>0</v>
      </c>
      <c r="V40" s="2013">
        <f t="shared" si="12"/>
        <v>0</v>
      </c>
      <c r="W40" s="2013">
        <f t="shared" si="13"/>
        <v>0.4</v>
      </c>
      <c r="X40" s="2013">
        <f t="shared" si="14"/>
        <v>0.4</v>
      </c>
      <c r="Y40" s="2013">
        <f t="shared" si="15"/>
        <v>0.4</v>
      </c>
      <c r="Z40" s="2031">
        <f t="shared" si="16"/>
        <v>0</v>
      </c>
      <c r="AA40" s="2013">
        <f t="shared" si="21"/>
        <v>0.4</v>
      </c>
      <c r="AB40" s="2013">
        <f t="shared" si="17"/>
        <v>0.3</v>
      </c>
      <c r="AC40" s="2014">
        <f t="shared" si="18"/>
        <v>0.4</v>
      </c>
      <c r="AD40" s="2013">
        <f t="shared" si="19"/>
        <v>0.4</v>
      </c>
      <c r="AE40" s="2013">
        <f t="shared" si="20"/>
        <v>0.4</v>
      </c>
      <c r="AG40" s="2011" t="s">
        <v>933</v>
      </c>
      <c r="AH40" s="2015" t="s">
        <v>2138</v>
      </c>
      <c r="AI40" s="2016" t="s">
        <v>2139</v>
      </c>
      <c r="AJ40" s="2023">
        <v>0.4</v>
      </c>
      <c r="AK40" s="2023">
        <v>0.4</v>
      </c>
      <c r="AL40" s="2023"/>
      <c r="AM40" s="2023"/>
      <c r="AN40" s="2023">
        <v>0.4</v>
      </c>
      <c r="AO40" s="2023">
        <v>0.4</v>
      </c>
      <c r="AP40" s="2023">
        <v>0.4</v>
      </c>
      <c r="AQ40" s="2033"/>
      <c r="AR40" s="2023">
        <v>0.4</v>
      </c>
      <c r="AS40" s="2035">
        <v>0.3</v>
      </c>
      <c r="AT40" s="2019">
        <v>0.4</v>
      </c>
      <c r="AU40" s="2018">
        <v>0.4</v>
      </c>
      <c r="AV40" s="2018">
        <v>0.4</v>
      </c>
      <c r="AX40" s="2011" t="s">
        <v>933</v>
      </c>
      <c r="AY40" s="2015" t="s">
        <v>2138</v>
      </c>
      <c r="AZ40" s="2016" t="s">
        <v>2139</v>
      </c>
      <c r="BA40" s="2018"/>
      <c r="BB40" s="2018"/>
      <c r="BC40" s="2018"/>
      <c r="BD40" s="2018"/>
      <c r="BE40" s="2018"/>
      <c r="BF40" s="2018"/>
      <c r="BG40" s="2018"/>
      <c r="BH40" s="2020"/>
      <c r="BI40" s="2018"/>
      <c r="BJ40" s="2018"/>
      <c r="BK40" s="2019"/>
      <c r="BL40" s="2018"/>
      <c r="BM40" s="2018"/>
      <c r="BO40" s="2011" t="s">
        <v>933</v>
      </c>
      <c r="BP40" s="2015" t="s">
        <v>2138</v>
      </c>
      <c r="BQ40" s="2016" t="s">
        <v>2139</v>
      </c>
      <c r="BR40" s="2018">
        <v>0.4</v>
      </c>
      <c r="BS40" s="2018">
        <v>0.4</v>
      </c>
      <c r="BT40" s="2018"/>
      <c r="BU40" s="2018"/>
      <c r="BV40" s="2018">
        <v>0.4</v>
      </c>
      <c r="BW40" s="2018">
        <v>0.4</v>
      </c>
      <c r="BX40" s="2018">
        <v>0.4</v>
      </c>
      <c r="BY40" s="2020"/>
      <c r="BZ40" s="2018">
        <v>0.4</v>
      </c>
      <c r="CA40" s="2018">
        <v>0.4</v>
      </c>
      <c r="CB40" s="2019">
        <v>0.4</v>
      </c>
      <c r="CC40" s="2018">
        <v>0.4</v>
      </c>
      <c r="CD40" s="2018">
        <v>0.4</v>
      </c>
      <c r="CE40" s="2447"/>
    </row>
    <row r="41" spans="1:84">
      <c r="B41" s="1985" t="str">
        <f t="shared" si="0"/>
        <v>3.2.2</v>
      </c>
      <c r="C41" s="2008" t="str">
        <f t="shared" ref="C41:C72" si="26">R41</f>
        <v>昼光制御</v>
      </c>
      <c r="D41" s="1998" t="e">
        <f t="shared" si="25"/>
        <v>#DIV/0!</v>
      </c>
      <c r="E41" s="2010" t="e">
        <f t="shared" si="25"/>
        <v>#DIV/0!</v>
      </c>
      <c r="G41" s="2010" t="e">
        <f t="shared" ref="G41:G72" si="27">K41*M41</f>
        <v>#DIV/0!</v>
      </c>
      <c r="H41" s="2010" t="e">
        <f t="shared" ref="H41:H72" si="28">L41*N41</f>
        <v>#DIV/0!</v>
      </c>
      <c r="I41" s="2010"/>
      <c r="J41" s="2010"/>
      <c r="K41" s="2010">
        <f>IF(スコア!O41=0,0,1)</f>
        <v>1</v>
      </c>
      <c r="L41" s="2010">
        <f>IF(スコア!Q41=0,0,1)</f>
        <v>1</v>
      </c>
      <c r="M41" s="2010" t="e">
        <f t="shared" ref="M41:M72" si="29">SUMPRODUCT($S$7:$AB$7,S41:AB41)</f>
        <v>#DIV/0!</v>
      </c>
      <c r="N41" s="2010" t="e">
        <f t="shared" ref="N41:N72" si="30">(AC$7*AC41)+(AD$7*AD41)+(AE$7*AE41)</f>
        <v>#DIV/0!</v>
      </c>
      <c r="P41" s="2011" t="str">
        <f t="shared" si="6"/>
        <v>3.2.2</v>
      </c>
      <c r="Q41" s="2011" t="str">
        <f t="shared" si="7"/>
        <v xml:space="preserve"> Q1 3.2</v>
      </c>
      <c r="R41" s="2012" t="str">
        <f t="shared" si="8"/>
        <v>昼光制御</v>
      </c>
      <c r="S41" s="2013">
        <f t="shared" ref="S41:S72" si="31">IF($P$3=1,BA41,IF($P$3=2,BR41,AJ41))</f>
        <v>0.6</v>
      </c>
      <c r="T41" s="2013">
        <f t="shared" ref="T41:T72" si="32">IF($P$3=1,BB41,IF($P$3=2,BS41,AK41))</f>
        <v>0.6</v>
      </c>
      <c r="U41" s="2013">
        <f t="shared" ref="U41:U72" si="33">IF($P$3=1,BC41,IF($P$3=2,BT41,AL41))</f>
        <v>0</v>
      </c>
      <c r="V41" s="2013">
        <f t="shared" ref="V41:V72" si="34">IF($P$3=1,BD41,IF($P$3=2,BU41,AM41))</f>
        <v>0</v>
      </c>
      <c r="W41" s="2013">
        <f t="shared" ref="W41:W72" si="35">IF($P$3=1,BE41,IF($P$3=2,BV41,AN41))</f>
        <v>0.6</v>
      </c>
      <c r="X41" s="2013">
        <f t="shared" ref="X41:X72" si="36">IF($P$3=1,BF41,IF($P$3=2,BW41,AO41))</f>
        <v>0.6</v>
      </c>
      <c r="Y41" s="2013">
        <f t="shared" ref="Y41:Y72" si="37">IF($P$3=1,BG41,IF($P$3=2,BX41,AP41))</f>
        <v>0.6</v>
      </c>
      <c r="Z41" s="2031">
        <f t="shared" ref="Z41:Z72" si="38">IF($P$3=1,BH41,IF($P$3=2,BY41,AQ41))</f>
        <v>0</v>
      </c>
      <c r="AA41" s="2013">
        <f t="shared" ref="AA41:AA72" si="39">IF($P$3=1,BI41,IF($P$3=2,BZ41,AR41))</f>
        <v>0.6</v>
      </c>
      <c r="AB41" s="2013">
        <f t="shared" ref="AB41:AB72" si="40">IF($P$3=1,BJ41,IF($P$3=2,CA41,AS41))</f>
        <v>0.4</v>
      </c>
      <c r="AC41" s="2014">
        <f t="shared" ref="AC41:AC72" si="41">IF($P$3=1,BK41,IF($P$3=2,CB41,AT41))</f>
        <v>0.6</v>
      </c>
      <c r="AD41" s="2013">
        <f t="shared" ref="AD41:AD72" si="42">IF($P$3=1,BL41,IF($P$3=2,CC41,AU41))</f>
        <v>0.6</v>
      </c>
      <c r="AE41" s="2013">
        <f t="shared" ref="AE41:AE72" si="43">IF($P$3=1,BM41,IF($P$3=2,CD41,AV41))</f>
        <v>0.6</v>
      </c>
      <c r="AG41" s="2011" t="s">
        <v>934</v>
      </c>
      <c r="AH41" s="2015" t="s">
        <v>2138</v>
      </c>
      <c r="AI41" s="2016" t="s">
        <v>2140</v>
      </c>
      <c r="AJ41" s="2013">
        <v>0.6</v>
      </c>
      <c r="AK41" s="2013">
        <v>0.6</v>
      </c>
      <c r="AL41" s="2013"/>
      <c r="AM41" s="2013"/>
      <c r="AN41" s="2013">
        <v>0.6</v>
      </c>
      <c r="AO41" s="2013">
        <v>0.6</v>
      </c>
      <c r="AP41" s="2013">
        <v>0.6</v>
      </c>
      <c r="AQ41" s="2031"/>
      <c r="AR41" s="2013">
        <v>0.6</v>
      </c>
      <c r="AS41" s="2035">
        <v>0.4</v>
      </c>
      <c r="AT41" s="2019">
        <v>0.6</v>
      </c>
      <c r="AU41" s="2018">
        <v>0.6</v>
      </c>
      <c r="AV41" s="2018">
        <v>0.6</v>
      </c>
      <c r="AX41" s="2011" t="s">
        <v>934</v>
      </c>
      <c r="AY41" s="2015" t="s">
        <v>2138</v>
      </c>
      <c r="AZ41" s="2016" t="s">
        <v>2140</v>
      </c>
      <c r="BA41" s="2018">
        <v>1</v>
      </c>
      <c r="BB41" s="2018">
        <v>1</v>
      </c>
      <c r="BC41" s="2018"/>
      <c r="BD41" s="2018"/>
      <c r="BE41" s="2018">
        <v>1</v>
      </c>
      <c r="BF41" s="2018">
        <v>1</v>
      </c>
      <c r="BG41" s="2018">
        <v>1</v>
      </c>
      <c r="BH41" s="2020"/>
      <c r="BI41" s="2018">
        <v>1</v>
      </c>
      <c r="BJ41" s="2018">
        <v>1</v>
      </c>
      <c r="BK41" s="2019">
        <v>1</v>
      </c>
      <c r="BL41" s="2018">
        <v>1</v>
      </c>
      <c r="BM41" s="2018">
        <v>1</v>
      </c>
      <c r="BO41" s="2011" t="s">
        <v>934</v>
      </c>
      <c r="BP41" s="2015" t="s">
        <v>2138</v>
      </c>
      <c r="BQ41" s="2016" t="s">
        <v>2140</v>
      </c>
      <c r="BR41" s="2018">
        <v>0.6</v>
      </c>
      <c r="BS41" s="2018">
        <v>0.6</v>
      </c>
      <c r="BT41" s="2018"/>
      <c r="BU41" s="2018"/>
      <c r="BV41" s="2018">
        <v>0.6</v>
      </c>
      <c r="BW41" s="2018">
        <v>0.6</v>
      </c>
      <c r="BX41" s="2018">
        <v>0.6</v>
      </c>
      <c r="BY41" s="2020"/>
      <c r="BZ41" s="2018">
        <v>0.6</v>
      </c>
      <c r="CA41" s="2018">
        <v>0.6</v>
      </c>
      <c r="CB41" s="2019">
        <v>0.6</v>
      </c>
      <c r="CC41" s="2018">
        <v>0.6</v>
      </c>
      <c r="CD41" s="2018">
        <v>0.6</v>
      </c>
      <c r="CE41" s="2447"/>
    </row>
    <row r="42" spans="1:84">
      <c r="B42" s="1985" t="s">
        <v>935</v>
      </c>
      <c r="C42" s="2008" t="str">
        <f t="shared" si="26"/>
        <v>映り込み対策</v>
      </c>
      <c r="D42" s="1998" t="e">
        <f>IF(I$39&gt;0,G42/I$39,0)</f>
        <v>#DIV/0!</v>
      </c>
      <c r="E42" s="2010" t="e">
        <f t="shared" si="25"/>
        <v>#DIV/0!</v>
      </c>
      <c r="F42" s="2720"/>
      <c r="G42" s="2010" t="e">
        <f t="shared" si="27"/>
        <v>#DIV/0!</v>
      </c>
      <c r="H42" s="2010" t="e">
        <f t="shared" si="28"/>
        <v>#DIV/0!</v>
      </c>
      <c r="I42" s="2010"/>
      <c r="J42" s="2010"/>
      <c r="K42" s="2010">
        <f>IF(スコア!O42=0,0,1)</f>
        <v>1</v>
      </c>
      <c r="L42" s="2010">
        <f>IF(スコア!Q42=0,0,1)</f>
        <v>0</v>
      </c>
      <c r="M42" s="2010" t="e">
        <f t="shared" si="29"/>
        <v>#DIV/0!</v>
      </c>
      <c r="N42" s="2010" t="e">
        <f t="shared" si="30"/>
        <v>#DIV/0!</v>
      </c>
      <c r="O42" s="2720"/>
      <c r="P42" s="2011" t="str">
        <f t="shared" si="6"/>
        <v>3.2.3</v>
      </c>
      <c r="Q42" s="2011" t="str">
        <f t="shared" si="7"/>
        <v xml:space="preserve"> Q1 3.3</v>
      </c>
      <c r="R42" s="2012" t="str">
        <f t="shared" si="8"/>
        <v>映り込み対策</v>
      </c>
      <c r="S42" s="2013">
        <f t="shared" si="31"/>
        <v>0</v>
      </c>
      <c r="T42" s="2013">
        <f t="shared" si="32"/>
        <v>0</v>
      </c>
      <c r="U42" s="2013">
        <f t="shared" si="33"/>
        <v>0</v>
      </c>
      <c r="V42" s="2013">
        <f t="shared" si="34"/>
        <v>0</v>
      </c>
      <c r="W42" s="2013">
        <f t="shared" si="35"/>
        <v>0</v>
      </c>
      <c r="X42" s="2013">
        <f t="shared" si="36"/>
        <v>0</v>
      </c>
      <c r="Y42" s="2013">
        <f t="shared" si="37"/>
        <v>0</v>
      </c>
      <c r="Z42" s="2022">
        <f t="shared" si="38"/>
        <v>0</v>
      </c>
      <c r="AA42" s="2013">
        <f t="shared" si="39"/>
        <v>0</v>
      </c>
      <c r="AB42" s="2013">
        <f t="shared" si="40"/>
        <v>0.3</v>
      </c>
      <c r="AC42" s="2014">
        <f t="shared" si="41"/>
        <v>0</v>
      </c>
      <c r="AD42" s="2013">
        <f t="shared" si="42"/>
        <v>0</v>
      </c>
      <c r="AE42" s="2013">
        <f t="shared" si="43"/>
        <v>0</v>
      </c>
      <c r="AG42" s="2011" t="s">
        <v>2141</v>
      </c>
      <c r="AH42" s="2015" t="s">
        <v>2142</v>
      </c>
      <c r="AI42" s="2016" t="s">
        <v>800</v>
      </c>
      <c r="AJ42" s="2013"/>
      <c r="AK42" s="2013"/>
      <c r="AL42" s="2013"/>
      <c r="AM42" s="2013"/>
      <c r="AN42" s="2013"/>
      <c r="AO42" s="2013"/>
      <c r="AP42" s="2013"/>
      <c r="AQ42" s="2031"/>
      <c r="AR42" s="2013"/>
      <c r="AS42" s="2035">
        <v>0.3</v>
      </c>
      <c r="AT42" s="2019"/>
      <c r="AU42" s="2018"/>
      <c r="AV42" s="2018"/>
      <c r="AX42" s="2039" t="s">
        <v>936</v>
      </c>
      <c r="AY42" s="2043" t="s">
        <v>2142</v>
      </c>
      <c r="AZ42" s="2044" t="s">
        <v>800</v>
      </c>
      <c r="BA42" s="2045"/>
      <c r="BB42" s="2045"/>
      <c r="BC42" s="2045"/>
      <c r="BD42" s="2045"/>
      <c r="BE42" s="2045"/>
      <c r="BF42" s="2045"/>
      <c r="BG42" s="2045"/>
      <c r="BH42" s="2046"/>
      <c r="BI42" s="2045"/>
      <c r="BJ42" s="2045"/>
      <c r="BK42" s="2047"/>
      <c r="BL42" s="2045"/>
      <c r="BM42" s="2045"/>
      <c r="BO42" s="2039" t="s">
        <v>936</v>
      </c>
      <c r="BP42" s="2043" t="s">
        <v>2142</v>
      </c>
      <c r="BQ42" s="2044" t="s">
        <v>800</v>
      </c>
      <c r="BR42" s="2048"/>
      <c r="BS42" s="2048"/>
      <c r="BT42" s="2048"/>
      <c r="BU42" s="2048"/>
      <c r="BV42" s="2048"/>
      <c r="BW42" s="2048"/>
      <c r="BX42" s="2048"/>
      <c r="BY42" s="2049"/>
      <c r="BZ42" s="2048"/>
      <c r="CA42" s="2048"/>
      <c r="CB42" s="2050"/>
      <c r="CC42" s="2048"/>
      <c r="CD42" s="2048"/>
      <c r="CE42" s="2448"/>
    </row>
    <row r="43" spans="1:84">
      <c r="B43" s="1985">
        <f t="shared" ref="B43:B74" si="44">P43</f>
        <v>3.3</v>
      </c>
      <c r="C43" s="2030" t="str">
        <f t="shared" si="26"/>
        <v>照度</v>
      </c>
      <c r="D43" s="2009" t="e">
        <f>IF(I$34=0,0,G43/I$34)</f>
        <v>#DIV/0!</v>
      </c>
      <c r="E43" s="2010" t="e">
        <f>IF(J$34=0,0,H43/J$34)</f>
        <v>#DIV/0!</v>
      </c>
      <c r="G43" s="2010" t="e">
        <f t="shared" si="27"/>
        <v>#DIV/0!</v>
      </c>
      <c r="H43" s="2010" t="e">
        <f t="shared" si="28"/>
        <v>#DIV/0!</v>
      </c>
      <c r="I43" s="2010" t="e">
        <f>SUM(G44:G45)</f>
        <v>#DIV/0!</v>
      </c>
      <c r="J43" s="2010" t="e">
        <f>SUM(H44:H45)</f>
        <v>#DIV/0!</v>
      </c>
      <c r="K43" s="2010">
        <f>IF(スコア!O43=0,0,1)</f>
        <v>1</v>
      </c>
      <c r="L43" s="2010">
        <f>IF(スコア!Q43=0,0,1)</f>
        <v>1</v>
      </c>
      <c r="M43" s="2010" t="e">
        <f t="shared" si="29"/>
        <v>#DIV/0!</v>
      </c>
      <c r="N43" s="2010" t="e">
        <f t="shared" si="30"/>
        <v>#DIV/0!</v>
      </c>
      <c r="P43" s="2011">
        <f t="shared" si="6"/>
        <v>3.3</v>
      </c>
      <c r="Q43" s="2011" t="str">
        <f t="shared" si="7"/>
        <v xml:space="preserve"> Q1 3</v>
      </c>
      <c r="R43" s="2012" t="str">
        <f t="shared" si="8"/>
        <v>照度</v>
      </c>
      <c r="S43" s="2013">
        <f t="shared" si="31"/>
        <v>0.15</v>
      </c>
      <c r="T43" s="2013">
        <f t="shared" si="32"/>
        <v>0.15</v>
      </c>
      <c r="U43" s="2013">
        <f t="shared" si="33"/>
        <v>0</v>
      </c>
      <c r="V43" s="2013">
        <f t="shared" si="34"/>
        <v>0</v>
      </c>
      <c r="W43" s="2013">
        <f t="shared" si="35"/>
        <v>0.15</v>
      </c>
      <c r="X43" s="2013">
        <f t="shared" si="36"/>
        <v>0.15</v>
      </c>
      <c r="Y43" s="2013">
        <f t="shared" si="37"/>
        <v>0.15</v>
      </c>
      <c r="Z43" s="2031">
        <f t="shared" si="38"/>
        <v>0</v>
      </c>
      <c r="AA43" s="2013">
        <f t="shared" si="39"/>
        <v>0.15</v>
      </c>
      <c r="AB43" s="2013">
        <f t="shared" si="40"/>
        <v>0.15</v>
      </c>
      <c r="AC43" s="2014">
        <f t="shared" si="41"/>
        <v>0.15</v>
      </c>
      <c r="AD43" s="2013">
        <f t="shared" si="42"/>
        <v>0.15</v>
      </c>
      <c r="AE43" s="2013">
        <f t="shared" si="43"/>
        <v>0.15</v>
      </c>
      <c r="AG43" s="2011">
        <v>3.3</v>
      </c>
      <c r="AH43" s="2015" t="s">
        <v>2133</v>
      </c>
      <c r="AI43" s="2012" t="s">
        <v>801</v>
      </c>
      <c r="AJ43" s="2013">
        <v>0.15</v>
      </c>
      <c r="AK43" s="2013">
        <v>0.15</v>
      </c>
      <c r="AL43" s="2013"/>
      <c r="AM43" s="2013"/>
      <c r="AN43" s="2013">
        <v>0.15</v>
      </c>
      <c r="AO43" s="2013">
        <v>0.15</v>
      </c>
      <c r="AP43" s="2013">
        <v>0.15</v>
      </c>
      <c r="AQ43" s="2031"/>
      <c r="AR43" s="2013">
        <v>0.15</v>
      </c>
      <c r="AS43" s="2018">
        <v>0.15</v>
      </c>
      <c r="AT43" s="2019">
        <v>0.15</v>
      </c>
      <c r="AU43" s="2018">
        <v>0.15</v>
      </c>
      <c r="AV43" s="2018">
        <v>0.15</v>
      </c>
      <c r="AX43" s="2011">
        <v>3.3</v>
      </c>
      <c r="AY43" s="2015" t="s">
        <v>2133</v>
      </c>
      <c r="AZ43" s="2012" t="s">
        <v>801</v>
      </c>
      <c r="BA43" s="2018">
        <v>0.15</v>
      </c>
      <c r="BB43" s="2018">
        <v>0.15</v>
      </c>
      <c r="BC43" s="2018"/>
      <c r="BD43" s="2018"/>
      <c r="BE43" s="2018">
        <v>0.15</v>
      </c>
      <c r="BF43" s="2018">
        <v>0.15</v>
      </c>
      <c r="BG43" s="2018">
        <v>0.15</v>
      </c>
      <c r="BH43" s="2020"/>
      <c r="BI43" s="2018">
        <v>0.15</v>
      </c>
      <c r="BJ43" s="2018">
        <v>0.15</v>
      </c>
      <c r="BK43" s="2019">
        <v>0.15</v>
      </c>
      <c r="BL43" s="2018">
        <v>0.15</v>
      </c>
      <c r="BM43" s="2018">
        <v>0.15</v>
      </c>
      <c r="BO43" s="2011">
        <v>3.3</v>
      </c>
      <c r="BP43" s="2015" t="s">
        <v>2133</v>
      </c>
      <c r="BQ43" s="2012" t="s">
        <v>801</v>
      </c>
      <c r="BR43" s="2018">
        <v>0.15</v>
      </c>
      <c r="BS43" s="2018">
        <v>0.15</v>
      </c>
      <c r="BT43" s="2018"/>
      <c r="BU43" s="2018"/>
      <c r="BV43" s="2018">
        <v>0.15</v>
      </c>
      <c r="BW43" s="2018">
        <v>0.15</v>
      </c>
      <c r="BX43" s="2018">
        <v>0.15</v>
      </c>
      <c r="BY43" s="2020"/>
      <c r="BZ43" s="2018">
        <v>0.15</v>
      </c>
      <c r="CA43" s="2018">
        <v>0.15</v>
      </c>
      <c r="CB43" s="2019">
        <v>0.15</v>
      </c>
      <c r="CC43" s="2018">
        <v>0.15</v>
      </c>
      <c r="CD43" s="2018">
        <v>0.15</v>
      </c>
      <c r="CE43" s="2447"/>
    </row>
    <row r="44" spans="1:84" hidden="1">
      <c r="B44" s="1985" t="str">
        <f t="shared" si="44"/>
        <v>3.3.1</v>
      </c>
      <c r="C44" s="2036" t="str">
        <f t="shared" si="26"/>
        <v>照度</v>
      </c>
      <c r="D44" s="2037" t="e">
        <f>IF(I$43&gt;0,G44/I$43,0)</f>
        <v>#DIV/0!</v>
      </c>
      <c r="E44" s="2038" t="e">
        <f>IF(J$43&gt;0,H44/J$43,0)</f>
        <v>#DIV/0!</v>
      </c>
      <c r="G44" s="2038" t="e">
        <f t="shared" si="27"/>
        <v>#DIV/0!</v>
      </c>
      <c r="H44" s="2038" t="e">
        <f t="shared" si="28"/>
        <v>#DIV/0!</v>
      </c>
      <c r="I44" s="2038"/>
      <c r="J44" s="2038"/>
      <c r="K44" s="2038">
        <f>IF(スコア!O44=0,0,1)</f>
        <v>0</v>
      </c>
      <c r="L44" s="2038">
        <f>IF(スコア!Q44=0,0,1)</f>
        <v>0</v>
      </c>
      <c r="M44" s="2038" t="e">
        <f t="shared" si="29"/>
        <v>#DIV/0!</v>
      </c>
      <c r="N44" s="2038" t="e">
        <f t="shared" si="30"/>
        <v>#DIV/0!</v>
      </c>
      <c r="P44" s="2039" t="str">
        <f t="shared" si="6"/>
        <v>3.3.1</v>
      </c>
      <c r="Q44" s="2039" t="str">
        <f t="shared" si="7"/>
        <v xml:space="preserve"> Q1 3.3</v>
      </c>
      <c r="R44" s="2040" t="str">
        <f t="shared" si="8"/>
        <v>照度</v>
      </c>
      <c r="S44" s="2023">
        <f t="shared" si="31"/>
        <v>0</v>
      </c>
      <c r="T44" s="2023">
        <f t="shared" si="32"/>
        <v>0</v>
      </c>
      <c r="U44" s="2023">
        <f t="shared" si="33"/>
        <v>0</v>
      </c>
      <c r="V44" s="2023">
        <f t="shared" si="34"/>
        <v>0</v>
      </c>
      <c r="W44" s="2023">
        <f t="shared" si="35"/>
        <v>0</v>
      </c>
      <c r="X44" s="2023">
        <f t="shared" si="36"/>
        <v>0</v>
      </c>
      <c r="Y44" s="2023">
        <f t="shared" si="37"/>
        <v>0</v>
      </c>
      <c r="Z44" s="2041">
        <f t="shared" si="38"/>
        <v>0</v>
      </c>
      <c r="AA44" s="2023">
        <f t="shared" si="39"/>
        <v>0</v>
      </c>
      <c r="AB44" s="2023">
        <f t="shared" si="40"/>
        <v>0</v>
      </c>
      <c r="AC44" s="2042">
        <f t="shared" si="41"/>
        <v>0</v>
      </c>
      <c r="AD44" s="2023">
        <f t="shared" si="42"/>
        <v>0</v>
      </c>
      <c r="AE44" s="2023">
        <f t="shared" si="43"/>
        <v>0</v>
      </c>
      <c r="AG44" s="2039" t="s">
        <v>1740</v>
      </c>
      <c r="AH44" s="2043" t="s">
        <v>2142</v>
      </c>
      <c r="AI44" s="2044" t="s">
        <v>1741</v>
      </c>
      <c r="AJ44" s="2013"/>
      <c r="AK44" s="2013"/>
      <c r="AL44" s="2013"/>
      <c r="AM44" s="2013"/>
      <c r="AN44" s="2013"/>
      <c r="AO44" s="2013"/>
      <c r="AP44" s="2013"/>
      <c r="AQ44" s="2031"/>
      <c r="AR44" s="2013"/>
      <c r="AS44" s="2045"/>
      <c r="AT44" s="2047"/>
      <c r="AU44" s="2045"/>
      <c r="AV44" s="2045"/>
      <c r="AX44" s="2039" t="s">
        <v>1740</v>
      </c>
      <c r="AY44" s="2043" t="s">
        <v>2142</v>
      </c>
      <c r="AZ44" s="2044" t="s">
        <v>1741</v>
      </c>
      <c r="BA44" s="2045"/>
      <c r="BB44" s="2045"/>
      <c r="BC44" s="2045"/>
      <c r="BD44" s="2045"/>
      <c r="BE44" s="2045"/>
      <c r="BF44" s="2045"/>
      <c r="BG44" s="2045"/>
      <c r="BH44" s="2046"/>
      <c r="BI44" s="2045"/>
      <c r="BJ44" s="2045"/>
      <c r="BK44" s="2047"/>
      <c r="BL44" s="2045"/>
      <c r="BM44" s="2045"/>
      <c r="BO44" s="2039" t="s">
        <v>1740</v>
      </c>
      <c r="BP44" s="2043" t="s">
        <v>2142</v>
      </c>
      <c r="BQ44" s="2044" t="s">
        <v>1741</v>
      </c>
      <c r="BR44" s="2048"/>
      <c r="BS44" s="2048"/>
      <c r="BT44" s="2048"/>
      <c r="BU44" s="2048"/>
      <c r="BV44" s="2048"/>
      <c r="BW44" s="2048"/>
      <c r="BX44" s="2048"/>
      <c r="BY44" s="2049"/>
      <c r="BZ44" s="2048"/>
      <c r="CA44" s="2048"/>
      <c r="CB44" s="2050"/>
      <c r="CC44" s="2048"/>
      <c r="CD44" s="2048"/>
      <c r="CE44" s="2448"/>
    </row>
    <row r="45" spans="1:84" hidden="1">
      <c r="B45" s="1985" t="str">
        <f t="shared" si="44"/>
        <v>3.3.2</v>
      </c>
      <c r="C45" s="2036" t="str">
        <f t="shared" si="26"/>
        <v>照度均斉度</v>
      </c>
      <c r="D45" s="2037" t="e">
        <f>IF(I$43&gt;0,G45/I$43,0)</f>
        <v>#DIV/0!</v>
      </c>
      <c r="E45" s="2038" t="e">
        <f>IF(J$43&gt;0,H45/J$43,0)</f>
        <v>#DIV/0!</v>
      </c>
      <c r="G45" s="2038" t="e">
        <f t="shared" si="27"/>
        <v>#DIV/0!</v>
      </c>
      <c r="H45" s="2038" t="e">
        <f t="shared" si="28"/>
        <v>#DIV/0!</v>
      </c>
      <c r="I45" s="2038"/>
      <c r="J45" s="2038"/>
      <c r="K45" s="2038">
        <f>IF(スコア!O45=0,0,1)</f>
        <v>0</v>
      </c>
      <c r="L45" s="2038">
        <f>IF(スコア!Q45=0,0,1)</f>
        <v>0</v>
      </c>
      <c r="M45" s="2038" t="e">
        <f t="shared" si="29"/>
        <v>#DIV/0!</v>
      </c>
      <c r="N45" s="2038" t="e">
        <f t="shared" si="30"/>
        <v>#DIV/0!</v>
      </c>
      <c r="P45" s="2039" t="str">
        <f t="shared" si="6"/>
        <v>3.3.2</v>
      </c>
      <c r="Q45" s="2039" t="str">
        <f t="shared" si="7"/>
        <v xml:space="preserve"> Q1 3.3</v>
      </c>
      <c r="R45" s="2040" t="str">
        <f t="shared" si="8"/>
        <v>照度均斉度</v>
      </c>
      <c r="S45" s="2023">
        <f t="shared" si="31"/>
        <v>0</v>
      </c>
      <c r="T45" s="2023">
        <f t="shared" si="32"/>
        <v>0</v>
      </c>
      <c r="U45" s="2023">
        <f t="shared" si="33"/>
        <v>0</v>
      </c>
      <c r="V45" s="2023">
        <f t="shared" si="34"/>
        <v>0</v>
      </c>
      <c r="W45" s="2023">
        <f t="shared" si="35"/>
        <v>0</v>
      </c>
      <c r="X45" s="2023">
        <f t="shared" si="36"/>
        <v>0</v>
      </c>
      <c r="Y45" s="2023">
        <f t="shared" si="37"/>
        <v>0</v>
      </c>
      <c r="Z45" s="2041">
        <f t="shared" si="38"/>
        <v>0</v>
      </c>
      <c r="AA45" s="2023">
        <f t="shared" si="39"/>
        <v>0</v>
      </c>
      <c r="AB45" s="2023">
        <f t="shared" si="40"/>
        <v>0</v>
      </c>
      <c r="AC45" s="2042">
        <f t="shared" si="41"/>
        <v>0</v>
      </c>
      <c r="AD45" s="2023">
        <f t="shared" si="42"/>
        <v>0</v>
      </c>
      <c r="AE45" s="2023">
        <f t="shared" si="43"/>
        <v>0</v>
      </c>
      <c r="AG45" s="2039" t="s">
        <v>1742</v>
      </c>
      <c r="AH45" s="2043" t="s">
        <v>2142</v>
      </c>
      <c r="AI45" s="2044" t="s">
        <v>2261</v>
      </c>
      <c r="AJ45" s="2023"/>
      <c r="AK45" s="2023"/>
      <c r="AL45" s="2023"/>
      <c r="AM45" s="2023"/>
      <c r="AN45" s="2023"/>
      <c r="AO45" s="2023"/>
      <c r="AP45" s="2023"/>
      <c r="AQ45" s="2033"/>
      <c r="AR45" s="2023"/>
      <c r="AS45" s="2045"/>
      <c r="AT45" s="2047"/>
      <c r="AU45" s="2045"/>
      <c r="AV45" s="2045"/>
      <c r="AX45" s="2039" t="s">
        <v>1742</v>
      </c>
      <c r="AY45" s="2043" t="s">
        <v>2142</v>
      </c>
      <c r="AZ45" s="2044" t="s">
        <v>2261</v>
      </c>
      <c r="BA45" s="2045"/>
      <c r="BB45" s="2045"/>
      <c r="BC45" s="2045"/>
      <c r="BD45" s="2045"/>
      <c r="BE45" s="2045"/>
      <c r="BF45" s="2045"/>
      <c r="BG45" s="2045"/>
      <c r="BH45" s="2046"/>
      <c r="BI45" s="2045"/>
      <c r="BJ45" s="2045"/>
      <c r="BK45" s="2047"/>
      <c r="BL45" s="2045"/>
      <c r="BM45" s="2045"/>
      <c r="BO45" s="2039" t="s">
        <v>1742</v>
      </c>
      <c r="BP45" s="2043" t="s">
        <v>2142</v>
      </c>
      <c r="BQ45" s="2044" t="s">
        <v>2261</v>
      </c>
      <c r="BR45" s="2048"/>
      <c r="BS45" s="2048"/>
      <c r="BT45" s="2048"/>
      <c r="BU45" s="2048"/>
      <c r="BV45" s="2048"/>
      <c r="BW45" s="2048"/>
      <c r="BX45" s="2048"/>
      <c r="BY45" s="2049"/>
      <c r="BZ45" s="2048"/>
      <c r="CA45" s="2048"/>
      <c r="CB45" s="2050"/>
      <c r="CC45" s="2048"/>
      <c r="CD45" s="2048"/>
      <c r="CE45" s="2448"/>
    </row>
    <row r="46" spans="1:84">
      <c r="B46" s="1985">
        <f t="shared" si="44"/>
        <v>3.4</v>
      </c>
      <c r="C46" s="2030" t="str">
        <f t="shared" si="26"/>
        <v>照明制御</v>
      </c>
      <c r="D46" s="2009" t="e">
        <f>IF(I$34=0,0,G46/I$34)</f>
        <v>#DIV/0!</v>
      </c>
      <c r="E46" s="2010" t="e">
        <f>IF(J$34=0,0,H46/J$34)</f>
        <v>#DIV/0!</v>
      </c>
      <c r="G46" s="2010" t="e">
        <f t="shared" si="27"/>
        <v>#DIV/0!</v>
      </c>
      <c r="H46" s="2010" t="e">
        <f t="shared" si="28"/>
        <v>#DIV/0!</v>
      </c>
      <c r="I46" s="2010"/>
      <c r="J46" s="2010"/>
      <c r="K46" s="2010">
        <f>IF(スコア!O46=0,0,1)</f>
        <v>1</v>
      </c>
      <c r="L46" s="2010">
        <f>IF(スコア!Q46=0,0,1)</f>
        <v>1</v>
      </c>
      <c r="M46" s="2010" t="e">
        <f t="shared" si="29"/>
        <v>#DIV/0!</v>
      </c>
      <c r="N46" s="2010" t="e">
        <f t="shared" si="30"/>
        <v>#DIV/0!</v>
      </c>
      <c r="P46" s="2011">
        <f t="shared" si="6"/>
        <v>3.4</v>
      </c>
      <c r="Q46" s="2011" t="str">
        <f t="shared" si="7"/>
        <v xml:space="preserve"> Q1 3</v>
      </c>
      <c r="R46" s="2012" t="str">
        <f t="shared" si="8"/>
        <v>照明制御</v>
      </c>
      <c r="S46" s="2013">
        <f t="shared" si="31"/>
        <v>0.25</v>
      </c>
      <c r="T46" s="2013">
        <f t="shared" si="32"/>
        <v>0.25</v>
      </c>
      <c r="U46" s="2013">
        <f t="shared" si="33"/>
        <v>0.5</v>
      </c>
      <c r="V46" s="2013">
        <f t="shared" si="34"/>
        <v>0</v>
      </c>
      <c r="W46" s="2013">
        <f t="shared" si="35"/>
        <v>0.25</v>
      </c>
      <c r="X46" s="2013">
        <f t="shared" si="36"/>
        <v>0.25</v>
      </c>
      <c r="Y46" s="2013">
        <f t="shared" si="37"/>
        <v>0.25</v>
      </c>
      <c r="Z46" s="2031">
        <f t="shared" si="38"/>
        <v>0</v>
      </c>
      <c r="AA46" s="2013">
        <f t="shared" si="39"/>
        <v>0.25</v>
      </c>
      <c r="AB46" s="2013">
        <f t="shared" si="40"/>
        <v>0.25</v>
      </c>
      <c r="AC46" s="2014">
        <f t="shared" si="41"/>
        <v>0.25</v>
      </c>
      <c r="AD46" s="2013">
        <f t="shared" si="42"/>
        <v>0.25</v>
      </c>
      <c r="AE46" s="2013">
        <f t="shared" si="43"/>
        <v>0.25</v>
      </c>
      <c r="AG46" s="2011">
        <v>3.4</v>
      </c>
      <c r="AH46" s="2015" t="s">
        <v>2133</v>
      </c>
      <c r="AI46" s="2012" t="s">
        <v>804</v>
      </c>
      <c r="AJ46" s="2013">
        <v>0.25</v>
      </c>
      <c r="AK46" s="2013">
        <v>0.25</v>
      </c>
      <c r="AL46" s="2013">
        <v>0.5</v>
      </c>
      <c r="AM46" s="2013"/>
      <c r="AN46" s="2013">
        <v>0.25</v>
      </c>
      <c r="AO46" s="2013">
        <v>0.25</v>
      </c>
      <c r="AP46" s="2013">
        <v>0.25</v>
      </c>
      <c r="AQ46" s="2031"/>
      <c r="AR46" s="2013">
        <v>0.25</v>
      </c>
      <c r="AS46" s="2018">
        <v>0.25</v>
      </c>
      <c r="AT46" s="2019">
        <v>0.25</v>
      </c>
      <c r="AU46" s="2018">
        <v>0.25</v>
      </c>
      <c r="AV46" s="2018">
        <v>0.25</v>
      </c>
      <c r="AX46" s="2011">
        <v>3.4</v>
      </c>
      <c r="AY46" s="2015" t="s">
        <v>2133</v>
      </c>
      <c r="AZ46" s="2012" t="s">
        <v>804</v>
      </c>
      <c r="BA46" s="2018">
        <v>0.25</v>
      </c>
      <c r="BB46" s="2018">
        <v>0.25</v>
      </c>
      <c r="BC46" s="2018">
        <v>0.5</v>
      </c>
      <c r="BD46" s="2018">
        <v>0</v>
      </c>
      <c r="BE46" s="2018">
        <v>0.25</v>
      </c>
      <c r="BF46" s="2018">
        <v>0.25</v>
      </c>
      <c r="BG46" s="2018">
        <v>0.25</v>
      </c>
      <c r="BH46" s="2020"/>
      <c r="BI46" s="2018">
        <v>0.25</v>
      </c>
      <c r="BJ46" s="2018">
        <v>0.25</v>
      </c>
      <c r="BK46" s="2019">
        <v>0.25</v>
      </c>
      <c r="BL46" s="2018">
        <v>0.25</v>
      </c>
      <c r="BM46" s="2018">
        <v>0.25</v>
      </c>
      <c r="BO46" s="2011">
        <v>3.4</v>
      </c>
      <c r="BP46" s="2015" t="s">
        <v>2133</v>
      </c>
      <c r="BQ46" s="2012" t="s">
        <v>804</v>
      </c>
      <c r="BR46" s="2018">
        <v>0.25</v>
      </c>
      <c r="BS46" s="2018">
        <v>0.25</v>
      </c>
      <c r="BT46" s="2018">
        <v>0.5</v>
      </c>
      <c r="BU46" s="2018"/>
      <c r="BV46" s="2018">
        <v>0.25</v>
      </c>
      <c r="BW46" s="2018">
        <v>0.25</v>
      </c>
      <c r="BX46" s="2018">
        <v>0.25</v>
      </c>
      <c r="BY46" s="2020"/>
      <c r="BZ46" s="2018">
        <v>0.25</v>
      </c>
      <c r="CA46" s="2018">
        <v>0.25</v>
      </c>
      <c r="CB46" s="2019">
        <v>0.25</v>
      </c>
      <c r="CC46" s="2018">
        <v>0.25</v>
      </c>
      <c r="CD46" s="2018">
        <v>0.25</v>
      </c>
      <c r="CE46" s="2447"/>
    </row>
    <row r="47" spans="1:84" s="1406" customFormat="1">
      <c r="A47"/>
      <c r="B47" s="1985">
        <f t="shared" si="44"/>
        <v>4</v>
      </c>
      <c r="C47" s="2026" t="str">
        <f t="shared" si="26"/>
        <v>空気質環境</v>
      </c>
      <c r="D47" s="1996" t="e">
        <f>IF(I$9=0,0,G47/I$9)</f>
        <v>#DIV/0!</v>
      </c>
      <c r="E47" s="1997" t="e">
        <f>IF(J$9=0,0,H47/J$9)</f>
        <v>#DIV/0!</v>
      </c>
      <c r="F47"/>
      <c r="G47" s="1997" t="e">
        <f t="shared" si="27"/>
        <v>#DIV/0!</v>
      </c>
      <c r="H47" s="1997" t="e">
        <f t="shared" si="28"/>
        <v>#DIV/0!</v>
      </c>
      <c r="I47" s="1997" t="e">
        <f>G48+G53+G58</f>
        <v>#DIV/0!</v>
      </c>
      <c r="J47" s="1997" t="e">
        <f>H48+H53+H58</f>
        <v>#DIV/0!</v>
      </c>
      <c r="K47" s="1997" t="e">
        <f>IF(スコア!O47=0,0,1)</f>
        <v>#DIV/0!</v>
      </c>
      <c r="L47" s="1997" t="e">
        <f>IF(スコア!Q47=0,0,1)</f>
        <v>#DIV/0!</v>
      </c>
      <c r="M47" s="1997" t="e">
        <f t="shared" si="29"/>
        <v>#DIV/0!</v>
      </c>
      <c r="N47" s="1997" t="e">
        <f t="shared" si="30"/>
        <v>#DIV/0!</v>
      </c>
      <c r="O47"/>
      <c r="P47" s="1999">
        <f t="shared" si="6"/>
        <v>4</v>
      </c>
      <c r="Q47" s="1999" t="str">
        <f t="shared" si="7"/>
        <v xml:space="preserve"> Q1</v>
      </c>
      <c r="R47" s="2000" t="str">
        <f t="shared" si="8"/>
        <v>空気質環境</v>
      </c>
      <c r="S47" s="2001">
        <f t="shared" si="31"/>
        <v>0.25</v>
      </c>
      <c r="T47" s="2001">
        <f t="shared" si="32"/>
        <v>0.25</v>
      </c>
      <c r="U47" s="2001">
        <f t="shared" si="33"/>
        <v>0.25</v>
      </c>
      <c r="V47" s="2001">
        <f t="shared" si="34"/>
        <v>0.25</v>
      </c>
      <c r="W47" s="2001">
        <f t="shared" si="35"/>
        <v>0.25</v>
      </c>
      <c r="X47" s="2001">
        <f t="shared" si="36"/>
        <v>0.25</v>
      </c>
      <c r="Y47" s="2001">
        <f t="shared" si="37"/>
        <v>0.25</v>
      </c>
      <c r="Z47" s="2027">
        <f t="shared" si="38"/>
        <v>0.33</v>
      </c>
      <c r="AA47" s="2001">
        <f t="shared" si="39"/>
        <v>0.25</v>
      </c>
      <c r="AB47" s="2001">
        <f t="shared" si="40"/>
        <v>0.25</v>
      </c>
      <c r="AC47" s="2003">
        <f t="shared" si="41"/>
        <v>0</v>
      </c>
      <c r="AD47" s="2001">
        <f t="shared" si="42"/>
        <v>0</v>
      </c>
      <c r="AE47" s="2001">
        <f t="shared" si="43"/>
        <v>0</v>
      </c>
      <c r="AF47"/>
      <c r="AG47" s="1999">
        <v>4</v>
      </c>
      <c r="AH47" s="2004" t="s">
        <v>765</v>
      </c>
      <c r="AI47" s="2028" t="s">
        <v>58</v>
      </c>
      <c r="AJ47" s="2051">
        <v>0.25</v>
      </c>
      <c r="AK47" s="2051">
        <v>0.25</v>
      </c>
      <c r="AL47" s="2051">
        <v>0.25</v>
      </c>
      <c r="AM47" s="2051">
        <v>0.25</v>
      </c>
      <c r="AN47" s="2051">
        <v>0.25</v>
      </c>
      <c r="AO47" s="2051">
        <v>0.25</v>
      </c>
      <c r="AP47" s="2051">
        <v>0.25</v>
      </c>
      <c r="AQ47" s="2029">
        <v>0.33</v>
      </c>
      <c r="AR47" s="2051">
        <v>0.25</v>
      </c>
      <c r="AS47" s="2005">
        <v>0.25</v>
      </c>
      <c r="AT47" s="2006"/>
      <c r="AU47" s="2005"/>
      <c r="AV47" s="2005"/>
      <c r="AW47"/>
      <c r="AX47" s="1999">
        <v>4</v>
      </c>
      <c r="AY47" s="2004" t="s">
        <v>765</v>
      </c>
      <c r="AZ47" s="2028" t="s">
        <v>58</v>
      </c>
      <c r="BA47" s="2005">
        <v>0.25</v>
      </c>
      <c r="BB47" s="2005">
        <v>0.25</v>
      </c>
      <c r="BC47" s="2005">
        <v>0.25</v>
      </c>
      <c r="BD47" s="2005">
        <v>0.25</v>
      </c>
      <c r="BE47" s="2005">
        <v>0.25</v>
      </c>
      <c r="BF47" s="2005">
        <v>0.25</v>
      </c>
      <c r="BG47" s="2005">
        <v>0.25</v>
      </c>
      <c r="BH47" s="2029">
        <v>0.33</v>
      </c>
      <c r="BI47" s="2005">
        <v>0.25</v>
      </c>
      <c r="BJ47" s="2005">
        <v>0.25</v>
      </c>
      <c r="BK47" s="2006"/>
      <c r="BL47" s="2005"/>
      <c r="BM47" s="2005"/>
      <c r="BN47"/>
      <c r="BO47" s="1999">
        <v>4</v>
      </c>
      <c r="BP47" s="2004" t="s">
        <v>765</v>
      </c>
      <c r="BQ47" s="2028" t="s">
        <v>58</v>
      </c>
      <c r="BR47" s="2051">
        <v>0.25</v>
      </c>
      <c r="BS47" s="2051">
        <v>0.25</v>
      </c>
      <c r="BT47" s="2051">
        <v>0.25</v>
      </c>
      <c r="BU47" s="2051">
        <v>0.25</v>
      </c>
      <c r="BV47" s="2051">
        <v>0.25</v>
      </c>
      <c r="BW47" s="2051">
        <v>0.25</v>
      </c>
      <c r="BX47" s="2051">
        <v>0.25</v>
      </c>
      <c r="BY47" s="2029">
        <v>0.33</v>
      </c>
      <c r="BZ47" s="2051">
        <v>0.25</v>
      </c>
      <c r="CA47" s="2051">
        <v>0.25</v>
      </c>
      <c r="CB47" s="2052"/>
      <c r="CC47" s="2051"/>
      <c r="CD47" s="2051"/>
      <c r="CE47" s="2449"/>
      <c r="CF47"/>
    </row>
    <row r="48" spans="1:84">
      <c r="B48" s="1985">
        <f t="shared" si="44"/>
        <v>4.0999999999999996</v>
      </c>
      <c r="C48" s="2030" t="str">
        <f t="shared" si="26"/>
        <v>発生源対策</v>
      </c>
      <c r="D48" s="2009" t="e">
        <f>IF(I$47=0,0,G48/I$47)</f>
        <v>#DIV/0!</v>
      </c>
      <c r="E48" s="2010" t="e">
        <f>IF(J$47=0,0,H48/J$47)</f>
        <v>#DIV/0!</v>
      </c>
      <c r="G48" s="2010" t="e">
        <f t="shared" si="27"/>
        <v>#DIV/0!</v>
      </c>
      <c r="H48" s="2010" t="e">
        <f t="shared" si="28"/>
        <v>#DIV/0!</v>
      </c>
      <c r="I48" s="2010" t="e">
        <f>SUM(G49:G52)</f>
        <v>#DIV/0!</v>
      </c>
      <c r="J48" s="2010" t="e">
        <f>SUM(H49:H52)</f>
        <v>#DIV/0!</v>
      </c>
      <c r="K48" s="2010" t="e">
        <f>IF(スコア!O48=0,0,1)</f>
        <v>#DIV/0!</v>
      </c>
      <c r="L48" s="2010" t="e">
        <f>IF(スコア!Q48=0,0,1)</f>
        <v>#DIV/0!</v>
      </c>
      <c r="M48" s="2010" t="e">
        <f t="shared" si="29"/>
        <v>#DIV/0!</v>
      </c>
      <c r="N48" s="2010" t="e">
        <f t="shared" si="30"/>
        <v>#DIV/0!</v>
      </c>
      <c r="P48" s="2011">
        <f t="shared" si="6"/>
        <v>4.0999999999999996</v>
      </c>
      <c r="Q48" s="2011" t="str">
        <f t="shared" si="7"/>
        <v xml:space="preserve"> Q1 4</v>
      </c>
      <c r="R48" s="2012" t="str">
        <f t="shared" si="8"/>
        <v>発生源対策</v>
      </c>
      <c r="S48" s="2013">
        <f t="shared" si="31"/>
        <v>0.5</v>
      </c>
      <c r="T48" s="2013">
        <f t="shared" si="32"/>
        <v>0.5</v>
      </c>
      <c r="U48" s="2013">
        <f t="shared" si="33"/>
        <v>0.5</v>
      </c>
      <c r="V48" s="2013">
        <f t="shared" si="34"/>
        <v>0.5</v>
      </c>
      <c r="W48" s="2013">
        <f t="shared" si="35"/>
        <v>0.5</v>
      </c>
      <c r="X48" s="2013">
        <f t="shared" si="36"/>
        <v>0.5</v>
      </c>
      <c r="Y48" s="2013">
        <f t="shared" si="37"/>
        <v>0.6</v>
      </c>
      <c r="Z48" s="2022">
        <f t="shared" si="38"/>
        <v>0.5</v>
      </c>
      <c r="AA48" s="2013">
        <f t="shared" si="39"/>
        <v>0.5</v>
      </c>
      <c r="AB48" s="2013">
        <f t="shared" si="40"/>
        <v>0.5</v>
      </c>
      <c r="AC48" s="2014">
        <f t="shared" si="41"/>
        <v>0.625</v>
      </c>
      <c r="AD48" s="2013">
        <f t="shared" si="42"/>
        <v>0.625</v>
      </c>
      <c r="AE48" s="2013">
        <f t="shared" si="43"/>
        <v>0.625</v>
      </c>
      <c r="AG48" s="2011">
        <v>4.0999999999999996</v>
      </c>
      <c r="AH48" s="2015" t="s">
        <v>2143</v>
      </c>
      <c r="AI48" s="2012" t="s">
        <v>806</v>
      </c>
      <c r="AJ48" s="2053">
        <v>0.5</v>
      </c>
      <c r="AK48" s="2053">
        <v>0.5</v>
      </c>
      <c r="AL48" s="2053">
        <v>0.5</v>
      </c>
      <c r="AM48" s="2053">
        <v>0.5</v>
      </c>
      <c r="AN48" s="2053">
        <v>0.5</v>
      </c>
      <c r="AO48" s="2053">
        <v>0.5</v>
      </c>
      <c r="AP48" s="2053">
        <v>0.6</v>
      </c>
      <c r="AQ48" s="2054">
        <v>0.5</v>
      </c>
      <c r="AR48" s="2053">
        <v>0.5</v>
      </c>
      <c r="AS48" s="2018">
        <v>0.5</v>
      </c>
      <c r="AT48" s="2019">
        <v>0.625</v>
      </c>
      <c r="AU48" s="2018">
        <v>0.625</v>
      </c>
      <c r="AV48" s="2018">
        <v>0.625</v>
      </c>
      <c r="AX48" s="2011">
        <v>4.0999999999999996</v>
      </c>
      <c r="AY48" s="2015" t="s">
        <v>2143</v>
      </c>
      <c r="AZ48" s="2012" t="s">
        <v>806</v>
      </c>
      <c r="BA48" s="2018">
        <v>0.5</v>
      </c>
      <c r="BB48" s="2018">
        <v>0.5</v>
      </c>
      <c r="BC48" s="2018">
        <v>0.5</v>
      </c>
      <c r="BD48" s="2018">
        <v>0.5</v>
      </c>
      <c r="BE48" s="2018">
        <v>0.5</v>
      </c>
      <c r="BF48" s="2018">
        <v>0.5</v>
      </c>
      <c r="BG48" s="2018">
        <v>0.6</v>
      </c>
      <c r="BH48" s="2025">
        <v>0.5</v>
      </c>
      <c r="BI48" s="2018">
        <v>0.5</v>
      </c>
      <c r="BJ48" s="2018">
        <v>0.5</v>
      </c>
      <c r="BK48" s="2019">
        <v>0.625</v>
      </c>
      <c r="BL48" s="2018">
        <v>0.625</v>
      </c>
      <c r="BM48" s="2018">
        <v>0.625</v>
      </c>
      <c r="BO48" s="2011">
        <v>4.0999999999999996</v>
      </c>
      <c r="BP48" s="2015" t="s">
        <v>2143</v>
      </c>
      <c r="BQ48" s="2012" t="s">
        <v>806</v>
      </c>
      <c r="BR48" s="2053">
        <v>0.5</v>
      </c>
      <c r="BS48" s="2053">
        <v>0.5</v>
      </c>
      <c r="BT48" s="2053">
        <v>0.5</v>
      </c>
      <c r="BU48" s="2053">
        <v>0.5</v>
      </c>
      <c r="BV48" s="2053">
        <v>0.5</v>
      </c>
      <c r="BW48" s="2053">
        <v>0.5</v>
      </c>
      <c r="BX48" s="2053">
        <v>0.6</v>
      </c>
      <c r="BY48" s="2054">
        <v>0.5</v>
      </c>
      <c r="BZ48" s="2053">
        <v>0.5</v>
      </c>
      <c r="CA48" s="2053">
        <v>0.5</v>
      </c>
      <c r="CB48" s="2055">
        <v>0.625</v>
      </c>
      <c r="CC48" s="2053">
        <v>0.625</v>
      </c>
      <c r="CD48" s="2053">
        <v>0.625</v>
      </c>
      <c r="CE48" s="2448"/>
    </row>
    <row r="49" spans="1:84">
      <c r="B49" s="1985" t="str">
        <f t="shared" si="44"/>
        <v>4.1.1</v>
      </c>
      <c r="C49" s="2030" t="str">
        <f t="shared" si="26"/>
        <v xml:space="preserve"> 化学汚染物質</v>
      </c>
      <c r="D49" s="1998" t="e">
        <f t="shared" ref="D49:E52" si="45">IF(I$48&gt;0,G49/I$48,0)</f>
        <v>#DIV/0!</v>
      </c>
      <c r="E49" s="2010" t="e">
        <f t="shared" si="45"/>
        <v>#DIV/0!</v>
      </c>
      <c r="G49" s="2010" t="e">
        <f t="shared" si="27"/>
        <v>#DIV/0!</v>
      </c>
      <c r="H49" s="2010" t="e">
        <f t="shared" si="28"/>
        <v>#DIV/0!</v>
      </c>
      <c r="I49" s="2010"/>
      <c r="J49" s="2010"/>
      <c r="K49" s="2010">
        <f>IF(スコア!O49=0,0,1)</f>
        <v>1</v>
      </c>
      <c r="L49" s="2010">
        <f>IF(スコア!Q49=0,0,1)</f>
        <v>1</v>
      </c>
      <c r="M49" s="2010" t="e">
        <f t="shared" si="29"/>
        <v>#DIV/0!</v>
      </c>
      <c r="N49" s="2010" t="e">
        <f t="shared" si="30"/>
        <v>#DIV/0!</v>
      </c>
      <c r="P49" s="2011" t="str">
        <f t="shared" si="6"/>
        <v>4.1.1</v>
      </c>
      <c r="Q49" s="2011" t="str">
        <f t="shared" si="7"/>
        <v xml:space="preserve"> Q1 4.1</v>
      </c>
      <c r="R49" s="2012" t="str">
        <f t="shared" si="8"/>
        <v xml:space="preserve"> 化学汚染物質</v>
      </c>
      <c r="S49" s="2013">
        <f t="shared" si="31"/>
        <v>0.25</v>
      </c>
      <c r="T49" s="2013">
        <f t="shared" si="32"/>
        <v>0.25</v>
      </c>
      <c r="U49" s="2013">
        <f t="shared" si="33"/>
        <v>0.25</v>
      </c>
      <c r="V49" s="2013">
        <f t="shared" si="34"/>
        <v>0.25</v>
      </c>
      <c r="W49" s="2013">
        <f t="shared" si="35"/>
        <v>0.25</v>
      </c>
      <c r="X49" s="2013">
        <f t="shared" si="36"/>
        <v>0.33</v>
      </c>
      <c r="Y49" s="2013">
        <f t="shared" si="37"/>
        <v>0.33</v>
      </c>
      <c r="Z49" s="2022">
        <f t="shared" si="38"/>
        <v>0.25</v>
      </c>
      <c r="AA49" s="2013">
        <f t="shared" si="39"/>
        <v>0.25</v>
      </c>
      <c r="AB49" s="2013">
        <f t="shared" si="40"/>
        <v>0.25</v>
      </c>
      <c r="AC49" s="2014">
        <f t="shared" si="41"/>
        <v>0.25</v>
      </c>
      <c r="AD49" s="2013">
        <f t="shared" si="42"/>
        <v>0.25</v>
      </c>
      <c r="AE49" s="2013">
        <f t="shared" si="43"/>
        <v>0.25</v>
      </c>
      <c r="AG49" s="2011" t="s">
        <v>2262</v>
      </c>
      <c r="AH49" s="2015" t="s">
        <v>2144</v>
      </c>
      <c r="AI49" s="2016" t="s">
        <v>2145</v>
      </c>
      <c r="AJ49" s="2053">
        <v>0.25</v>
      </c>
      <c r="AK49" s="2053">
        <v>0.25</v>
      </c>
      <c r="AL49" s="2053">
        <v>0.25</v>
      </c>
      <c r="AM49" s="2053">
        <v>0.25</v>
      </c>
      <c r="AN49" s="2056">
        <v>0.25</v>
      </c>
      <c r="AO49" s="2056">
        <v>0.33</v>
      </c>
      <c r="AP49" s="2056">
        <v>0.33</v>
      </c>
      <c r="AQ49" s="2054">
        <v>0.25</v>
      </c>
      <c r="AR49" s="2053">
        <v>0.25</v>
      </c>
      <c r="AS49" s="2018">
        <v>0.25</v>
      </c>
      <c r="AT49" s="2019">
        <v>0.25</v>
      </c>
      <c r="AU49" s="2018">
        <v>0.25</v>
      </c>
      <c r="AV49" s="2018">
        <v>0.25</v>
      </c>
      <c r="AX49" s="2011" t="s">
        <v>2262</v>
      </c>
      <c r="AY49" s="2015" t="s">
        <v>2144</v>
      </c>
      <c r="AZ49" s="2016" t="s">
        <v>2145</v>
      </c>
      <c r="BA49" s="2018">
        <v>1</v>
      </c>
      <c r="BB49" s="2018">
        <v>1</v>
      </c>
      <c r="BC49" s="2018">
        <v>1</v>
      </c>
      <c r="BD49" s="2018">
        <v>1</v>
      </c>
      <c r="BE49" s="2018">
        <v>1</v>
      </c>
      <c r="BF49" s="2018">
        <v>1</v>
      </c>
      <c r="BG49" s="2018">
        <v>1</v>
      </c>
      <c r="BH49" s="2025">
        <v>1</v>
      </c>
      <c r="BI49" s="2018">
        <v>1</v>
      </c>
      <c r="BJ49" s="2018">
        <v>1</v>
      </c>
      <c r="BK49" s="2019">
        <v>1</v>
      </c>
      <c r="BL49" s="2018">
        <v>1</v>
      </c>
      <c r="BM49" s="2018">
        <v>1</v>
      </c>
      <c r="BO49" s="2011" t="s">
        <v>2262</v>
      </c>
      <c r="BP49" s="2015" t="s">
        <v>2144</v>
      </c>
      <c r="BQ49" s="2016" t="s">
        <v>2145</v>
      </c>
      <c r="BR49" s="2053">
        <v>0.33333333333333331</v>
      </c>
      <c r="BS49" s="2053">
        <v>0.33333333333333331</v>
      </c>
      <c r="BT49" s="2053">
        <v>0.33333333333333331</v>
      </c>
      <c r="BU49" s="2053">
        <v>0.33333333333333331</v>
      </c>
      <c r="BV49" s="2053">
        <v>0.33333333333333331</v>
      </c>
      <c r="BW49" s="2053">
        <v>0.5</v>
      </c>
      <c r="BX49" s="2053">
        <v>0.5</v>
      </c>
      <c r="BY49" s="2053">
        <v>0.33333333333333331</v>
      </c>
      <c r="BZ49" s="2053">
        <v>0.33333333333333331</v>
      </c>
      <c r="CA49" s="2053">
        <v>0.33333333333333331</v>
      </c>
      <c r="CB49" s="2053">
        <v>0.33333333333333331</v>
      </c>
      <c r="CC49" s="2053">
        <v>0.33333333333333331</v>
      </c>
      <c r="CD49" s="2053">
        <v>0.33333333333333331</v>
      </c>
      <c r="CE49" s="2448"/>
    </row>
    <row r="50" spans="1:84">
      <c r="B50" s="1985" t="str">
        <f t="shared" si="44"/>
        <v>4.1.2</v>
      </c>
      <c r="C50" s="2008" t="str">
        <f t="shared" si="26"/>
        <v xml:space="preserve"> アスベスト対策</v>
      </c>
      <c r="D50" s="1998" t="e">
        <f t="shared" si="45"/>
        <v>#DIV/0!</v>
      </c>
      <c r="E50" s="2010" t="e">
        <f t="shared" si="45"/>
        <v>#DIV/0!</v>
      </c>
      <c r="F50" s="2720"/>
      <c r="G50" s="2010" t="e">
        <f t="shared" si="27"/>
        <v>#DIV/0!</v>
      </c>
      <c r="H50" s="2010" t="e">
        <f t="shared" si="28"/>
        <v>#DIV/0!</v>
      </c>
      <c r="I50" s="2010"/>
      <c r="J50" s="2010"/>
      <c r="K50" s="2010">
        <f>IF(スコア!O50=0,0,1)</f>
        <v>1</v>
      </c>
      <c r="L50" s="2010">
        <f>IF(スコア!Q50=0,0,1)</f>
        <v>1</v>
      </c>
      <c r="M50" s="2010" t="e">
        <f t="shared" si="29"/>
        <v>#DIV/0!</v>
      </c>
      <c r="N50" s="2010" t="e">
        <f t="shared" si="30"/>
        <v>#DIV/0!</v>
      </c>
      <c r="O50" s="2720"/>
      <c r="P50" s="2011" t="str">
        <f t="shared" si="6"/>
        <v>4.1.2</v>
      </c>
      <c r="Q50" s="2011" t="str">
        <f t="shared" si="7"/>
        <v xml:space="preserve"> Q1 4.1</v>
      </c>
      <c r="R50" s="2012" t="str">
        <f t="shared" si="8"/>
        <v xml:space="preserve"> アスベスト対策</v>
      </c>
      <c r="S50" s="2013">
        <f t="shared" si="31"/>
        <v>0.25</v>
      </c>
      <c r="T50" s="2013">
        <f t="shared" si="32"/>
        <v>0.25</v>
      </c>
      <c r="U50" s="2013">
        <f t="shared" si="33"/>
        <v>0.25</v>
      </c>
      <c r="V50" s="2013">
        <f t="shared" si="34"/>
        <v>0.25</v>
      </c>
      <c r="W50" s="2013">
        <f t="shared" si="35"/>
        <v>0.25</v>
      </c>
      <c r="X50" s="2013">
        <f t="shared" si="36"/>
        <v>0.33</v>
      </c>
      <c r="Y50" s="2013">
        <f t="shared" si="37"/>
        <v>0.33</v>
      </c>
      <c r="Z50" s="2022">
        <f t="shared" si="38"/>
        <v>0.25</v>
      </c>
      <c r="AA50" s="2013">
        <f t="shared" si="39"/>
        <v>0.25</v>
      </c>
      <c r="AB50" s="2013">
        <f t="shared" si="40"/>
        <v>0.25</v>
      </c>
      <c r="AC50" s="2014">
        <f t="shared" si="41"/>
        <v>0.25</v>
      </c>
      <c r="AD50" s="2013">
        <f t="shared" si="42"/>
        <v>0.25</v>
      </c>
      <c r="AE50" s="2013">
        <f t="shared" si="43"/>
        <v>0.25</v>
      </c>
      <c r="AG50" s="2011" t="s">
        <v>2263</v>
      </c>
      <c r="AH50" s="2015" t="s">
        <v>2144</v>
      </c>
      <c r="AI50" s="2016" t="s">
        <v>2264</v>
      </c>
      <c r="AJ50" s="2053">
        <v>0.25</v>
      </c>
      <c r="AK50" s="2053">
        <v>0.25</v>
      </c>
      <c r="AL50" s="2053">
        <v>0.25</v>
      </c>
      <c r="AM50" s="2053">
        <v>0.25</v>
      </c>
      <c r="AN50" s="2056">
        <v>0.25</v>
      </c>
      <c r="AO50" s="2056">
        <v>0.33</v>
      </c>
      <c r="AP50" s="2056">
        <v>0.33</v>
      </c>
      <c r="AQ50" s="2054">
        <v>0.25</v>
      </c>
      <c r="AR50" s="2053">
        <v>0.25</v>
      </c>
      <c r="AS50" s="2018">
        <v>0.25</v>
      </c>
      <c r="AT50" s="2019">
        <v>0.25</v>
      </c>
      <c r="AU50" s="2018">
        <v>0.25</v>
      </c>
      <c r="AV50" s="2018">
        <v>0.25</v>
      </c>
      <c r="AX50" s="2039" t="s">
        <v>2263</v>
      </c>
      <c r="AY50" s="2043" t="s">
        <v>2144</v>
      </c>
      <c r="AZ50" s="2044" t="s">
        <v>2264</v>
      </c>
      <c r="BA50" s="2045"/>
      <c r="BB50" s="2045"/>
      <c r="BC50" s="2045"/>
      <c r="BD50" s="2045"/>
      <c r="BE50" s="2045"/>
      <c r="BF50" s="2045"/>
      <c r="BG50" s="2045"/>
      <c r="BH50" s="2046"/>
      <c r="BI50" s="2045"/>
      <c r="BJ50" s="2045"/>
      <c r="BK50" s="2047"/>
      <c r="BL50" s="2045"/>
      <c r="BM50" s="2045"/>
      <c r="BO50" s="2039" t="s">
        <v>2263</v>
      </c>
      <c r="BP50" s="2043" t="s">
        <v>2144</v>
      </c>
      <c r="BQ50" s="2044" t="s">
        <v>2264</v>
      </c>
      <c r="BR50" s="2048"/>
      <c r="BS50" s="2048"/>
      <c r="BT50" s="2048"/>
      <c r="BU50" s="2048"/>
      <c r="BV50" s="2048"/>
      <c r="BW50" s="2048"/>
      <c r="BX50" s="2048"/>
      <c r="BY50" s="2049"/>
      <c r="BZ50" s="2048"/>
      <c r="CA50" s="2048"/>
      <c r="CB50" s="2050"/>
      <c r="CC50" s="2048"/>
      <c r="CD50" s="2048"/>
      <c r="CE50" s="2448"/>
    </row>
    <row r="51" spans="1:84" hidden="1">
      <c r="B51" s="1985" t="str">
        <f t="shared" si="44"/>
        <v>4.1.3</v>
      </c>
      <c r="C51" s="2030" t="str">
        <f t="shared" si="26"/>
        <v xml:space="preserve"> ダニ・カビ等</v>
      </c>
      <c r="D51" s="1998" t="e">
        <f t="shared" si="45"/>
        <v>#DIV/0!</v>
      </c>
      <c r="E51" s="2010" t="e">
        <f t="shared" si="45"/>
        <v>#DIV/0!</v>
      </c>
      <c r="G51" s="2010" t="e">
        <f t="shared" si="27"/>
        <v>#DIV/0!</v>
      </c>
      <c r="H51" s="2010" t="e">
        <f t="shared" si="28"/>
        <v>#DIV/0!</v>
      </c>
      <c r="I51" s="2010"/>
      <c r="J51" s="2010"/>
      <c r="K51" s="2010">
        <f>IF(スコア!O51=0,0,1)</f>
        <v>0</v>
      </c>
      <c r="L51" s="2010">
        <f>IF(スコア!Q51=0,0,1)</f>
        <v>0</v>
      </c>
      <c r="M51" s="2010" t="e">
        <f t="shared" si="29"/>
        <v>#DIV/0!</v>
      </c>
      <c r="N51" s="2010" t="e">
        <f t="shared" si="30"/>
        <v>#DIV/0!</v>
      </c>
      <c r="P51" s="2011" t="str">
        <f t="shared" si="6"/>
        <v>4.1.3</v>
      </c>
      <c r="Q51" s="2011" t="str">
        <f t="shared" si="7"/>
        <v xml:space="preserve"> Q1 4.1</v>
      </c>
      <c r="R51" s="2012" t="str">
        <f t="shared" si="8"/>
        <v xml:space="preserve"> ダニ・カビ等</v>
      </c>
      <c r="S51" s="2013">
        <f t="shared" si="31"/>
        <v>0.25</v>
      </c>
      <c r="T51" s="2013">
        <f t="shared" si="32"/>
        <v>0.25</v>
      </c>
      <c r="U51" s="2013">
        <f t="shared" si="33"/>
        <v>0.25</v>
      </c>
      <c r="V51" s="2013">
        <f t="shared" si="34"/>
        <v>0.25</v>
      </c>
      <c r="W51" s="2013">
        <f t="shared" si="35"/>
        <v>0.25</v>
      </c>
      <c r="X51" s="2013">
        <f t="shared" si="36"/>
        <v>0.33</v>
      </c>
      <c r="Y51" s="2013">
        <f t="shared" si="37"/>
        <v>0.33</v>
      </c>
      <c r="Z51" s="2022">
        <f t="shared" si="38"/>
        <v>0.25</v>
      </c>
      <c r="AA51" s="2013">
        <f t="shared" si="39"/>
        <v>0.25</v>
      </c>
      <c r="AB51" s="2013">
        <f t="shared" si="40"/>
        <v>0.25</v>
      </c>
      <c r="AC51" s="2014">
        <f t="shared" si="41"/>
        <v>0.25</v>
      </c>
      <c r="AD51" s="2013">
        <f t="shared" si="42"/>
        <v>0.25</v>
      </c>
      <c r="AE51" s="2013">
        <f t="shared" si="43"/>
        <v>0.25</v>
      </c>
      <c r="AG51" s="2011" t="s">
        <v>2265</v>
      </c>
      <c r="AH51" s="2015" t="s">
        <v>2144</v>
      </c>
      <c r="AI51" s="2016" t="s">
        <v>2146</v>
      </c>
      <c r="AJ51" s="2048">
        <v>0.25</v>
      </c>
      <c r="AK51" s="2048">
        <v>0.25</v>
      </c>
      <c r="AL51" s="2048">
        <v>0.25</v>
      </c>
      <c r="AM51" s="2048">
        <v>0.25</v>
      </c>
      <c r="AN51" s="2057">
        <v>0.25</v>
      </c>
      <c r="AO51" s="2057">
        <v>0.33</v>
      </c>
      <c r="AP51" s="2057">
        <v>0.33</v>
      </c>
      <c r="AQ51" s="2049">
        <v>0.25</v>
      </c>
      <c r="AR51" s="2048">
        <v>0.25</v>
      </c>
      <c r="AS51" s="2018">
        <v>0.25</v>
      </c>
      <c r="AT51" s="2019">
        <v>0.25</v>
      </c>
      <c r="AU51" s="2018">
        <v>0.25</v>
      </c>
      <c r="AV51" s="2018">
        <v>0.25</v>
      </c>
      <c r="AX51" s="2011" t="s">
        <v>2265</v>
      </c>
      <c r="AY51" s="2015" t="s">
        <v>2144</v>
      </c>
      <c r="AZ51" s="2016" t="s">
        <v>2146</v>
      </c>
      <c r="BA51" s="2018"/>
      <c r="BB51" s="2018"/>
      <c r="BC51" s="2018"/>
      <c r="BD51" s="2018"/>
      <c r="BE51" s="2018"/>
      <c r="BF51" s="2018"/>
      <c r="BG51" s="2018"/>
      <c r="BH51" s="2025"/>
      <c r="BI51" s="2018"/>
      <c r="BJ51" s="2018"/>
      <c r="BK51" s="2019"/>
      <c r="BL51" s="2018"/>
      <c r="BM51" s="2018"/>
      <c r="BO51" s="2011" t="s">
        <v>2265</v>
      </c>
      <c r="BP51" s="2015" t="s">
        <v>2144</v>
      </c>
      <c r="BQ51" s="2016" t="s">
        <v>2146</v>
      </c>
      <c r="BR51" s="2053">
        <v>0.33333333333333331</v>
      </c>
      <c r="BS51" s="2053">
        <v>0.33333333333333331</v>
      </c>
      <c r="BT51" s="2053">
        <v>0.33333333333333331</v>
      </c>
      <c r="BU51" s="2053">
        <v>0.33333333333333331</v>
      </c>
      <c r="BV51" s="2053">
        <v>0.33333333333333331</v>
      </c>
      <c r="BW51" s="2053">
        <v>0.5</v>
      </c>
      <c r="BX51" s="2053">
        <v>0.5</v>
      </c>
      <c r="BY51" s="2053">
        <v>0.33333333333333331</v>
      </c>
      <c r="BZ51" s="2053">
        <v>0.33333333333333331</v>
      </c>
      <c r="CA51" s="2053">
        <v>0.33333333333333331</v>
      </c>
      <c r="CB51" s="2053">
        <v>0.33333333333333331</v>
      </c>
      <c r="CC51" s="2053">
        <v>0.33333333333333331</v>
      </c>
      <c r="CD51" s="2053">
        <v>0.33333333333333331</v>
      </c>
      <c r="CE51" s="2448"/>
    </row>
    <row r="52" spans="1:84" hidden="1">
      <c r="B52" s="1985" t="str">
        <f t="shared" si="44"/>
        <v>4.1.4</v>
      </c>
      <c r="C52" s="2008" t="str">
        <f t="shared" si="26"/>
        <v xml:space="preserve"> レジオネラ対策</v>
      </c>
      <c r="D52" s="1998" t="e">
        <f t="shared" si="45"/>
        <v>#DIV/0!</v>
      </c>
      <c r="E52" s="2010" t="e">
        <f t="shared" si="45"/>
        <v>#DIV/0!</v>
      </c>
      <c r="G52" s="2010" t="e">
        <f t="shared" si="27"/>
        <v>#DIV/0!</v>
      </c>
      <c r="H52" s="2010" t="e">
        <f t="shared" si="28"/>
        <v>#DIV/0!</v>
      </c>
      <c r="I52" s="2010"/>
      <c r="J52" s="2010"/>
      <c r="K52" s="2010">
        <f>IF(スコア!O52=0,0,1)</f>
        <v>0</v>
      </c>
      <c r="L52" s="2010">
        <f>IF(スコア!Q52=0,0,1)</f>
        <v>0</v>
      </c>
      <c r="M52" s="2010" t="e">
        <f t="shared" si="29"/>
        <v>#DIV/0!</v>
      </c>
      <c r="N52" s="2010" t="e">
        <f t="shared" si="30"/>
        <v>#DIV/0!</v>
      </c>
      <c r="P52" s="2011" t="str">
        <f t="shared" si="6"/>
        <v>4.1.4</v>
      </c>
      <c r="Q52" s="2011" t="str">
        <f t="shared" si="7"/>
        <v xml:space="preserve"> Q1 4.1</v>
      </c>
      <c r="R52" s="2012" t="str">
        <f t="shared" si="8"/>
        <v xml:space="preserve"> レジオネラ対策</v>
      </c>
      <c r="S52" s="2013">
        <f t="shared" si="31"/>
        <v>0.25</v>
      </c>
      <c r="T52" s="2013">
        <f t="shared" si="32"/>
        <v>0.25</v>
      </c>
      <c r="U52" s="2013">
        <f t="shared" si="33"/>
        <v>0.25</v>
      </c>
      <c r="V52" s="2013">
        <f t="shared" si="34"/>
        <v>0.25</v>
      </c>
      <c r="W52" s="2013">
        <f t="shared" si="35"/>
        <v>0.25</v>
      </c>
      <c r="X52" s="2013">
        <f t="shared" si="36"/>
        <v>0</v>
      </c>
      <c r="Y52" s="2013">
        <f t="shared" si="37"/>
        <v>0</v>
      </c>
      <c r="Z52" s="2022">
        <f t="shared" si="38"/>
        <v>0.25</v>
      </c>
      <c r="AA52" s="2013">
        <f t="shared" si="39"/>
        <v>0.25</v>
      </c>
      <c r="AB52" s="2013">
        <f t="shared" si="40"/>
        <v>0.25</v>
      </c>
      <c r="AC52" s="2014">
        <f t="shared" si="41"/>
        <v>0.25</v>
      </c>
      <c r="AD52" s="2013">
        <f t="shared" si="42"/>
        <v>0.25</v>
      </c>
      <c r="AE52" s="2013">
        <f t="shared" si="43"/>
        <v>0.25</v>
      </c>
      <c r="AG52" s="2011" t="s">
        <v>2266</v>
      </c>
      <c r="AH52" s="2015" t="s">
        <v>2144</v>
      </c>
      <c r="AI52" s="2016" t="s">
        <v>2147</v>
      </c>
      <c r="AJ52" s="2053">
        <v>0.25</v>
      </c>
      <c r="AK52" s="2053">
        <v>0.25</v>
      </c>
      <c r="AL52" s="2053">
        <v>0.25</v>
      </c>
      <c r="AM52" s="2053">
        <v>0.25</v>
      </c>
      <c r="AN52" s="2053">
        <v>0.25</v>
      </c>
      <c r="AO52" s="2053"/>
      <c r="AP52" s="2053"/>
      <c r="AQ52" s="2054">
        <v>0.25</v>
      </c>
      <c r="AR52" s="2053">
        <v>0.25</v>
      </c>
      <c r="AS52" s="2018">
        <v>0.25</v>
      </c>
      <c r="AT52" s="2019">
        <v>0.25</v>
      </c>
      <c r="AU52" s="2018">
        <v>0.25</v>
      </c>
      <c r="AV52" s="2018">
        <v>0.25</v>
      </c>
      <c r="AX52" s="2011" t="s">
        <v>2266</v>
      </c>
      <c r="AY52" s="2015" t="s">
        <v>2144</v>
      </c>
      <c r="AZ52" s="2016" t="s">
        <v>2147</v>
      </c>
      <c r="BA52" s="2018"/>
      <c r="BB52" s="2018"/>
      <c r="BC52" s="2018"/>
      <c r="BD52" s="2018"/>
      <c r="BE52" s="2018"/>
      <c r="BF52" s="2018"/>
      <c r="BG52" s="2018"/>
      <c r="BH52" s="2025"/>
      <c r="BI52" s="2018"/>
      <c r="BJ52" s="2018"/>
      <c r="BK52" s="2019"/>
      <c r="BL52" s="2018"/>
      <c r="BM52" s="2018"/>
      <c r="BO52" s="2011" t="s">
        <v>2266</v>
      </c>
      <c r="BP52" s="2015" t="s">
        <v>2144</v>
      </c>
      <c r="BQ52" s="2016" t="s">
        <v>2147</v>
      </c>
      <c r="BR52" s="2053">
        <v>0.33333333333333331</v>
      </c>
      <c r="BS52" s="2053">
        <v>0.33333333333333331</v>
      </c>
      <c r="BT52" s="2053">
        <v>0.33333333333333331</v>
      </c>
      <c r="BU52" s="2053">
        <v>0.33333333333333331</v>
      </c>
      <c r="BV52" s="2053">
        <v>0.33333333333333331</v>
      </c>
      <c r="BW52" s="2053"/>
      <c r="BX52" s="2053"/>
      <c r="BY52" s="2053">
        <v>0.33333333333333331</v>
      </c>
      <c r="BZ52" s="2053">
        <v>0.33333333333333331</v>
      </c>
      <c r="CA52" s="2053">
        <v>0.33333333333333331</v>
      </c>
      <c r="CB52" s="2053">
        <v>0.33333333333333331</v>
      </c>
      <c r="CC52" s="2053">
        <v>0.33333333333333331</v>
      </c>
      <c r="CD52" s="2053">
        <v>0.33333333333333331</v>
      </c>
      <c r="CE52" s="2448"/>
    </row>
    <row r="53" spans="1:84">
      <c r="B53" s="1985">
        <f t="shared" si="44"/>
        <v>4.2</v>
      </c>
      <c r="C53" s="2030" t="str">
        <f t="shared" si="26"/>
        <v>換気</v>
      </c>
      <c r="D53" s="2009" t="e">
        <f>IF(I$47=0,0,G53/I$47)</f>
        <v>#DIV/0!</v>
      </c>
      <c r="E53" s="2010" t="e">
        <f>IF(J$47=0,0,H53/J$47)</f>
        <v>#DIV/0!</v>
      </c>
      <c r="G53" s="2010" t="e">
        <f t="shared" si="27"/>
        <v>#DIV/0!</v>
      </c>
      <c r="H53" s="2010" t="e">
        <f t="shared" si="28"/>
        <v>#DIV/0!</v>
      </c>
      <c r="I53" s="2010" t="e">
        <f>SUM(G54:G57)</f>
        <v>#DIV/0!</v>
      </c>
      <c r="J53" s="2010" t="e">
        <f>SUM(H54:H57)</f>
        <v>#DIV/0!</v>
      </c>
      <c r="K53" s="2010" t="e">
        <f>IF(スコア!O53=0,0,1)</f>
        <v>#DIV/0!</v>
      </c>
      <c r="L53" s="2010" t="e">
        <f>IF(スコア!Q53=0,0,1)</f>
        <v>#DIV/0!</v>
      </c>
      <c r="M53" s="2010" t="e">
        <f t="shared" si="29"/>
        <v>#DIV/0!</v>
      </c>
      <c r="N53" s="2010" t="e">
        <f t="shared" si="30"/>
        <v>#DIV/0!</v>
      </c>
      <c r="P53" s="2011">
        <f t="shared" si="6"/>
        <v>4.2</v>
      </c>
      <c r="Q53" s="2011" t="str">
        <f t="shared" si="7"/>
        <v xml:space="preserve"> Q1 4</v>
      </c>
      <c r="R53" s="2012" t="str">
        <f t="shared" si="8"/>
        <v>換気</v>
      </c>
      <c r="S53" s="2013">
        <f t="shared" si="31"/>
        <v>0.3</v>
      </c>
      <c r="T53" s="2013">
        <f t="shared" si="32"/>
        <v>0.3</v>
      </c>
      <c r="U53" s="2013">
        <f t="shared" si="33"/>
        <v>0.3</v>
      </c>
      <c r="V53" s="2013">
        <f t="shared" si="34"/>
        <v>0.3</v>
      </c>
      <c r="W53" s="2013">
        <f t="shared" si="35"/>
        <v>0.3</v>
      </c>
      <c r="X53" s="2013">
        <f t="shared" si="36"/>
        <v>0.3</v>
      </c>
      <c r="Y53" s="2013">
        <f t="shared" si="37"/>
        <v>0.4</v>
      </c>
      <c r="Z53" s="2022">
        <f t="shared" si="38"/>
        <v>0.3</v>
      </c>
      <c r="AA53" s="2013">
        <f t="shared" si="39"/>
        <v>0.3</v>
      </c>
      <c r="AB53" s="2013">
        <f t="shared" si="40"/>
        <v>0.3</v>
      </c>
      <c r="AC53" s="2014">
        <f t="shared" si="41"/>
        <v>0.375</v>
      </c>
      <c r="AD53" s="2013">
        <f t="shared" si="42"/>
        <v>0.375</v>
      </c>
      <c r="AE53" s="2013">
        <f t="shared" si="43"/>
        <v>0.375</v>
      </c>
      <c r="AG53" s="2011">
        <v>4.2</v>
      </c>
      <c r="AH53" s="2015" t="s">
        <v>2143</v>
      </c>
      <c r="AI53" s="2012" t="s">
        <v>811</v>
      </c>
      <c r="AJ53" s="2053">
        <v>0.3</v>
      </c>
      <c r="AK53" s="2053">
        <v>0.3</v>
      </c>
      <c r="AL53" s="2053">
        <v>0.3</v>
      </c>
      <c r="AM53" s="2053">
        <v>0.3</v>
      </c>
      <c r="AN53" s="2053">
        <v>0.3</v>
      </c>
      <c r="AO53" s="2053">
        <v>0.3</v>
      </c>
      <c r="AP53" s="2053">
        <v>0.4</v>
      </c>
      <c r="AQ53" s="2054">
        <v>0.3</v>
      </c>
      <c r="AR53" s="2053">
        <v>0.3</v>
      </c>
      <c r="AS53" s="2018">
        <v>0.3</v>
      </c>
      <c r="AT53" s="2019">
        <v>0.375</v>
      </c>
      <c r="AU53" s="2018">
        <v>0.375</v>
      </c>
      <c r="AV53" s="2018">
        <v>0.375</v>
      </c>
      <c r="AX53" s="2011">
        <v>4.2</v>
      </c>
      <c r="AY53" s="2015" t="s">
        <v>2143</v>
      </c>
      <c r="AZ53" s="2012" t="s">
        <v>811</v>
      </c>
      <c r="BA53" s="2018">
        <v>0.3</v>
      </c>
      <c r="BB53" s="2018">
        <v>0.3</v>
      </c>
      <c r="BC53" s="2018">
        <v>0.3</v>
      </c>
      <c r="BD53" s="2018">
        <v>0.3</v>
      </c>
      <c r="BE53" s="2018">
        <v>0.3</v>
      </c>
      <c r="BF53" s="2018">
        <v>0.3</v>
      </c>
      <c r="BG53" s="2018">
        <v>0.4</v>
      </c>
      <c r="BH53" s="2025">
        <v>0.3</v>
      </c>
      <c r="BI53" s="2018">
        <v>0.3</v>
      </c>
      <c r="BJ53" s="2018">
        <v>0.3</v>
      </c>
      <c r="BK53" s="2019">
        <v>0.375</v>
      </c>
      <c r="BL53" s="2018">
        <v>0.375</v>
      </c>
      <c r="BM53" s="2018">
        <v>0.375</v>
      </c>
      <c r="BO53" s="2011">
        <v>4.2</v>
      </c>
      <c r="BP53" s="2015" t="s">
        <v>2143</v>
      </c>
      <c r="BQ53" s="2012" t="s">
        <v>811</v>
      </c>
      <c r="BR53" s="2053">
        <v>0.3</v>
      </c>
      <c r="BS53" s="2053">
        <v>0.3</v>
      </c>
      <c r="BT53" s="2053">
        <v>0.3</v>
      </c>
      <c r="BU53" s="2053">
        <v>0.3</v>
      </c>
      <c r="BV53" s="2053">
        <v>0.3</v>
      </c>
      <c r="BW53" s="2053">
        <v>0.3</v>
      </c>
      <c r="BX53" s="2053">
        <v>0.4</v>
      </c>
      <c r="BY53" s="2054">
        <v>0.3</v>
      </c>
      <c r="BZ53" s="2053">
        <v>0.3</v>
      </c>
      <c r="CA53" s="2053">
        <v>0.3</v>
      </c>
      <c r="CB53" s="2055">
        <v>0.375</v>
      </c>
      <c r="CC53" s="2053">
        <v>0.375</v>
      </c>
      <c r="CD53" s="2053">
        <v>0.375</v>
      </c>
      <c r="CE53" s="2448"/>
    </row>
    <row r="54" spans="1:84">
      <c r="B54" s="1985" t="str">
        <f t="shared" si="44"/>
        <v>4.2.1</v>
      </c>
      <c r="C54" s="2008" t="str">
        <f t="shared" si="26"/>
        <v>換気量</v>
      </c>
      <c r="D54" s="1998" t="e">
        <f t="shared" ref="D54:E57" si="46">IF(I$53&gt;0,G54/I$53,0)</f>
        <v>#DIV/0!</v>
      </c>
      <c r="E54" s="2010" t="e">
        <f t="shared" si="46"/>
        <v>#DIV/0!</v>
      </c>
      <c r="G54" s="2010" t="e">
        <f t="shared" si="27"/>
        <v>#DIV/0!</v>
      </c>
      <c r="H54" s="2010" t="e">
        <f t="shared" si="28"/>
        <v>#DIV/0!</v>
      </c>
      <c r="I54" s="2010"/>
      <c r="J54" s="2010"/>
      <c r="K54" s="2010">
        <f>IF(スコア!O54=0,0,1)</f>
        <v>1</v>
      </c>
      <c r="L54" s="2010">
        <f>IF(スコア!Q54=0,0,1)</f>
        <v>1</v>
      </c>
      <c r="M54" s="2010" t="e">
        <f t="shared" si="29"/>
        <v>#DIV/0!</v>
      </c>
      <c r="N54" s="2010" t="e">
        <f t="shared" si="30"/>
        <v>#DIV/0!</v>
      </c>
      <c r="P54" s="2011" t="str">
        <f t="shared" si="6"/>
        <v>4.2.1</v>
      </c>
      <c r="Q54" s="2011" t="str">
        <f t="shared" si="7"/>
        <v xml:space="preserve"> Q1 4.2</v>
      </c>
      <c r="R54" s="2012" t="str">
        <f t="shared" si="8"/>
        <v>換気量</v>
      </c>
      <c r="S54" s="2013">
        <f t="shared" si="31"/>
        <v>0.25</v>
      </c>
      <c r="T54" s="2013">
        <f t="shared" si="32"/>
        <v>0.25</v>
      </c>
      <c r="U54" s="2013">
        <f t="shared" si="33"/>
        <v>0.33333333333333331</v>
      </c>
      <c r="V54" s="2013">
        <f t="shared" si="34"/>
        <v>0.33333333333333331</v>
      </c>
      <c r="W54" s="2013">
        <f t="shared" si="35"/>
        <v>0.33333333333333331</v>
      </c>
      <c r="X54" s="2013">
        <f t="shared" si="36"/>
        <v>0.33333333333333331</v>
      </c>
      <c r="Y54" s="2013">
        <f t="shared" si="37"/>
        <v>0</v>
      </c>
      <c r="Z54" s="2022">
        <f t="shared" si="38"/>
        <v>0.33333333333333331</v>
      </c>
      <c r="AA54" s="2013">
        <f t="shared" si="39"/>
        <v>0.25</v>
      </c>
      <c r="AB54" s="2013">
        <f t="shared" si="40"/>
        <v>0.25</v>
      </c>
      <c r="AC54" s="2014">
        <f t="shared" si="41"/>
        <v>0.25</v>
      </c>
      <c r="AD54" s="2013">
        <f t="shared" si="42"/>
        <v>0.25</v>
      </c>
      <c r="AE54" s="2013">
        <f t="shared" si="43"/>
        <v>0</v>
      </c>
      <c r="AG54" s="2011" t="s">
        <v>2267</v>
      </c>
      <c r="AH54" s="2015" t="s">
        <v>2148</v>
      </c>
      <c r="AI54" s="2016" t="s">
        <v>2149</v>
      </c>
      <c r="AJ54" s="2053">
        <v>0.25</v>
      </c>
      <c r="AK54" s="2053">
        <v>0.25</v>
      </c>
      <c r="AL54" s="2056">
        <v>0.33333333333333331</v>
      </c>
      <c r="AM54" s="2056">
        <v>0.33333333333333331</v>
      </c>
      <c r="AN54" s="2056">
        <v>0.33333333333333331</v>
      </c>
      <c r="AO54" s="2056">
        <v>0.33333333333333331</v>
      </c>
      <c r="AP54" s="2053"/>
      <c r="AQ54" s="2056">
        <v>0.33333333333333331</v>
      </c>
      <c r="AR54" s="2053">
        <v>0.25</v>
      </c>
      <c r="AS54" s="2018">
        <v>0.25</v>
      </c>
      <c r="AT54" s="2019">
        <v>0.25</v>
      </c>
      <c r="AU54" s="2018">
        <v>0.25</v>
      </c>
      <c r="AV54" s="2018"/>
      <c r="AX54" s="2011" t="s">
        <v>2267</v>
      </c>
      <c r="AY54" s="2015" t="s">
        <v>2148</v>
      </c>
      <c r="AZ54" s="2016" t="s">
        <v>2149</v>
      </c>
      <c r="BA54" s="2018">
        <v>0.33333333333333331</v>
      </c>
      <c r="BB54" s="2018">
        <v>0.33333333333333331</v>
      </c>
      <c r="BC54" s="2018">
        <v>0.5</v>
      </c>
      <c r="BD54" s="2018">
        <v>0.5</v>
      </c>
      <c r="BE54" s="2018">
        <v>0.5</v>
      </c>
      <c r="BF54" s="2018">
        <v>0.5</v>
      </c>
      <c r="BG54" s="2018">
        <v>0.5</v>
      </c>
      <c r="BH54" s="2025">
        <v>0.5</v>
      </c>
      <c r="BI54" s="2018">
        <v>0.33333333333333331</v>
      </c>
      <c r="BJ54" s="2018">
        <v>0.33333333333333331</v>
      </c>
      <c r="BK54" s="2019">
        <v>0.33333333333333331</v>
      </c>
      <c r="BL54" s="2018">
        <v>0.33333333333333331</v>
      </c>
      <c r="BM54" s="2018">
        <v>0.33333333333333331</v>
      </c>
      <c r="BO54" s="2011" t="s">
        <v>2267</v>
      </c>
      <c r="BP54" s="2015" t="s">
        <v>2148</v>
      </c>
      <c r="BQ54" s="2016" t="s">
        <v>2149</v>
      </c>
      <c r="BR54" s="2053">
        <v>0.25</v>
      </c>
      <c r="BS54" s="2053">
        <v>0.25</v>
      </c>
      <c r="BT54" s="2053">
        <v>0.33333333333333331</v>
      </c>
      <c r="BU54" s="2053">
        <v>0.33333333333333331</v>
      </c>
      <c r="BV54" s="2053">
        <v>0.33333333333333331</v>
      </c>
      <c r="BW54" s="2053">
        <v>0.33333333333333331</v>
      </c>
      <c r="BX54" s="2053">
        <v>0.5</v>
      </c>
      <c r="BY54" s="2053">
        <v>0.33333333333333331</v>
      </c>
      <c r="BZ54" s="2053">
        <v>0.25</v>
      </c>
      <c r="CA54" s="2053">
        <v>0.25</v>
      </c>
      <c r="CB54" s="2055">
        <v>0.25</v>
      </c>
      <c r="CC54" s="2053">
        <v>0.25</v>
      </c>
      <c r="CD54" s="2053">
        <v>0.25</v>
      </c>
      <c r="CE54" s="2448"/>
    </row>
    <row r="55" spans="1:84">
      <c r="B55" s="1985" t="str">
        <f t="shared" si="44"/>
        <v>4.2.2</v>
      </c>
      <c r="C55" s="2008" t="str">
        <f t="shared" si="26"/>
        <v>自然換気性能</v>
      </c>
      <c r="D55" s="1998" t="e">
        <f t="shared" si="46"/>
        <v>#DIV/0!</v>
      </c>
      <c r="E55" s="2010" t="e">
        <f t="shared" si="46"/>
        <v>#DIV/0!</v>
      </c>
      <c r="G55" s="2010" t="e">
        <f t="shared" si="27"/>
        <v>#DIV/0!</v>
      </c>
      <c r="H55" s="2010" t="e">
        <f t="shared" si="28"/>
        <v>#DIV/0!</v>
      </c>
      <c r="I55" s="2010"/>
      <c r="J55" s="2010"/>
      <c r="K55" s="2010">
        <f>IF(スコア!O55=0,0,1)</f>
        <v>1</v>
      </c>
      <c r="L55" s="2010">
        <f>IF(スコア!Q55=0,0,1)</f>
        <v>1</v>
      </c>
      <c r="M55" s="2010" t="e">
        <f t="shared" si="29"/>
        <v>#DIV/0!</v>
      </c>
      <c r="N55" s="2010" t="e">
        <f t="shared" si="30"/>
        <v>#DIV/0!</v>
      </c>
      <c r="P55" s="2011" t="str">
        <f t="shared" si="6"/>
        <v>4.2.2</v>
      </c>
      <c r="Q55" s="2011" t="str">
        <f t="shared" si="7"/>
        <v xml:space="preserve"> Q1 4.2</v>
      </c>
      <c r="R55" s="2012" t="str">
        <f t="shared" si="8"/>
        <v>自然換気性能</v>
      </c>
      <c r="S55" s="2013">
        <f t="shared" si="31"/>
        <v>0.25</v>
      </c>
      <c r="T55" s="2013">
        <f t="shared" si="32"/>
        <v>0.25</v>
      </c>
      <c r="U55" s="2013">
        <f t="shared" si="33"/>
        <v>0</v>
      </c>
      <c r="V55" s="2013">
        <f t="shared" si="34"/>
        <v>0</v>
      </c>
      <c r="W55" s="2013">
        <f t="shared" si="35"/>
        <v>0</v>
      </c>
      <c r="X55" s="2013">
        <f t="shared" si="36"/>
        <v>0</v>
      </c>
      <c r="Y55" s="2013">
        <f t="shared" si="37"/>
        <v>0</v>
      </c>
      <c r="Z55" s="2022">
        <f t="shared" si="38"/>
        <v>0</v>
      </c>
      <c r="AA55" s="2013">
        <f t="shared" si="39"/>
        <v>0.25</v>
      </c>
      <c r="AB55" s="2013">
        <f t="shared" si="40"/>
        <v>0.25</v>
      </c>
      <c r="AC55" s="2014">
        <f t="shared" si="41"/>
        <v>0.25</v>
      </c>
      <c r="AD55" s="2013">
        <f t="shared" si="42"/>
        <v>0.25</v>
      </c>
      <c r="AE55" s="2013">
        <f t="shared" si="43"/>
        <v>0.33</v>
      </c>
      <c r="AG55" s="2011" t="s">
        <v>2268</v>
      </c>
      <c r="AH55" s="2015" t="s">
        <v>2148</v>
      </c>
      <c r="AI55" s="2016" t="s">
        <v>2150</v>
      </c>
      <c r="AJ55" s="2053">
        <v>0.25</v>
      </c>
      <c r="AK55" s="2053">
        <v>0.25</v>
      </c>
      <c r="AL55" s="2053"/>
      <c r="AM55" s="2053"/>
      <c r="AN55" s="2053"/>
      <c r="AO55" s="2053"/>
      <c r="AP55" s="2053"/>
      <c r="AQ55" s="2054"/>
      <c r="AR55" s="2053">
        <v>0.25</v>
      </c>
      <c r="AS55" s="2018">
        <v>0.25</v>
      </c>
      <c r="AT55" s="2019">
        <v>0.25</v>
      </c>
      <c r="AU55" s="2018">
        <v>0.25</v>
      </c>
      <c r="AV55" s="2018">
        <v>0.33</v>
      </c>
      <c r="AX55" s="2011" t="s">
        <v>2268</v>
      </c>
      <c r="AY55" s="2015" t="s">
        <v>2148</v>
      </c>
      <c r="AZ55" s="2016" t="s">
        <v>2150</v>
      </c>
      <c r="BA55" s="2018">
        <v>0.33333333333333331</v>
      </c>
      <c r="BB55" s="2018">
        <v>0.33333333333333331</v>
      </c>
      <c r="BC55" s="2018"/>
      <c r="BD55" s="2018"/>
      <c r="BE55" s="2018"/>
      <c r="BF55" s="2018"/>
      <c r="BG55" s="2018"/>
      <c r="BH55" s="2025"/>
      <c r="BI55" s="2018">
        <v>0.33333333333333331</v>
      </c>
      <c r="BJ55" s="2018">
        <v>0.33333333333333331</v>
      </c>
      <c r="BK55" s="2019">
        <v>0.33333333333333331</v>
      </c>
      <c r="BL55" s="2018">
        <v>0.33333333333333331</v>
      </c>
      <c r="BM55" s="2018">
        <v>0.33333333333333331</v>
      </c>
      <c r="BO55" s="2011" t="s">
        <v>2268</v>
      </c>
      <c r="BP55" s="2015" t="s">
        <v>2148</v>
      </c>
      <c r="BQ55" s="2016" t="s">
        <v>2150</v>
      </c>
      <c r="BR55" s="2053">
        <v>0.25</v>
      </c>
      <c r="BS55" s="2053">
        <v>0.25</v>
      </c>
      <c r="BT55" s="2053"/>
      <c r="BU55" s="2053"/>
      <c r="BV55" s="2053"/>
      <c r="BW55" s="2053"/>
      <c r="BX55" s="2053"/>
      <c r="BY55" s="2054"/>
      <c r="BZ55" s="2053">
        <v>0.25</v>
      </c>
      <c r="CA55" s="2053">
        <v>0.25</v>
      </c>
      <c r="CB55" s="2055">
        <v>0.25</v>
      </c>
      <c r="CC55" s="2053">
        <v>0.25</v>
      </c>
      <c r="CD55" s="2053">
        <v>0.25</v>
      </c>
      <c r="CE55" s="2448"/>
    </row>
    <row r="56" spans="1:84">
      <c r="B56" s="1985" t="str">
        <f t="shared" si="44"/>
        <v>4.2.3</v>
      </c>
      <c r="C56" s="2008" t="str">
        <f t="shared" si="26"/>
        <v>取り入れ外気への配慮</v>
      </c>
      <c r="D56" s="1998" t="e">
        <f t="shared" si="46"/>
        <v>#DIV/0!</v>
      </c>
      <c r="E56" s="2010" t="e">
        <f t="shared" si="46"/>
        <v>#DIV/0!</v>
      </c>
      <c r="G56" s="2010" t="e">
        <f t="shared" si="27"/>
        <v>#DIV/0!</v>
      </c>
      <c r="H56" s="2010" t="e">
        <f t="shared" si="28"/>
        <v>#DIV/0!</v>
      </c>
      <c r="I56" s="2010"/>
      <c r="J56" s="2010"/>
      <c r="K56" s="2010">
        <f>IF(スコア!O56=0,0,1)</f>
        <v>1</v>
      </c>
      <c r="L56" s="2010">
        <f>IF(スコア!Q56=0,0,1)</f>
        <v>1</v>
      </c>
      <c r="M56" s="2010" t="e">
        <f t="shared" si="29"/>
        <v>#DIV/0!</v>
      </c>
      <c r="N56" s="2010" t="e">
        <f t="shared" si="30"/>
        <v>#DIV/0!</v>
      </c>
      <c r="P56" s="2011" t="str">
        <f t="shared" si="6"/>
        <v>4.2.3</v>
      </c>
      <c r="Q56" s="2011" t="str">
        <f t="shared" si="7"/>
        <v xml:space="preserve"> Q1 4.2</v>
      </c>
      <c r="R56" s="2012" t="str">
        <f t="shared" si="8"/>
        <v>取り入れ外気への配慮</v>
      </c>
      <c r="S56" s="2013">
        <f t="shared" si="31"/>
        <v>0.25</v>
      </c>
      <c r="T56" s="2013">
        <f t="shared" si="32"/>
        <v>0.25</v>
      </c>
      <c r="U56" s="2013">
        <f t="shared" si="33"/>
        <v>0.33333333333333331</v>
      </c>
      <c r="V56" s="2013">
        <f t="shared" si="34"/>
        <v>0.33333333333333331</v>
      </c>
      <c r="W56" s="2013">
        <f t="shared" si="35"/>
        <v>0.33333333333333331</v>
      </c>
      <c r="X56" s="2013">
        <f t="shared" si="36"/>
        <v>0.33333333333333331</v>
      </c>
      <c r="Y56" s="2013">
        <f t="shared" si="37"/>
        <v>1</v>
      </c>
      <c r="Z56" s="2022">
        <f t="shared" si="38"/>
        <v>0.33333333333333331</v>
      </c>
      <c r="AA56" s="2013">
        <f t="shared" si="39"/>
        <v>0.25</v>
      </c>
      <c r="AB56" s="2013">
        <f t="shared" si="40"/>
        <v>0.25</v>
      </c>
      <c r="AC56" s="2014">
        <f t="shared" si="41"/>
        <v>0.25</v>
      </c>
      <c r="AD56" s="2013">
        <f t="shared" si="42"/>
        <v>0.25</v>
      </c>
      <c r="AE56" s="2013">
        <f t="shared" si="43"/>
        <v>0.33</v>
      </c>
      <c r="AG56" s="2011" t="s">
        <v>2269</v>
      </c>
      <c r="AH56" s="2015" t="s">
        <v>2148</v>
      </c>
      <c r="AI56" s="2016" t="s">
        <v>2151</v>
      </c>
      <c r="AJ56" s="2053">
        <v>0.25</v>
      </c>
      <c r="AK56" s="2053">
        <v>0.25</v>
      </c>
      <c r="AL56" s="2056">
        <v>0.33333333333333331</v>
      </c>
      <c r="AM56" s="2056">
        <v>0.33333333333333331</v>
      </c>
      <c r="AN56" s="2056">
        <v>0.33333333333333331</v>
      </c>
      <c r="AO56" s="2056">
        <v>0.33333333333333331</v>
      </c>
      <c r="AP56" s="2053">
        <v>1</v>
      </c>
      <c r="AQ56" s="2056">
        <v>0.33333333333333331</v>
      </c>
      <c r="AR56" s="2053">
        <v>0.25</v>
      </c>
      <c r="AS56" s="2018">
        <v>0.25</v>
      </c>
      <c r="AT56" s="2019">
        <v>0.25</v>
      </c>
      <c r="AU56" s="2018">
        <v>0.25</v>
      </c>
      <c r="AV56" s="2018">
        <v>0.33</v>
      </c>
      <c r="AX56" s="2011" t="s">
        <v>2269</v>
      </c>
      <c r="AY56" s="2015" t="s">
        <v>2148</v>
      </c>
      <c r="AZ56" s="2016" t="s">
        <v>2151</v>
      </c>
      <c r="BA56" s="2018">
        <v>0.33333333333333331</v>
      </c>
      <c r="BB56" s="2018">
        <v>0.33333333333333331</v>
      </c>
      <c r="BC56" s="2018">
        <v>0.5</v>
      </c>
      <c r="BD56" s="2018">
        <v>0.5</v>
      </c>
      <c r="BE56" s="2018">
        <v>0.5</v>
      </c>
      <c r="BF56" s="2018">
        <v>0.5</v>
      </c>
      <c r="BG56" s="2018">
        <v>0.5</v>
      </c>
      <c r="BH56" s="2025">
        <v>0.5</v>
      </c>
      <c r="BI56" s="2018">
        <v>0.33333333333333331</v>
      </c>
      <c r="BJ56" s="2018">
        <v>0.33333333333333331</v>
      </c>
      <c r="BK56" s="2019">
        <v>0.33333333333333331</v>
      </c>
      <c r="BL56" s="2018">
        <v>0.33333333333333331</v>
      </c>
      <c r="BM56" s="2018">
        <v>0.33333333333333331</v>
      </c>
      <c r="BO56" s="2011" t="s">
        <v>2269</v>
      </c>
      <c r="BP56" s="2015" t="s">
        <v>2148</v>
      </c>
      <c r="BQ56" s="2016" t="s">
        <v>2151</v>
      </c>
      <c r="BR56" s="2053">
        <v>0.25</v>
      </c>
      <c r="BS56" s="2053">
        <v>0.25</v>
      </c>
      <c r="BT56" s="2053">
        <v>0.33333333333333331</v>
      </c>
      <c r="BU56" s="2053">
        <v>0.33333333333333331</v>
      </c>
      <c r="BV56" s="2053">
        <v>0.33333333333333331</v>
      </c>
      <c r="BW56" s="2053">
        <v>0.33333333333333331</v>
      </c>
      <c r="BX56" s="2053">
        <v>0.5</v>
      </c>
      <c r="BY56" s="2053">
        <v>0.33333333333333331</v>
      </c>
      <c r="BZ56" s="2053">
        <v>0.25</v>
      </c>
      <c r="CA56" s="2053">
        <v>0.25</v>
      </c>
      <c r="CB56" s="2055">
        <v>0.25</v>
      </c>
      <c r="CC56" s="2053">
        <v>0.25</v>
      </c>
      <c r="CD56" s="2053">
        <v>0.25</v>
      </c>
      <c r="CE56" s="2448"/>
    </row>
    <row r="57" spans="1:84" hidden="1">
      <c r="B57" s="1985" t="str">
        <f t="shared" si="44"/>
        <v>4.2.4</v>
      </c>
      <c r="C57" s="2008" t="str">
        <f t="shared" si="26"/>
        <v>給気計画</v>
      </c>
      <c r="D57" s="1998" t="e">
        <f t="shared" si="46"/>
        <v>#DIV/0!</v>
      </c>
      <c r="E57" s="2010" t="e">
        <f t="shared" si="46"/>
        <v>#DIV/0!</v>
      </c>
      <c r="G57" s="2010" t="e">
        <f t="shared" si="27"/>
        <v>#DIV/0!</v>
      </c>
      <c r="H57" s="2010" t="e">
        <f t="shared" si="28"/>
        <v>#DIV/0!</v>
      </c>
      <c r="I57" s="2010"/>
      <c r="J57" s="2010"/>
      <c r="K57" s="2010">
        <f>IF(スコア!O57=0,0,1)</f>
        <v>0</v>
      </c>
      <c r="L57" s="2010">
        <f>IF(スコア!Q57=0,0,1)</f>
        <v>0</v>
      </c>
      <c r="M57" s="2010" t="e">
        <f t="shared" si="29"/>
        <v>#DIV/0!</v>
      </c>
      <c r="N57" s="2010" t="e">
        <f t="shared" si="30"/>
        <v>#DIV/0!</v>
      </c>
      <c r="P57" s="2011" t="str">
        <f t="shared" si="6"/>
        <v>4.2.4</v>
      </c>
      <c r="Q57" s="2011" t="str">
        <f t="shared" si="7"/>
        <v xml:space="preserve"> Q1 4.2</v>
      </c>
      <c r="R57" s="2012" t="str">
        <f t="shared" si="8"/>
        <v>給気計画</v>
      </c>
      <c r="S57" s="2013">
        <f t="shared" si="31"/>
        <v>0.25</v>
      </c>
      <c r="T57" s="2013">
        <f t="shared" si="32"/>
        <v>0.25</v>
      </c>
      <c r="U57" s="2013">
        <f t="shared" si="33"/>
        <v>0.33333333333333331</v>
      </c>
      <c r="V57" s="2013">
        <f t="shared" si="34"/>
        <v>0.33333333333333331</v>
      </c>
      <c r="W57" s="2013">
        <f t="shared" si="35"/>
        <v>0.33333333333333331</v>
      </c>
      <c r="X57" s="2013">
        <f t="shared" si="36"/>
        <v>0.33333333333333331</v>
      </c>
      <c r="Y57" s="2013">
        <f t="shared" si="37"/>
        <v>0</v>
      </c>
      <c r="Z57" s="2022">
        <f t="shared" si="38"/>
        <v>0.33333333333333331</v>
      </c>
      <c r="AA57" s="2013">
        <f t="shared" si="39"/>
        <v>0.25</v>
      </c>
      <c r="AB57" s="2013">
        <f t="shared" si="40"/>
        <v>0.25</v>
      </c>
      <c r="AC57" s="2014">
        <f t="shared" si="41"/>
        <v>0.25</v>
      </c>
      <c r="AD57" s="2013">
        <f t="shared" si="42"/>
        <v>0.25</v>
      </c>
      <c r="AE57" s="2013">
        <f t="shared" si="43"/>
        <v>0.33</v>
      </c>
      <c r="AG57" s="2011" t="s">
        <v>2270</v>
      </c>
      <c r="AH57" s="2015" t="s">
        <v>2148</v>
      </c>
      <c r="AI57" s="2016" t="s">
        <v>2271</v>
      </c>
      <c r="AJ57" s="2048">
        <v>0.25</v>
      </c>
      <c r="AK57" s="2048">
        <v>0.25</v>
      </c>
      <c r="AL57" s="2057">
        <v>0.33333333333333331</v>
      </c>
      <c r="AM57" s="2057">
        <v>0.33333333333333331</v>
      </c>
      <c r="AN57" s="2057">
        <v>0.33333333333333331</v>
      </c>
      <c r="AO57" s="2057">
        <v>0.33333333333333331</v>
      </c>
      <c r="AP57" s="2048"/>
      <c r="AQ57" s="2057">
        <v>0.33333333333333331</v>
      </c>
      <c r="AR57" s="2048">
        <v>0.25</v>
      </c>
      <c r="AS57" s="2018">
        <v>0.25</v>
      </c>
      <c r="AT57" s="2019">
        <v>0.25</v>
      </c>
      <c r="AU57" s="2018">
        <v>0.25</v>
      </c>
      <c r="AV57" s="2018">
        <v>0.33</v>
      </c>
      <c r="AX57" s="2011" t="s">
        <v>2270</v>
      </c>
      <c r="AY57" s="2015" t="s">
        <v>2148</v>
      </c>
      <c r="AZ57" s="2016" t="s">
        <v>2271</v>
      </c>
      <c r="BA57" s="2018"/>
      <c r="BB57" s="2018"/>
      <c r="BC57" s="2018"/>
      <c r="BD57" s="2018"/>
      <c r="BE57" s="2018"/>
      <c r="BF57" s="2018"/>
      <c r="BG57" s="2018"/>
      <c r="BH57" s="2025"/>
      <c r="BI57" s="2018"/>
      <c r="BJ57" s="2018"/>
      <c r="BK57" s="2019"/>
      <c r="BL57" s="2018"/>
      <c r="BM57" s="2018"/>
      <c r="BO57" s="2011" t="s">
        <v>2270</v>
      </c>
      <c r="BP57" s="2015" t="s">
        <v>2148</v>
      </c>
      <c r="BQ57" s="2016" t="s">
        <v>2271</v>
      </c>
      <c r="BR57" s="2053">
        <v>0.25</v>
      </c>
      <c r="BS57" s="2053">
        <v>0.25</v>
      </c>
      <c r="BT57" s="2053">
        <v>0.33333333333333331</v>
      </c>
      <c r="BU57" s="2053">
        <v>0.33333333333333331</v>
      </c>
      <c r="BV57" s="2053">
        <v>0.33333333333333331</v>
      </c>
      <c r="BW57" s="2053">
        <v>0.33333333333333331</v>
      </c>
      <c r="BX57" s="2053"/>
      <c r="BY57" s="2053">
        <v>0.33333333333333331</v>
      </c>
      <c r="BZ57" s="2053">
        <v>0.25</v>
      </c>
      <c r="CA57" s="2053">
        <v>0.25</v>
      </c>
      <c r="CB57" s="2055">
        <v>0.25</v>
      </c>
      <c r="CC57" s="2053">
        <v>0.25</v>
      </c>
      <c r="CD57" s="2053">
        <v>0.25</v>
      </c>
      <c r="CE57" s="2448"/>
    </row>
    <row r="58" spans="1:84">
      <c r="B58" s="1985">
        <f t="shared" si="44"/>
        <v>4.3</v>
      </c>
      <c r="C58" s="2030" t="str">
        <f t="shared" si="26"/>
        <v>運用管理</v>
      </c>
      <c r="D58" s="2009" t="e">
        <f>IF(I$47=0,0,G58/I$47)</f>
        <v>#DIV/0!</v>
      </c>
      <c r="E58" s="2010" t="e">
        <f>IF(J$47=0,0,H58/J$47)</f>
        <v>#DIV/0!</v>
      </c>
      <c r="G58" s="2010" t="e">
        <f t="shared" si="27"/>
        <v>#DIV/0!</v>
      </c>
      <c r="H58" s="2010" t="e">
        <f t="shared" si="28"/>
        <v>#DIV/0!</v>
      </c>
      <c r="I58" s="2010" t="e">
        <f>G59+G60</f>
        <v>#DIV/0!</v>
      </c>
      <c r="J58" s="2010" t="e">
        <f>H59+H60</f>
        <v>#DIV/0!</v>
      </c>
      <c r="K58" s="2010" t="e">
        <f>IF(スコア!O58=0,0,1)</f>
        <v>#DIV/0!</v>
      </c>
      <c r="L58" s="2010" t="e">
        <f>IF(スコア!Q58=0,0,1)</f>
        <v>#DIV/0!</v>
      </c>
      <c r="M58" s="2010" t="e">
        <f t="shared" si="29"/>
        <v>#DIV/0!</v>
      </c>
      <c r="N58" s="2010" t="e">
        <f t="shared" si="30"/>
        <v>#DIV/0!</v>
      </c>
      <c r="P58" s="2011">
        <f t="shared" si="6"/>
        <v>4.3</v>
      </c>
      <c r="Q58" s="2011" t="str">
        <f t="shared" si="7"/>
        <v xml:space="preserve"> Q1 4</v>
      </c>
      <c r="R58" s="2012" t="str">
        <f t="shared" si="8"/>
        <v>運用管理</v>
      </c>
      <c r="S58" s="2013">
        <f t="shared" si="31"/>
        <v>0.2</v>
      </c>
      <c r="T58" s="2013">
        <f t="shared" si="32"/>
        <v>0.2</v>
      </c>
      <c r="U58" s="2013">
        <f t="shared" si="33"/>
        <v>0.2</v>
      </c>
      <c r="V58" s="2013">
        <f t="shared" si="34"/>
        <v>0.2</v>
      </c>
      <c r="W58" s="2013">
        <f t="shared" si="35"/>
        <v>0.2</v>
      </c>
      <c r="X58" s="2013">
        <f t="shared" si="36"/>
        <v>0.2</v>
      </c>
      <c r="Y58" s="2013">
        <f t="shared" si="37"/>
        <v>0</v>
      </c>
      <c r="Z58" s="2022">
        <f t="shared" si="38"/>
        <v>0.2</v>
      </c>
      <c r="AA58" s="2013">
        <f t="shared" si="39"/>
        <v>0.2</v>
      </c>
      <c r="AB58" s="2013">
        <f t="shared" si="40"/>
        <v>0.2</v>
      </c>
      <c r="AC58" s="2014">
        <f t="shared" si="41"/>
        <v>0</v>
      </c>
      <c r="AD58" s="2013">
        <f t="shared" si="42"/>
        <v>0</v>
      </c>
      <c r="AE58" s="2013">
        <f t="shared" si="43"/>
        <v>0</v>
      </c>
      <c r="AG58" s="2011">
        <v>4.3</v>
      </c>
      <c r="AH58" s="2015" t="s">
        <v>2143</v>
      </c>
      <c r="AI58" s="2012" t="s">
        <v>1982</v>
      </c>
      <c r="AJ58" s="2053">
        <v>0.2</v>
      </c>
      <c r="AK58" s="2053">
        <v>0.2</v>
      </c>
      <c r="AL58" s="2053">
        <v>0.2</v>
      </c>
      <c r="AM58" s="2053">
        <v>0.2</v>
      </c>
      <c r="AN58" s="2053">
        <v>0.2</v>
      </c>
      <c r="AO58" s="2053">
        <v>0.2</v>
      </c>
      <c r="AP58" s="2053"/>
      <c r="AQ58" s="2054">
        <v>0.2</v>
      </c>
      <c r="AR58" s="2053">
        <v>0.2</v>
      </c>
      <c r="AS58" s="2018">
        <v>0.2</v>
      </c>
      <c r="AT58" s="2019"/>
      <c r="AU58" s="2018"/>
      <c r="AV58" s="2018"/>
      <c r="AX58" s="2011">
        <v>4.3</v>
      </c>
      <c r="AY58" s="2015" t="s">
        <v>2143</v>
      </c>
      <c r="AZ58" s="2012" t="s">
        <v>1982</v>
      </c>
      <c r="BA58" s="2018">
        <v>0.2</v>
      </c>
      <c r="BB58" s="2018">
        <v>0.2</v>
      </c>
      <c r="BC58" s="2018">
        <v>0.2</v>
      </c>
      <c r="BD58" s="2018">
        <v>0.2</v>
      </c>
      <c r="BE58" s="2018">
        <v>0.2</v>
      </c>
      <c r="BF58" s="2018">
        <v>0.2</v>
      </c>
      <c r="BG58" s="2018"/>
      <c r="BH58" s="2025">
        <v>0.2</v>
      </c>
      <c r="BI58" s="2018">
        <v>0.2</v>
      </c>
      <c r="BJ58" s="2018">
        <v>0.2</v>
      </c>
      <c r="BK58" s="2019"/>
      <c r="BL58" s="2018"/>
      <c r="BM58" s="2018"/>
      <c r="BO58" s="2011">
        <v>4.3</v>
      </c>
      <c r="BP58" s="2015" t="s">
        <v>2143</v>
      </c>
      <c r="BQ58" s="2012" t="s">
        <v>1982</v>
      </c>
      <c r="BR58" s="2053">
        <v>0.2</v>
      </c>
      <c r="BS58" s="2053">
        <v>0.2</v>
      </c>
      <c r="BT58" s="2053">
        <v>0.2</v>
      </c>
      <c r="BU58" s="2053">
        <v>0.2</v>
      </c>
      <c r="BV58" s="2053">
        <v>0.2</v>
      </c>
      <c r="BW58" s="2053">
        <v>0.2</v>
      </c>
      <c r="BX58" s="2053"/>
      <c r="BY58" s="2054">
        <v>0.2</v>
      </c>
      <c r="BZ58" s="2053">
        <v>0.2</v>
      </c>
      <c r="CA58" s="2053">
        <v>0.2</v>
      </c>
      <c r="CB58" s="2055"/>
      <c r="CC58" s="2053"/>
      <c r="CD58" s="2053"/>
      <c r="CE58" s="2448"/>
    </row>
    <row r="59" spans="1:84">
      <c r="B59" s="1985" t="str">
        <f t="shared" si="44"/>
        <v>4.3.1</v>
      </c>
      <c r="C59" s="2008" t="str">
        <f t="shared" si="26"/>
        <v>CO2の監視</v>
      </c>
      <c r="D59" s="1998" t="e">
        <f>IF(I$58&gt;0,G59/I$58,0)</f>
        <v>#DIV/0!</v>
      </c>
      <c r="E59" s="2010" t="e">
        <f>IF(J$58&gt;0,H59/J$58,0)</f>
        <v>#DIV/0!</v>
      </c>
      <c r="G59" s="2010" t="e">
        <f t="shared" si="27"/>
        <v>#DIV/0!</v>
      </c>
      <c r="H59" s="2010" t="e">
        <f t="shared" si="28"/>
        <v>#DIV/0!</v>
      </c>
      <c r="I59" s="2010"/>
      <c r="J59" s="2010"/>
      <c r="K59" s="2010">
        <f>IF(スコア!O59=0,0,1)</f>
        <v>1</v>
      </c>
      <c r="L59" s="2010">
        <f>IF(スコア!Q59=0,0,1)</f>
        <v>0</v>
      </c>
      <c r="M59" s="2010" t="e">
        <f t="shared" si="29"/>
        <v>#DIV/0!</v>
      </c>
      <c r="N59" s="2010" t="e">
        <f t="shared" si="30"/>
        <v>#DIV/0!</v>
      </c>
      <c r="P59" s="2011" t="str">
        <f t="shared" si="6"/>
        <v>4.3.1</v>
      </c>
      <c r="Q59" s="2011" t="str">
        <f t="shared" si="7"/>
        <v xml:space="preserve"> Q1 4.3</v>
      </c>
      <c r="R59" s="2012" t="str">
        <f t="shared" si="8"/>
        <v>CO2の監視</v>
      </c>
      <c r="S59" s="2013">
        <f t="shared" si="31"/>
        <v>0.5</v>
      </c>
      <c r="T59" s="2013">
        <f t="shared" si="32"/>
        <v>0.5</v>
      </c>
      <c r="U59" s="2013">
        <f t="shared" si="33"/>
        <v>0.5</v>
      </c>
      <c r="V59" s="2013">
        <f t="shared" si="34"/>
        <v>0.5</v>
      </c>
      <c r="W59" s="2013">
        <f t="shared" si="35"/>
        <v>0</v>
      </c>
      <c r="X59" s="2013">
        <f t="shared" si="36"/>
        <v>0</v>
      </c>
      <c r="Y59" s="2013">
        <f t="shared" si="37"/>
        <v>0</v>
      </c>
      <c r="Z59" s="2022">
        <f t="shared" si="38"/>
        <v>0.5</v>
      </c>
      <c r="AA59" s="2013">
        <f t="shared" si="39"/>
        <v>0.5</v>
      </c>
      <c r="AB59" s="2013">
        <f t="shared" si="40"/>
        <v>0.5</v>
      </c>
      <c r="AC59" s="2014">
        <f t="shared" si="41"/>
        <v>0</v>
      </c>
      <c r="AD59" s="2013">
        <f t="shared" si="42"/>
        <v>0</v>
      </c>
      <c r="AE59" s="2013">
        <f t="shared" si="43"/>
        <v>0</v>
      </c>
      <c r="AG59" s="2011" t="s">
        <v>2272</v>
      </c>
      <c r="AH59" s="2015" t="s">
        <v>2152</v>
      </c>
      <c r="AI59" s="2016" t="s">
        <v>2273</v>
      </c>
      <c r="AJ59" s="2053">
        <v>0.5</v>
      </c>
      <c r="AK59" s="2053">
        <v>0.5</v>
      </c>
      <c r="AL59" s="2053">
        <v>0.5</v>
      </c>
      <c r="AM59" s="2053">
        <v>0.5</v>
      </c>
      <c r="AN59" s="2053"/>
      <c r="AO59" s="2053"/>
      <c r="AP59" s="2053"/>
      <c r="AQ59" s="2054">
        <v>0.5</v>
      </c>
      <c r="AR59" s="2053">
        <v>0.5</v>
      </c>
      <c r="AS59" s="2018">
        <v>0.5</v>
      </c>
      <c r="AT59" s="2019"/>
      <c r="AU59" s="2018"/>
      <c r="AV59" s="2018"/>
      <c r="AX59" s="2011" t="s">
        <v>2272</v>
      </c>
      <c r="AY59" s="2015" t="s">
        <v>2152</v>
      </c>
      <c r="AZ59" s="2016" t="s">
        <v>2273</v>
      </c>
      <c r="BA59" s="2018">
        <v>0.5</v>
      </c>
      <c r="BB59" s="2018">
        <v>0.5</v>
      </c>
      <c r="BC59" s="2018">
        <v>0.5</v>
      </c>
      <c r="BD59" s="2018">
        <v>0.5</v>
      </c>
      <c r="BE59" s="2018"/>
      <c r="BF59" s="2018"/>
      <c r="BG59" s="2018"/>
      <c r="BH59" s="2025">
        <v>0.5</v>
      </c>
      <c r="BI59" s="2018">
        <v>0.5</v>
      </c>
      <c r="BJ59" s="2018">
        <v>0.5</v>
      </c>
      <c r="BK59" s="2019"/>
      <c r="BL59" s="2018"/>
      <c r="BM59" s="2018"/>
      <c r="BO59" s="2011" t="s">
        <v>2272</v>
      </c>
      <c r="BP59" s="2015" t="s">
        <v>2152</v>
      </c>
      <c r="BQ59" s="2016" t="s">
        <v>2273</v>
      </c>
      <c r="BR59" s="2053">
        <v>0.5</v>
      </c>
      <c r="BS59" s="2053">
        <v>0.5</v>
      </c>
      <c r="BT59" s="2053">
        <v>0.5</v>
      </c>
      <c r="BU59" s="2053">
        <v>0.5</v>
      </c>
      <c r="BV59" s="2053"/>
      <c r="BW59" s="2053"/>
      <c r="BX59" s="2053"/>
      <c r="BY59" s="2054">
        <v>0.5</v>
      </c>
      <c r="BZ59" s="2053">
        <v>0.5</v>
      </c>
      <c r="CA59" s="2053">
        <v>0.5</v>
      </c>
      <c r="CB59" s="2055"/>
      <c r="CC59" s="2053"/>
      <c r="CD59" s="2053"/>
      <c r="CE59" s="2448"/>
    </row>
    <row r="60" spans="1:84">
      <c r="B60" s="1985" t="str">
        <f t="shared" si="44"/>
        <v>4.3.2</v>
      </c>
      <c r="C60" s="2008" t="str">
        <f t="shared" si="26"/>
        <v>喫煙の制御</v>
      </c>
      <c r="D60" s="1998" t="e">
        <f>IF(I$58&gt;0,G60/I$58,0)</f>
        <v>#DIV/0!</v>
      </c>
      <c r="E60" s="2010" t="e">
        <f>IF(J$58&gt;0,H60/J$58,0)</f>
        <v>#DIV/0!</v>
      </c>
      <c r="G60" s="2010" t="e">
        <f t="shared" si="27"/>
        <v>#DIV/0!</v>
      </c>
      <c r="H60" s="2010" t="e">
        <f t="shared" si="28"/>
        <v>#DIV/0!</v>
      </c>
      <c r="I60" s="2010"/>
      <c r="J60" s="2010"/>
      <c r="K60" s="2010">
        <f>IF(スコア!O60=0,0,1)</f>
        <v>1</v>
      </c>
      <c r="L60" s="2010">
        <f>IF(スコア!Q60=0,0,1)</f>
        <v>0</v>
      </c>
      <c r="M60" s="2010" t="e">
        <f t="shared" si="29"/>
        <v>#DIV/0!</v>
      </c>
      <c r="N60" s="2010" t="e">
        <f t="shared" si="30"/>
        <v>#DIV/0!</v>
      </c>
      <c r="P60" s="2011" t="str">
        <f t="shared" si="6"/>
        <v>4.3.2</v>
      </c>
      <c r="Q60" s="2011" t="str">
        <f t="shared" si="7"/>
        <v xml:space="preserve"> Q1 4.3</v>
      </c>
      <c r="R60" s="2012" t="str">
        <f t="shared" si="8"/>
        <v>喫煙の制御</v>
      </c>
      <c r="S60" s="2013">
        <f t="shared" si="31"/>
        <v>0.5</v>
      </c>
      <c r="T60" s="2013">
        <f t="shared" si="32"/>
        <v>0.5</v>
      </c>
      <c r="U60" s="2013">
        <f t="shared" si="33"/>
        <v>0.5</v>
      </c>
      <c r="V60" s="2013">
        <f t="shared" si="34"/>
        <v>0.5</v>
      </c>
      <c r="W60" s="2013">
        <f t="shared" si="35"/>
        <v>1</v>
      </c>
      <c r="X60" s="2013">
        <f t="shared" si="36"/>
        <v>1</v>
      </c>
      <c r="Y60" s="2013">
        <f t="shared" si="37"/>
        <v>0</v>
      </c>
      <c r="Z60" s="2022">
        <f t="shared" si="38"/>
        <v>0.5</v>
      </c>
      <c r="AA60" s="2013">
        <f t="shared" si="39"/>
        <v>0.5</v>
      </c>
      <c r="AB60" s="2013">
        <f t="shared" si="40"/>
        <v>0.5</v>
      </c>
      <c r="AC60" s="2014">
        <f t="shared" si="41"/>
        <v>0</v>
      </c>
      <c r="AD60" s="2013">
        <f t="shared" si="42"/>
        <v>0</v>
      </c>
      <c r="AE60" s="2013">
        <f t="shared" si="43"/>
        <v>0</v>
      </c>
      <c r="AG60" s="2011" t="s">
        <v>2274</v>
      </c>
      <c r="AH60" s="2015" t="s">
        <v>2152</v>
      </c>
      <c r="AI60" s="2016" t="s">
        <v>2275</v>
      </c>
      <c r="AJ60" s="2053">
        <v>0.5</v>
      </c>
      <c r="AK60" s="2053">
        <v>0.5</v>
      </c>
      <c r="AL60" s="2053">
        <v>0.5</v>
      </c>
      <c r="AM60" s="2053">
        <v>0.5</v>
      </c>
      <c r="AN60" s="2053">
        <v>1</v>
      </c>
      <c r="AO60" s="2053">
        <v>1</v>
      </c>
      <c r="AP60" s="2053"/>
      <c r="AQ60" s="2054">
        <v>0.5</v>
      </c>
      <c r="AR60" s="2053">
        <v>0.5</v>
      </c>
      <c r="AS60" s="2018">
        <v>0.5</v>
      </c>
      <c r="AT60" s="2019"/>
      <c r="AU60" s="2018"/>
      <c r="AV60" s="2018"/>
      <c r="AX60" s="2011" t="s">
        <v>2274</v>
      </c>
      <c r="AY60" s="2015" t="s">
        <v>2152</v>
      </c>
      <c r="AZ60" s="2016" t="s">
        <v>2275</v>
      </c>
      <c r="BA60" s="2018">
        <v>0.5</v>
      </c>
      <c r="BB60" s="2018">
        <v>0.5</v>
      </c>
      <c r="BC60" s="2018">
        <v>0.5</v>
      </c>
      <c r="BD60" s="2018">
        <v>0.5</v>
      </c>
      <c r="BE60" s="2018">
        <v>1</v>
      </c>
      <c r="BF60" s="2018">
        <v>1</v>
      </c>
      <c r="BG60" s="2018"/>
      <c r="BH60" s="2025">
        <v>0.5</v>
      </c>
      <c r="BI60" s="2018">
        <v>0.5</v>
      </c>
      <c r="BJ60" s="2018">
        <v>0.5</v>
      </c>
      <c r="BK60" s="2019"/>
      <c r="BL60" s="2018"/>
      <c r="BM60" s="2018"/>
      <c r="BO60" s="2011" t="s">
        <v>2274</v>
      </c>
      <c r="BP60" s="2015" t="s">
        <v>2152</v>
      </c>
      <c r="BQ60" s="2016" t="s">
        <v>2275</v>
      </c>
      <c r="BR60" s="2053">
        <v>0.5</v>
      </c>
      <c r="BS60" s="2053">
        <v>0.5</v>
      </c>
      <c r="BT60" s="2053">
        <v>0.5</v>
      </c>
      <c r="BU60" s="2053">
        <v>0.5</v>
      </c>
      <c r="BV60" s="2053">
        <v>1</v>
      </c>
      <c r="BW60" s="2053">
        <v>1</v>
      </c>
      <c r="BX60" s="2053"/>
      <c r="BY60" s="2054">
        <v>0.5</v>
      </c>
      <c r="BZ60" s="2053">
        <v>0.5</v>
      </c>
      <c r="CA60" s="2053">
        <v>0.5</v>
      </c>
      <c r="CB60" s="2055"/>
      <c r="CC60" s="2053"/>
      <c r="CD60" s="2053"/>
      <c r="CE60" s="2448"/>
    </row>
    <row r="61" spans="1:84" s="1406" customFormat="1">
      <c r="A61"/>
      <c r="B61" s="1985" t="str">
        <f t="shared" si="44"/>
        <v>Q2</v>
      </c>
      <c r="C61" s="1989" t="str">
        <f t="shared" si="26"/>
        <v>サービス性能</v>
      </c>
      <c r="D61" s="1987" t="e">
        <f>IF(I$8=0,0,G61/I$8)</f>
        <v>#DIV/0!</v>
      </c>
      <c r="E61" s="1988" t="e">
        <f>IF(J$8=0,0,H61/J$8)</f>
        <v>#DIV/0!</v>
      </c>
      <c r="F61"/>
      <c r="G61" s="1988" t="e">
        <f t="shared" si="27"/>
        <v>#DIV/0!</v>
      </c>
      <c r="H61" s="1988" t="e">
        <f t="shared" si="28"/>
        <v>#DIV/0!</v>
      </c>
      <c r="I61" s="1988" t="e">
        <f>G62+G75+G97</f>
        <v>#DIV/0!</v>
      </c>
      <c r="J61" s="1988" t="e">
        <f>H62+H75+H97</f>
        <v>#DIV/0!</v>
      </c>
      <c r="K61" s="1988" t="e">
        <f>IF(スコア!S61=0,0,1)</f>
        <v>#DIV/0!</v>
      </c>
      <c r="L61" s="1988">
        <f>IF(スコア!Q61=0,0,1)</f>
        <v>0</v>
      </c>
      <c r="M61" s="1988" t="e">
        <f t="shared" si="29"/>
        <v>#DIV/0!</v>
      </c>
      <c r="N61" s="1988" t="e">
        <f t="shared" si="30"/>
        <v>#DIV/0!</v>
      </c>
      <c r="O61"/>
      <c r="P61" s="1985" t="str">
        <f t="shared" si="6"/>
        <v>Q2</v>
      </c>
      <c r="Q61" s="1985" t="str">
        <f t="shared" si="7"/>
        <v xml:space="preserve"> Q</v>
      </c>
      <c r="R61" s="1989" t="str">
        <f t="shared" si="8"/>
        <v>サービス性能</v>
      </c>
      <c r="S61" s="1990">
        <f t="shared" si="31"/>
        <v>0.3</v>
      </c>
      <c r="T61" s="1990">
        <f t="shared" si="32"/>
        <v>0.3</v>
      </c>
      <c r="U61" s="1990">
        <f t="shared" si="33"/>
        <v>0.3</v>
      </c>
      <c r="V61" s="1990">
        <f t="shared" si="34"/>
        <v>0.3</v>
      </c>
      <c r="W61" s="1990">
        <f t="shared" si="35"/>
        <v>0.3</v>
      </c>
      <c r="X61" s="1990">
        <f t="shared" si="36"/>
        <v>0.3</v>
      </c>
      <c r="Y61" s="1990">
        <f t="shared" si="37"/>
        <v>0.3</v>
      </c>
      <c r="Z61" s="1990">
        <f t="shared" si="38"/>
        <v>0.3</v>
      </c>
      <c r="AA61" s="1990">
        <f t="shared" si="39"/>
        <v>0.3</v>
      </c>
      <c r="AB61" s="1990">
        <f t="shared" si="40"/>
        <v>0.3</v>
      </c>
      <c r="AC61" s="1991">
        <f t="shared" si="41"/>
        <v>0</v>
      </c>
      <c r="AD61" s="1990">
        <f t="shared" si="42"/>
        <v>0</v>
      </c>
      <c r="AE61" s="1990">
        <f t="shared" si="43"/>
        <v>0</v>
      </c>
      <c r="AF61"/>
      <c r="AG61" s="1985" t="s">
        <v>2276</v>
      </c>
      <c r="AH61" s="1992" t="s">
        <v>764</v>
      </c>
      <c r="AI61" s="1989" t="s">
        <v>2277</v>
      </c>
      <c r="AJ61" s="1990">
        <v>0.3</v>
      </c>
      <c r="AK61" s="1990">
        <v>0.3</v>
      </c>
      <c r="AL61" s="1990">
        <v>0.3</v>
      </c>
      <c r="AM61" s="1990">
        <v>0.3</v>
      </c>
      <c r="AN61" s="1990">
        <v>0.3</v>
      </c>
      <c r="AO61" s="1990">
        <v>0.3</v>
      </c>
      <c r="AP61" s="1990">
        <v>0.3</v>
      </c>
      <c r="AQ61" s="1990">
        <v>0.3</v>
      </c>
      <c r="AR61" s="1990">
        <v>0.3</v>
      </c>
      <c r="AS61" s="1993">
        <v>0.3</v>
      </c>
      <c r="AT61" s="1994">
        <v>0</v>
      </c>
      <c r="AU61" s="1993">
        <v>0</v>
      </c>
      <c r="AV61" s="1993">
        <v>0</v>
      </c>
      <c r="AW61"/>
      <c r="AX61" s="1985" t="s">
        <v>2276</v>
      </c>
      <c r="AY61" s="1992" t="s">
        <v>764</v>
      </c>
      <c r="AZ61" s="1989" t="s">
        <v>2277</v>
      </c>
      <c r="BA61" s="1993">
        <v>0.3</v>
      </c>
      <c r="BB61" s="1993">
        <v>0.3</v>
      </c>
      <c r="BC61" s="1993">
        <v>0.3</v>
      </c>
      <c r="BD61" s="1993">
        <v>0.3</v>
      </c>
      <c r="BE61" s="1993">
        <v>0.3</v>
      </c>
      <c r="BF61" s="1993">
        <v>0.3</v>
      </c>
      <c r="BG61" s="1993">
        <v>0.3</v>
      </c>
      <c r="BH61" s="1993">
        <v>0.3</v>
      </c>
      <c r="BI61" s="1993">
        <v>0.3</v>
      </c>
      <c r="BJ61" s="1993">
        <v>0.3</v>
      </c>
      <c r="BK61" s="1994"/>
      <c r="BL61" s="1993"/>
      <c r="BM61" s="1993"/>
      <c r="BN61"/>
      <c r="BO61" s="1985" t="s">
        <v>2276</v>
      </c>
      <c r="BP61" s="1992" t="s">
        <v>764</v>
      </c>
      <c r="BQ61" s="1989" t="s">
        <v>2277</v>
      </c>
      <c r="BR61" s="1993">
        <v>0.3</v>
      </c>
      <c r="BS61" s="1993">
        <v>0.3</v>
      </c>
      <c r="BT61" s="1993">
        <v>0.3</v>
      </c>
      <c r="BU61" s="1993">
        <v>0.3</v>
      </c>
      <c r="BV61" s="1993">
        <v>0.3</v>
      </c>
      <c r="BW61" s="1993">
        <v>0.3</v>
      </c>
      <c r="BX61" s="1993">
        <v>0.3</v>
      </c>
      <c r="BY61" s="1993">
        <v>0.3</v>
      </c>
      <c r="BZ61" s="1993">
        <v>0.3</v>
      </c>
      <c r="CA61" s="1993">
        <v>0.3</v>
      </c>
      <c r="CB61" s="1994"/>
      <c r="CC61" s="1993"/>
      <c r="CD61" s="1993"/>
      <c r="CE61" s="2445"/>
      <c r="CF61"/>
    </row>
    <row r="62" spans="1:84" s="1406" customFormat="1">
      <c r="A62"/>
      <c r="B62" s="1985">
        <f t="shared" si="44"/>
        <v>1</v>
      </c>
      <c r="C62" s="2000" t="str">
        <f t="shared" si="26"/>
        <v>機能性</v>
      </c>
      <c r="D62" s="1996" t="e">
        <f>IF(I$61=0,0,G62/I$61)</f>
        <v>#DIV/0!</v>
      </c>
      <c r="E62" s="1997" t="e">
        <f>IF(J$61=0,0,H62/J$61)</f>
        <v>#DIV/0!</v>
      </c>
      <c r="F62"/>
      <c r="G62" s="1997" t="e">
        <f t="shared" si="27"/>
        <v>#DIV/0!</v>
      </c>
      <c r="H62" s="1997" t="e">
        <f t="shared" si="28"/>
        <v>#DIV/0!</v>
      </c>
      <c r="I62" s="1997" t="e">
        <f>G63+G67+G71</f>
        <v>#DIV/0!</v>
      </c>
      <c r="J62" s="1997" t="e">
        <f>H63+H67+H71</f>
        <v>#DIV/0!</v>
      </c>
      <c r="K62" s="1997" t="e">
        <f>IF(スコア!O62=0,0,1)</f>
        <v>#DIV/0!</v>
      </c>
      <c r="L62" s="1997" t="e">
        <f>IF(スコア!Q62=0,0,1)</f>
        <v>#DIV/0!</v>
      </c>
      <c r="M62" s="1997" t="e">
        <f t="shared" si="29"/>
        <v>#DIV/0!</v>
      </c>
      <c r="N62" s="1997" t="e">
        <f t="shared" si="30"/>
        <v>#DIV/0!</v>
      </c>
      <c r="O62"/>
      <c r="P62" s="1999">
        <f t="shared" si="6"/>
        <v>1</v>
      </c>
      <c r="Q62" s="1999" t="str">
        <f t="shared" si="7"/>
        <v xml:space="preserve"> Q2</v>
      </c>
      <c r="R62" s="2000" t="str">
        <f t="shared" ref="R62:R72" si="47">IF($P$3=1,AZ62,IF($P$3=2,BQ62,AI62))</f>
        <v>機能性</v>
      </c>
      <c r="S62" s="2058">
        <f t="shared" si="31"/>
        <v>0.4</v>
      </c>
      <c r="T62" s="2058">
        <f t="shared" si="32"/>
        <v>0.4</v>
      </c>
      <c r="U62" s="2058">
        <f t="shared" si="33"/>
        <v>0.4</v>
      </c>
      <c r="V62" s="2058">
        <f t="shared" si="34"/>
        <v>0.4</v>
      </c>
      <c r="W62" s="2058">
        <f t="shared" si="35"/>
        <v>0.4</v>
      </c>
      <c r="X62" s="2058">
        <f t="shared" si="36"/>
        <v>0.4</v>
      </c>
      <c r="Y62" s="2058">
        <f t="shared" si="37"/>
        <v>0.4</v>
      </c>
      <c r="Z62" s="2027">
        <f t="shared" si="38"/>
        <v>0.4</v>
      </c>
      <c r="AA62" s="2572">
        <f>IF(Q3="coCASB",0,IF($P$3=1,BI62,IF($P$3=2,BZ62,AR62)))</f>
        <v>0.4</v>
      </c>
      <c r="AB62" s="2058">
        <f t="shared" si="40"/>
        <v>0.4</v>
      </c>
      <c r="AC62" s="2059">
        <f t="shared" si="41"/>
        <v>0</v>
      </c>
      <c r="AD62" s="2058">
        <f t="shared" si="42"/>
        <v>0</v>
      </c>
      <c r="AE62" s="2058">
        <f t="shared" si="43"/>
        <v>0</v>
      </c>
      <c r="AF62"/>
      <c r="AG62" s="1999">
        <v>1</v>
      </c>
      <c r="AH62" s="2004" t="s">
        <v>2153</v>
      </c>
      <c r="AI62" s="2000" t="s">
        <v>2154</v>
      </c>
      <c r="AJ62" s="2058">
        <v>0.4</v>
      </c>
      <c r="AK62" s="2058">
        <v>0.4</v>
      </c>
      <c r="AL62" s="2058">
        <v>0.4</v>
      </c>
      <c r="AM62" s="2058">
        <v>0.4</v>
      </c>
      <c r="AN62" s="2058">
        <v>0.4</v>
      </c>
      <c r="AO62" s="2058">
        <v>0.4</v>
      </c>
      <c r="AP62" s="2058">
        <v>0.4</v>
      </c>
      <c r="AQ62" s="2027">
        <v>0.4</v>
      </c>
      <c r="AR62" s="2058">
        <v>0.4</v>
      </c>
      <c r="AS62" s="2060">
        <v>0.4</v>
      </c>
      <c r="AT62" s="2061"/>
      <c r="AU62" s="2060"/>
      <c r="AV62" s="2060"/>
      <c r="AW62"/>
      <c r="AX62" s="1999">
        <v>1</v>
      </c>
      <c r="AY62" s="2004" t="s">
        <v>2153</v>
      </c>
      <c r="AZ62" s="2000" t="s">
        <v>2154</v>
      </c>
      <c r="BA62" s="2060">
        <v>0.4</v>
      </c>
      <c r="BB62" s="2060">
        <v>0.4</v>
      </c>
      <c r="BC62" s="2060">
        <v>0.4</v>
      </c>
      <c r="BD62" s="2060">
        <v>0.4</v>
      </c>
      <c r="BE62" s="2060">
        <v>0.4</v>
      </c>
      <c r="BF62" s="2060">
        <v>0.4</v>
      </c>
      <c r="BG62" s="2060">
        <v>0.4</v>
      </c>
      <c r="BH62" s="2062">
        <v>0.4</v>
      </c>
      <c r="BI62" s="2060">
        <v>0.4</v>
      </c>
      <c r="BJ62" s="2060">
        <v>0.4</v>
      </c>
      <c r="BK62" s="2061"/>
      <c r="BL62" s="2060"/>
      <c r="BM62" s="2060"/>
      <c r="BN62"/>
      <c r="BO62" s="1999">
        <v>1</v>
      </c>
      <c r="BP62" s="2004" t="s">
        <v>2153</v>
      </c>
      <c r="BQ62" s="2000" t="s">
        <v>2154</v>
      </c>
      <c r="BR62" s="2060">
        <v>0.4</v>
      </c>
      <c r="BS62" s="2060">
        <v>0.4</v>
      </c>
      <c r="BT62" s="2060">
        <v>0.4</v>
      </c>
      <c r="BU62" s="2060">
        <v>0.4</v>
      </c>
      <c r="BV62" s="2060">
        <v>0.4</v>
      </c>
      <c r="BW62" s="2060">
        <v>0.4</v>
      </c>
      <c r="BX62" s="2060">
        <v>0.4</v>
      </c>
      <c r="BY62" s="2062">
        <v>0.4</v>
      </c>
      <c r="BZ62" s="2060">
        <v>0.4</v>
      </c>
      <c r="CA62" s="2060">
        <v>0.4</v>
      </c>
      <c r="CB62" s="2061"/>
      <c r="CC62" s="2060"/>
      <c r="CD62" s="2060"/>
      <c r="CE62" s="2445"/>
      <c r="CF62"/>
    </row>
    <row r="63" spans="1:84">
      <c r="B63" s="1985">
        <f t="shared" si="44"/>
        <v>1.1000000000000001</v>
      </c>
      <c r="C63" s="2008" t="str">
        <f t="shared" si="26"/>
        <v>機能性・使いやすさ</v>
      </c>
      <c r="D63" s="2009" t="e">
        <f>IF(I$62=0,0,G63/I$62)</f>
        <v>#DIV/0!</v>
      </c>
      <c r="E63" s="2010" t="e">
        <f>IF(J$62=0,0,H63/J$62)</f>
        <v>#DIV/0!</v>
      </c>
      <c r="G63" s="2010" t="e">
        <f t="shared" si="27"/>
        <v>#DIV/0!</v>
      </c>
      <c r="H63" s="2010" t="e">
        <f t="shared" si="28"/>
        <v>#DIV/0!</v>
      </c>
      <c r="I63" s="2010" t="e">
        <f>SUM(G64:G66)</f>
        <v>#DIV/0!</v>
      </c>
      <c r="J63" s="2010" t="e">
        <f>SUM(H64:H66)</f>
        <v>#DIV/0!</v>
      </c>
      <c r="K63" s="2010" t="e">
        <f>IF(スコア!O63=0,0,1)</f>
        <v>#DIV/0!</v>
      </c>
      <c r="L63" s="2010" t="e">
        <f>IF(スコア!Q63=0,0,1)</f>
        <v>#DIV/0!</v>
      </c>
      <c r="M63" s="2010" t="e">
        <f t="shared" si="29"/>
        <v>#DIV/0!</v>
      </c>
      <c r="N63" s="2010" t="e">
        <f t="shared" si="30"/>
        <v>#DIV/0!</v>
      </c>
      <c r="P63" s="2011">
        <f t="shared" si="6"/>
        <v>1.1000000000000001</v>
      </c>
      <c r="Q63" s="2011" t="str">
        <f t="shared" si="7"/>
        <v xml:space="preserve"> Q2 1</v>
      </c>
      <c r="R63" s="2012" t="str">
        <f t="shared" si="47"/>
        <v>機能性・使いやすさ</v>
      </c>
      <c r="S63" s="2013">
        <f t="shared" si="31"/>
        <v>0.4</v>
      </c>
      <c r="T63" s="2013">
        <f t="shared" si="32"/>
        <v>0.4</v>
      </c>
      <c r="U63" s="2013">
        <f t="shared" si="33"/>
        <v>0.4</v>
      </c>
      <c r="V63" s="2013">
        <f t="shared" si="34"/>
        <v>0.4</v>
      </c>
      <c r="W63" s="2013">
        <f t="shared" si="35"/>
        <v>0.4</v>
      </c>
      <c r="X63" s="2013">
        <f t="shared" si="36"/>
        <v>0.4</v>
      </c>
      <c r="Y63" s="2013">
        <f t="shared" si="37"/>
        <v>0.4</v>
      </c>
      <c r="Z63" s="2031">
        <f t="shared" si="38"/>
        <v>0.4</v>
      </c>
      <c r="AA63" s="2013">
        <f t="shared" si="39"/>
        <v>0.4</v>
      </c>
      <c r="AB63" s="2013">
        <f t="shared" si="40"/>
        <v>0.4</v>
      </c>
      <c r="AC63" s="2014">
        <f t="shared" si="41"/>
        <v>0.6</v>
      </c>
      <c r="AD63" s="2013">
        <f t="shared" si="42"/>
        <v>0.6</v>
      </c>
      <c r="AE63" s="2013">
        <f t="shared" si="43"/>
        <v>0.6</v>
      </c>
      <c r="AG63" s="2011">
        <v>1.1000000000000001</v>
      </c>
      <c r="AH63" s="2015" t="s">
        <v>2155</v>
      </c>
      <c r="AI63" s="2016" t="s">
        <v>2156</v>
      </c>
      <c r="AJ63" s="2013">
        <v>0.4</v>
      </c>
      <c r="AK63" s="2013">
        <v>0.4</v>
      </c>
      <c r="AL63" s="2013">
        <v>0.4</v>
      </c>
      <c r="AM63" s="2017">
        <v>0.4</v>
      </c>
      <c r="AN63" s="2017">
        <v>0.4</v>
      </c>
      <c r="AO63" s="2013">
        <v>0.4</v>
      </c>
      <c r="AP63" s="2017">
        <v>0.4</v>
      </c>
      <c r="AQ63" s="2013">
        <v>0.4</v>
      </c>
      <c r="AR63" s="2017">
        <v>0.4</v>
      </c>
      <c r="AS63" s="2018">
        <v>0.4</v>
      </c>
      <c r="AT63" s="2018">
        <v>0.6</v>
      </c>
      <c r="AU63" s="2018">
        <v>0.6</v>
      </c>
      <c r="AV63" s="2018">
        <v>0.6</v>
      </c>
      <c r="AX63" s="2011">
        <v>1.1000000000000001</v>
      </c>
      <c r="AY63" s="2015" t="s">
        <v>2155</v>
      </c>
      <c r="AZ63" s="2016" t="s">
        <v>2156</v>
      </c>
      <c r="BA63" s="2018">
        <v>0.4</v>
      </c>
      <c r="BB63" s="2018">
        <v>0.4</v>
      </c>
      <c r="BC63" s="2018">
        <v>0.4</v>
      </c>
      <c r="BD63" s="2018">
        <v>0.4</v>
      </c>
      <c r="BE63" s="2018">
        <v>0.4</v>
      </c>
      <c r="BF63" s="2018">
        <v>0.4</v>
      </c>
      <c r="BG63" s="2018">
        <v>0.4</v>
      </c>
      <c r="BH63" s="2025">
        <v>0.4</v>
      </c>
      <c r="BI63" s="2018">
        <v>0.4</v>
      </c>
      <c r="BJ63" s="2018">
        <v>0.4</v>
      </c>
      <c r="BK63" s="2018">
        <v>0.6</v>
      </c>
      <c r="BL63" s="2018">
        <v>0.6</v>
      </c>
      <c r="BM63" s="2018">
        <v>0.6</v>
      </c>
      <c r="BO63" s="2011">
        <v>1.1000000000000001</v>
      </c>
      <c r="BP63" s="2015" t="s">
        <v>2155</v>
      </c>
      <c r="BQ63" s="2016" t="s">
        <v>2156</v>
      </c>
      <c r="BR63" s="2018">
        <v>0.4</v>
      </c>
      <c r="BS63" s="2018">
        <v>0.4</v>
      </c>
      <c r="BT63" s="2018">
        <v>0.4</v>
      </c>
      <c r="BU63" s="2018">
        <v>0.4</v>
      </c>
      <c r="BV63" s="2018">
        <v>0.4</v>
      </c>
      <c r="BW63" s="2018">
        <v>0.4</v>
      </c>
      <c r="BX63" s="2018">
        <v>0.4</v>
      </c>
      <c r="BY63" s="2025">
        <v>0.4</v>
      </c>
      <c r="BZ63" s="2018">
        <v>0.4</v>
      </c>
      <c r="CA63" s="2018">
        <v>0.4</v>
      </c>
      <c r="CB63" s="2018">
        <v>0.6</v>
      </c>
      <c r="CC63" s="2018">
        <v>0.6</v>
      </c>
      <c r="CD63" s="2018">
        <v>0.6</v>
      </c>
      <c r="CE63" s="2447"/>
    </row>
    <row r="64" spans="1:84">
      <c r="B64" s="1985" t="str">
        <f t="shared" si="44"/>
        <v>1.1.1</v>
      </c>
      <c r="C64" s="2008" t="str">
        <f t="shared" si="26"/>
        <v>広さ・収納性</v>
      </c>
      <c r="D64" s="1998" t="e">
        <f t="shared" ref="D64:E66" si="48">IF(I$63&gt;0,G64/I$63,0)</f>
        <v>#DIV/0!</v>
      </c>
      <c r="E64" s="2010" t="e">
        <f t="shared" si="48"/>
        <v>#DIV/0!</v>
      </c>
      <c r="G64" s="2010" t="e">
        <f t="shared" si="27"/>
        <v>#DIV/0!</v>
      </c>
      <c r="H64" s="2010" t="e">
        <f t="shared" si="28"/>
        <v>#DIV/0!</v>
      </c>
      <c r="I64" s="2010"/>
      <c r="J64" s="2010"/>
      <c r="K64" s="2010">
        <f>IF(スコア!O64=0,0,1)</f>
        <v>1</v>
      </c>
      <c r="L64" s="2010">
        <f>IF(スコア!Q64=0,0,1)</f>
        <v>1</v>
      </c>
      <c r="M64" s="2010" t="e">
        <f t="shared" si="29"/>
        <v>#DIV/0!</v>
      </c>
      <c r="N64" s="2010" t="e">
        <f t="shared" si="30"/>
        <v>#DIV/0!</v>
      </c>
      <c r="P64" s="2011" t="str">
        <f t="shared" si="6"/>
        <v>1.1.1</v>
      </c>
      <c r="Q64" s="2011" t="str">
        <f t="shared" si="7"/>
        <v xml:space="preserve"> Q2 1.1</v>
      </c>
      <c r="R64" s="2012" t="str">
        <f t="shared" si="47"/>
        <v>広さ・収納性</v>
      </c>
      <c r="S64" s="2013">
        <f t="shared" si="31"/>
        <v>0.33333333333333331</v>
      </c>
      <c r="T64" s="2013">
        <f t="shared" si="32"/>
        <v>0</v>
      </c>
      <c r="U64" s="2013">
        <f t="shared" si="33"/>
        <v>0</v>
      </c>
      <c r="V64" s="2013">
        <f t="shared" si="34"/>
        <v>0</v>
      </c>
      <c r="W64" s="2013">
        <f t="shared" si="35"/>
        <v>0</v>
      </c>
      <c r="X64" s="2013">
        <f t="shared" si="36"/>
        <v>0</v>
      </c>
      <c r="Y64" s="2013">
        <f t="shared" si="37"/>
        <v>0</v>
      </c>
      <c r="Z64" s="2031">
        <f t="shared" si="38"/>
        <v>0</v>
      </c>
      <c r="AA64" s="2013">
        <f t="shared" si="39"/>
        <v>0.33333333333333331</v>
      </c>
      <c r="AB64" s="2013">
        <f t="shared" si="40"/>
        <v>0.5</v>
      </c>
      <c r="AC64" s="2014">
        <f t="shared" si="41"/>
        <v>1</v>
      </c>
      <c r="AD64" s="2013">
        <f t="shared" si="42"/>
        <v>0.5</v>
      </c>
      <c r="AE64" s="2013">
        <f t="shared" si="43"/>
        <v>0</v>
      </c>
      <c r="AG64" s="2011" t="s">
        <v>2278</v>
      </c>
      <c r="AH64" s="2015" t="s">
        <v>2157</v>
      </c>
      <c r="AI64" s="2016" t="s">
        <v>2158</v>
      </c>
      <c r="AJ64" s="2056">
        <v>0.33333333333333331</v>
      </c>
      <c r="AK64" s="2013"/>
      <c r="AL64" s="2013"/>
      <c r="AM64" s="2013"/>
      <c r="AN64" s="2013"/>
      <c r="AO64" s="2013"/>
      <c r="AP64" s="2013"/>
      <c r="AQ64" s="2031"/>
      <c r="AR64" s="2056">
        <v>0.33333333333333331</v>
      </c>
      <c r="AS64" s="2035">
        <v>0.5</v>
      </c>
      <c r="AT64" s="2019">
        <v>1</v>
      </c>
      <c r="AU64" s="2018">
        <v>0.5</v>
      </c>
      <c r="AV64" s="2018"/>
      <c r="AX64" s="2011" t="s">
        <v>2278</v>
      </c>
      <c r="AY64" s="2015" t="s">
        <v>2157</v>
      </c>
      <c r="AZ64" s="2016" t="s">
        <v>2158</v>
      </c>
      <c r="BA64" s="2018">
        <v>0.33333333333333331</v>
      </c>
      <c r="BB64" s="2018"/>
      <c r="BC64" s="2018"/>
      <c r="BD64" s="2018"/>
      <c r="BE64" s="2018"/>
      <c r="BF64" s="2018"/>
      <c r="BG64" s="2018"/>
      <c r="BH64" s="2025"/>
      <c r="BI64" s="2018">
        <v>0.33333333333333331</v>
      </c>
      <c r="BJ64" s="2018">
        <v>0.5</v>
      </c>
      <c r="BK64" s="2019">
        <v>1</v>
      </c>
      <c r="BL64" s="2018">
        <v>0.5</v>
      </c>
      <c r="BM64" s="2018"/>
      <c r="BO64" s="2011" t="s">
        <v>2278</v>
      </c>
      <c r="BP64" s="2015" t="s">
        <v>2157</v>
      </c>
      <c r="BQ64" s="2016" t="s">
        <v>2158</v>
      </c>
      <c r="BR64" s="2018">
        <v>0.33333333333333331</v>
      </c>
      <c r="BS64" s="2018"/>
      <c r="BT64" s="2018"/>
      <c r="BU64" s="2018"/>
      <c r="BV64" s="2018"/>
      <c r="BW64" s="2018"/>
      <c r="BX64" s="2018"/>
      <c r="BY64" s="2025"/>
      <c r="BZ64" s="2018">
        <v>0.33333333333333331</v>
      </c>
      <c r="CA64" s="2018"/>
      <c r="CB64" s="2019">
        <v>1</v>
      </c>
      <c r="CC64" s="2018">
        <v>0.5</v>
      </c>
      <c r="CD64" s="2018"/>
      <c r="CE64" s="2447"/>
    </row>
    <row r="65" spans="1:84">
      <c r="B65" s="1985" t="str">
        <f t="shared" si="44"/>
        <v>1.1.2</v>
      </c>
      <c r="C65" s="2008" t="str">
        <f t="shared" si="26"/>
        <v>高度情報通信設備対応</v>
      </c>
      <c r="D65" s="1998" t="e">
        <f t="shared" si="48"/>
        <v>#DIV/0!</v>
      </c>
      <c r="E65" s="2010" t="e">
        <f t="shared" si="48"/>
        <v>#DIV/0!</v>
      </c>
      <c r="G65" s="2010" t="e">
        <f t="shared" si="27"/>
        <v>#DIV/0!</v>
      </c>
      <c r="H65" s="2010" t="e">
        <f t="shared" si="28"/>
        <v>#DIV/0!</v>
      </c>
      <c r="I65" s="2010"/>
      <c r="J65" s="2010"/>
      <c r="K65" s="2010">
        <f>IF(スコア!O65=0,0,1)</f>
        <v>1</v>
      </c>
      <c r="L65" s="2010">
        <f>IF(スコア!Q65=0,0,1)</f>
        <v>1</v>
      </c>
      <c r="M65" s="2010" t="e">
        <f t="shared" si="29"/>
        <v>#DIV/0!</v>
      </c>
      <c r="N65" s="2010" t="e">
        <f t="shared" si="30"/>
        <v>#DIV/0!</v>
      </c>
      <c r="P65" s="2011" t="str">
        <f t="shared" si="6"/>
        <v>1.1.2</v>
      </c>
      <c r="Q65" s="2011" t="str">
        <f t="shared" si="7"/>
        <v xml:space="preserve"> Q2 1.1</v>
      </c>
      <c r="R65" s="2012" t="str">
        <f t="shared" si="47"/>
        <v>高度情報通信設備対応</v>
      </c>
      <c r="S65" s="2013">
        <f t="shared" si="31"/>
        <v>0.33333333333333331</v>
      </c>
      <c r="T65" s="2013">
        <f t="shared" si="32"/>
        <v>0</v>
      </c>
      <c r="U65" s="2013">
        <f t="shared" si="33"/>
        <v>0</v>
      </c>
      <c r="V65" s="2013">
        <f t="shared" si="34"/>
        <v>0</v>
      </c>
      <c r="W65" s="2013">
        <f t="shared" si="35"/>
        <v>0</v>
      </c>
      <c r="X65" s="2013">
        <f t="shared" si="36"/>
        <v>0</v>
      </c>
      <c r="Y65" s="2013">
        <f t="shared" si="37"/>
        <v>0</v>
      </c>
      <c r="Z65" s="2031">
        <f t="shared" si="38"/>
        <v>0</v>
      </c>
      <c r="AA65" s="2013">
        <f t="shared" si="39"/>
        <v>0.33333333333333331</v>
      </c>
      <c r="AB65" s="2013">
        <f t="shared" si="40"/>
        <v>0</v>
      </c>
      <c r="AC65" s="2014">
        <f t="shared" si="41"/>
        <v>0</v>
      </c>
      <c r="AD65" s="2013">
        <f t="shared" si="42"/>
        <v>0.5</v>
      </c>
      <c r="AE65" s="2013">
        <f t="shared" si="43"/>
        <v>1</v>
      </c>
      <c r="AG65" s="2011" t="s">
        <v>2279</v>
      </c>
      <c r="AH65" s="2015" t="s">
        <v>2157</v>
      </c>
      <c r="AI65" s="2016" t="s">
        <v>2280</v>
      </c>
      <c r="AJ65" s="2056">
        <v>0.33333333333333331</v>
      </c>
      <c r="AK65" s="2013"/>
      <c r="AL65" s="2013"/>
      <c r="AM65" s="2013"/>
      <c r="AN65" s="2013"/>
      <c r="AO65" s="2013"/>
      <c r="AP65" s="2013"/>
      <c r="AQ65" s="2031"/>
      <c r="AR65" s="2056">
        <v>0.33333333333333331</v>
      </c>
      <c r="AS65" s="2035"/>
      <c r="AT65" s="2019"/>
      <c r="AU65" s="2018">
        <v>0.5</v>
      </c>
      <c r="AV65" s="2018">
        <v>1</v>
      </c>
      <c r="AX65" s="2011" t="s">
        <v>2279</v>
      </c>
      <c r="AY65" s="2015" t="s">
        <v>2157</v>
      </c>
      <c r="AZ65" s="2016" t="s">
        <v>2280</v>
      </c>
      <c r="BA65" s="2018">
        <v>0.33333333333333331</v>
      </c>
      <c r="BB65" s="2018"/>
      <c r="BC65" s="2018"/>
      <c r="BD65" s="2018"/>
      <c r="BE65" s="2018"/>
      <c r="BF65" s="2018"/>
      <c r="BG65" s="2018"/>
      <c r="BH65" s="2025"/>
      <c r="BI65" s="2018">
        <v>0.33333333333333331</v>
      </c>
      <c r="BJ65" s="2018"/>
      <c r="BK65" s="2019"/>
      <c r="BL65" s="2018">
        <v>0.5</v>
      </c>
      <c r="BM65" s="2018">
        <v>1</v>
      </c>
      <c r="BO65" s="2011" t="s">
        <v>2279</v>
      </c>
      <c r="BP65" s="2015" t="s">
        <v>2157</v>
      </c>
      <c r="BQ65" s="2016" t="s">
        <v>2280</v>
      </c>
      <c r="BR65" s="2018">
        <v>0.33333333333333331</v>
      </c>
      <c r="BS65" s="2018"/>
      <c r="BT65" s="2018"/>
      <c r="BU65" s="2018"/>
      <c r="BV65" s="2018"/>
      <c r="BW65" s="2018"/>
      <c r="BX65" s="2018"/>
      <c r="BY65" s="2025"/>
      <c r="BZ65" s="2018">
        <v>0.33333333333333331</v>
      </c>
      <c r="CA65" s="2018"/>
      <c r="CB65" s="2019"/>
      <c r="CC65" s="2018">
        <v>0.5</v>
      </c>
      <c r="CD65" s="2018">
        <v>1</v>
      </c>
      <c r="CE65" s="2447"/>
    </row>
    <row r="66" spans="1:84">
      <c r="B66" s="1985" t="str">
        <f t="shared" si="44"/>
        <v>1.1.3</v>
      </c>
      <c r="C66" s="2008" t="str">
        <f t="shared" si="26"/>
        <v>バリアフリー計画</v>
      </c>
      <c r="D66" s="1998" t="e">
        <f t="shared" si="48"/>
        <v>#DIV/0!</v>
      </c>
      <c r="E66" s="2010" t="e">
        <f t="shared" si="48"/>
        <v>#DIV/0!</v>
      </c>
      <c r="G66" s="2010" t="e">
        <f t="shared" si="27"/>
        <v>#DIV/0!</v>
      </c>
      <c r="H66" s="2010" t="e">
        <f t="shared" si="28"/>
        <v>#DIV/0!</v>
      </c>
      <c r="I66" s="2010"/>
      <c r="J66" s="2010"/>
      <c r="K66" s="2010">
        <f>IF(スコア!O66=0,0,1)</f>
        <v>1</v>
      </c>
      <c r="L66" s="2010">
        <f>IF(スコア!Q66=0,0,1)</f>
        <v>0</v>
      </c>
      <c r="M66" s="2010" t="e">
        <f t="shared" si="29"/>
        <v>#DIV/0!</v>
      </c>
      <c r="N66" s="2010" t="e">
        <f t="shared" si="30"/>
        <v>#DIV/0!</v>
      </c>
      <c r="P66" s="2011" t="str">
        <f t="shared" si="6"/>
        <v>1.1.3</v>
      </c>
      <c r="Q66" s="2011" t="str">
        <f t="shared" si="7"/>
        <v xml:space="preserve"> Q2 1.1</v>
      </c>
      <c r="R66" s="2012" t="str">
        <f t="shared" si="47"/>
        <v>バリアフリー計画</v>
      </c>
      <c r="S66" s="2013">
        <f t="shared" si="31"/>
        <v>0.33333333333333331</v>
      </c>
      <c r="T66" s="2013">
        <f t="shared" si="32"/>
        <v>1</v>
      </c>
      <c r="U66" s="2013">
        <f t="shared" si="33"/>
        <v>1</v>
      </c>
      <c r="V66" s="2013">
        <f t="shared" si="34"/>
        <v>1</v>
      </c>
      <c r="W66" s="2013">
        <f t="shared" si="35"/>
        <v>1</v>
      </c>
      <c r="X66" s="2013">
        <f t="shared" si="36"/>
        <v>1</v>
      </c>
      <c r="Y66" s="2013">
        <f t="shared" si="37"/>
        <v>1</v>
      </c>
      <c r="Z66" s="2031">
        <f t="shared" si="38"/>
        <v>1</v>
      </c>
      <c r="AA66" s="2013">
        <f t="shared" si="39"/>
        <v>0.33333333333333331</v>
      </c>
      <c r="AB66" s="2013">
        <f t="shared" si="40"/>
        <v>0.5</v>
      </c>
      <c r="AC66" s="2014">
        <f t="shared" si="41"/>
        <v>0</v>
      </c>
      <c r="AD66" s="2013">
        <f t="shared" si="42"/>
        <v>0</v>
      </c>
      <c r="AE66" s="2013">
        <f t="shared" si="43"/>
        <v>0</v>
      </c>
      <c r="AG66" s="2011" t="s">
        <v>2281</v>
      </c>
      <c r="AH66" s="2015" t="s">
        <v>2157</v>
      </c>
      <c r="AI66" s="2016" t="s">
        <v>2159</v>
      </c>
      <c r="AJ66" s="2056">
        <v>0.33333333333333331</v>
      </c>
      <c r="AK66" s="2013">
        <v>1</v>
      </c>
      <c r="AL66" s="2013">
        <v>1</v>
      </c>
      <c r="AM66" s="2013">
        <v>1</v>
      </c>
      <c r="AN66" s="2013">
        <v>1</v>
      </c>
      <c r="AO66" s="2013">
        <v>1</v>
      </c>
      <c r="AP66" s="2013">
        <v>1</v>
      </c>
      <c r="AQ66" s="2031">
        <v>1</v>
      </c>
      <c r="AR66" s="2056">
        <v>0.33333333333333331</v>
      </c>
      <c r="AS66" s="2035">
        <v>0.5</v>
      </c>
      <c r="AT66" s="2019"/>
      <c r="AU66" s="2018"/>
      <c r="AV66" s="2018"/>
      <c r="AX66" s="2011" t="s">
        <v>2281</v>
      </c>
      <c r="AY66" s="2015" t="s">
        <v>2157</v>
      </c>
      <c r="AZ66" s="2016" t="s">
        <v>2159</v>
      </c>
      <c r="BA66" s="2018">
        <v>0.33333333333333331</v>
      </c>
      <c r="BB66" s="2018">
        <v>1</v>
      </c>
      <c r="BC66" s="2018">
        <v>1</v>
      </c>
      <c r="BD66" s="2018">
        <v>1</v>
      </c>
      <c r="BE66" s="2018">
        <v>1</v>
      </c>
      <c r="BF66" s="2018">
        <v>1</v>
      </c>
      <c r="BG66" s="2018">
        <v>1</v>
      </c>
      <c r="BH66" s="2025">
        <v>1</v>
      </c>
      <c r="BI66" s="2018">
        <v>0.33333333333333331</v>
      </c>
      <c r="BJ66" s="2018">
        <v>0.5</v>
      </c>
      <c r="BK66" s="2019"/>
      <c r="BL66" s="2018"/>
      <c r="BM66" s="2018"/>
      <c r="BO66" s="2011" t="s">
        <v>2281</v>
      </c>
      <c r="BP66" s="2015" t="s">
        <v>2157</v>
      </c>
      <c r="BQ66" s="2016" t="s">
        <v>2159</v>
      </c>
      <c r="BR66" s="2018">
        <v>0.33333333333333331</v>
      </c>
      <c r="BS66" s="2018">
        <v>1</v>
      </c>
      <c r="BT66" s="2018">
        <v>1</v>
      </c>
      <c r="BU66" s="2018">
        <v>1</v>
      </c>
      <c r="BV66" s="2018">
        <v>1</v>
      </c>
      <c r="BW66" s="2018">
        <v>1</v>
      </c>
      <c r="BX66" s="2018">
        <v>1</v>
      </c>
      <c r="BY66" s="2025">
        <v>1</v>
      </c>
      <c r="BZ66" s="2018">
        <v>0.33333333333333331</v>
      </c>
      <c r="CA66" s="2018">
        <v>1</v>
      </c>
      <c r="CB66" s="2019"/>
      <c r="CC66" s="2018"/>
      <c r="CD66" s="2018"/>
      <c r="CE66" s="2447"/>
    </row>
    <row r="67" spans="1:84">
      <c r="B67" s="1985">
        <f t="shared" si="44"/>
        <v>1.2</v>
      </c>
      <c r="C67" s="2008" t="str">
        <f t="shared" si="26"/>
        <v>心理性・快適性</v>
      </c>
      <c r="D67" s="2009" t="e">
        <f>IF(I$62=0,0,G67/I$62)</f>
        <v>#DIV/0!</v>
      </c>
      <c r="E67" s="2010" t="e">
        <f>IF(J$62=0,0,H67/J$62)</f>
        <v>#DIV/0!</v>
      </c>
      <c r="G67" s="2010" t="e">
        <f t="shared" si="27"/>
        <v>#DIV/0!</v>
      </c>
      <c r="H67" s="2010" t="e">
        <f t="shared" si="28"/>
        <v>#DIV/0!</v>
      </c>
      <c r="I67" s="2010" t="e">
        <f>G68+G69+G70</f>
        <v>#DIV/0!</v>
      </c>
      <c r="J67" s="2010" t="e">
        <f>H68+H69+H70</f>
        <v>#DIV/0!</v>
      </c>
      <c r="K67" s="2010" t="e">
        <f>IF(スコア!O67=0,0,1)</f>
        <v>#DIV/0!</v>
      </c>
      <c r="L67" s="2010" t="e">
        <f>IF(スコア!Q67=0,0,1)</f>
        <v>#DIV/0!</v>
      </c>
      <c r="M67" s="2010" t="e">
        <f t="shared" si="29"/>
        <v>#DIV/0!</v>
      </c>
      <c r="N67" s="2010" t="e">
        <f t="shared" si="30"/>
        <v>#DIV/0!</v>
      </c>
      <c r="P67" s="2011">
        <f t="shared" si="6"/>
        <v>1.2</v>
      </c>
      <c r="Q67" s="2011" t="str">
        <f t="shared" si="7"/>
        <v xml:space="preserve"> Q2 1</v>
      </c>
      <c r="R67" s="2012" t="str">
        <f t="shared" si="47"/>
        <v>心理性・快適性</v>
      </c>
      <c r="S67" s="2013">
        <f t="shared" si="31"/>
        <v>0.3</v>
      </c>
      <c r="T67" s="2013">
        <f t="shared" si="32"/>
        <v>0.3</v>
      </c>
      <c r="U67" s="2013">
        <f t="shared" si="33"/>
        <v>0.3</v>
      </c>
      <c r="V67" s="2013">
        <f t="shared" si="34"/>
        <v>0.3</v>
      </c>
      <c r="W67" s="2013">
        <f t="shared" si="35"/>
        <v>0.3</v>
      </c>
      <c r="X67" s="2013">
        <f t="shared" si="36"/>
        <v>0.3</v>
      </c>
      <c r="Y67" s="2013">
        <f t="shared" si="37"/>
        <v>0.3</v>
      </c>
      <c r="Z67" s="2031">
        <f t="shared" si="38"/>
        <v>0.3</v>
      </c>
      <c r="AA67" s="2013">
        <f t="shared" si="39"/>
        <v>0.3</v>
      </c>
      <c r="AB67" s="2013">
        <f t="shared" si="40"/>
        <v>0.3</v>
      </c>
      <c r="AC67" s="2014">
        <f t="shared" si="41"/>
        <v>0.4</v>
      </c>
      <c r="AD67" s="2013">
        <f t="shared" si="42"/>
        <v>0.4</v>
      </c>
      <c r="AE67" s="2013">
        <f t="shared" si="43"/>
        <v>0.4</v>
      </c>
      <c r="AG67" s="2011">
        <v>1.2</v>
      </c>
      <c r="AH67" s="2015" t="s">
        <v>2155</v>
      </c>
      <c r="AI67" s="2016" t="s">
        <v>2226</v>
      </c>
      <c r="AJ67" s="2013">
        <v>0.3</v>
      </c>
      <c r="AK67" s="2013">
        <v>0.3</v>
      </c>
      <c r="AL67" s="2013">
        <v>0.3</v>
      </c>
      <c r="AM67" s="2017">
        <v>0.3</v>
      </c>
      <c r="AN67" s="2017">
        <v>0.3</v>
      </c>
      <c r="AO67" s="2013">
        <v>0.3</v>
      </c>
      <c r="AP67" s="2017">
        <v>0.3</v>
      </c>
      <c r="AQ67" s="2013">
        <v>0.3</v>
      </c>
      <c r="AR67" s="2017">
        <v>0.3</v>
      </c>
      <c r="AS67" s="2018">
        <v>0.3</v>
      </c>
      <c r="AT67" s="2018">
        <v>0.4</v>
      </c>
      <c r="AU67" s="2018">
        <v>0.4</v>
      </c>
      <c r="AV67" s="2018">
        <v>0.4</v>
      </c>
      <c r="AX67" s="2011">
        <v>1.2</v>
      </c>
      <c r="AY67" s="2015" t="s">
        <v>2155</v>
      </c>
      <c r="AZ67" s="2016" t="s">
        <v>2226</v>
      </c>
      <c r="BA67" s="2018">
        <v>0.3</v>
      </c>
      <c r="BB67" s="2018">
        <v>0.3</v>
      </c>
      <c r="BC67" s="2018">
        <v>0.3</v>
      </c>
      <c r="BD67" s="2018">
        <v>0.3</v>
      </c>
      <c r="BE67" s="2018">
        <v>0.3</v>
      </c>
      <c r="BF67" s="2018">
        <v>0.3</v>
      </c>
      <c r="BG67" s="2018">
        <v>0.3</v>
      </c>
      <c r="BH67" s="2025">
        <v>0.3</v>
      </c>
      <c r="BI67" s="2018">
        <v>0.3</v>
      </c>
      <c r="BJ67" s="2018">
        <v>0.3</v>
      </c>
      <c r="BK67" s="2018">
        <v>0.4</v>
      </c>
      <c r="BL67" s="2018">
        <v>0.4</v>
      </c>
      <c r="BM67" s="2018">
        <v>0.4</v>
      </c>
      <c r="BO67" s="2011">
        <v>1.2</v>
      </c>
      <c r="BP67" s="2015" t="s">
        <v>2155</v>
      </c>
      <c r="BQ67" s="2016" t="s">
        <v>2226</v>
      </c>
      <c r="BR67" s="2018">
        <v>0.3</v>
      </c>
      <c r="BS67" s="2018">
        <v>0.3</v>
      </c>
      <c r="BT67" s="2018">
        <v>0.3</v>
      </c>
      <c r="BU67" s="2018">
        <v>0.3</v>
      </c>
      <c r="BV67" s="2018">
        <v>0.3</v>
      </c>
      <c r="BW67" s="2018">
        <v>0.3</v>
      </c>
      <c r="BX67" s="2018">
        <v>0.3</v>
      </c>
      <c r="BY67" s="2025">
        <v>0.3</v>
      </c>
      <c r="BZ67" s="2018">
        <v>0.3</v>
      </c>
      <c r="CA67" s="2018">
        <v>0.3</v>
      </c>
      <c r="CB67" s="2018">
        <v>0.4</v>
      </c>
      <c r="CC67" s="2018">
        <v>0.4</v>
      </c>
      <c r="CD67" s="2018">
        <v>0.4</v>
      </c>
      <c r="CE67" s="2447"/>
    </row>
    <row r="68" spans="1:84">
      <c r="B68" s="1985" t="str">
        <f t="shared" si="44"/>
        <v>1.2.1</v>
      </c>
      <c r="C68" s="2008" t="str">
        <f t="shared" si="26"/>
        <v>広さ感・景観</v>
      </c>
      <c r="D68" s="1998" t="e">
        <f t="shared" ref="D68:E70" si="49">IF(I$67&gt;0,G68/I$67,0)</f>
        <v>#DIV/0!</v>
      </c>
      <c r="E68" s="2010" t="e">
        <f t="shared" si="49"/>
        <v>#DIV/0!</v>
      </c>
      <c r="G68" s="2010" t="e">
        <f t="shared" si="27"/>
        <v>#DIV/0!</v>
      </c>
      <c r="H68" s="2010" t="e">
        <f t="shared" si="28"/>
        <v>#DIV/0!</v>
      </c>
      <c r="I68" s="2010"/>
      <c r="J68" s="2010"/>
      <c r="K68" s="2010">
        <f>IF(スコア!O68=0,0,1)</f>
        <v>1</v>
      </c>
      <c r="L68" s="2010">
        <f>IF(スコア!Q68=0,0,1)</f>
        <v>0</v>
      </c>
      <c r="M68" s="2010" t="e">
        <f t="shared" si="29"/>
        <v>#DIV/0!</v>
      </c>
      <c r="N68" s="2010" t="e">
        <f t="shared" si="30"/>
        <v>#DIV/0!</v>
      </c>
      <c r="P68" s="2011" t="str">
        <f t="shared" si="6"/>
        <v>1.2.1</v>
      </c>
      <c r="Q68" s="2011" t="str">
        <f t="shared" si="7"/>
        <v xml:space="preserve"> Q2 1.2</v>
      </c>
      <c r="R68" s="2012" t="str">
        <f t="shared" si="47"/>
        <v>広さ感・景観</v>
      </c>
      <c r="S68" s="2013">
        <f t="shared" si="31"/>
        <v>0.33333333333333331</v>
      </c>
      <c r="T68" s="2013">
        <f t="shared" si="32"/>
        <v>0</v>
      </c>
      <c r="U68" s="2013">
        <f t="shared" si="33"/>
        <v>0</v>
      </c>
      <c r="V68" s="2013">
        <f t="shared" si="34"/>
        <v>0</v>
      </c>
      <c r="W68" s="2013">
        <f t="shared" si="35"/>
        <v>0</v>
      </c>
      <c r="X68" s="2013">
        <f t="shared" si="36"/>
        <v>0</v>
      </c>
      <c r="Y68" s="2013">
        <f t="shared" si="37"/>
        <v>0</v>
      </c>
      <c r="Z68" s="2031">
        <f t="shared" si="38"/>
        <v>0</v>
      </c>
      <c r="AA68" s="2013">
        <f t="shared" si="39"/>
        <v>0</v>
      </c>
      <c r="AB68" s="2013">
        <f t="shared" si="40"/>
        <v>0</v>
      </c>
      <c r="AC68" s="2014">
        <f t="shared" si="41"/>
        <v>0</v>
      </c>
      <c r="AD68" s="2014">
        <f t="shared" si="42"/>
        <v>0</v>
      </c>
      <c r="AE68" s="2014">
        <f t="shared" si="43"/>
        <v>0</v>
      </c>
      <c r="AG68" s="2011" t="s">
        <v>2282</v>
      </c>
      <c r="AH68" s="2015" t="s">
        <v>2160</v>
      </c>
      <c r="AI68" s="2016" t="s">
        <v>2161</v>
      </c>
      <c r="AJ68" s="2056">
        <v>0.33333333333333331</v>
      </c>
      <c r="AK68" s="2013"/>
      <c r="AL68" s="2013"/>
      <c r="AM68" s="2013"/>
      <c r="AN68" s="2013"/>
      <c r="AO68" s="2013"/>
      <c r="AP68" s="2013"/>
      <c r="AQ68" s="2031"/>
      <c r="AR68" s="2013"/>
      <c r="AS68" s="2018"/>
      <c r="AT68" s="2019"/>
      <c r="AU68" s="2019"/>
      <c r="AV68" s="2019"/>
      <c r="AX68" s="2011" t="s">
        <v>2282</v>
      </c>
      <c r="AY68" s="2015" t="s">
        <v>2160</v>
      </c>
      <c r="AZ68" s="2016" t="s">
        <v>2161</v>
      </c>
      <c r="BA68" s="2018">
        <v>0.33333333333333331</v>
      </c>
      <c r="BB68" s="2018">
        <v>0.5</v>
      </c>
      <c r="BC68" s="2018">
        <v>0.33333333333333331</v>
      </c>
      <c r="BD68" s="2018">
        <v>0.5</v>
      </c>
      <c r="BE68" s="2018"/>
      <c r="BF68" s="2018"/>
      <c r="BG68" s="2018"/>
      <c r="BH68" s="2025"/>
      <c r="BI68" s="2018">
        <v>0.33333333333333331</v>
      </c>
      <c r="BJ68" s="2018">
        <v>0.5</v>
      </c>
      <c r="BK68" s="2019">
        <v>0.5</v>
      </c>
      <c r="BL68" s="2019">
        <v>0.5</v>
      </c>
      <c r="BM68" s="2019">
        <v>0.5</v>
      </c>
      <c r="BO68" s="2011" t="s">
        <v>2282</v>
      </c>
      <c r="BP68" s="2015" t="s">
        <v>2160</v>
      </c>
      <c r="BQ68" s="2016" t="s">
        <v>2161</v>
      </c>
      <c r="BR68" s="2018">
        <v>0.33333333333333331</v>
      </c>
      <c r="BS68" s="2018">
        <v>0.5</v>
      </c>
      <c r="BT68" s="2018">
        <v>0.33333333333333331</v>
      </c>
      <c r="BU68" s="2018">
        <v>0.5</v>
      </c>
      <c r="BV68" s="2018"/>
      <c r="BW68" s="2018"/>
      <c r="BX68" s="2018"/>
      <c r="BY68" s="2025"/>
      <c r="BZ68" s="2018">
        <v>0.33333333333333331</v>
      </c>
      <c r="CA68" s="2018">
        <v>0.5</v>
      </c>
      <c r="CB68" s="2019">
        <v>0.5</v>
      </c>
      <c r="CC68" s="2019">
        <v>0.5</v>
      </c>
      <c r="CD68" s="2019">
        <v>0.5</v>
      </c>
      <c r="CE68" s="2447"/>
    </row>
    <row r="69" spans="1:84">
      <c r="B69" s="1985" t="str">
        <f t="shared" si="44"/>
        <v>1.2.2</v>
      </c>
      <c r="C69" s="2008" t="str">
        <f t="shared" si="26"/>
        <v>リフレッシュスペース</v>
      </c>
      <c r="D69" s="1998" t="e">
        <f t="shared" si="49"/>
        <v>#DIV/0!</v>
      </c>
      <c r="E69" s="2010" t="e">
        <f t="shared" si="49"/>
        <v>#DIV/0!</v>
      </c>
      <c r="G69" s="2010" t="e">
        <f t="shared" si="27"/>
        <v>#DIV/0!</v>
      </c>
      <c r="H69" s="2010" t="e">
        <f t="shared" si="28"/>
        <v>#DIV/0!</v>
      </c>
      <c r="I69" s="2010"/>
      <c r="J69" s="2010"/>
      <c r="K69" s="2010">
        <f>IF(スコア!O69=0,0,1)</f>
        <v>1</v>
      </c>
      <c r="L69" s="2010">
        <f>IF(スコア!Q69=0,0,1)</f>
        <v>0</v>
      </c>
      <c r="M69" s="2010" t="e">
        <f t="shared" si="29"/>
        <v>#DIV/0!</v>
      </c>
      <c r="N69" s="2010" t="e">
        <f t="shared" si="30"/>
        <v>#DIV/0!</v>
      </c>
      <c r="P69" s="2011" t="str">
        <f t="shared" si="6"/>
        <v>1.2.2</v>
      </c>
      <c r="Q69" s="2011" t="str">
        <f t="shared" si="7"/>
        <v xml:space="preserve"> Q2 1.2</v>
      </c>
      <c r="R69" s="2012" t="str">
        <f t="shared" si="47"/>
        <v>リフレッシュスペース</v>
      </c>
      <c r="S69" s="2013">
        <f t="shared" si="31"/>
        <v>0.33333333333333331</v>
      </c>
      <c r="T69" s="2013">
        <f t="shared" si="32"/>
        <v>0</v>
      </c>
      <c r="U69" s="2013">
        <f t="shared" si="33"/>
        <v>0.5</v>
      </c>
      <c r="V69" s="2013">
        <f t="shared" si="34"/>
        <v>0</v>
      </c>
      <c r="W69" s="2013">
        <f t="shared" si="35"/>
        <v>0</v>
      </c>
      <c r="X69" s="2013">
        <f t="shared" si="36"/>
        <v>0</v>
      </c>
      <c r="Y69" s="2013">
        <f t="shared" si="37"/>
        <v>0</v>
      </c>
      <c r="Z69" s="2031">
        <f t="shared" si="38"/>
        <v>0</v>
      </c>
      <c r="AA69" s="2013">
        <f t="shared" si="39"/>
        <v>0</v>
      </c>
      <c r="AB69" s="2013">
        <f t="shared" si="40"/>
        <v>0</v>
      </c>
      <c r="AC69" s="2014">
        <f t="shared" si="41"/>
        <v>0</v>
      </c>
      <c r="AD69" s="2014">
        <f t="shared" si="42"/>
        <v>0</v>
      </c>
      <c r="AE69" s="2014">
        <f t="shared" si="43"/>
        <v>0</v>
      </c>
      <c r="AG69" s="2011" t="s">
        <v>2283</v>
      </c>
      <c r="AH69" s="2015" t="s">
        <v>2160</v>
      </c>
      <c r="AI69" s="2016" t="s">
        <v>2162</v>
      </c>
      <c r="AJ69" s="2056">
        <v>0.33333333333333331</v>
      </c>
      <c r="AK69" s="2013"/>
      <c r="AL69" s="2013">
        <v>0.5</v>
      </c>
      <c r="AM69" s="2013"/>
      <c r="AN69" s="2013"/>
      <c r="AO69" s="2013"/>
      <c r="AP69" s="2013"/>
      <c r="AQ69" s="2031"/>
      <c r="AR69" s="2013"/>
      <c r="AS69" s="2018"/>
      <c r="AT69" s="2019"/>
      <c r="AU69" s="2019"/>
      <c r="AV69" s="2019"/>
      <c r="AX69" s="2011" t="s">
        <v>2283</v>
      </c>
      <c r="AY69" s="2015" t="s">
        <v>2160</v>
      </c>
      <c r="AZ69" s="2016" t="s">
        <v>2162</v>
      </c>
      <c r="BA69" s="2018">
        <v>0.33333333333333331</v>
      </c>
      <c r="BB69" s="2018">
        <v>0</v>
      </c>
      <c r="BC69" s="2018">
        <v>0.33333333333333331</v>
      </c>
      <c r="BD69" s="2018"/>
      <c r="BE69" s="2018"/>
      <c r="BF69" s="2018"/>
      <c r="BG69" s="2018"/>
      <c r="BH69" s="2025"/>
      <c r="BI69" s="2018">
        <v>0.33333333333333331</v>
      </c>
      <c r="BJ69" s="2018">
        <v>0</v>
      </c>
      <c r="BK69" s="2019"/>
      <c r="BL69" s="2019"/>
      <c r="BM69" s="2019"/>
      <c r="BO69" s="2011" t="s">
        <v>2283</v>
      </c>
      <c r="BP69" s="2015" t="s">
        <v>2160</v>
      </c>
      <c r="BQ69" s="2016" t="s">
        <v>2162</v>
      </c>
      <c r="BR69" s="2018">
        <v>0.33333333333333331</v>
      </c>
      <c r="BS69" s="2018"/>
      <c r="BT69" s="2018">
        <v>0.33333333333333331</v>
      </c>
      <c r="BU69" s="2018"/>
      <c r="BV69" s="2018"/>
      <c r="BW69" s="2018"/>
      <c r="BX69" s="2018"/>
      <c r="BY69" s="2025"/>
      <c r="BZ69" s="2018">
        <v>0.33333333333333331</v>
      </c>
      <c r="CA69" s="2018"/>
      <c r="CB69" s="2019"/>
      <c r="CC69" s="2019"/>
      <c r="CD69" s="2019"/>
      <c r="CE69" s="2447"/>
    </row>
    <row r="70" spans="1:84">
      <c r="B70" s="1985" t="str">
        <f t="shared" si="44"/>
        <v>1.2.3</v>
      </c>
      <c r="C70" s="2008" t="str">
        <f t="shared" si="26"/>
        <v>内装計画</v>
      </c>
      <c r="D70" s="1998" t="e">
        <f t="shared" si="49"/>
        <v>#DIV/0!</v>
      </c>
      <c r="E70" s="2010" t="e">
        <f t="shared" si="49"/>
        <v>#DIV/0!</v>
      </c>
      <c r="G70" s="2010" t="e">
        <f t="shared" si="27"/>
        <v>#DIV/0!</v>
      </c>
      <c r="H70" s="2010" t="e">
        <f t="shared" si="28"/>
        <v>#DIV/0!</v>
      </c>
      <c r="I70" s="2010"/>
      <c r="J70" s="2010"/>
      <c r="K70" s="2010" t="e">
        <f>IF(スコア!O70=0,0,1)</f>
        <v>#DIV/0!</v>
      </c>
      <c r="L70" s="2010" t="e">
        <f>IF(スコア!Q70=0,0,1)</f>
        <v>#DIV/0!</v>
      </c>
      <c r="M70" s="2010" t="e">
        <f t="shared" si="29"/>
        <v>#DIV/0!</v>
      </c>
      <c r="N70" s="2010" t="e">
        <f t="shared" si="30"/>
        <v>#DIV/0!</v>
      </c>
      <c r="P70" s="2011" t="str">
        <f t="shared" si="6"/>
        <v>1.2.3</v>
      </c>
      <c r="Q70" s="2011" t="str">
        <f t="shared" si="7"/>
        <v xml:space="preserve"> Q2 1.2</v>
      </c>
      <c r="R70" s="2012" t="str">
        <f t="shared" si="47"/>
        <v>内装計画</v>
      </c>
      <c r="S70" s="2013">
        <f t="shared" si="31"/>
        <v>0.33333333333333331</v>
      </c>
      <c r="T70" s="2013">
        <f t="shared" si="32"/>
        <v>1</v>
      </c>
      <c r="U70" s="2013">
        <f t="shared" si="33"/>
        <v>0.5</v>
      </c>
      <c r="V70" s="2013">
        <f t="shared" si="34"/>
        <v>1</v>
      </c>
      <c r="W70" s="2013">
        <f t="shared" si="35"/>
        <v>1</v>
      </c>
      <c r="X70" s="2013">
        <f t="shared" si="36"/>
        <v>1</v>
      </c>
      <c r="Y70" s="2013">
        <f t="shared" si="37"/>
        <v>1</v>
      </c>
      <c r="Z70" s="2031">
        <f t="shared" si="38"/>
        <v>1</v>
      </c>
      <c r="AA70" s="2013">
        <f t="shared" si="39"/>
        <v>1</v>
      </c>
      <c r="AB70" s="2013">
        <f t="shared" si="40"/>
        <v>1</v>
      </c>
      <c r="AC70" s="2014">
        <f t="shared" si="41"/>
        <v>1</v>
      </c>
      <c r="AD70" s="2014">
        <f t="shared" si="42"/>
        <v>1</v>
      </c>
      <c r="AE70" s="2014">
        <f t="shared" si="43"/>
        <v>1</v>
      </c>
      <c r="AG70" s="2011" t="s">
        <v>2284</v>
      </c>
      <c r="AH70" s="2015" t="s">
        <v>2160</v>
      </c>
      <c r="AI70" s="2016" t="s">
        <v>2163</v>
      </c>
      <c r="AJ70" s="2056">
        <v>0.33333333333333331</v>
      </c>
      <c r="AK70" s="2013">
        <v>1</v>
      </c>
      <c r="AL70" s="2013">
        <v>0.5</v>
      </c>
      <c r="AM70" s="2013">
        <v>1</v>
      </c>
      <c r="AN70" s="2013">
        <v>1</v>
      </c>
      <c r="AO70" s="2013">
        <v>1</v>
      </c>
      <c r="AP70" s="2013">
        <v>1</v>
      </c>
      <c r="AQ70" s="2031">
        <v>1</v>
      </c>
      <c r="AR70" s="2013">
        <v>1</v>
      </c>
      <c r="AS70" s="2018">
        <v>1</v>
      </c>
      <c r="AT70" s="2019">
        <v>1</v>
      </c>
      <c r="AU70" s="2019">
        <v>1</v>
      </c>
      <c r="AV70" s="2019">
        <v>1</v>
      </c>
      <c r="AX70" s="2011" t="s">
        <v>2284</v>
      </c>
      <c r="AY70" s="2015" t="s">
        <v>2160</v>
      </c>
      <c r="AZ70" s="2016" t="s">
        <v>2163</v>
      </c>
      <c r="BA70" s="2018">
        <v>0.33333333333333331</v>
      </c>
      <c r="BB70" s="2018">
        <v>0.5</v>
      </c>
      <c r="BC70" s="2018">
        <v>0.33333333333333331</v>
      </c>
      <c r="BD70" s="2018">
        <v>0.5</v>
      </c>
      <c r="BE70" s="2018">
        <v>1</v>
      </c>
      <c r="BF70" s="2018">
        <v>1</v>
      </c>
      <c r="BG70" s="2018">
        <v>1</v>
      </c>
      <c r="BH70" s="2025">
        <v>1</v>
      </c>
      <c r="BI70" s="2018">
        <v>0.33333333333333331</v>
      </c>
      <c r="BJ70" s="2018">
        <v>0.5</v>
      </c>
      <c r="BK70" s="2019">
        <v>0.5</v>
      </c>
      <c r="BL70" s="2019">
        <v>0.5</v>
      </c>
      <c r="BM70" s="2019">
        <v>0.5</v>
      </c>
      <c r="BO70" s="2011" t="s">
        <v>2284</v>
      </c>
      <c r="BP70" s="2015" t="s">
        <v>2160</v>
      </c>
      <c r="BQ70" s="2016" t="s">
        <v>2163</v>
      </c>
      <c r="BR70" s="2018">
        <v>0.33333333333333331</v>
      </c>
      <c r="BS70" s="2018">
        <v>0.5</v>
      </c>
      <c r="BT70" s="2018">
        <v>0.33333333333333331</v>
      </c>
      <c r="BU70" s="2018">
        <v>0.5</v>
      </c>
      <c r="BV70" s="2018">
        <v>1</v>
      </c>
      <c r="BW70" s="2018">
        <v>1</v>
      </c>
      <c r="BX70" s="2018">
        <v>1</v>
      </c>
      <c r="BY70" s="2025">
        <v>1</v>
      </c>
      <c r="BZ70" s="2018">
        <v>0.33333333333333331</v>
      </c>
      <c r="CA70" s="2018">
        <v>0.5</v>
      </c>
      <c r="CB70" s="2019">
        <v>0.5</v>
      </c>
      <c r="CC70" s="2019">
        <v>0.5</v>
      </c>
      <c r="CD70" s="2019">
        <v>0.5</v>
      </c>
      <c r="CE70" s="2447"/>
    </row>
    <row r="71" spans="1:84" s="2063" customFormat="1">
      <c r="A71"/>
      <c r="B71" s="1985">
        <f t="shared" si="44"/>
        <v>1.3</v>
      </c>
      <c r="C71" s="2008" t="str">
        <f t="shared" si="26"/>
        <v>維持管理</v>
      </c>
      <c r="D71" s="2009" t="e">
        <f>IF(I$62=0,0,G71/I$62)</f>
        <v>#DIV/0!</v>
      </c>
      <c r="E71" s="2010" t="e">
        <f>IF(J$62=0,0,H71/J$62)</f>
        <v>#DIV/0!</v>
      </c>
      <c r="F71"/>
      <c r="G71" s="2010" t="e">
        <f t="shared" si="27"/>
        <v>#DIV/0!</v>
      </c>
      <c r="H71" s="2010" t="e">
        <f t="shared" si="28"/>
        <v>#DIV/0!</v>
      </c>
      <c r="I71" s="2010" t="e">
        <f>G72+G73+G74</f>
        <v>#DIV/0!</v>
      </c>
      <c r="J71" s="2010" t="e">
        <f>H72+H73+H74</f>
        <v>#DIV/0!</v>
      </c>
      <c r="K71" s="2010" t="e">
        <f>IF(スコア!O71=0,0,1)</f>
        <v>#DIV/0!</v>
      </c>
      <c r="L71" s="2010" t="e">
        <f>IF(スコア!Q75=0,0,1)</f>
        <v>#DIV/0!</v>
      </c>
      <c r="M71" s="2010" t="e">
        <f t="shared" si="29"/>
        <v>#DIV/0!</v>
      </c>
      <c r="N71" s="2010" t="e">
        <f t="shared" si="30"/>
        <v>#DIV/0!</v>
      </c>
      <c r="O71"/>
      <c r="P71" s="2011">
        <f t="shared" si="6"/>
        <v>1.3</v>
      </c>
      <c r="Q71" s="2011" t="str">
        <f t="shared" si="7"/>
        <v xml:space="preserve"> Q2 1</v>
      </c>
      <c r="R71" s="2012" t="str">
        <f t="shared" si="47"/>
        <v>維持管理</v>
      </c>
      <c r="S71" s="2013">
        <f t="shared" si="31"/>
        <v>0.3</v>
      </c>
      <c r="T71" s="2013">
        <f t="shared" si="32"/>
        <v>0.3</v>
      </c>
      <c r="U71" s="2013">
        <f t="shared" si="33"/>
        <v>0.3</v>
      </c>
      <c r="V71" s="2013">
        <f t="shared" si="34"/>
        <v>0.3</v>
      </c>
      <c r="W71" s="2013">
        <f t="shared" si="35"/>
        <v>0.3</v>
      </c>
      <c r="X71" s="2013">
        <f t="shared" si="36"/>
        <v>0.3</v>
      </c>
      <c r="Y71" s="2013">
        <f t="shared" si="37"/>
        <v>0.3</v>
      </c>
      <c r="Z71" s="2031">
        <f t="shared" si="38"/>
        <v>0.3</v>
      </c>
      <c r="AA71" s="2013">
        <f t="shared" si="39"/>
        <v>0.3</v>
      </c>
      <c r="AB71" s="2013">
        <f t="shared" si="40"/>
        <v>0.3</v>
      </c>
      <c r="AC71" s="2014">
        <f t="shared" si="41"/>
        <v>0</v>
      </c>
      <c r="AD71" s="2014">
        <f t="shared" si="42"/>
        <v>0</v>
      </c>
      <c r="AE71" s="2014">
        <f t="shared" si="43"/>
        <v>0</v>
      </c>
      <c r="AF71"/>
      <c r="AG71" s="2011">
        <v>1.3</v>
      </c>
      <c r="AH71" s="2015" t="s">
        <v>2155</v>
      </c>
      <c r="AI71" s="2016" t="s">
        <v>1</v>
      </c>
      <c r="AJ71" s="2056">
        <v>0.3</v>
      </c>
      <c r="AK71" s="2056">
        <v>0.3</v>
      </c>
      <c r="AL71" s="2056">
        <v>0.3</v>
      </c>
      <c r="AM71" s="2017">
        <v>0.3</v>
      </c>
      <c r="AN71" s="2017">
        <v>0.3</v>
      </c>
      <c r="AO71" s="2056">
        <v>0.3</v>
      </c>
      <c r="AP71" s="2017">
        <v>0.3</v>
      </c>
      <c r="AQ71" s="2056">
        <v>0.3</v>
      </c>
      <c r="AR71" s="2017">
        <v>0.3</v>
      </c>
      <c r="AS71" s="2018">
        <v>0.3</v>
      </c>
      <c r="AT71" s="2019">
        <v>0</v>
      </c>
      <c r="AU71" s="2019">
        <v>0</v>
      </c>
      <c r="AV71" s="2019">
        <v>0</v>
      </c>
      <c r="AW71"/>
      <c r="AX71" s="2011">
        <v>1.3</v>
      </c>
      <c r="AY71" s="2015" t="s">
        <v>2155</v>
      </c>
      <c r="AZ71" s="2016" t="s">
        <v>1</v>
      </c>
      <c r="BA71" s="2018">
        <v>0.3</v>
      </c>
      <c r="BB71" s="2018">
        <v>0.3</v>
      </c>
      <c r="BC71" s="2018">
        <v>0.3</v>
      </c>
      <c r="BD71" s="2018">
        <v>0.3</v>
      </c>
      <c r="BE71" s="2018">
        <v>0.3</v>
      </c>
      <c r="BF71" s="2018">
        <v>0.3</v>
      </c>
      <c r="BG71" s="2018">
        <v>0.3</v>
      </c>
      <c r="BH71" s="2025">
        <v>0.3</v>
      </c>
      <c r="BI71" s="2018">
        <v>0.3</v>
      </c>
      <c r="BJ71" s="2018">
        <v>0.3</v>
      </c>
      <c r="BK71" s="2019"/>
      <c r="BL71" s="2019"/>
      <c r="BM71" s="2019"/>
      <c r="BN71"/>
      <c r="BO71" s="2011">
        <v>1.3</v>
      </c>
      <c r="BP71" s="2015" t="s">
        <v>2155</v>
      </c>
      <c r="BQ71" s="2016" t="s">
        <v>1</v>
      </c>
      <c r="BR71" s="2018">
        <v>0.3</v>
      </c>
      <c r="BS71" s="2018">
        <v>0.3</v>
      </c>
      <c r="BT71" s="2018">
        <v>0.3</v>
      </c>
      <c r="BU71" s="2018">
        <v>0.3</v>
      </c>
      <c r="BV71" s="2018">
        <v>0.3</v>
      </c>
      <c r="BW71" s="2018">
        <v>0.3</v>
      </c>
      <c r="BX71" s="2018">
        <v>0.3</v>
      </c>
      <c r="BY71" s="2025">
        <v>0.3</v>
      </c>
      <c r="BZ71" s="2018">
        <v>0.3</v>
      </c>
      <c r="CA71" s="2018">
        <v>0.3</v>
      </c>
      <c r="CB71" s="2019"/>
      <c r="CC71" s="2019"/>
      <c r="CD71" s="2019"/>
      <c r="CE71" s="2447"/>
      <c r="CF71"/>
    </row>
    <row r="72" spans="1:84" s="2063" customFormat="1">
      <c r="A72"/>
      <c r="B72" s="1985" t="str">
        <f t="shared" si="44"/>
        <v>1.3.1</v>
      </c>
      <c r="C72" s="2008" t="str">
        <f t="shared" si="26"/>
        <v>総合的な取組</v>
      </c>
      <c r="D72" s="1998" t="e">
        <f t="shared" ref="D72:E74" si="50">IF(I$71&gt;0,G72/I$71,0)</f>
        <v>#DIV/0!</v>
      </c>
      <c r="E72" s="1998" t="e">
        <f t="shared" si="50"/>
        <v>#DIV/0!</v>
      </c>
      <c r="F72"/>
      <c r="G72" s="2010" t="e">
        <f t="shared" si="27"/>
        <v>#DIV/0!</v>
      </c>
      <c r="H72" s="2010" t="e">
        <f t="shared" si="28"/>
        <v>#DIV/0!</v>
      </c>
      <c r="I72" s="2010"/>
      <c r="J72" s="2010"/>
      <c r="K72" s="2010" t="e">
        <f>IF(スコア!O72=0,0,1)</f>
        <v>#DIV/0!</v>
      </c>
      <c r="L72" s="2010" t="e">
        <f>IF(スコア!Q76=0,0,1)</f>
        <v>#DIV/0!</v>
      </c>
      <c r="M72" s="2010" t="e">
        <f t="shared" si="29"/>
        <v>#DIV/0!</v>
      </c>
      <c r="N72" s="2010" t="e">
        <f t="shared" si="30"/>
        <v>#DIV/0!</v>
      </c>
      <c r="O72"/>
      <c r="P72" s="2011" t="str">
        <f t="shared" si="6"/>
        <v>1.3.1</v>
      </c>
      <c r="Q72" s="2011" t="str">
        <f t="shared" si="7"/>
        <v xml:space="preserve"> Q2 1.3</v>
      </c>
      <c r="R72" s="2012" t="str">
        <f t="shared" si="47"/>
        <v>総合的な取組</v>
      </c>
      <c r="S72" s="2013">
        <f t="shared" si="31"/>
        <v>0.5</v>
      </c>
      <c r="T72" s="2013">
        <f t="shared" si="32"/>
        <v>0.5</v>
      </c>
      <c r="U72" s="2013">
        <f t="shared" si="33"/>
        <v>0.5</v>
      </c>
      <c r="V72" s="2013">
        <f t="shared" si="34"/>
        <v>0.5</v>
      </c>
      <c r="W72" s="2013">
        <f t="shared" si="35"/>
        <v>0.5</v>
      </c>
      <c r="X72" s="2013">
        <f t="shared" si="36"/>
        <v>0.5</v>
      </c>
      <c r="Y72" s="2013">
        <f t="shared" si="37"/>
        <v>0.5</v>
      </c>
      <c r="Z72" s="2031">
        <f t="shared" si="38"/>
        <v>0.5</v>
      </c>
      <c r="AA72" s="2013">
        <f t="shared" si="39"/>
        <v>0.5</v>
      </c>
      <c r="AB72" s="2013">
        <f t="shared" si="40"/>
        <v>0.5</v>
      </c>
      <c r="AC72" s="2014">
        <f t="shared" si="41"/>
        <v>0</v>
      </c>
      <c r="AD72" s="2014">
        <f t="shared" si="42"/>
        <v>0</v>
      </c>
      <c r="AE72" s="2014">
        <f t="shared" si="43"/>
        <v>0</v>
      </c>
      <c r="AF72"/>
      <c r="AG72" s="2011" t="s">
        <v>2164</v>
      </c>
      <c r="AH72" s="2015" t="s">
        <v>1693</v>
      </c>
      <c r="AI72" s="646" t="s">
        <v>3347</v>
      </c>
      <c r="AJ72" s="2056">
        <v>0.5</v>
      </c>
      <c r="AK72" s="2056">
        <v>0.5</v>
      </c>
      <c r="AL72" s="2056">
        <v>0.5</v>
      </c>
      <c r="AM72" s="2024">
        <v>0.5</v>
      </c>
      <c r="AN72" s="2024">
        <v>0.5</v>
      </c>
      <c r="AO72" s="2056">
        <v>0.5</v>
      </c>
      <c r="AP72" s="2024">
        <v>0.5</v>
      </c>
      <c r="AQ72" s="2056">
        <v>0.5</v>
      </c>
      <c r="AR72" s="2024">
        <v>0.5</v>
      </c>
      <c r="AS72" s="2018">
        <v>0.5</v>
      </c>
      <c r="AT72" s="2019">
        <v>0</v>
      </c>
      <c r="AU72" s="2019">
        <v>0</v>
      </c>
      <c r="AV72" s="2019">
        <v>0</v>
      </c>
      <c r="AW72"/>
      <c r="AX72" s="2011" t="s">
        <v>2164</v>
      </c>
      <c r="AY72" s="2015" t="s">
        <v>1693</v>
      </c>
      <c r="AZ72" s="2016" t="s">
        <v>1694</v>
      </c>
      <c r="BA72" s="2018">
        <v>0.5</v>
      </c>
      <c r="BB72" s="2018">
        <v>0.5</v>
      </c>
      <c r="BC72" s="2018">
        <v>0.5</v>
      </c>
      <c r="BD72" s="2018">
        <v>0.5</v>
      </c>
      <c r="BE72" s="2018">
        <v>0.5</v>
      </c>
      <c r="BF72" s="2018">
        <v>0.5</v>
      </c>
      <c r="BG72" s="2018">
        <v>0.5</v>
      </c>
      <c r="BH72" s="2025">
        <v>0.5</v>
      </c>
      <c r="BI72" s="2018">
        <v>0.5</v>
      </c>
      <c r="BJ72" s="2018">
        <v>0.5</v>
      </c>
      <c r="BK72" s="2019"/>
      <c r="BL72" s="2019"/>
      <c r="BM72" s="2019"/>
      <c r="BN72"/>
      <c r="BO72" s="2011" t="s">
        <v>2164</v>
      </c>
      <c r="BP72" s="2015" t="s">
        <v>1693</v>
      </c>
      <c r="BQ72" s="2016" t="s">
        <v>1694</v>
      </c>
      <c r="BR72" s="2018">
        <v>0.5</v>
      </c>
      <c r="BS72" s="2018">
        <v>0.5</v>
      </c>
      <c r="BT72" s="2018">
        <v>0.5</v>
      </c>
      <c r="BU72" s="2018">
        <v>0.5</v>
      </c>
      <c r="BV72" s="2018">
        <v>0.5</v>
      </c>
      <c r="BW72" s="2018">
        <v>0.5</v>
      </c>
      <c r="BX72" s="2018">
        <v>0.5</v>
      </c>
      <c r="BY72" s="2025">
        <v>0.5</v>
      </c>
      <c r="BZ72" s="2018">
        <v>0.5</v>
      </c>
      <c r="CA72" s="2018">
        <v>0.5</v>
      </c>
      <c r="CB72" s="2019"/>
      <c r="CC72" s="2019"/>
      <c r="CD72" s="2019"/>
      <c r="CE72" s="2447"/>
      <c r="CF72"/>
    </row>
    <row r="73" spans="1:84" s="2063" customFormat="1">
      <c r="A73"/>
      <c r="B73" s="1985" t="str">
        <f t="shared" si="44"/>
        <v>1.3.2</v>
      </c>
      <c r="C73" s="2008" t="str">
        <f t="shared" ref="C73:C104" si="51">R73</f>
        <v>清掃管理業務</v>
      </c>
      <c r="D73" s="1998" t="e">
        <f t="shared" si="50"/>
        <v>#DIV/0!</v>
      </c>
      <c r="E73" s="1998" t="e">
        <f t="shared" si="50"/>
        <v>#DIV/0!</v>
      </c>
      <c r="F73"/>
      <c r="G73" s="2010" t="e">
        <f t="shared" ref="G73:G104" si="52">K73*M73</f>
        <v>#DIV/0!</v>
      </c>
      <c r="H73" s="2010" t="e">
        <f t="shared" ref="H73:H104" si="53">L73*N73</f>
        <v>#DIV/0!</v>
      </c>
      <c r="I73" s="2010"/>
      <c r="J73" s="2010"/>
      <c r="K73" s="2010" t="e">
        <f>IF(スコア!O73=0,0,1)</f>
        <v>#DIV/0!</v>
      </c>
      <c r="L73" s="2010">
        <f>IF(スコア!Q77=0,0,1)</f>
        <v>0</v>
      </c>
      <c r="M73" s="2010" t="e">
        <f t="shared" ref="M73:M104" si="54">SUMPRODUCT($S$7:$AB$7,S73:AB73)</f>
        <v>#DIV/0!</v>
      </c>
      <c r="N73" s="2010" t="e">
        <f t="shared" ref="N73:N95" si="55">(AC$7*AC73)+(AD$7*AD73)+(AE$7*AE73)</f>
        <v>#DIV/0!</v>
      </c>
      <c r="O73"/>
      <c r="P73" s="2011" t="str">
        <f t="shared" ref="P73:P136" si="56">IF($P$3=1,AX73,IF($P$3=2,BO73,AG73))</f>
        <v>1.3.2</v>
      </c>
      <c r="Q73" s="2011" t="str">
        <f t="shared" ref="Q73:Q136" si="57">IF($P$3=1,AY73,IF($P$3=2,BP73,AH73))</f>
        <v xml:space="preserve"> Q2 1.3</v>
      </c>
      <c r="R73" s="2012" t="str">
        <f t="shared" ref="R73:R104" si="58">IF($P$3=1,AZ73,IF($P$3=2,BQ73,AI73))</f>
        <v>清掃管理業務</v>
      </c>
      <c r="S73" s="2013">
        <f t="shared" ref="S73:S104" si="59">IF($P$3=1,BA73,IF($P$3=2,BR73,AJ73))</f>
        <v>0.3</v>
      </c>
      <c r="T73" s="2013">
        <f t="shared" ref="T73:T104" si="60">IF($P$3=1,BB73,IF($P$3=2,BS73,AK73))</f>
        <v>0.3</v>
      </c>
      <c r="U73" s="2013">
        <f t="shared" ref="U73:U104" si="61">IF($P$3=1,BC73,IF($P$3=2,BT73,AL73))</f>
        <v>0.3</v>
      </c>
      <c r="V73" s="2013">
        <f t="shared" ref="V73:V104" si="62">IF($P$3=1,BD73,IF($P$3=2,BU73,AM73))</f>
        <v>0.3</v>
      </c>
      <c r="W73" s="2013">
        <f t="shared" ref="W73:W104" si="63">IF($P$3=1,BE73,IF($P$3=2,BV73,AN73))</f>
        <v>0.3</v>
      </c>
      <c r="X73" s="2013">
        <f t="shared" ref="X73:X104" si="64">IF($P$3=1,BF73,IF($P$3=2,BW73,AO73))</f>
        <v>0.3</v>
      </c>
      <c r="Y73" s="2013">
        <f t="shared" ref="Y73:Y104" si="65">IF($P$3=1,BG73,IF($P$3=2,BX73,AP73))</f>
        <v>0.3</v>
      </c>
      <c r="Z73" s="2031">
        <f t="shared" ref="Z73:Z104" si="66">IF($P$3=1,BH73,IF($P$3=2,BY73,AQ73))</f>
        <v>0.3</v>
      </c>
      <c r="AA73" s="2013">
        <f t="shared" ref="AA73:AA104" si="67">IF($P$3=1,BI73,IF($P$3=2,BZ73,AR73))</f>
        <v>0.3</v>
      </c>
      <c r="AB73" s="2013">
        <f t="shared" ref="AB73:AB104" si="68">IF($P$3=1,BJ73,IF($P$3=2,CA73,AS73))</f>
        <v>0.3</v>
      </c>
      <c r="AC73" s="2014">
        <f t="shared" ref="AC73:AC104" si="69">IF($P$3=1,BK73,IF($P$3=2,CB73,AT73))</f>
        <v>0</v>
      </c>
      <c r="AD73" s="2014">
        <f t="shared" ref="AD73:AD104" si="70">IF($P$3=1,BL73,IF($P$3=2,CC73,AU73))</f>
        <v>0</v>
      </c>
      <c r="AE73" s="2014">
        <f t="shared" ref="AE73:AE104" si="71">IF($P$3=1,BM73,IF($P$3=2,CD73,AV73))</f>
        <v>0</v>
      </c>
      <c r="AF73"/>
      <c r="AG73" s="2011" t="s">
        <v>1695</v>
      </c>
      <c r="AH73" s="2015" t="s">
        <v>1693</v>
      </c>
      <c r="AI73" s="646" t="s">
        <v>1696</v>
      </c>
      <c r="AJ73" s="2056">
        <v>0.3</v>
      </c>
      <c r="AK73" s="2056">
        <v>0.3</v>
      </c>
      <c r="AL73" s="2056">
        <v>0.3</v>
      </c>
      <c r="AM73" s="2024">
        <v>0.3</v>
      </c>
      <c r="AN73" s="2024">
        <v>0.3</v>
      </c>
      <c r="AO73" s="2056">
        <v>0.3</v>
      </c>
      <c r="AP73" s="2024">
        <v>0.3</v>
      </c>
      <c r="AQ73" s="2056">
        <v>0.3</v>
      </c>
      <c r="AR73" s="2024">
        <v>0.3</v>
      </c>
      <c r="AS73" s="2018">
        <v>0.3</v>
      </c>
      <c r="AT73" s="2019">
        <v>0</v>
      </c>
      <c r="AU73" s="2019">
        <v>0</v>
      </c>
      <c r="AV73" s="2019">
        <v>0</v>
      </c>
      <c r="AW73"/>
      <c r="AX73" s="2011" t="s">
        <v>1695</v>
      </c>
      <c r="AY73" s="2015" t="s">
        <v>1693</v>
      </c>
      <c r="AZ73" s="2016" t="s">
        <v>1697</v>
      </c>
      <c r="BA73" s="2018">
        <v>0.5</v>
      </c>
      <c r="BB73" s="2018">
        <v>0.5</v>
      </c>
      <c r="BC73" s="2018">
        <v>0.5</v>
      </c>
      <c r="BD73" s="2018">
        <v>0.5</v>
      </c>
      <c r="BE73" s="2018">
        <v>0.5</v>
      </c>
      <c r="BF73" s="2018">
        <v>0.5</v>
      </c>
      <c r="BG73" s="2018">
        <v>0.5</v>
      </c>
      <c r="BH73" s="2025">
        <v>0.5</v>
      </c>
      <c r="BI73" s="2018">
        <v>0.5</v>
      </c>
      <c r="BJ73" s="2018">
        <v>0.5</v>
      </c>
      <c r="BK73" s="2019"/>
      <c r="BL73" s="2019"/>
      <c r="BM73" s="2019"/>
      <c r="BN73"/>
      <c r="BO73" s="2011" t="s">
        <v>1695</v>
      </c>
      <c r="BP73" s="2015" t="s">
        <v>1693</v>
      </c>
      <c r="BQ73" s="2016" t="s">
        <v>1697</v>
      </c>
      <c r="BR73" s="2018">
        <v>0.5</v>
      </c>
      <c r="BS73" s="2018">
        <v>0.5</v>
      </c>
      <c r="BT73" s="2018">
        <v>0.5</v>
      </c>
      <c r="BU73" s="2018">
        <v>0.5</v>
      </c>
      <c r="BV73" s="2018">
        <v>0.5</v>
      </c>
      <c r="BW73" s="2018">
        <v>0.5</v>
      </c>
      <c r="BX73" s="2018">
        <v>0.5</v>
      </c>
      <c r="BY73" s="2025">
        <v>0.5</v>
      </c>
      <c r="BZ73" s="2018">
        <v>0.5</v>
      </c>
      <c r="CA73" s="2018">
        <v>0.5</v>
      </c>
      <c r="CB73" s="2019"/>
      <c r="CC73" s="2019"/>
      <c r="CD73" s="2019"/>
      <c r="CE73" s="2447"/>
      <c r="CF73"/>
    </row>
    <row r="74" spans="1:84" s="2063" customFormat="1">
      <c r="A74"/>
      <c r="B74" s="1985" t="str">
        <f t="shared" si="44"/>
        <v>1.3.3</v>
      </c>
      <c r="C74" s="2008" t="str">
        <f t="shared" si="51"/>
        <v>衛生管理業務</v>
      </c>
      <c r="D74" s="1998" t="e">
        <f t="shared" si="50"/>
        <v>#DIV/0!</v>
      </c>
      <c r="E74" s="1998" t="e">
        <f t="shared" si="50"/>
        <v>#DIV/0!</v>
      </c>
      <c r="F74"/>
      <c r="G74" s="2010" t="e">
        <f t="shared" si="52"/>
        <v>#DIV/0!</v>
      </c>
      <c r="H74" s="2010" t="e">
        <f t="shared" si="53"/>
        <v>#DIV/0!</v>
      </c>
      <c r="I74" s="2010"/>
      <c r="J74" s="2010"/>
      <c r="K74" s="2010" t="e">
        <f>IF(スコア!O74=0,0,1)</f>
        <v>#DIV/0!</v>
      </c>
      <c r="L74" s="2010">
        <f>IF(スコア!Q78=0,0,1)</f>
        <v>0</v>
      </c>
      <c r="M74" s="2010" t="e">
        <f t="shared" si="54"/>
        <v>#DIV/0!</v>
      </c>
      <c r="N74" s="2010" t="e">
        <f t="shared" si="55"/>
        <v>#DIV/0!</v>
      </c>
      <c r="O74"/>
      <c r="P74" s="2011" t="str">
        <f t="shared" si="56"/>
        <v>1.3.3</v>
      </c>
      <c r="Q74" s="2011" t="str">
        <f t="shared" si="57"/>
        <v xml:space="preserve"> Q2 1.3</v>
      </c>
      <c r="R74" s="2012" t="str">
        <f t="shared" si="58"/>
        <v>衛生管理業務</v>
      </c>
      <c r="S74" s="2013">
        <f t="shared" si="59"/>
        <v>0.2</v>
      </c>
      <c r="T74" s="2013">
        <f t="shared" si="60"/>
        <v>0.2</v>
      </c>
      <c r="U74" s="2013">
        <f t="shared" si="61"/>
        <v>0.2</v>
      </c>
      <c r="V74" s="2013">
        <f t="shared" si="62"/>
        <v>0.2</v>
      </c>
      <c r="W74" s="2013">
        <f t="shared" si="63"/>
        <v>0.2</v>
      </c>
      <c r="X74" s="2013">
        <f t="shared" si="64"/>
        <v>0.2</v>
      </c>
      <c r="Y74" s="2013">
        <f t="shared" si="65"/>
        <v>0.2</v>
      </c>
      <c r="Z74" s="2031">
        <f t="shared" si="66"/>
        <v>0.2</v>
      </c>
      <c r="AA74" s="2013">
        <f t="shared" si="67"/>
        <v>0.2</v>
      </c>
      <c r="AB74" s="2013">
        <f t="shared" si="68"/>
        <v>0.2</v>
      </c>
      <c r="AC74" s="2014">
        <f t="shared" si="69"/>
        <v>0</v>
      </c>
      <c r="AD74" s="2014">
        <f t="shared" si="70"/>
        <v>0</v>
      </c>
      <c r="AE74" s="2014">
        <f t="shared" si="71"/>
        <v>0</v>
      </c>
      <c r="AF74"/>
      <c r="AG74" s="2011" t="s">
        <v>1698</v>
      </c>
      <c r="AH74" s="2015" t="s">
        <v>2285</v>
      </c>
      <c r="AI74" s="646" t="s">
        <v>2</v>
      </c>
      <c r="AJ74" s="2056">
        <v>0.2</v>
      </c>
      <c r="AK74" s="2056">
        <v>0.2</v>
      </c>
      <c r="AL74" s="2056">
        <v>0.2</v>
      </c>
      <c r="AM74" s="2024">
        <v>0.2</v>
      </c>
      <c r="AN74" s="2024">
        <v>0.2</v>
      </c>
      <c r="AO74" s="2056">
        <v>0.2</v>
      </c>
      <c r="AP74" s="2024">
        <v>0.2</v>
      </c>
      <c r="AQ74" s="2056">
        <v>0.2</v>
      </c>
      <c r="AR74" s="2024">
        <v>0.2</v>
      </c>
      <c r="AS74" s="2018">
        <v>0.2</v>
      </c>
      <c r="AT74" s="2019">
        <v>0</v>
      </c>
      <c r="AU74" s="2019">
        <v>0</v>
      </c>
      <c r="AV74" s="2019">
        <v>0</v>
      </c>
      <c r="AW74"/>
      <c r="AX74" s="2011">
        <v>0</v>
      </c>
      <c r="AY74" s="2015" t="s">
        <v>2286</v>
      </c>
      <c r="AZ74" s="2016"/>
      <c r="BA74" s="2018"/>
      <c r="BB74" s="2018"/>
      <c r="BC74" s="2018"/>
      <c r="BD74" s="2018"/>
      <c r="BE74" s="2018"/>
      <c r="BF74" s="2018"/>
      <c r="BG74" s="2018"/>
      <c r="BH74" s="2064"/>
      <c r="BI74" s="2018"/>
      <c r="BJ74" s="2018"/>
      <c r="BK74" s="2019"/>
      <c r="BL74" s="2019"/>
      <c r="BM74" s="2019"/>
      <c r="BN74"/>
      <c r="BO74" s="2011">
        <v>0</v>
      </c>
      <c r="BP74" s="2015" t="s">
        <v>2286</v>
      </c>
      <c r="BQ74" s="2016"/>
      <c r="BR74" s="2018"/>
      <c r="BS74" s="2018"/>
      <c r="BT74" s="2018"/>
      <c r="BU74" s="2018"/>
      <c r="BV74" s="2018"/>
      <c r="BW74" s="2018"/>
      <c r="BX74" s="2018"/>
      <c r="BY74" s="2064"/>
      <c r="BZ74" s="2018"/>
      <c r="CA74" s="2018"/>
      <c r="CB74" s="2019"/>
      <c r="CC74" s="2019"/>
      <c r="CD74" s="2019"/>
      <c r="CE74" s="2447"/>
      <c r="CF74"/>
    </row>
    <row r="75" spans="1:84" s="1406" customFormat="1">
      <c r="A75"/>
      <c r="B75" s="1985">
        <f t="shared" ref="B75:B106" si="72">P75</f>
        <v>2</v>
      </c>
      <c r="C75" s="2026" t="str">
        <f t="shared" si="51"/>
        <v>耐用性・信頼性</v>
      </c>
      <c r="D75" s="1996" t="e">
        <f>IF(I$61=0,0,G75/I$61)</f>
        <v>#DIV/0!</v>
      </c>
      <c r="E75" s="1997" t="e">
        <f>IF(J$61=0,0,H75/J$61)</f>
        <v>#DIV/0!</v>
      </c>
      <c r="F75"/>
      <c r="G75" s="1997" t="e">
        <f t="shared" si="52"/>
        <v>#DIV/0!</v>
      </c>
      <c r="H75" s="1997" t="e">
        <f t="shared" si="53"/>
        <v>#DIV/0!</v>
      </c>
      <c r="I75" s="1997" t="e">
        <f>G76+G79++G86+G90</f>
        <v>#DIV/0!</v>
      </c>
      <c r="J75" s="1997" t="e">
        <f>H76+H79++H86+H90</f>
        <v>#DIV/0!</v>
      </c>
      <c r="K75" s="1997" t="e">
        <f>IF(スコア!O75=0,0,1)</f>
        <v>#DIV/0!</v>
      </c>
      <c r="L75" s="1997" t="e">
        <f>IF(スコア!Q75=0,0,1)</f>
        <v>#DIV/0!</v>
      </c>
      <c r="M75" s="1997" t="e">
        <f t="shared" si="54"/>
        <v>#DIV/0!</v>
      </c>
      <c r="N75" s="1997" t="e">
        <f t="shared" si="55"/>
        <v>#DIV/0!</v>
      </c>
      <c r="O75"/>
      <c r="P75" s="1999">
        <f t="shared" si="56"/>
        <v>2</v>
      </c>
      <c r="Q75" s="1999" t="str">
        <f t="shared" si="57"/>
        <v xml:space="preserve"> Q2</v>
      </c>
      <c r="R75" s="2000" t="str">
        <f t="shared" si="58"/>
        <v>耐用性・信頼性</v>
      </c>
      <c r="S75" s="2001">
        <f t="shared" si="59"/>
        <v>0.3</v>
      </c>
      <c r="T75" s="2001">
        <f t="shared" si="60"/>
        <v>0.3</v>
      </c>
      <c r="U75" s="2001">
        <f t="shared" si="61"/>
        <v>0.3</v>
      </c>
      <c r="V75" s="2001">
        <f t="shared" si="62"/>
        <v>0.3</v>
      </c>
      <c r="W75" s="2001">
        <f t="shared" si="63"/>
        <v>0.3</v>
      </c>
      <c r="X75" s="2001">
        <f t="shared" si="64"/>
        <v>0.3</v>
      </c>
      <c r="Y75" s="2001">
        <f t="shared" si="65"/>
        <v>0.3</v>
      </c>
      <c r="Z75" s="2065">
        <f t="shared" si="66"/>
        <v>0.3</v>
      </c>
      <c r="AA75" s="2001">
        <f t="shared" si="67"/>
        <v>0.3</v>
      </c>
      <c r="AB75" s="2001">
        <f t="shared" si="68"/>
        <v>0.3</v>
      </c>
      <c r="AC75" s="2003">
        <f t="shared" si="69"/>
        <v>0</v>
      </c>
      <c r="AD75" s="2001">
        <f t="shared" si="70"/>
        <v>0</v>
      </c>
      <c r="AE75" s="2001">
        <f t="shared" si="71"/>
        <v>0</v>
      </c>
      <c r="AF75"/>
      <c r="AG75" s="1999">
        <v>2</v>
      </c>
      <c r="AH75" s="2004" t="s">
        <v>2153</v>
      </c>
      <c r="AI75" s="2028" t="s">
        <v>1699</v>
      </c>
      <c r="AJ75" s="2001">
        <v>0.3</v>
      </c>
      <c r="AK75" s="2001">
        <v>0.3</v>
      </c>
      <c r="AL75" s="2001">
        <v>0.3</v>
      </c>
      <c r="AM75" s="2001">
        <v>0.3</v>
      </c>
      <c r="AN75" s="2001">
        <v>0.3</v>
      </c>
      <c r="AO75" s="2001">
        <v>0.3</v>
      </c>
      <c r="AP75" s="2001">
        <v>0.3</v>
      </c>
      <c r="AQ75" s="2065">
        <v>0.3</v>
      </c>
      <c r="AR75" s="2001">
        <v>0.3</v>
      </c>
      <c r="AS75" s="2005">
        <v>0.3</v>
      </c>
      <c r="AT75" s="2006">
        <v>0</v>
      </c>
      <c r="AU75" s="2005">
        <v>0</v>
      </c>
      <c r="AV75" s="2005">
        <v>0</v>
      </c>
      <c r="AW75"/>
      <c r="AX75" s="1999">
        <v>2</v>
      </c>
      <c r="AY75" s="2004" t="s">
        <v>2153</v>
      </c>
      <c r="AZ75" s="2028" t="s">
        <v>1653</v>
      </c>
      <c r="BA75" s="2005">
        <v>0.3</v>
      </c>
      <c r="BB75" s="2005">
        <v>0.3</v>
      </c>
      <c r="BC75" s="2005">
        <v>0.3</v>
      </c>
      <c r="BD75" s="2005">
        <v>0.3</v>
      </c>
      <c r="BE75" s="2005">
        <v>0.3</v>
      </c>
      <c r="BF75" s="2005">
        <v>0.3</v>
      </c>
      <c r="BG75" s="2005">
        <v>0.3</v>
      </c>
      <c r="BH75" s="2066">
        <v>0.3</v>
      </c>
      <c r="BI75" s="2005">
        <v>0.3</v>
      </c>
      <c r="BJ75" s="2005">
        <v>0.3</v>
      </c>
      <c r="BK75" s="2006"/>
      <c r="BL75" s="2005"/>
      <c r="BM75" s="2005"/>
      <c r="BN75"/>
      <c r="BO75" s="1999">
        <v>2</v>
      </c>
      <c r="BP75" s="2004" t="s">
        <v>2153</v>
      </c>
      <c r="BQ75" s="2028" t="s">
        <v>1699</v>
      </c>
      <c r="BR75" s="2005">
        <v>0.3</v>
      </c>
      <c r="BS75" s="2005">
        <v>0.3</v>
      </c>
      <c r="BT75" s="2005">
        <v>0.3</v>
      </c>
      <c r="BU75" s="2005">
        <v>0.3</v>
      </c>
      <c r="BV75" s="2005">
        <v>0.3</v>
      </c>
      <c r="BW75" s="2005">
        <v>0.3</v>
      </c>
      <c r="BX75" s="2005">
        <v>0.3</v>
      </c>
      <c r="BY75" s="2005">
        <v>0.3</v>
      </c>
      <c r="BZ75" s="2005">
        <v>0.3</v>
      </c>
      <c r="CA75" s="2005">
        <v>0.3</v>
      </c>
      <c r="CB75" s="2006"/>
      <c r="CC75" s="2005"/>
      <c r="CD75" s="2005"/>
      <c r="CE75" s="2446"/>
      <c r="CF75"/>
    </row>
    <row r="76" spans="1:84">
      <c r="B76" s="1985">
        <f t="shared" si="72"/>
        <v>2.1</v>
      </c>
      <c r="C76" s="2012" t="str">
        <f t="shared" si="51"/>
        <v>耐震･免震</v>
      </c>
      <c r="D76" s="2009" t="e">
        <f>IF(I$75=0,0,G76/I$75)</f>
        <v>#DIV/0!</v>
      </c>
      <c r="E76" s="2010" t="e">
        <f>IF(J$75=0,0,H76/J$75)</f>
        <v>#DIV/0!</v>
      </c>
      <c r="G76" s="2010" t="e">
        <f t="shared" si="52"/>
        <v>#DIV/0!</v>
      </c>
      <c r="H76" s="2010" t="e">
        <f t="shared" si="53"/>
        <v>#DIV/0!</v>
      </c>
      <c r="I76" s="2010" t="e">
        <f>SUM(G77:G78)</f>
        <v>#DIV/0!</v>
      </c>
      <c r="J76" s="2010" t="e">
        <f>SUM(H77:H78)</f>
        <v>#DIV/0!</v>
      </c>
      <c r="K76" s="2010" t="e">
        <f>IF(スコア!O76=0,0,1)</f>
        <v>#DIV/0!</v>
      </c>
      <c r="L76" s="2010" t="e">
        <f>IF(スコア!Q76=0,0,1)</f>
        <v>#DIV/0!</v>
      </c>
      <c r="M76" s="2010" t="e">
        <f t="shared" si="54"/>
        <v>#DIV/0!</v>
      </c>
      <c r="N76" s="2010" t="e">
        <f t="shared" si="55"/>
        <v>#DIV/0!</v>
      </c>
      <c r="P76" s="2011">
        <f t="shared" si="56"/>
        <v>2.1</v>
      </c>
      <c r="Q76" s="2011" t="str">
        <f t="shared" si="57"/>
        <v xml:space="preserve"> Q2 2</v>
      </c>
      <c r="R76" s="2012" t="str">
        <f t="shared" si="58"/>
        <v>耐震･免震</v>
      </c>
      <c r="S76" s="2013">
        <f t="shared" si="59"/>
        <v>0.25</v>
      </c>
      <c r="T76" s="2013">
        <f t="shared" si="60"/>
        <v>0.25</v>
      </c>
      <c r="U76" s="2013">
        <f t="shared" si="61"/>
        <v>0.25</v>
      </c>
      <c r="V76" s="2013">
        <f t="shared" si="62"/>
        <v>0.25</v>
      </c>
      <c r="W76" s="2013">
        <f t="shared" si="63"/>
        <v>0.25</v>
      </c>
      <c r="X76" s="2013">
        <f t="shared" si="64"/>
        <v>0.25</v>
      </c>
      <c r="Y76" s="2013">
        <f t="shared" si="65"/>
        <v>0.25</v>
      </c>
      <c r="Z76" s="2022">
        <f t="shared" si="66"/>
        <v>0.25</v>
      </c>
      <c r="AA76" s="2013">
        <f t="shared" si="67"/>
        <v>0.25</v>
      </c>
      <c r="AB76" s="2013">
        <f t="shared" si="68"/>
        <v>0.25</v>
      </c>
      <c r="AC76" s="2014">
        <f t="shared" si="69"/>
        <v>0</v>
      </c>
      <c r="AD76" s="2013">
        <f t="shared" si="70"/>
        <v>0</v>
      </c>
      <c r="AE76" s="2013">
        <f t="shared" si="71"/>
        <v>0</v>
      </c>
      <c r="AG76" s="2011">
        <v>2.1</v>
      </c>
      <c r="AH76" s="2015" t="s">
        <v>1700</v>
      </c>
      <c r="AI76" s="2012" t="s">
        <v>1834</v>
      </c>
      <c r="AJ76" s="2013">
        <v>0.25</v>
      </c>
      <c r="AK76" s="2013">
        <v>0.25</v>
      </c>
      <c r="AL76" s="2013">
        <v>0.25</v>
      </c>
      <c r="AM76" s="2013">
        <v>0.25</v>
      </c>
      <c r="AN76" s="2013">
        <v>0.25</v>
      </c>
      <c r="AO76" s="2013">
        <v>0.25</v>
      </c>
      <c r="AP76" s="2013">
        <v>0.25</v>
      </c>
      <c r="AQ76" s="2022">
        <v>0.25</v>
      </c>
      <c r="AR76" s="2013">
        <v>0.25</v>
      </c>
      <c r="AS76" s="2018">
        <v>0.25</v>
      </c>
      <c r="AT76" s="2019">
        <v>0</v>
      </c>
      <c r="AU76" s="2018">
        <v>0</v>
      </c>
      <c r="AV76" s="2018">
        <v>0</v>
      </c>
      <c r="AX76" s="2011">
        <v>2.1</v>
      </c>
      <c r="AY76" s="2015" t="s">
        <v>1700</v>
      </c>
      <c r="AZ76" s="2012" t="s">
        <v>1654</v>
      </c>
      <c r="BA76" s="2018">
        <v>0.5</v>
      </c>
      <c r="BB76" s="2018">
        <v>0.5</v>
      </c>
      <c r="BC76" s="2018">
        <v>0.5</v>
      </c>
      <c r="BD76" s="2018">
        <v>0.5</v>
      </c>
      <c r="BE76" s="2018">
        <v>0.5</v>
      </c>
      <c r="BF76" s="2018">
        <v>0.5</v>
      </c>
      <c r="BG76" s="2018">
        <v>0.5</v>
      </c>
      <c r="BH76" s="2025">
        <v>0.5</v>
      </c>
      <c r="BI76" s="2018">
        <v>0.5</v>
      </c>
      <c r="BJ76" s="2018">
        <v>0.5</v>
      </c>
      <c r="BK76" s="2019"/>
      <c r="BL76" s="2018"/>
      <c r="BM76" s="2018"/>
      <c r="BO76" s="2011">
        <v>2.1</v>
      </c>
      <c r="BP76" s="2015" t="s">
        <v>1700</v>
      </c>
      <c r="BQ76" s="2012" t="s">
        <v>1834</v>
      </c>
      <c r="BR76" s="2018">
        <v>0.5</v>
      </c>
      <c r="BS76" s="2018">
        <v>0.5</v>
      </c>
      <c r="BT76" s="2018">
        <v>0.5</v>
      </c>
      <c r="BU76" s="2018">
        <v>0.5</v>
      </c>
      <c r="BV76" s="2018">
        <v>0.5</v>
      </c>
      <c r="BW76" s="2018">
        <v>0.5</v>
      </c>
      <c r="BX76" s="2018">
        <v>0.5</v>
      </c>
      <c r="BY76" s="2025">
        <v>0.5</v>
      </c>
      <c r="BZ76" s="2018">
        <v>0.5</v>
      </c>
      <c r="CA76" s="2018">
        <v>0.5</v>
      </c>
      <c r="CB76" s="2019"/>
      <c r="CC76" s="2018"/>
      <c r="CD76" s="2018"/>
      <c r="CE76" s="2447"/>
    </row>
    <row r="77" spans="1:84">
      <c r="B77" s="1985" t="str">
        <f t="shared" si="72"/>
        <v>2.1.1</v>
      </c>
      <c r="C77" s="2008" t="str">
        <f t="shared" si="51"/>
        <v>耐震性</v>
      </c>
      <c r="D77" s="1998" t="e">
        <f>IF(I$76&gt;0,G77/I$76,0)</f>
        <v>#DIV/0!</v>
      </c>
      <c r="E77" s="2010" t="e">
        <f>IF(J$76&gt;0,H77/J$76,0)</f>
        <v>#DIV/0!</v>
      </c>
      <c r="G77" s="2010" t="e">
        <f t="shared" si="52"/>
        <v>#DIV/0!</v>
      </c>
      <c r="H77" s="2010" t="e">
        <f t="shared" si="53"/>
        <v>#DIV/0!</v>
      </c>
      <c r="I77" s="2010"/>
      <c r="J77" s="2010"/>
      <c r="K77" s="2010">
        <f>IF(スコア!O77=0,0,1)</f>
        <v>1</v>
      </c>
      <c r="L77" s="2010">
        <f>IF(スコア!Q77=0,0,1)</f>
        <v>0</v>
      </c>
      <c r="M77" s="2010" t="e">
        <f t="shared" si="54"/>
        <v>#DIV/0!</v>
      </c>
      <c r="N77" s="2010" t="e">
        <f t="shared" si="55"/>
        <v>#DIV/0!</v>
      </c>
      <c r="P77" s="2011" t="str">
        <f t="shared" si="56"/>
        <v>2.1.1</v>
      </c>
      <c r="Q77" s="2011" t="str">
        <f t="shared" si="57"/>
        <v xml:space="preserve"> Q2 2.1</v>
      </c>
      <c r="R77" s="2012" t="str">
        <f t="shared" si="58"/>
        <v>耐震性</v>
      </c>
      <c r="S77" s="2013">
        <f t="shared" si="59"/>
        <v>0.8</v>
      </c>
      <c r="T77" s="2013">
        <f t="shared" si="60"/>
        <v>0.8</v>
      </c>
      <c r="U77" s="2013">
        <f t="shared" si="61"/>
        <v>0.8</v>
      </c>
      <c r="V77" s="2013">
        <f t="shared" si="62"/>
        <v>0.8</v>
      </c>
      <c r="W77" s="2013">
        <f t="shared" si="63"/>
        <v>0.8</v>
      </c>
      <c r="X77" s="2013">
        <f t="shared" si="64"/>
        <v>0.8</v>
      </c>
      <c r="Y77" s="2013">
        <f t="shared" si="65"/>
        <v>0.8</v>
      </c>
      <c r="Z77" s="2022">
        <f t="shared" si="66"/>
        <v>0.8</v>
      </c>
      <c r="AA77" s="2013">
        <f t="shared" si="67"/>
        <v>0.8</v>
      </c>
      <c r="AB77" s="2013">
        <f t="shared" si="68"/>
        <v>0.8</v>
      </c>
      <c r="AC77" s="2014">
        <f t="shared" si="69"/>
        <v>0</v>
      </c>
      <c r="AD77" s="2013">
        <f t="shared" si="70"/>
        <v>0</v>
      </c>
      <c r="AE77" s="2013">
        <f t="shared" si="71"/>
        <v>0</v>
      </c>
      <c r="AG77" s="2011" t="s">
        <v>2287</v>
      </c>
      <c r="AH77" s="2015" t="s">
        <v>1701</v>
      </c>
      <c r="AI77" s="2016" t="s">
        <v>1702</v>
      </c>
      <c r="AJ77" s="2013">
        <v>0.8</v>
      </c>
      <c r="AK77" s="2013">
        <v>0.8</v>
      </c>
      <c r="AL77" s="2013">
        <v>0.8</v>
      </c>
      <c r="AM77" s="2013">
        <v>0.8</v>
      </c>
      <c r="AN77" s="2013">
        <v>0.8</v>
      </c>
      <c r="AO77" s="2013">
        <v>0.8</v>
      </c>
      <c r="AP77" s="2013">
        <v>0.8</v>
      </c>
      <c r="AQ77" s="2022">
        <v>0.8</v>
      </c>
      <c r="AR77" s="2013">
        <v>0.8</v>
      </c>
      <c r="AS77" s="2018">
        <v>0.8</v>
      </c>
      <c r="AT77" s="2019">
        <v>0</v>
      </c>
      <c r="AU77" s="2018">
        <v>0</v>
      </c>
      <c r="AV77" s="2018">
        <v>0</v>
      </c>
      <c r="AX77" s="2011" t="s">
        <v>2287</v>
      </c>
      <c r="AY77" s="2015" t="s">
        <v>1701</v>
      </c>
      <c r="AZ77" s="2016" t="s">
        <v>1702</v>
      </c>
      <c r="BA77" s="2018">
        <v>0.8</v>
      </c>
      <c r="BB77" s="2018">
        <v>0.8</v>
      </c>
      <c r="BC77" s="2018">
        <v>0.8</v>
      </c>
      <c r="BD77" s="2018">
        <v>0.8</v>
      </c>
      <c r="BE77" s="2018">
        <v>0.8</v>
      </c>
      <c r="BF77" s="2018">
        <v>0.8</v>
      </c>
      <c r="BG77" s="2018">
        <v>0.8</v>
      </c>
      <c r="BH77" s="2025">
        <v>0.8</v>
      </c>
      <c r="BI77" s="2018">
        <v>0.8</v>
      </c>
      <c r="BJ77" s="2018">
        <v>0.8</v>
      </c>
      <c r="BK77" s="2019"/>
      <c r="BL77" s="2018"/>
      <c r="BM77" s="2018"/>
      <c r="BO77" s="2011" t="s">
        <v>2287</v>
      </c>
      <c r="BP77" s="2015" t="s">
        <v>1701</v>
      </c>
      <c r="BQ77" s="2016" t="s">
        <v>1702</v>
      </c>
      <c r="BR77" s="2018">
        <v>0.8</v>
      </c>
      <c r="BS77" s="2018">
        <v>0.8</v>
      </c>
      <c r="BT77" s="2018">
        <v>0.8</v>
      </c>
      <c r="BU77" s="2018">
        <v>0.8</v>
      </c>
      <c r="BV77" s="2018">
        <v>0.8</v>
      </c>
      <c r="BW77" s="2018">
        <v>0.8</v>
      </c>
      <c r="BX77" s="2018">
        <v>0.8</v>
      </c>
      <c r="BY77" s="2025">
        <v>0.8</v>
      </c>
      <c r="BZ77" s="2018">
        <v>0.8</v>
      </c>
      <c r="CA77" s="2018">
        <v>0.8</v>
      </c>
      <c r="CB77" s="2019"/>
      <c r="CC77" s="2018"/>
      <c r="CD77" s="2018"/>
      <c r="CE77" s="2447"/>
    </row>
    <row r="78" spans="1:84">
      <c r="B78" s="1985" t="str">
        <f t="shared" si="72"/>
        <v>2.1.2</v>
      </c>
      <c r="C78" s="2008" t="str">
        <f t="shared" si="51"/>
        <v>免震・制振性能</v>
      </c>
      <c r="D78" s="1998" t="e">
        <f>IF(I$76&gt;0,G78/I$76,0)</f>
        <v>#DIV/0!</v>
      </c>
      <c r="E78" s="2010" t="e">
        <f>IF(J$76&gt;0,H78/J$76,0)</f>
        <v>#DIV/0!</v>
      </c>
      <c r="G78" s="2010" t="e">
        <f t="shared" si="52"/>
        <v>#DIV/0!</v>
      </c>
      <c r="H78" s="2010" t="e">
        <f t="shared" si="53"/>
        <v>#DIV/0!</v>
      </c>
      <c r="I78" s="2010"/>
      <c r="J78" s="2010"/>
      <c r="K78" s="2010">
        <f>IF(スコア!O78=0,0,1)</f>
        <v>1</v>
      </c>
      <c r="L78" s="2010">
        <f>IF(スコア!Q78=0,0,1)</f>
        <v>0</v>
      </c>
      <c r="M78" s="2010" t="e">
        <f t="shared" si="54"/>
        <v>#DIV/0!</v>
      </c>
      <c r="N78" s="2010" t="e">
        <f t="shared" si="55"/>
        <v>#DIV/0!</v>
      </c>
      <c r="P78" s="2011" t="str">
        <f t="shared" si="56"/>
        <v>2.1.2</v>
      </c>
      <c r="Q78" s="2011" t="str">
        <f t="shared" si="57"/>
        <v xml:space="preserve"> Q2 2.1</v>
      </c>
      <c r="R78" s="2012" t="str">
        <f t="shared" si="58"/>
        <v>免震・制振性能</v>
      </c>
      <c r="S78" s="2013">
        <f t="shared" si="59"/>
        <v>0.2</v>
      </c>
      <c r="T78" s="2013">
        <f t="shared" si="60"/>
        <v>0.2</v>
      </c>
      <c r="U78" s="2013">
        <f t="shared" si="61"/>
        <v>0.2</v>
      </c>
      <c r="V78" s="2013">
        <f t="shared" si="62"/>
        <v>0.2</v>
      </c>
      <c r="W78" s="2013">
        <f t="shared" si="63"/>
        <v>0.2</v>
      </c>
      <c r="X78" s="2013">
        <f t="shared" si="64"/>
        <v>0.2</v>
      </c>
      <c r="Y78" s="2013">
        <f t="shared" si="65"/>
        <v>0.2</v>
      </c>
      <c r="Z78" s="2022">
        <f t="shared" si="66"/>
        <v>0.2</v>
      </c>
      <c r="AA78" s="2013">
        <f t="shared" si="67"/>
        <v>0.2</v>
      </c>
      <c r="AB78" s="2013">
        <f t="shared" si="68"/>
        <v>0.2</v>
      </c>
      <c r="AC78" s="2014">
        <f t="shared" si="69"/>
        <v>0</v>
      </c>
      <c r="AD78" s="2013">
        <f t="shared" si="70"/>
        <v>0</v>
      </c>
      <c r="AE78" s="2013">
        <f t="shared" si="71"/>
        <v>0</v>
      </c>
      <c r="AG78" s="2011" t="s">
        <v>2288</v>
      </c>
      <c r="AH78" s="2015" t="s">
        <v>1701</v>
      </c>
      <c r="AI78" s="2016" t="s">
        <v>1703</v>
      </c>
      <c r="AJ78" s="2013">
        <v>0.2</v>
      </c>
      <c r="AK78" s="2013">
        <v>0.2</v>
      </c>
      <c r="AL78" s="2013">
        <v>0.2</v>
      </c>
      <c r="AM78" s="2013">
        <v>0.2</v>
      </c>
      <c r="AN78" s="2013">
        <v>0.2</v>
      </c>
      <c r="AO78" s="2013">
        <v>0.2</v>
      </c>
      <c r="AP78" s="2013">
        <v>0.2</v>
      </c>
      <c r="AQ78" s="2022">
        <v>0.2</v>
      </c>
      <c r="AR78" s="2013">
        <v>0.2</v>
      </c>
      <c r="AS78" s="2018">
        <v>0.2</v>
      </c>
      <c r="AT78" s="2019">
        <v>0</v>
      </c>
      <c r="AU78" s="2018">
        <v>0</v>
      </c>
      <c r="AV78" s="2018">
        <v>0</v>
      </c>
      <c r="AX78" s="2011" t="s">
        <v>2289</v>
      </c>
      <c r="AY78" s="2015" t="s">
        <v>1701</v>
      </c>
      <c r="AZ78" s="2016" t="s">
        <v>1655</v>
      </c>
      <c r="BA78" s="2018">
        <v>0.2</v>
      </c>
      <c r="BB78" s="2018">
        <v>0.2</v>
      </c>
      <c r="BC78" s="2018">
        <v>0.2</v>
      </c>
      <c r="BD78" s="2018">
        <v>0.2</v>
      </c>
      <c r="BE78" s="2018">
        <v>0.2</v>
      </c>
      <c r="BF78" s="2018">
        <v>0.2</v>
      </c>
      <c r="BG78" s="2018">
        <v>0.2</v>
      </c>
      <c r="BH78" s="2025">
        <v>0.2</v>
      </c>
      <c r="BI78" s="2018">
        <v>0.2</v>
      </c>
      <c r="BJ78" s="2018">
        <v>0.2</v>
      </c>
      <c r="BK78" s="2019"/>
      <c r="BL78" s="2018"/>
      <c r="BM78" s="2018"/>
      <c r="BO78" s="2011" t="s">
        <v>2289</v>
      </c>
      <c r="BP78" s="2015" t="s">
        <v>1701</v>
      </c>
      <c r="BQ78" s="2016" t="s">
        <v>1703</v>
      </c>
      <c r="BR78" s="2018">
        <v>0.2</v>
      </c>
      <c r="BS78" s="2018">
        <v>0.2</v>
      </c>
      <c r="BT78" s="2018">
        <v>0.2</v>
      </c>
      <c r="BU78" s="2018">
        <v>0.2</v>
      </c>
      <c r="BV78" s="2018">
        <v>0.2</v>
      </c>
      <c r="BW78" s="2018">
        <v>0.2</v>
      </c>
      <c r="BX78" s="2018">
        <v>0.2</v>
      </c>
      <c r="BY78" s="2025">
        <v>0.2</v>
      </c>
      <c r="BZ78" s="2018">
        <v>0.2</v>
      </c>
      <c r="CA78" s="2018">
        <v>0.2</v>
      </c>
      <c r="CB78" s="2019"/>
      <c r="CC78" s="2018"/>
      <c r="CD78" s="2018"/>
      <c r="CE78" s="2447"/>
    </row>
    <row r="79" spans="1:84">
      <c r="B79" s="1985">
        <f t="shared" si="72"/>
        <v>2.2000000000000002</v>
      </c>
      <c r="C79" s="2012" t="str">
        <f t="shared" si="51"/>
        <v>部品・部材の耐用年数</v>
      </c>
      <c r="D79" s="2009" t="e">
        <f>IF(I$75=0,0,G79/I$75)</f>
        <v>#DIV/0!</v>
      </c>
      <c r="E79" s="2010" t="e">
        <f>IF(J$75=0,0,H79/J$75)</f>
        <v>#DIV/0!</v>
      </c>
      <c r="G79" s="2010" t="e">
        <f t="shared" si="52"/>
        <v>#DIV/0!</v>
      </c>
      <c r="H79" s="2010" t="e">
        <f t="shared" si="53"/>
        <v>#DIV/0!</v>
      </c>
      <c r="I79" s="2010" t="e">
        <f>SUM(G80:G85)</f>
        <v>#DIV/0!</v>
      </c>
      <c r="J79" s="2010" t="e">
        <f>SUM(H80:H85)</f>
        <v>#DIV/0!</v>
      </c>
      <c r="K79" s="2010" t="e">
        <f>IF(スコア!O79=0,0,1)</f>
        <v>#DIV/0!</v>
      </c>
      <c r="L79" s="2010" t="e">
        <f>IF(スコア!Q79=0,0,1)</f>
        <v>#DIV/0!</v>
      </c>
      <c r="M79" s="2010" t="e">
        <f t="shared" si="54"/>
        <v>#DIV/0!</v>
      </c>
      <c r="N79" s="2010" t="e">
        <f t="shared" si="55"/>
        <v>#DIV/0!</v>
      </c>
      <c r="P79" s="2011">
        <f t="shared" si="56"/>
        <v>2.2000000000000002</v>
      </c>
      <c r="Q79" s="2011" t="str">
        <f t="shared" si="57"/>
        <v xml:space="preserve"> Q2 2</v>
      </c>
      <c r="R79" s="2012" t="str">
        <f t="shared" si="58"/>
        <v>部品・部材の耐用年数</v>
      </c>
      <c r="S79" s="2013">
        <f t="shared" si="59"/>
        <v>0.25</v>
      </c>
      <c r="T79" s="2013">
        <f t="shared" si="60"/>
        <v>0.25</v>
      </c>
      <c r="U79" s="2013">
        <f t="shared" si="61"/>
        <v>0.25</v>
      </c>
      <c r="V79" s="2013">
        <f t="shared" si="62"/>
        <v>0.25</v>
      </c>
      <c r="W79" s="2013">
        <f t="shared" si="63"/>
        <v>0.25</v>
      </c>
      <c r="X79" s="2013">
        <f t="shared" si="64"/>
        <v>0.25</v>
      </c>
      <c r="Y79" s="2013">
        <f t="shared" si="65"/>
        <v>0.25</v>
      </c>
      <c r="Z79" s="2022">
        <f t="shared" si="66"/>
        <v>0.25</v>
      </c>
      <c r="AA79" s="2013">
        <f t="shared" si="67"/>
        <v>0.25</v>
      </c>
      <c r="AB79" s="2013">
        <f t="shared" si="68"/>
        <v>0.25</v>
      </c>
      <c r="AC79" s="2014">
        <f t="shared" si="69"/>
        <v>0</v>
      </c>
      <c r="AD79" s="2013">
        <f t="shared" si="70"/>
        <v>0</v>
      </c>
      <c r="AE79" s="2013">
        <f t="shared" si="71"/>
        <v>0</v>
      </c>
      <c r="AG79" s="2011">
        <v>2.2000000000000002</v>
      </c>
      <c r="AH79" s="2015" t="s">
        <v>1700</v>
      </c>
      <c r="AI79" s="2012" t="s">
        <v>1837</v>
      </c>
      <c r="AJ79" s="2013">
        <v>0.25</v>
      </c>
      <c r="AK79" s="2013">
        <v>0.25</v>
      </c>
      <c r="AL79" s="2013">
        <v>0.25</v>
      </c>
      <c r="AM79" s="2013">
        <v>0.25</v>
      </c>
      <c r="AN79" s="2013">
        <v>0.25</v>
      </c>
      <c r="AO79" s="2013">
        <v>0.25</v>
      </c>
      <c r="AP79" s="2013">
        <v>0.25</v>
      </c>
      <c r="AQ79" s="2022">
        <v>0.25</v>
      </c>
      <c r="AR79" s="2013">
        <v>0.25</v>
      </c>
      <c r="AS79" s="2018">
        <v>0.25</v>
      </c>
      <c r="AT79" s="2019">
        <v>0</v>
      </c>
      <c r="AU79" s="2018">
        <v>0</v>
      </c>
      <c r="AV79" s="2018">
        <v>0</v>
      </c>
      <c r="AX79" s="2011">
        <v>2.2000000000000002</v>
      </c>
      <c r="AY79" s="2015" t="s">
        <v>1700</v>
      </c>
      <c r="AZ79" s="2012" t="s">
        <v>1656</v>
      </c>
      <c r="BA79" s="2018">
        <v>0.3</v>
      </c>
      <c r="BB79" s="2018">
        <v>0.3</v>
      </c>
      <c r="BC79" s="2018">
        <v>0.3</v>
      </c>
      <c r="BD79" s="2018">
        <v>0.3</v>
      </c>
      <c r="BE79" s="2018">
        <v>0.3</v>
      </c>
      <c r="BF79" s="2018">
        <v>0.3</v>
      </c>
      <c r="BG79" s="2018">
        <v>0.3</v>
      </c>
      <c r="BH79" s="2025">
        <v>0.3</v>
      </c>
      <c r="BI79" s="2018">
        <v>0.3</v>
      </c>
      <c r="BJ79" s="2018">
        <v>0.3</v>
      </c>
      <c r="BK79" s="2019"/>
      <c r="BL79" s="2018"/>
      <c r="BM79" s="2018"/>
      <c r="BO79" s="2011">
        <v>2.2000000000000002</v>
      </c>
      <c r="BP79" s="2015" t="s">
        <v>1700</v>
      </c>
      <c r="BQ79" s="2012" t="s">
        <v>1837</v>
      </c>
      <c r="BR79" s="2018">
        <v>0.3</v>
      </c>
      <c r="BS79" s="2018">
        <v>0.3</v>
      </c>
      <c r="BT79" s="2018">
        <v>0.3</v>
      </c>
      <c r="BU79" s="2018">
        <v>0.3</v>
      </c>
      <c r="BV79" s="2018">
        <v>0.3</v>
      </c>
      <c r="BW79" s="2018">
        <v>0.3</v>
      </c>
      <c r="BX79" s="2018">
        <v>0.3</v>
      </c>
      <c r="BY79" s="2025">
        <v>0.3</v>
      </c>
      <c r="BZ79" s="2018">
        <v>0.3</v>
      </c>
      <c r="CA79" s="2018">
        <v>0.3</v>
      </c>
      <c r="CB79" s="2019"/>
      <c r="CC79" s="2018"/>
      <c r="CD79" s="2018"/>
      <c r="CE79" s="2447"/>
    </row>
    <row r="80" spans="1:84">
      <c r="B80" s="1985" t="str">
        <f t="shared" si="72"/>
        <v>2.2.1</v>
      </c>
      <c r="C80" s="2008" t="str">
        <f t="shared" si="51"/>
        <v>躯体材料の耐用年数</v>
      </c>
      <c r="D80" s="1998" t="e">
        <f t="shared" ref="D80:E85" si="73">IF(I$79&gt;0,G80/I$79,0)</f>
        <v>#DIV/0!</v>
      </c>
      <c r="E80" s="2010" t="e">
        <f t="shared" si="73"/>
        <v>#DIV/0!</v>
      </c>
      <c r="G80" s="2010" t="e">
        <f t="shared" si="52"/>
        <v>#DIV/0!</v>
      </c>
      <c r="H80" s="2010" t="e">
        <f t="shared" si="53"/>
        <v>#DIV/0!</v>
      </c>
      <c r="I80" s="2010"/>
      <c r="J80" s="2010"/>
      <c r="K80" s="2010">
        <f>IF(スコア!O80=0,0,1)</f>
        <v>1</v>
      </c>
      <c r="L80" s="2010">
        <f>IF(スコア!Q80=0,0,1)</f>
        <v>0</v>
      </c>
      <c r="M80" s="2010" t="e">
        <f t="shared" si="54"/>
        <v>#DIV/0!</v>
      </c>
      <c r="N80" s="2010" t="e">
        <f t="shared" si="55"/>
        <v>#DIV/0!</v>
      </c>
      <c r="P80" s="2011" t="str">
        <f t="shared" si="56"/>
        <v>2.2.1</v>
      </c>
      <c r="Q80" s="2011" t="str">
        <f t="shared" si="57"/>
        <v xml:space="preserve"> Q2 2.2</v>
      </c>
      <c r="R80" s="2012" t="str">
        <f t="shared" si="58"/>
        <v>躯体材料の耐用年数</v>
      </c>
      <c r="S80" s="2013">
        <f t="shared" si="59"/>
        <v>0.2</v>
      </c>
      <c r="T80" s="2013">
        <f t="shared" si="60"/>
        <v>0.2</v>
      </c>
      <c r="U80" s="2013">
        <f t="shared" si="61"/>
        <v>0.2</v>
      </c>
      <c r="V80" s="2013">
        <f t="shared" si="62"/>
        <v>0.2</v>
      </c>
      <c r="W80" s="2013">
        <f t="shared" si="63"/>
        <v>0.2</v>
      </c>
      <c r="X80" s="2013">
        <f t="shared" si="64"/>
        <v>0.2</v>
      </c>
      <c r="Y80" s="2013">
        <f t="shared" si="65"/>
        <v>0.2</v>
      </c>
      <c r="Z80" s="2022">
        <f t="shared" si="66"/>
        <v>0.2</v>
      </c>
      <c r="AA80" s="2013">
        <f t="shared" si="67"/>
        <v>0.2</v>
      </c>
      <c r="AB80" s="2013">
        <f t="shared" si="68"/>
        <v>0.25</v>
      </c>
      <c r="AC80" s="2014">
        <f t="shared" si="69"/>
        <v>0</v>
      </c>
      <c r="AD80" s="2013">
        <f t="shared" si="70"/>
        <v>0</v>
      </c>
      <c r="AE80" s="2013">
        <f t="shared" si="71"/>
        <v>0</v>
      </c>
      <c r="AG80" s="2011" t="s">
        <v>2290</v>
      </c>
      <c r="AH80" s="2015" t="s">
        <v>1704</v>
      </c>
      <c r="AI80" s="2016" t="s">
        <v>628</v>
      </c>
      <c r="AJ80" s="2014">
        <v>0.2</v>
      </c>
      <c r="AK80" s="2014">
        <v>0.2</v>
      </c>
      <c r="AL80" s="2014">
        <v>0.2</v>
      </c>
      <c r="AM80" s="2014">
        <v>0.2</v>
      </c>
      <c r="AN80" s="2014">
        <v>0.2</v>
      </c>
      <c r="AO80" s="2014">
        <v>0.2</v>
      </c>
      <c r="AP80" s="2014">
        <v>0.2</v>
      </c>
      <c r="AQ80" s="2014">
        <v>0.2</v>
      </c>
      <c r="AR80" s="2014">
        <v>0.2</v>
      </c>
      <c r="AS80" s="2018">
        <v>0.25</v>
      </c>
      <c r="AT80" s="2019">
        <v>0</v>
      </c>
      <c r="AU80" s="2018">
        <v>0</v>
      </c>
      <c r="AV80" s="2018">
        <v>0</v>
      </c>
      <c r="AX80" s="2011" t="s">
        <v>2291</v>
      </c>
      <c r="AY80" s="2015" t="s">
        <v>1704</v>
      </c>
      <c r="AZ80" s="2016" t="s">
        <v>1657</v>
      </c>
      <c r="BA80" s="2018">
        <v>0.2</v>
      </c>
      <c r="BB80" s="2018">
        <v>0.2</v>
      </c>
      <c r="BC80" s="2018">
        <v>0.2</v>
      </c>
      <c r="BD80" s="2018">
        <v>0.2</v>
      </c>
      <c r="BE80" s="2018">
        <v>0.2</v>
      </c>
      <c r="BF80" s="2018">
        <v>0.2</v>
      </c>
      <c r="BG80" s="2018">
        <v>0.2</v>
      </c>
      <c r="BH80" s="2018">
        <v>0.2</v>
      </c>
      <c r="BI80" s="2018">
        <v>0.2</v>
      </c>
      <c r="BJ80" s="2018">
        <v>0.2</v>
      </c>
      <c r="BK80" s="2019"/>
      <c r="BL80" s="2018"/>
      <c r="BM80" s="2018"/>
      <c r="BO80" s="2011" t="s">
        <v>2291</v>
      </c>
      <c r="BP80" s="2015" t="s">
        <v>1704</v>
      </c>
      <c r="BQ80" s="2016" t="s">
        <v>628</v>
      </c>
      <c r="BR80" s="2018">
        <v>0.2</v>
      </c>
      <c r="BS80" s="2018">
        <v>0.2</v>
      </c>
      <c r="BT80" s="2018">
        <v>0.2</v>
      </c>
      <c r="BU80" s="2018">
        <v>0.2</v>
      </c>
      <c r="BV80" s="2018">
        <v>0.2</v>
      </c>
      <c r="BW80" s="2018">
        <v>0.2</v>
      </c>
      <c r="BX80" s="2018">
        <v>0.2</v>
      </c>
      <c r="BY80" s="2018">
        <v>0.2</v>
      </c>
      <c r="BZ80" s="2018">
        <v>0.2</v>
      </c>
      <c r="CA80" s="2018">
        <v>0.2</v>
      </c>
      <c r="CB80" s="2019"/>
      <c r="CC80" s="2018"/>
      <c r="CD80" s="2018"/>
      <c r="CE80" s="2447"/>
    </row>
    <row r="81" spans="1:84">
      <c r="B81" s="1985" t="str">
        <f t="shared" si="72"/>
        <v>2.2.2</v>
      </c>
      <c r="C81" s="2008" t="str">
        <f t="shared" si="51"/>
        <v>外壁仕上げ材の補修必要間隔</v>
      </c>
      <c r="D81" s="1998" t="e">
        <f t="shared" si="73"/>
        <v>#DIV/0!</v>
      </c>
      <c r="E81" s="2010" t="e">
        <f t="shared" si="73"/>
        <v>#DIV/0!</v>
      </c>
      <c r="G81" s="2010" t="e">
        <f t="shared" si="52"/>
        <v>#DIV/0!</v>
      </c>
      <c r="H81" s="2010" t="e">
        <f t="shared" si="53"/>
        <v>#DIV/0!</v>
      </c>
      <c r="I81" s="2010"/>
      <c r="J81" s="2010"/>
      <c r="K81" s="2010">
        <f>IF(スコア!O81=0,0,1)</f>
        <v>1</v>
      </c>
      <c r="L81" s="2010">
        <f>IF(スコア!Q81=0,0,1)</f>
        <v>0</v>
      </c>
      <c r="M81" s="2010" t="e">
        <f t="shared" si="54"/>
        <v>#DIV/0!</v>
      </c>
      <c r="N81" s="2010" t="e">
        <f t="shared" si="55"/>
        <v>#DIV/0!</v>
      </c>
      <c r="P81" s="2011" t="str">
        <f t="shared" si="56"/>
        <v>2.2.2</v>
      </c>
      <c r="Q81" s="2011" t="str">
        <f t="shared" si="57"/>
        <v xml:space="preserve"> Q2 2.2</v>
      </c>
      <c r="R81" s="2012" t="str">
        <f t="shared" si="58"/>
        <v>外壁仕上げ材の補修必要間隔</v>
      </c>
      <c r="S81" s="2013">
        <f t="shared" si="59"/>
        <v>0.2</v>
      </c>
      <c r="T81" s="2013">
        <f t="shared" si="60"/>
        <v>0.2</v>
      </c>
      <c r="U81" s="2013">
        <f t="shared" si="61"/>
        <v>0.2</v>
      </c>
      <c r="V81" s="2013">
        <f t="shared" si="62"/>
        <v>0.2</v>
      </c>
      <c r="W81" s="2013">
        <f t="shared" si="63"/>
        <v>0.2</v>
      </c>
      <c r="X81" s="2013">
        <f t="shared" si="64"/>
        <v>0.2</v>
      </c>
      <c r="Y81" s="2013">
        <f t="shared" si="65"/>
        <v>0.2</v>
      </c>
      <c r="Z81" s="2022">
        <f t="shared" si="66"/>
        <v>0.2</v>
      </c>
      <c r="AA81" s="2013">
        <f t="shared" si="67"/>
        <v>0.2</v>
      </c>
      <c r="AB81" s="2013">
        <f t="shared" si="68"/>
        <v>0.25</v>
      </c>
      <c r="AC81" s="2014">
        <f t="shared" si="69"/>
        <v>0</v>
      </c>
      <c r="AD81" s="2013">
        <f t="shared" si="70"/>
        <v>0</v>
      </c>
      <c r="AE81" s="2013">
        <f t="shared" si="71"/>
        <v>0</v>
      </c>
      <c r="AG81" s="2011" t="s">
        <v>2292</v>
      </c>
      <c r="AH81" s="2015" t="s">
        <v>1704</v>
      </c>
      <c r="AI81" s="2016" t="s">
        <v>1705</v>
      </c>
      <c r="AJ81" s="2014">
        <v>0.2</v>
      </c>
      <c r="AK81" s="2014">
        <v>0.2</v>
      </c>
      <c r="AL81" s="2014">
        <v>0.2</v>
      </c>
      <c r="AM81" s="2014">
        <v>0.2</v>
      </c>
      <c r="AN81" s="2014">
        <v>0.2</v>
      </c>
      <c r="AO81" s="2014">
        <v>0.2</v>
      </c>
      <c r="AP81" s="2014">
        <v>0.2</v>
      </c>
      <c r="AQ81" s="2014">
        <v>0.2</v>
      </c>
      <c r="AR81" s="2014">
        <v>0.2</v>
      </c>
      <c r="AS81" s="2018">
        <v>0.25</v>
      </c>
      <c r="AT81" s="2019">
        <v>0</v>
      </c>
      <c r="AU81" s="2018">
        <v>0</v>
      </c>
      <c r="AV81" s="2018">
        <v>0</v>
      </c>
      <c r="AX81" s="2011" t="s">
        <v>2292</v>
      </c>
      <c r="AY81" s="2015" t="s">
        <v>1704</v>
      </c>
      <c r="AZ81" s="2016" t="s">
        <v>1705</v>
      </c>
      <c r="BA81" s="2018">
        <v>0.2</v>
      </c>
      <c r="BB81" s="2018">
        <v>0.2</v>
      </c>
      <c r="BC81" s="2018">
        <v>0.2</v>
      </c>
      <c r="BD81" s="2018">
        <v>0.2</v>
      </c>
      <c r="BE81" s="2018">
        <v>0.2</v>
      </c>
      <c r="BF81" s="2018">
        <v>0.2</v>
      </c>
      <c r="BG81" s="2018">
        <v>0.2</v>
      </c>
      <c r="BH81" s="2018">
        <v>0.2</v>
      </c>
      <c r="BI81" s="2018">
        <v>0.2</v>
      </c>
      <c r="BJ81" s="2018">
        <v>0.2</v>
      </c>
      <c r="BK81" s="2019"/>
      <c r="BL81" s="2018"/>
      <c r="BM81" s="2018"/>
      <c r="BO81" s="2011" t="s">
        <v>2292</v>
      </c>
      <c r="BP81" s="2015" t="s">
        <v>1704</v>
      </c>
      <c r="BQ81" s="2016" t="s">
        <v>1705</v>
      </c>
      <c r="BR81" s="2018">
        <v>0.2</v>
      </c>
      <c r="BS81" s="2018">
        <v>0.2</v>
      </c>
      <c r="BT81" s="2018">
        <v>0.2</v>
      </c>
      <c r="BU81" s="2018">
        <v>0.2</v>
      </c>
      <c r="BV81" s="2018">
        <v>0.2</v>
      </c>
      <c r="BW81" s="2018">
        <v>0.2</v>
      </c>
      <c r="BX81" s="2018">
        <v>0.2</v>
      </c>
      <c r="BY81" s="2018">
        <v>0.2</v>
      </c>
      <c r="BZ81" s="2018">
        <v>0.2</v>
      </c>
      <c r="CA81" s="2018">
        <v>0.2</v>
      </c>
      <c r="CB81" s="2019"/>
      <c r="CC81" s="2018"/>
      <c r="CD81" s="2018"/>
      <c r="CE81" s="2447"/>
    </row>
    <row r="82" spans="1:84">
      <c r="B82" s="1985" t="str">
        <f t="shared" si="72"/>
        <v>2.2.3</v>
      </c>
      <c r="C82" s="2008" t="str">
        <f t="shared" si="51"/>
        <v>主要内装仕上げ材の更新必要間隔</v>
      </c>
      <c r="D82" s="1998" t="e">
        <f t="shared" si="73"/>
        <v>#DIV/0!</v>
      </c>
      <c r="E82" s="2010" t="e">
        <f t="shared" si="73"/>
        <v>#DIV/0!</v>
      </c>
      <c r="G82" s="2010" t="e">
        <f t="shared" si="52"/>
        <v>#DIV/0!</v>
      </c>
      <c r="H82" s="2010" t="e">
        <f t="shared" si="53"/>
        <v>#DIV/0!</v>
      </c>
      <c r="I82" s="2010"/>
      <c r="J82" s="2010"/>
      <c r="K82" s="2010">
        <f>IF(スコア!O82=0,0,1)</f>
        <v>0</v>
      </c>
      <c r="L82" s="2010">
        <f>IF(スコア!Q82=0,0,1)</f>
        <v>0</v>
      </c>
      <c r="M82" s="2010" t="e">
        <f t="shared" si="54"/>
        <v>#DIV/0!</v>
      </c>
      <c r="N82" s="2010" t="e">
        <f t="shared" si="55"/>
        <v>#DIV/0!</v>
      </c>
      <c r="P82" s="2011" t="str">
        <f t="shared" si="56"/>
        <v>2.2.3</v>
      </c>
      <c r="Q82" s="2011" t="str">
        <f t="shared" si="57"/>
        <v xml:space="preserve"> Q2 2.2</v>
      </c>
      <c r="R82" s="2012" t="str">
        <f t="shared" si="58"/>
        <v>主要内装仕上げ材の更新必要間隔</v>
      </c>
      <c r="S82" s="2013">
        <f t="shared" si="59"/>
        <v>0</v>
      </c>
      <c r="T82" s="2013">
        <f t="shared" si="60"/>
        <v>0</v>
      </c>
      <c r="U82" s="2013">
        <f t="shared" si="61"/>
        <v>0</v>
      </c>
      <c r="V82" s="2013">
        <f t="shared" si="62"/>
        <v>0</v>
      </c>
      <c r="W82" s="2013">
        <f t="shared" si="63"/>
        <v>0</v>
      </c>
      <c r="X82" s="2013">
        <f t="shared" si="64"/>
        <v>0</v>
      </c>
      <c r="Y82" s="2013">
        <f t="shared" si="65"/>
        <v>0</v>
      </c>
      <c r="Z82" s="2022">
        <f t="shared" si="66"/>
        <v>0</v>
      </c>
      <c r="AA82" s="2013">
        <f t="shared" si="67"/>
        <v>0</v>
      </c>
      <c r="AB82" s="2013">
        <f t="shared" si="68"/>
        <v>0</v>
      </c>
      <c r="AC82" s="2014">
        <f t="shared" si="69"/>
        <v>0</v>
      </c>
      <c r="AD82" s="2013">
        <f t="shared" si="70"/>
        <v>0</v>
      </c>
      <c r="AE82" s="2013">
        <f t="shared" si="71"/>
        <v>0</v>
      </c>
      <c r="AG82" s="2011" t="s">
        <v>2293</v>
      </c>
      <c r="AH82" s="2015" t="s">
        <v>1704</v>
      </c>
      <c r="AI82" s="2016" t="s">
        <v>1706</v>
      </c>
      <c r="AJ82" s="2023">
        <v>0</v>
      </c>
      <c r="AK82" s="2023">
        <v>0</v>
      </c>
      <c r="AL82" s="2023">
        <v>0</v>
      </c>
      <c r="AM82" s="2023">
        <v>0</v>
      </c>
      <c r="AN82" s="2023">
        <v>0</v>
      </c>
      <c r="AO82" s="2023">
        <v>0</v>
      </c>
      <c r="AP82" s="2023">
        <v>0</v>
      </c>
      <c r="AQ82" s="2023">
        <v>0</v>
      </c>
      <c r="AR82" s="2023">
        <v>0</v>
      </c>
      <c r="AS82" s="2018">
        <v>0</v>
      </c>
      <c r="AT82" s="2019">
        <v>0</v>
      </c>
      <c r="AU82" s="2018">
        <v>0</v>
      </c>
      <c r="AV82" s="2018">
        <v>0</v>
      </c>
      <c r="AX82" s="2011" t="s">
        <v>2293</v>
      </c>
      <c r="AY82" s="2015" t="s">
        <v>1704</v>
      </c>
      <c r="AZ82" s="2016" t="s">
        <v>1706</v>
      </c>
      <c r="BA82" s="2018">
        <v>0.1</v>
      </c>
      <c r="BB82" s="2018">
        <v>0.1</v>
      </c>
      <c r="BC82" s="2018">
        <v>0.1</v>
      </c>
      <c r="BD82" s="2018">
        <v>0.1</v>
      </c>
      <c r="BE82" s="2018">
        <v>0.1</v>
      </c>
      <c r="BF82" s="2018">
        <v>0.1</v>
      </c>
      <c r="BG82" s="2018">
        <v>0.1</v>
      </c>
      <c r="BH82" s="2018">
        <v>0.1</v>
      </c>
      <c r="BI82" s="2018">
        <v>0.1</v>
      </c>
      <c r="BJ82" s="2018">
        <v>0.1</v>
      </c>
      <c r="BK82" s="2019"/>
      <c r="BL82" s="2018"/>
      <c r="BM82" s="2018"/>
      <c r="BO82" s="2011" t="s">
        <v>2293</v>
      </c>
      <c r="BP82" s="2015" t="s">
        <v>1704</v>
      </c>
      <c r="BQ82" s="2016" t="s">
        <v>1706</v>
      </c>
      <c r="BR82" s="2018">
        <v>0.1</v>
      </c>
      <c r="BS82" s="2018">
        <v>0.1</v>
      </c>
      <c r="BT82" s="2018">
        <v>0.1</v>
      </c>
      <c r="BU82" s="2018">
        <v>0.1</v>
      </c>
      <c r="BV82" s="2018">
        <v>0.1</v>
      </c>
      <c r="BW82" s="2018">
        <v>0.1</v>
      </c>
      <c r="BX82" s="2018">
        <v>0.1</v>
      </c>
      <c r="BY82" s="2018">
        <v>0.1</v>
      </c>
      <c r="BZ82" s="2018">
        <v>0.1</v>
      </c>
      <c r="CA82" s="2018">
        <v>0.1</v>
      </c>
      <c r="CB82" s="2019"/>
      <c r="CC82" s="2018"/>
      <c r="CD82" s="2018"/>
      <c r="CE82" s="2447"/>
    </row>
    <row r="83" spans="1:84" s="2063" customFormat="1">
      <c r="A83"/>
      <c r="B83" s="1985" t="str">
        <f t="shared" si="72"/>
        <v>2.2.4</v>
      </c>
      <c r="C83" s="2008" t="str">
        <f t="shared" si="51"/>
        <v>空調換気ダクトの更新必要間隔</v>
      </c>
      <c r="D83" s="1998" t="e">
        <f t="shared" si="73"/>
        <v>#DIV/0!</v>
      </c>
      <c r="E83" s="2010" t="e">
        <f t="shared" si="73"/>
        <v>#DIV/0!</v>
      </c>
      <c r="F83"/>
      <c r="G83" s="2010" t="e">
        <f t="shared" si="52"/>
        <v>#DIV/0!</v>
      </c>
      <c r="H83" s="2010" t="e">
        <f t="shared" si="53"/>
        <v>#DIV/0!</v>
      </c>
      <c r="I83" s="2010"/>
      <c r="J83" s="2010"/>
      <c r="K83" s="2010">
        <f>IF(スコア!O83=0,0,1)</f>
        <v>1</v>
      </c>
      <c r="L83" s="2010">
        <f>IF(スコア!Q83=0,0,1)</f>
        <v>0</v>
      </c>
      <c r="M83" s="2010" t="e">
        <f t="shared" si="54"/>
        <v>#DIV/0!</v>
      </c>
      <c r="N83" s="2010" t="e">
        <f t="shared" si="55"/>
        <v>#DIV/0!</v>
      </c>
      <c r="O83"/>
      <c r="P83" s="2011" t="str">
        <f t="shared" si="56"/>
        <v>2.2.4</v>
      </c>
      <c r="Q83" s="2011" t="str">
        <f t="shared" si="57"/>
        <v xml:space="preserve"> Q2 2.2</v>
      </c>
      <c r="R83" s="2012" t="str">
        <f t="shared" si="58"/>
        <v>空調換気ダクトの更新必要間隔</v>
      </c>
      <c r="S83" s="2013">
        <f t="shared" si="59"/>
        <v>0.1</v>
      </c>
      <c r="T83" s="2013">
        <f t="shared" si="60"/>
        <v>0.1</v>
      </c>
      <c r="U83" s="2013">
        <f t="shared" si="61"/>
        <v>0.1</v>
      </c>
      <c r="V83" s="2013">
        <f t="shared" si="62"/>
        <v>0.1</v>
      </c>
      <c r="W83" s="2013">
        <f t="shared" si="63"/>
        <v>0.1</v>
      </c>
      <c r="X83" s="2013">
        <f t="shared" si="64"/>
        <v>0.1</v>
      </c>
      <c r="Y83" s="2013">
        <f t="shared" si="65"/>
        <v>0.1</v>
      </c>
      <c r="Z83" s="2022">
        <f t="shared" si="66"/>
        <v>0.1</v>
      </c>
      <c r="AA83" s="2013">
        <f t="shared" si="67"/>
        <v>0.1</v>
      </c>
      <c r="AB83" s="2013">
        <f t="shared" si="68"/>
        <v>0.1</v>
      </c>
      <c r="AC83" s="2014">
        <f t="shared" si="69"/>
        <v>0</v>
      </c>
      <c r="AD83" s="2013">
        <f t="shared" si="70"/>
        <v>0</v>
      </c>
      <c r="AE83" s="2013">
        <f t="shared" si="71"/>
        <v>0</v>
      </c>
      <c r="AF83"/>
      <c r="AG83" s="2011" t="s">
        <v>2294</v>
      </c>
      <c r="AH83" s="2015" t="s">
        <v>1704</v>
      </c>
      <c r="AI83" s="2016" t="s">
        <v>1707</v>
      </c>
      <c r="AJ83" s="2014">
        <v>0.1</v>
      </c>
      <c r="AK83" s="2014">
        <v>0.1</v>
      </c>
      <c r="AL83" s="2014">
        <v>0.1</v>
      </c>
      <c r="AM83" s="2014">
        <v>0.1</v>
      </c>
      <c r="AN83" s="2014">
        <v>0.1</v>
      </c>
      <c r="AO83" s="2014">
        <v>0.1</v>
      </c>
      <c r="AP83" s="2014">
        <v>0.1</v>
      </c>
      <c r="AQ83" s="2014">
        <v>0.1</v>
      </c>
      <c r="AR83" s="2014">
        <v>0.1</v>
      </c>
      <c r="AS83" s="2018">
        <v>0.1</v>
      </c>
      <c r="AT83" s="2019">
        <v>0</v>
      </c>
      <c r="AU83" s="2018">
        <v>0</v>
      </c>
      <c r="AV83" s="2018">
        <v>0</v>
      </c>
      <c r="AW83"/>
      <c r="AX83" s="2011" t="s">
        <v>2295</v>
      </c>
      <c r="AY83" s="2015" t="s">
        <v>1704</v>
      </c>
      <c r="AZ83" s="2016" t="s">
        <v>1658</v>
      </c>
      <c r="BA83" s="2018">
        <v>0.1</v>
      </c>
      <c r="BB83" s="2018">
        <v>0.1</v>
      </c>
      <c r="BC83" s="2018">
        <v>0.1</v>
      </c>
      <c r="BD83" s="2018">
        <v>0.1</v>
      </c>
      <c r="BE83" s="2018">
        <v>0.1</v>
      </c>
      <c r="BF83" s="2018">
        <v>0.1</v>
      </c>
      <c r="BG83" s="2018">
        <v>0.1</v>
      </c>
      <c r="BH83" s="2018">
        <v>0.1</v>
      </c>
      <c r="BI83" s="2018">
        <v>0.1</v>
      </c>
      <c r="BJ83" s="2018">
        <v>0.1</v>
      </c>
      <c r="BK83" s="2019"/>
      <c r="BL83" s="2018"/>
      <c r="BM83" s="2018"/>
      <c r="BN83"/>
      <c r="BO83" s="2011" t="s">
        <v>2295</v>
      </c>
      <c r="BP83" s="2015" t="s">
        <v>1704</v>
      </c>
      <c r="BQ83" s="2016" t="s">
        <v>1707</v>
      </c>
      <c r="BR83" s="2018">
        <v>0.1</v>
      </c>
      <c r="BS83" s="2018">
        <v>0.1</v>
      </c>
      <c r="BT83" s="2018">
        <v>0.1</v>
      </c>
      <c r="BU83" s="2018">
        <v>0.1</v>
      </c>
      <c r="BV83" s="2018">
        <v>0.1</v>
      </c>
      <c r="BW83" s="2018">
        <v>0.1</v>
      </c>
      <c r="BX83" s="2018">
        <v>0.1</v>
      </c>
      <c r="BY83" s="2018">
        <v>0.1</v>
      </c>
      <c r="BZ83" s="2018">
        <v>0.1</v>
      </c>
      <c r="CA83" s="2018">
        <v>0.1</v>
      </c>
      <c r="CB83" s="2019"/>
      <c r="CC83" s="2018"/>
      <c r="CD83" s="2018"/>
      <c r="CE83" s="2447"/>
      <c r="CF83"/>
    </row>
    <row r="84" spans="1:84" s="2063" customFormat="1">
      <c r="A84"/>
      <c r="B84" s="1985" t="str">
        <f t="shared" si="72"/>
        <v>2.2.5</v>
      </c>
      <c r="C84" s="2008" t="str">
        <f t="shared" si="51"/>
        <v>空調・給排水配管の更新必要間隔</v>
      </c>
      <c r="D84" s="1998" t="e">
        <f t="shared" si="73"/>
        <v>#DIV/0!</v>
      </c>
      <c r="E84" s="2010" t="e">
        <f t="shared" si="73"/>
        <v>#DIV/0!</v>
      </c>
      <c r="F84"/>
      <c r="G84" s="2010" t="e">
        <f t="shared" si="52"/>
        <v>#DIV/0!</v>
      </c>
      <c r="H84" s="2010" t="e">
        <f t="shared" si="53"/>
        <v>#DIV/0!</v>
      </c>
      <c r="I84" s="2010"/>
      <c r="J84" s="2010"/>
      <c r="K84" s="2010">
        <f>IF(スコア!O85=0,0,1)</f>
        <v>1</v>
      </c>
      <c r="L84" s="2010">
        <f>IF(スコア!Q85=0,0,1)</f>
        <v>0</v>
      </c>
      <c r="M84" s="2010" t="e">
        <f t="shared" si="54"/>
        <v>#DIV/0!</v>
      </c>
      <c r="N84" s="2010" t="e">
        <f t="shared" si="55"/>
        <v>#DIV/0!</v>
      </c>
      <c r="O84"/>
      <c r="P84" s="2011" t="str">
        <f t="shared" si="56"/>
        <v>2.2.5</v>
      </c>
      <c r="Q84" s="2011" t="str">
        <f t="shared" si="57"/>
        <v xml:space="preserve"> Q2 2.2</v>
      </c>
      <c r="R84" s="2012" t="str">
        <f t="shared" si="58"/>
        <v>空調・給排水配管の更新必要間隔</v>
      </c>
      <c r="S84" s="2013">
        <f t="shared" si="59"/>
        <v>0.1</v>
      </c>
      <c r="T84" s="2013">
        <f t="shared" si="60"/>
        <v>0.1</v>
      </c>
      <c r="U84" s="2013">
        <f t="shared" si="61"/>
        <v>0.1</v>
      </c>
      <c r="V84" s="2013">
        <f t="shared" si="62"/>
        <v>0.1</v>
      </c>
      <c r="W84" s="2013">
        <f t="shared" si="63"/>
        <v>0.1</v>
      </c>
      <c r="X84" s="2013">
        <f t="shared" si="64"/>
        <v>0.1</v>
      </c>
      <c r="Y84" s="2013">
        <f t="shared" si="65"/>
        <v>0.1</v>
      </c>
      <c r="Z84" s="2022">
        <f t="shared" si="66"/>
        <v>0.1</v>
      </c>
      <c r="AA84" s="2013">
        <f t="shared" si="67"/>
        <v>0.1</v>
      </c>
      <c r="AB84" s="2013">
        <f t="shared" si="68"/>
        <v>0.1</v>
      </c>
      <c r="AC84" s="2014">
        <f t="shared" si="69"/>
        <v>0</v>
      </c>
      <c r="AD84" s="2013">
        <f t="shared" si="70"/>
        <v>0</v>
      </c>
      <c r="AE84" s="2013">
        <f t="shared" si="71"/>
        <v>0</v>
      </c>
      <c r="AF84"/>
      <c r="AG84" s="2011" t="s">
        <v>2296</v>
      </c>
      <c r="AH84" s="2015" t="s">
        <v>1704</v>
      </c>
      <c r="AI84" s="2016" t="s">
        <v>1708</v>
      </c>
      <c r="AJ84" s="2014">
        <v>0.1</v>
      </c>
      <c r="AK84" s="2014">
        <v>0.1</v>
      </c>
      <c r="AL84" s="2014">
        <v>0.1</v>
      </c>
      <c r="AM84" s="2014">
        <v>0.1</v>
      </c>
      <c r="AN84" s="2014">
        <v>0.1</v>
      </c>
      <c r="AO84" s="2014">
        <v>0.1</v>
      </c>
      <c r="AP84" s="2014">
        <v>0.1</v>
      </c>
      <c r="AQ84" s="2014">
        <v>0.1</v>
      </c>
      <c r="AR84" s="2014">
        <v>0.1</v>
      </c>
      <c r="AS84" s="2018">
        <v>0.1</v>
      </c>
      <c r="AT84" s="2019"/>
      <c r="AU84" s="2018"/>
      <c r="AV84" s="2018"/>
      <c r="AW84"/>
      <c r="AX84" s="2011" t="s">
        <v>2297</v>
      </c>
      <c r="AY84" s="2015" t="s">
        <v>1704</v>
      </c>
      <c r="AZ84" s="2016" t="s">
        <v>1659</v>
      </c>
      <c r="BA84" s="2018">
        <v>0.2</v>
      </c>
      <c r="BB84" s="2018">
        <v>0.2</v>
      </c>
      <c r="BC84" s="2018">
        <v>0.2</v>
      </c>
      <c r="BD84" s="2018">
        <v>0.2</v>
      </c>
      <c r="BE84" s="2018">
        <v>0.2</v>
      </c>
      <c r="BF84" s="2018">
        <v>0.2</v>
      </c>
      <c r="BG84" s="2018">
        <v>0.2</v>
      </c>
      <c r="BH84" s="2018">
        <v>0.2</v>
      </c>
      <c r="BI84" s="2018">
        <v>0.2</v>
      </c>
      <c r="BJ84" s="2018">
        <v>0.2</v>
      </c>
      <c r="BK84" s="2019"/>
      <c r="BL84" s="2018"/>
      <c r="BM84" s="2018"/>
      <c r="BN84"/>
      <c r="BO84" s="2011" t="s">
        <v>2297</v>
      </c>
      <c r="BP84" s="2015" t="s">
        <v>1704</v>
      </c>
      <c r="BQ84" s="2016" t="s">
        <v>1708</v>
      </c>
      <c r="BR84" s="2018">
        <v>0.2</v>
      </c>
      <c r="BS84" s="2018">
        <v>0.2</v>
      </c>
      <c r="BT84" s="2018">
        <v>0.2</v>
      </c>
      <c r="BU84" s="2018">
        <v>0.2</v>
      </c>
      <c r="BV84" s="2018">
        <v>0.2</v>
      </c>
      <c r="BW84" s="2018">
        <v>0.2</v>
      </c>
      <c r="BX84" s="2018">
        <v>0.2</v>
      </c>
      <c r="BY84" s="2018">
        <v>0.2</v>
      </c>
      <c r="BZ84" s="2018">
        <v>0.2</v>
      </c>
      <c r="CA84" s="2018">
        <v>0.2</v>
      </c>
      <c r="CB84" s="2019"/>
      <c r="CC84" s="2018"/>
      <c r="CD84" s="2018"/>
      <c r="CE84" s="2447"/>
      <c r="CF84"/>
    </row>
    <row r="85" spans="1:84">
      <c r="B85" s="1985" t="str">
        <f t="shared" si="72"/>
        <v>2.2.6</v>
      </c>
      <c r="C85" s="2067" t="str">
        <f t="shared" si="51"/>
        <v>主要設備機器の更新必要間隔</v>
      </c>
      <c r="D85" s="1998" t="e">
        <f t="shared" si="73"/>
        <v>#DIV/0!</v>
      </c>
      <c r="E85" s="2010" t="e">
        <f t="shared" si="73"/>
        <v>#DIV/0!</v>
      </c>
      <c r="G85" s="2010" t="e">
        <f t="shared" si="52"/>
        <v>#DIV/0!</v>
      </c>
      <c r="H85" s="2010" t="e">
        <f t="shared" si="53"/>
        <v>#DIV/0!</v>
      </c>
      <c r="I85" s="2010"/>
      <c r="J85" s="2010"/>
      <c r="K85" s="2010">
        <f>IF(スコア!O85=0,0,1)</f>
        <v>1</v>
      </c>
      <c r="L85" s="2010">
        <f>IF(スコア!Q85=0,0,1)</f>
        <v>0</v>
      </c>
      <c r="M85" s="2010" t="e">
        <f t="shared" si="54"/>
        <v>#DIV/0!</v>
      </c>
      <c r="N85" s="2010" t="e">
        <f t="shared" si="55"/>
        <v>#DIV/0!</v>
      </c>
      <c r="P85" s="2011" t="str">
        <f t="shared" si="56"/>
        <v>2.2.6</v>
      </c>
      <c r="Q85" s="2011" t="str">
        <f t="shared" si="57"/>
        <v xml:space="preserve"> Q2 2.2</v>
      </c>
      <c r="R85" s="2012" t="str">
        <f t="shared" si="58"/>
        <v>主要設備機器の更新必要間隔</v>
      </c>
      <c r="S85" s="2013">
        <f t="shared" si="59"/>
        <v>0.2</v>
      </c>
      <c r="T85" s="2013">
        <f t="shared" si="60"/>
        <v>0.2</v>
      </c>
      <c r="U85" s="2013">
        <f t="shared" si="61"/>
        <v>0.2</v>
      </c>
      <c r="V85" s="2013">
        <f t="shared" si="62"/>
        <v>0.2</v>
      </c>
      <c r="W85" s="2013">
        <f t="shared" si="63"/>
        <v>0.2</v>
      </c>
      <c r="X85" s="2013">
        <f t="shared" si="64"/>
        <v>0.2</v>
      </c>
      <c r="Y85" s="2013">
        <f t="shared" si="65"/>
        <v>0.2</v>
      </c>
      <c r="Z85" s="2022">
        <f t="shared" si="66"/>
        <v>0.2</v>
      </c>
      <c r="AA85" s="2013">
        <f t="shared" si="67"/>
        <v>0.2</v>
      </c>
      <c r="AB85" s="2013">
        <f t="shared" si="68"/>
        <v>0.25</v>
      </c>
      <c r="AC85" s="2014">
        <f t="shared" si="69"/>
        <v>0</v>
      </c>
      <c r="AD85" s="2013">
        <f t="shared" si="70"/>
        <v>0</v>
      </c>
      <c r="AE85" s="2013">
        <f t="shared" si="71"/>
        <v>0</v>
      </c>
      <c r="AG85" s="2011" t="s">
        <v>2298</v>
      </c>
      <c r="AH85" s="2015" t="s">
        <v>1704</v>
      </c>
      <c r="AI85" s="2016" t="s">
        <v>1709</v>
      </c>
      <c r="AJ85" s="2014">
        <v>0.2</v>
      </c>
      <c r="AK85" s="2014">
        <v>0.2</v>
      </c>
      <c r="AL85" s="2014">
        <v>0.2</v>
      </c>
      <c r="AM85" s="2014">
        <v>0.2</v>
      </c>
      <c r="AN85" s="2014">
        <v>0.2</v>
      </c>
      <c r="AO85" s="2014">
        <v>0.2</v>
      </c>
      <c r="AP85" s="2014">
        <v>0.2</v>
      </c>
      <c r="AQ85" s="2014">
        <v>0.2</v>
      </c>
      <c r="AR85" s="2014">
        <v>0.2</v>
      </c>
      <c r="AS85" s="2018">
        <v>0.25</v>
      </c>
      <c r="AT85" s="2019">
        <v>0</v>
      </c>
      <c r="AU85" s="2018">
        <v>0</v>
      </c>
      <c r="AV85" s="2018">
        <v>0</v>
      </c>
      <c r="AX85" s="2011" t="s">
        <v>2298</v>
      </c>
      <c r="AY85" s="2015" t="s">
        <v>1704</v>
      </c>
      <c r="AZ85" s="2016" t="s">
        <v>1709</v>
      </c>
      <c r="BA85" s="2018">
        <v>0.2</v>
      </c>
      <c r="BB85" s="2018">
        <v>0.2</v>
      </c>
      <c r="BC85" s="2018">
        <v>0.2</v>
      </c>
      <c r="BD85" s="2018">
        <v>0.2</v>
      </c>
      <c r="BE85" s="2018">
        <v>0.2</v>
      </c>
      <c r="BF85" s="2018">
        <v>0.2</v>
      </c>
      <c r="BG85" s="2018">
        <v>0.2</v>
      </c>
      <c r="BH85" s="2018">
        <v>0.2</v>
      </c>
      <c r="BI85" s="2018">
        <v>0.2</v>
      </c>
      <c r="BJ85" s="2018">
        <v>0.2</v>
      </c>
      <c r="BK85" s="2019"/>
      <c r="BL85" s="2018"/>
      <c r="BM85" s="2018"/>
      <c r="BO85" s="2011" t="s">
        <v>2298</v>
      </c>
      <c r="BP85" s="2015" t="s">
        <v>1704</v>
      </c>
      <c r="BQ85" s="2016" t="s">
        <v>1709</v>
      </c>
      <c r="BR85" s="2018">
        <v>0.2</v>
      </c>
      <c r="BS85" s="2018">
        <v>0.2</v>
      </c>
      <c r="BT85" s="2018">
        <v>0.2</v>
      </c>
      <c r="BU85" s="2018">
        <v>0.2</v>
      </c>
      <c r="BV85" s="2018">
        <v>0.2</v>
      </c>
      <c r="BW85" s="2018">
        <v>0.2</v>
      </c>
      <c r="BX85" s="2018">
        <v>0.2</v>
      </c>
      <c r="BY85" s="2018">
        <v>0.2</v>
      </c>
      <c r="BZ85" s="2018">
        <v>0.2</v>
      </c>
      <c r="CA85" s="2018">
        <v>0.2</v>
      </c>
      <c r="CB85" s="2019"/>
      <c r="CC85" s="2018"/>
      <c r="CD85" s="2018"/>
      <c r="CE85" s="2447"/>
    </row>
    <row r="86" spans="1:84">
      <c r="B86" s="1985">
        <f t="shared" si="72"/>
        <v>2.2999999999999998</v>
      </c>
      <c r="C86" s="2067" t="str">
        <f t="shared" si="51"/>
        <v>適切な更新</v>
      </c>
      <c r="D86" s="2009" t="e">
        <f>IF(I$75=0,0,G86/I$75)</f>
        <v>#DIV/0!</v>
      </c>
      <c r="E86" s="2010" t="e">
        <f>IF(J$75=0,0,H86/J$75)</f>
        <v>#DIV/0!</v>
      </c>
      <c r="G86" s="2010" t="e">
        <f t="shared" si="52"/>
        <v>#DIV/0!</v>
      </c>
      <c r="H86" s="2010" t="e">
        <f t="shared" si="53"/>
        <v>#DIV/0!</v>
      </c>
      <c r="I86" s="2010" t="e">
        <f>G87+G88+G89</f>
        <v>#DIV/0!</v>
      </c>
      <c r="J86" s="2010" t="e">
        <f>H87+H88+H89</f>
        <v>#DIV/0!</v>
      </c>
      <c r="K86" s="2010" t="e">
        <f>IF(スコア!O86=0,0,1)</f>
        <v>#DIV/0!</v>
      </c>
      <c r="L86" s="2010" t="e">
        <f>IF(スコア!Q90=0,0,1)</f>
        <v>#DIV/0!</v>
      </c>
      <c r="M86" s="2010" t="e">
        <f t="shared" si="54"/>
        <v>#DIV/0!</v>
      </c>
      <c r="N86" s="2010" t="e">
        <f t="shared" si="55"/>
        <v>#DIV/0!</v>
      </c>
      <c r="P86" s="2011">
        <f t="shared" si="56"/>
        <v>2.2999999999999998</v>
      </c>
      <c r="Q86" s="2011" t="str">
        <f t="shared" si="57"/>
        <v xml:space="preserve"> Q2 2</v>
      </c>
      <c r="R86" s="2012" t="str">
        <f t="shared" si="58"/>
        <v>適切な更新</v>
      </c>
      <c r="S86" s="2013">
        <f t="shared" si="59"/>
        <v>0.25</v>
      </c>
      <c r="T86" s="2013">
        <f t="shared" si="60"/>
        <v>0.25</v>
      </c>
      <c r="U86" s="2013">
        <f t="shared" si="61"/>
        <v>0.25</v>
      </c>
      <c r="V86" s="2013">
        <f t="shared" si="62"/>
        <v>0.25</v>
      </c>
      <c r="W86" s="2013">
        <f t="shared" si="63"/>
        <v>0.25</v>
      </c>
      <c r="X86" s="2013">
        <f t="shared" si="64"/>
        <v>0.25</v>
      </c>
      <c r="Y86" s="2013">
        <f t="shared" si="65"/>
        <v>0.25</v>
      </c>
      <c r="Z86" s="2022">
        <f t="shared" si="66"/>
        <v>0.25</v>
      </c>
      <c r="AA86" s="2013">
        <f t="shared" si="67"/>
        <v>0.25</v>
      </c>
      <c r="AB86" s="2013">
        <f t="shared" si="68"/>
        <v>0.25</v>
      </c>
      <c r="AC86" s="2014">
        <f t="shared" si="69"/>
        <v>0</v>
      </c>
      <c r="AD86" s="2013">
        <f t="shared" si="70"/>
        <v>0</v>
      </c>
      <c r="AE86" s="2013">
        <f t="shared" si="71"/>
        <v>0</v>
      </c>
      <c r="AG86" s="2011">
        <v>2.2999999999999998</v>
      </c>
      <c r="AH86" s="2011" t="s">
        <v>2299</v>
      </c>
      <c r="AI86" s="2015" t="s">
        <v>634</v>
      </c>
      <c r="AJ86" s="2013">
        <v>0.25</v>
      </c>
      <c r="AK86" s="2013">
        <v>0.25</v>
      </c>
      <c r="AL86" s="2013">
        <v>0.25</v>
      </c>
      <c r="AM86" s="2013">
        <v>0.25</v>
      </c>
      <c r="AN86" s="2013">
        <v>0.25</v>
      </c>
      <c r="AO86" s="2013">
        <v>0.25</v>
      </c>
      <c r="AP86" s="2013">
        <v>0.25</v>
      </c>
      <c r="AQ86" s="2022">
        <v>0.25</v>
      </c>
      <c r="AR86" s="2013">
        <v>0.25</v>
      </c>
      <c r="AS86" s="2018">
        <v>0.25</v>
      </c>
      <c r="AT86" s="2018"/>
      <c r="AU86" s="2019"/>
      <c r="AV86" s="2018"/>
      <c r="AX86" s="2039">
        <v>2.2999999999999998</v>
      </c>
      <c r="AY86" s="2068" t="s">
        <v>1700</v>
      </c>
      <c r="AZ86" s="2044" t="s">
        <v>1660</v>
      </c>
      <c r="BA86" s="2045">
        <v>0</v>
      </c>
      <c r="BB86" s="2045">
        <v>0</v>
      </c>
      <c r="BC86" s="2045">
        <v>0</v>
      </c>
      <c r="BD86" s="2045">
        <v>0</v>
      </c>
      <c r="BE86" s="2045">
        <v>0</v>
      </c>
      <c r="BF86" s="2045">
        <v>0</v>
      </c>
      <c r="BG86" s="2045">
        <v>0</v>
      </c>
      <c r="BH86" s="2045">
        <v>0</v>
      </c>
      <c r="BI86" s="2045">
        <v>0</v>
      </c>
      <c r="BJ86" s="2045">
        <v>0</v>
      </c>
      <c r="BK86" s="2047"/>
      <c r="BL86" s="2045"/>
      <c r="BM86" s="2045"/>
      <c r="BO86" s="2039">
        <v>2.2999999999999998</v>
      </c>
      <c r="BP86" s="2068" t="s">
        <v>1700</v>
      </c>
      <c r="BQ86" s="2044" t="s">
        <v>634</v>
      </c>
      <c r="BR86" s="2045">
        <v>0</v>
      </c>
      <c r="BS86" s="2045">
        <v>0</v>
      </c>
      <c r="BT86" s="2045">
        <v>0</v>
      </c>
      <c r="BU86" s="2045">
        <v>0</v>
      </c>
      <c r="BV86" s="2045">
        <v>0</v>
      </c>
      <c r="BW86" s="2045">
        <v>0</v>
      </c>
      <c r="BX86" s="2045">
        <v>0</v>
      </c>
      <c r="BY86" s="2045">
        <v>0</v>
      </c>
      <c r="BZ86" s="2045">
        <v>0</v>
      </c>
      <c r="CA86" s="2045">
        <v>0</v>
      </c>
      <c r="CB86" s="2045"/>
      <c r="CC86" s="2045"/>
      <c r="CD86" s="2045"/>
      <c r="CE86" s="2447"/>
    </row>
    <row r="87" spans="1:84">
      <c r="B87" s="1985" t="str">
        <f t="shared" si="72"/>
        <v>2.3.1</v>
      </c>
      <c r="C87" s="2067" t="str">
        <f t="shared" si="51"/>
        <v>屋上（屋根）・外壁仕上げ材の更新</v>
      </c>
      <c r="D87" s="1998" t="e">
        <f t="shared" ref="D87:E89" si="74">IF(I$79&gt;0,G87/I$79,0)</f>
        <v>#DIV/0!</v>
      </c>
      <c r="E87" s="2010" t="e">
        <f t="shared" si="74"/>
        <v>#DIV/0!</v>
      </c>
      <c r="G87" s="2010" t="e">
        <f t="shared" si="52"/>
        <v>#DIV/0!</v>
      </c>
      <c r="H87" s="2010" t="e">
        <f t="shared" si="53"/>
        <v>#DIV/0!</v>
      </c>
      <c r="I87" s="2010"/>
      <c r="J87" s="2010"/>
      <c r="K87" s="2010">
        <f>IF(スコア!O87=0,0,1)</f>
        <v>1</v>
      </c>
      <c r="L87" s="2010">
        <f>IF(スコア!Q91=0,0,1)</f>
        <v>0</v>
      </c>
      <c r="M87" s="2010" t="e">
        <f t="shared" si="54"/>
        <v>#DIV/0!</v>
      </c>
      <c r="N87" s="2010" t="e">
        <f t="shared" si="55"/>
        <v>#DIV/0!</v>
      </c>
      <c r="P87" s="2011" t="str">
        <f t="shared" si="56"/>
        <v>2.3.1</v>
      </c>
      <c r="Q87" s="2011" t="str">
        <f t="shared" si="57"/>
        <v xml:space="preserve"> Q2 2.3</v>
      </c>
      <c r="R87" s="2012" t="str">
        <f t="shared" si="58"/>
        <v>屋上（屋根）・外壁仕上げ材の更新</v>
      </c>
      <c r="S87" s="2013">
        <f t="shared" si="59"/>
        <v>0.33333333333333331</v>
      </c>
      <c r="T87" s="2013">
        <f t="shared" si="60"/>
        <v>0.33333333333333331</v>
      </c>
      <c r="U87" s="2013">
        <f t="shared" si="61"/>
        <v>0.33333333333333331</v>
      </c>
      <c r="V87" s="2013">
        <f t="shared" si="62"/>
        <v>0.33333333333333331</v>
      </c>
      <c r="W87" s="2013">
        <f t="shared" si="63"/>
        <v>0.33333333333333331</v>
      </c>
      <c r="X87" s="2013">
        <f t="shared" si="64"/>
        <v>0.33333333333333331</v>
      </c>
      <c r="Y87" s="2013">
        <f t="shared" si="65"/>
        <v>0.33333333333333331</v>
      </c>
      <c r="Z87" s="2022">
        <f t="shared" si="66"/>
        <v>0.33333333333333331</v>
      </c>
      <c r="AA87" s="2013">
        <f t="shared" si="67"/>
        <v>0.33333333333333331</v>
      </c>
      <c r="AB87" s="2013">
        <f t="shared" si="68"/>
        <v>0.33333333333333331</v>
      </c>
      <c r="AC87" s="2014">
        <f t="shared" si="69"/>
        <v>0</v>
      </c>
      <c r="AD87" s="2013">
        <f t="shared" si="70"/>
        <v>0</v>
      </c>
      <c r="AE87" s="2013">
        <f t="shared" si="71"/>
        <v>0</v>
      </c>
      <c r="AG87" s="2011" t="s">
        <v>2300</v>
      </c>
      <c r="AH87" s="2011" t="s">
        <v>2301</v>
      </c>
      <c r="AI87" s="2015" t="s">
        <v>51</v>
      </c>
      <c r="AJ87" s="2056">
        <v>0.33333333333333331</v>
      </c>
      <c r="AK87" s="2056">
        <v>0.33333333333333331</v>
      </c>
      <c r="AL87" s="2056">
        <v>0.33333333333333331</v>
      </c>
      <c r="AM87" s="2056">
        <v>0.33333333333333331</v>
      </c>
      <c r="AN87" s="2056">
        <v>0.33333333333333331</v>
      </c>
      <c r="AO87" s="2056">
        <v>0.33333333333333331</v>
      </c>
      <c r="AP87" s="2056">
        <v>0.33333333333333331</v>
      </c>
      <c r="AQ87" s="2056">
        <v>0.33333333333333331</v>
      </c>
      <c r="AR87" s="2056">
        <v>0.33333333333333331</v>
      </c>
      <c r="AS87" s="2018">
        <v>0.33333333333333331</v>
      </c>
      <c r="AT87" s="2018"/>
      <c r="AU87" s="2019"/>
      <c r="AV87" s="2018"/>
      <c r="AX87" s="2039" t="s">
        <v>2302</v>
      </c>
      <c r="AY87" s="711" t="s">
        <v>1710</v>
      </c>
      <c r="AZ87" s="2044" t="s">
        <v>1661</v>
      </c>
      <c r="BA87" s="2045">
        <v>0</v>
      </c>
      <c r="BB87" s="2045">
        <v>0</v>
      </c>
      <c r="BC87" s="2045">
        <v>0</v>
      </c>
      <c r="BD87" s="2045">
        <v>0</v>
      </c>
      <c r="BE87" s="2045">
        <v>0</v>
      </c>
      <c r="BF87" s="2045">
        <v>0</v>
      </c>
      <c r="BG87" s="2045">
        <v>0</v>
      </c>
      <c r="BH87" s="2045">
        <v>0</v>
      </c>
      <c r="BI87" s="2045">
        <v>0</v>
      </c>
      <c r="BJ87" s="2045">
        <v>0</v>
      </c>
      <c r="BK87" s="2047"/>
      <c r="BL87" s="2045"/>
      <c r="BM87" s="2045"/>
      <c r="BO87" s="2039" t="s">
        <v>2302</v>
      </c>
      <c r="BP87" s="711" t="s">
        <v>1710</v>
      </c>
      <c r="BQ87" s="2044" t="s">
        <v>51</v>
      </c>
      <c r="BR87" s="2045">
        <v>0</v>
      </c>
      <c r="BS87" s="2045">
        <v>0</v>
      </c>
      <c r="BT87" s="2045">
        <v>0</v>
      </c>
      <c r="BU87" s="2045">
        <v>0</v>
      </c>
      <c r="BV87" s="2045">
        <v>0</v>
      </c>
      <c r="BW87" s="2045">
        <v>0</v>
      </c>
      <c r="BX87" s="2045">
        <v>0</v>
      </c>
      <c r="BY87" s="2045">
        <v>0</v>
      </c>
      <c r="BZ87" s="2045">
        <v>0</v>
      </c>
      <c r="CA87" s="2045">
        <v>0</v>
      </c>
      <c r="CB87" s="2045"/>
      <c r="CC87" s="2045"/>
      <c r="CD87" s="2045"/>
      <c r="CE87" s="2447"/>
    </row>
    <row r="88" spans="1:84">
      <c r="B88" s="1985" t="str">
        <f t="shared" si="72"/>
        <v>2.3.2</v>
      </c>
      <c r="C88" s="2067" t="str">
        <f t="shared" si="51"/>
        <v>配管・配線材の更新</v>
      </c>
      <c r="D88" s="1998" t="e">
        <f t="shared" si="74"/>
        <v>#DIV/0!</v>
      </c>
      <c r="E88" s="2010" t="e">
        <f t="shared" si="74"/>
        <v>#DIV/0!</v>
      </c>
      <c r="G88" s="2010" t="e">
        <f t="shared" si="52"/>
        <v>#DIV/0!</v>
      </c>
      <c r="H88" s="2010" t="e">
        <f t="shared" si="53"/>
        <v>#DIV/0!</v>
      </c>
      <c r="I88" s="2010"/>
      <c r="J88" s="2010"/>
      <c r="K88" s="2010">
        <f>IF(スコア!O88=0,0,1)</f>
        <v>1</v>
      </c>
      <c r="L88" s="2010">
        <f>IF(スコア!Q92=0,0,1)</f>
        <v>0</v>
      </c>
      <c r="M88" s="2010" t="e">
        <f t="shared" si="54"/>
        <v>#DIV/0!</v>
      </c>
      <c r="N88" s="2010" t="e">
        <f t="shared" si="55"/>
        <v>#DIV/0!</v>
      </c>
      <c r="P88" s="2011" t="str">
        <f t="shared" si="56"/>
        <v>2.3.2</v>
      </c>
      <c r="Q88" s="2011" t="str">
        <f t="shared" si="57"/>
        <v xml:space="preserve"> Q2 2.3</v>
      </c>
      <c r="R88" s="2012" t="str">
        <f t="shared" si="58"/>
        <v>配管・配線材の更新</v>
      </c>
      <c r="S88" s="2013">
        <f t="shared" si="59"/>
        <v>0.33333333333333331</v>
      </c>
      <c r="T88" s="2013">
        <f t="shared" si="60"/>
        <v>0.33333333333333331</v>
      </c>
      <c r="U88" s="2013">
        <f t="shared" si="61"/>
        <v>0.33333333333333331</v>
      </c>
      <c r="V88" s="2013">
        <f t="shared" si="62"/>
        <v>0.33333333333333331</v>
      </c>
      <c r="W88" s="2013">
        <f t="shared" si="63"/>
        <v>0.33333333333333331</v>
      </c>
      <c r="X88" s="2013">
        <f t="shared" si="64"/>
        <v>0.33333333333333331</v>
      </c>
      <c r="Y88" s="2013">
        <f t="shared" si="65"/>
        <v>0.33333333333333331</v>
      </c>
      <c r="Z88" s="2022">
        <f t="shared" si="66"/>
        <v>0.33333333333333331</v>
      </c>
      <c r="AA88" s="2013">
        <f t="shared" si="67"/>
        <v>0.33333333333333331</v>
      </c>
      <c r="AB88" s="2013">
        <f t="shared" si="68"/>
        <v>0.33333333333333331</v>
      </c>
      <c r="AC88" s="2014">
        <f t="shared" si="69"/>
        <v>0</v>
      </c>
      <c r="AD88" s="2013">
        <f t="shared" si="70"/>
        <v>0</v>
      </c>
      <c r="AE88" s="2013">
        <f t="shared" si="71"/>
        <v>0</v>
      </c>
      <c r="AG88" s="2011" t="s">
        <v>2303</v>
      </c>
      <c r="AH88" s="2011" t="s">
        <v>2304</v>
      </c>
      <c r="AI88" s="2015" t="s">
        <v>52</v>
      </c>
      <c r="AJ88" s="2056">
        <v>0.33333333333333331</v>
      </c>
      <c r="AK88" s="2056">
        <v>0.33333333333333331</v>
      </c>
      <c r="AL88" s="2056">
        <v>0.33333333333333331</v>
      </c>
      <c r="AM88" s="2056">
        <v>0.33333333333333331</v>
      </c>
      <c r="AN88" s="2056">
        <v>0.33333333333333331</v>
      </c>
      <c r="AO88" s="2056">
        <v>0.33333333333333331</v>
      </c>
      <c r="AP88" s="2056">
        <v>0.33333333333333331</v>
      </c>
      <c r="AQ88" s="2056">
        <v>0.33333333333333331</v>
      </c>
      <c r="AR88" s="2056">
        <v>0.33333333333333331</v>
      </c>
      <c r="AS88" s="2018">
        <v>0.33333333333333331</v>
      </c>
      <c r="AT88" s="2018"/>
      <c r="AU88" s="2019"/>
      <c r="AV88" s="2018"/>
      <c r="AX88" s="2039" t="s">
        <v>1145</v>
      </c>
      <c r="AY88" s="711" t="s">
        <v>1710</v>
      </c>
      <c r="AZ88" s="2044" t="s">
        <v>1662</v>
      </c>
      <c r="BA88" s="2045">
        <v>0</v>
      </c>
      <c r="BB88" s="2045">
        <v>0</v>
      </c>
      <c r="BC88" s="2045">
        <v>0</v>
      </c>
      <c r="BD88" s="2045">
        <v>0</v>
      </c>
      <c r="BE88" s="2045">
        <v>0</v>
      </c>
      <c r="BF88" s="2045">
        <v>0</v>
      </c>
      <c r="BG88" s="2045">
        <v>0</v>
      </c>
      <c r="BH88" s="2045">
        <v>0</v>
      </c>
      <c r="BI88" s="2045">
        <v>0</v>
      </c>
      <c r="BJ88" s="2045">
        <v>0</v>
      </c>
      <c r="BK88" s="2047"/>
      <c r="BL88" s="2045"/>
      <c r="BM88" s="2045"/>
      <c r="BO88" s="2039" t="s">
        <v>1145</v>
      </c>
      <c r="BP88" s="711" t="s">
        <v>1710</v>
      </c>
      <c r="BQ88" s="2044" t="s">
        <v>52</v>
      </c>
      <c r="BR88" s="2045">
        <v>0</v>
      </c>
      <c r="BS88" s="2045">
        <v>0</v>
      </c>
      <c r="BT88" s="2045">
        <v>0</v>
      </c>
      <c r="BU88" s="2045">
        <v>0</v>
      </c>
      <c r="BV88" s="2045">
        <v>0</v>
      </c>
      <c r="BW88" s="2045">
        <v>0</v>
      </c>
      <c r="BX88" s="2045">
        <v>0</v>
      </c>
      <c r="BY88" s="2045">
        <v>0</v>
      </c>
      <c r="BZ88" s="2045">
        <v>0</v>
      </c>
      <c r="CA88" s="2045">
        <v>0</v>
      </c>
      <c r="CB88" s="2045"/>
      <c r="CC88" s="2045"/>
      <c r="CD88" s="2045"/>
      <c r="CE88" s="2447"/>
    </row>
    <row r="89" spans="1:84">
      <c r="B89" s="1985" t="str">
        <f t="shared" si="72"/>
        <v>2.3.3</v>
      </c>
      <c r="C89" s="2067" t="str">
        <f t="shared" si="51"/>
        <v>主要設備機器の更新</v>
      </c>
      <c r="D89" s="1998" t="e">
        <f t="shared" si="74"/>
        <v>#DIV/0!</v>
      </c>
      <c r="E89" s="2010" t="e">
        <f t="shared" si="74"/>
        <v>#DIV/0!</v>
      </c>
      <c r="G89" s="2010" t="e">
        <f t="shared" si="52"/>
        <v>#DIV/0!</v>
      </c>
      <c r="H89" s="2010" t="e">
        <f t="shared" si="53"/>
        <v>#DIV/0!</v>
      </c>
      <c r="I89" s="2010"/>
      <c r="J89" s="2010"/>
      <c r="K89" s="2010">
        <f>IF(スコア!O89=0,0,1)</f>
        <v>1</v>
      </c>
      <c r="L89" s="2010">
        <f>IF(スコア!Q93=0,0,1)</f>
        <v>0</v>
      </c>
      <c r="M89" s="2010" t="e">
        <f t="shared" si="54"/>
        <v>#DIV/0!</v>
      </c>
      <c r="N89" s="2010" t="e">
        <f t="shared" si="55"/>
        <v>#DIV/0!</v>
      </c>
      <c r="P89" s="2011" t="str">
        <f t="shared" si="56"/>
        <v>2.3.3</v>
      </c>
      <c r="Q89" s="2011" t="str">
        <f t="shared" si="57"/>
        <v xml:space="preserve"> Q2 2.3</v>
      </c>
      <c r="R89" s="2012" t="str">
        <f t="shared" si="58"/>
        <v>主要設備機器の更新</v>
      </c>
      <c r="S89" s="2013">
        <f t="shared" si="59"/>
        <v>0.33333333333333331</v>
      </c>
      <c r="T89" s="2013">
        <f t="shared" si="60"/>
        <v>0.33333333333333331</v>
      </c>
      <c r="U89" s="2013">
        <f t="shared" si="61"/>
        <v>0.33333333333333331</v>
      </c>
      <c r="V89" s="2013">
        <f t="shared" si="62"/>
        <v>0.33333333333333331</v>
      </c>
      <c r="W89" s="2013">
        <f t="shared" si="63"/>
        <v>0.33333333333333331</v>
      </c>
      <c r="X89" s="2013">
        <f t="shared" si="64"/>
        <v>0.33333333333333331</v>
      </c>
      <c r="Y89" s="2013">
        <f t="shared" si="65"/>
        <v>0.33333333333333331</v>
      </c>
      <c r="Z89" s="2022">
        <f t="shared" si="66"/>
        <v>0.33333333333333331</v>
      </c>
      <c r="AA89" s="2013">
        <f t="shared" si="67"/>
        <v>0.33333333333333331</v>
      </c>
      <c r="AB89" s="2013">
        <f t="shared" si="68"/>
        <v>0.33333333333333331</v>
      </c>
      <c r="AC89" s="2014">
        <f t="shared" si="69"/>
        <v>0</v>
      </c>
      <c r="AD89" s="2013">
        <f t="shared" si="70"/>
        <v>0</v>
      </c>
      <c r="AE89" s="2013">
        <f t="shared" si="71"/>
        <v>0</v>
      </c>
      <c r="AG89" s="2011" t="s">
        <v>1146</v>
      </c>
      <c r="AH89" s="2011" t="s">
        <v>1147</v>
      </c>
      <c r="AI89" s="2015" t="s">
        <v>1711</v>
      </c>
      <c r="AJ89" s="2056">
        <v>0.33333333333333331</v>
      </c>
      <c r="AK89" s="2056">
        <v>0.33333333333333331</v>
      </c>
      <c r="AL89" s="2056">
        <v>0.33333333333333331</v>
      </c>
      <c r="AM89" s="2056">
        <v>0.33333333333333331</v>
      </c>
      <c r="AN89" s="2056">
        <v>0.33333333333333331</v>
      </c>
      <c r="AO89" s="2056">
        <v>0.33333333333333331</v>
      </c>
      <c r="AP89" s="2056">
        <v>0.33333333333333331</v>
      </c>
      <c r="AQ89" s="2056">
        <v>0.33333333333333331</v>
      </c>
      <c r="AR89" s="2056">
        <v>0.33333333333333331</v>
      </c>
      <c r="AS89" s="2018">
        <v>0.33333333333333331</v>
      </c>
      <c r="AT89" s="2018"/>
      <c r="AU89" s="2019"/>
      <c r="AV89" s="2018"/>
      <c r="AX89" s="2039" t="s">
        <v>1148</v>
      </c>
      <c r="AY89" s="711" t="s">
        <v>1710</v>
      </c>
      <c r="AZ89" s="2044" t="s">
        <v>1663</v>
      </c>
      <c r="BA89" s="2045">
        <v>0</v>
      </c>
      <c r="BB89" s="2045">
        <v>0</v>
      </c>
      <c r="BC89" s="2045">
        <v>0</v>
      </c>
      <c r="BD89" s="2045">
        <v>0</v>
      </c>
      <c r="BE89" s="2045">
        <v>0</v>
      </c>
      <c r="BF89" s="2045">
        <v>0</v>
      </c>
      <c r="BG89" s="2045">
        <v>0</v>
      </c>
      <c r="BH89" s="2045">
        <v>0</v>
      </c>
      <c r="BI89" s="2045">
        <v>0</v>
      </c>
      <c r="BJ89" s="2045">
        <v>0</v>
      </c>
      <c r="BK89" s="2047"/>
      <c r="BL89" s="2045"/>
      <c r="BM89" s="2045"/>
      <c r="BO89" s="2039" t="s">
        <v>1148</v>
      </c>
      <c r="BP89" s="711" t="s">
        <v>1710</v>
      </c>
      <c r="BQ89" s="2044" t="s">
        <v>1711</v>
      </c>
      <c r="BR89" s="2045">
        <v>0</v>
      </c>
      <c r="BS89" s="2045">
        <v>0</v>
      </c>
      <c r="BT89" s="2045">
        <v>0</v>
      </c>
      <c r="BU89" s="2045">
        <v>0</v>
      </c>
      <c r="BV89" s="2045">
        <v>0</v>
      </c>
      <c r="BW89" s="2045">
        <v>0</v>
      </c>
      <c r="BX89" s="2045">
        <v>0</v>
      </c>
      <c r="BY89" s="2045">
        <v>0</v>
      </c>
      <c r="BZ89" s="2045">
        <v>0</v>
      </c>
      <c r="CA89" s="2045">
        <v>0</v>
      </c>
      <c r="CB89" s="2045"/>
      <c r="CC89" s="2045"/>
      <c r="CD89" s="2045"/>
      <c r="CE89" s="2447"/>
    </row>
    <row r="90" spans="1:84">
      <c r="B90" s="1985">
        <f t="shared" si="72"/>
        <v>2.4</v>
      </c>
      <c r="C90" s="2012" t="str">
        <f t="shared" si="51"/>
        <v>信頼性</v>
      </c>
      <c r="D90" s="2009" t="e">
        <f>IF(I$75=0,0,G90/I$75)</f>
        <v>#DIV/0!</v>
      </c>
      <c r="E90" s="2010" t="e">
        <f>IF(J$75=0,0,H90/J$75)</f>
        <v>#DIV/0!</v>
      </c>
      <c r="G90" s="2010" t="e">
        <f t="shared" si="52"/>
        <v>#DIV/0!</v>
      </c>
      <c r="H90" s="2010" t="e">
        <f t="shared" si="53"/>
        <v>#DIV/0!</v>
      </c>
      <c r="I90" s="2010" t="e">
        <f>SUM(G91:G95)</f>
        <v>#DIV/0!</v>
      </c>
      <c r="J90" s="2010" t="e">
        <f>SUM(H91:H95)</f>
        <v>#DIV/0!</v>
      </c>
      <c r="K90" s="2010" t="e">
        <f>IF(スコア!O90=0,0,1)</f>
        <v>#DIV/0!</v>
      </c>
      <c r="L90" s="2010" t="e">
        <f>IF(スコア!Q90=0,0,1)</f>
        <v>#DIV/0!</v>
      </c>
      <c r="M90" s="2010" t="e">
        <f t="shared" si="54"/>
        <v>#DIV/0!</v>
      </c>
      <c r="N90" s="2010" t="e">
        <f t="shared" si="55"/>
        <v>#DIV/0!</v>
      </c>
      <c r="P90" s="2011">
        <f t="shared" si="56"/>
        <v>2.4</v>
      </c>
      <c r="Q90" s="2011" t="str">
        <f t="shared" si="57"/>
        <v xml:space="preserve"> Q2 2</v>
      </c>
      <c r="R90" s="2012" t="str">
        <f t="shared" si="58"/>
        <v>信頼性</v>
      </c>
      <c r="S90" s="2013">
        <f t="shared" si="59"/>
        <v>0.25</v>
      </c>
      <c r="T90" s="2013">
        <f t="shared" si="60"/>
        <v>0.25</v>
      </c>
      <c r="U90" s="2013">
        <f t="shared" si="61"/>
        <v>0.25</v>
      </c>
      <c r="V90" s="2013">
        <f t="shared" si="62"/>
        <v>0.25</v>
      </c>
      <c r="W90" s="2013">
        <f t="shared" si="63"/>
        <v>0.25</v>
      </c>
      <c r="X90" s="2013">
        <f t="shared" si="64"/>
        <v>0.25</v>
      </c>
      <c r="Y90" s="2013">
        <f t="shared" si="65"/>
        <v>0.25</v>
      </c>
      <c r="Z90" s="2022">
        <f t="shared" si="66"/>
        <v>0.25</v>
      </c>
      <c r="AA90" s="2013">
        <f t="shared" si="67"/>
        <v>0.25</v>
      </c>
      <c r="AB90" s="2013">
        <f t="shared" si="68"/>
        <v>0.25</v>
      </c>
      <c r="AC90" s="2014">
        <f t="shared" si="69"/>
        <v>0</v>
      </c>
      <c r="AD90" s="2013">
        <f t="shared" si="70"/>
        <v>0</v>
      </c>
      <c r="AE90" s="2013">
        <f t="shared" si="71"/>
        <v>0</v>
      </c>
      <c r="AG90" s="2011">
        <v>2.4</v>
      </c>
      <c r="AH90" s="2015" t="s">
        <v>1700</v>
      </c>
      <c r="AI90" s="2012" t="s">
        <v>53</v>
      </c>
      <c r="AJ90" s="2013">
        <v>0.25</v>
      </c>
      <c r="AK90" s="2013">
        <v>0.25</v>
      </c>
      <c r="AL90" s="2013">
        <v>0.25</v>
      </c>
      <c r="AM90" s="2013">
        <v>0.25</v>
      </c>
      <c r="AN90" s="2013">
        <v>0.25</v>
      </c>
      <c r="AO90" s="2013">
        <v>0.25</v>
      </c>
      <c r="AP90" s="2013">
        <v>0.25</v>
      </c>
      <c r="AQ90" s="2022">
        <v>0.25</v>
      </c>
      <c r="AR90" s="2013">
        <v>0.25</v>
      </c>
      <c r="AS90" s="2018">
        <v>0.25</v>
      </c>
      <c r="AT90" s="2019">
        <v>0</v>
      </c>
      <c r="AU90" s="2018">
        <v>0</v>
      </c>
      <c r="AV90" s="2018">
        <v>0</v>
      </c>
      <c r="AX90" s="2011">
        <v>2.4</v>
      </c>
      <c r="AY90" s="2015" t="s">
        <v>1700</v>
      </c>
      <c r="AZ90" s="2012" t="s">
        <v>1664</v>
      </c>
      <c r="BA90" s="2018">
        <v>0.2</v>
      </c>
      <c r="BB90" s="2018">
        <v>0.2</v>
      </c>
      <c r="BC90" s="2018">
        <v>0.2</v>
      </c>
      <c r="BD90" s="2018">
        <v>0.2</v>
      </c>
      <c r="BE90" s="2018">
        <v>0.2</v>
      </c>
      <c r="BF90" s="2018">
        <v>0.2</v>
      </c>
      <c r="BG90" s="2018">
        <v>0.2</v>
      </c>
      <c r="BH90" s="2025">
        <v>0.2</v>
      </c>
      <c r="BI90" s="2018">
        <v>0.2</v>
      </c>
      <c r="BJ90" s="2018">
        <v>0.2</v>
      </c>
      <c r="BK90" s="2019"/>
      <c r="BL90" s="2018"/>
      <c r="BM90" s="2018"/>
      <c r="BO90" s="2011">
        <v>2.4</v>
      </c>
      <c r="BP90" s="2015" t="s">
        <v>1700</v>
      </c>
      <c r="BQ90" s="2012" t="s">
        <v>53</v>
      </c>
      <c r="BR90" s="2018">
        <v>0.2</v>
      </c>
      <c r="BS90" s="2018">
        <v>0.2</v>
      </c>
      <c r="BT90" s="2018">
        <v>0.2</v>
      </c>
      <c r="BU90" s="2018">
        <v>0.2</v>
      </c>
      <c r="BV90" s="2018">
        <v>0.2</v>
      </c>
      <c r="BW90" s="2018">
        <v>0.2</v>
      </c>
      <c r="BX90" s="2018">
        <v>0.2</v>
      </c>
      <c r="BY90" s="2025">
        <v>0.2</v>
      </c>
      <c r="BZ90" s="2018">
        <v>0.2</v>
      </c>
      <c r="CA90" s="2018">
        <v>0.2</v>
      </c>
      <c r="CB90" s="2019"/>
      <c r="CC90" s="2018"/>
      <c r="CD90" s="2018"/>
      <c r="CE90" s="2447"/>
    </row>
    <row r="91" spans="1:84">
      <c r="B91" s="1985" t="str">
        <f t="shared" si="72"/>
        <v>2.4.1</v>
      </c>
      <c r="C91" s="2008" t="str">
        <f t="shared" si="51"/>
        <v>空調・換気設備</v>
      </c>
      <c r="D91" s="1998" t="e">
        <f t="shared" ref="D91:E95" si="75">IF(I$90&gt;0,G91/I$90,0)</f>
        <v>#DIV/0!</v>
      </c>
      <c r="E91" s="2010" t="e">
        <f t="shared" si="75"/>
        <v>#DIV/0!</v>
      </c>
      <c r="G91" s="2010" t="e">
        <f t="shared" si="52"/>
        <v>#DIV/0!</v>
      </c>
      <c r="H91" s="2010" t="e">
        <f t="shared" si="53"/>
        <v>#DIV/0!</v>
      </c>
      <c r="I91" s="2010"/>
      <c r="J91" s="2010"/>
      <c r="K91" s="2010" t="e">
        <f>IF(スコア!O91=0,0,1)</f>
        <v>#DIV/0!</v>
      </c>
      <c r="L91" s="2010">
        <f>IF(スコア!Q91=0,0,1)</f>
        <v>0</v>
      </c>
      <c r="M91" s="2010" t="e">
        <f t="shared" si="54"/>
        <v>#DIV/0!</v>
      </c>
      <c r="N91" s="2010" t="e">
        <f t="shared" si="55"/>
        <v>#DIV/0!</v>
      </c>
      <c r="P91" s="2011" t="str">
        <f t="shared" si="56"/>
        <v>2.4.1</v>
      </c>
      <c r="Q91" s="2011" t="str">
        <f t="shared" si="57"/>
        <v xml:space="preserve"> Q2 2.4</v>
      </c>
      <c r="R91" s="2012" t="str">
        <f t="shared" si="58"/>
        <v>空調・換気設備</v>
      </c>
      <c r="S91" s="2013">
        <f t="shared" si="59"/>
        <v>0.2</v>
      </c>
      <c r="T91" s="2013">
        <f t="shared" si="60"/>
        <v>0.2</v>
      </c>
      <c r="U91" s="2013">
        <f t="shared" si="61"/>
        <v>0.2</v>
      </c>
      <c r="V91" s="2013">
        <f t="shared" si="62"/>
        <v>0.2</v>
      </c>
      <c r="W91" s="2013">
        <f t="shared" si="63"/>
        <v>0.2</v>
      </c>
      <c r="X91" s="2013">
        <f t="shared" si="64"/>
        <v>0.2</v>
      </c>
      <c r="Y91" s="2013">
        <f t="shared" si="65"/>
        <v>0.2</v>
      </c>
      <c r="Z91" s="2022">
        <f t="shared" si="66"/>
        <v>0.2</v>
      </c>
      <c r="AA91" s="2013">
        <f t="shared" si="67"/>
        <v>0.2</v>
      </c>
      <c r="AB91" s="2013">
        <f t="shared" si="68"/>
        <v>0.2</v>
      </c>
      <c r="AC91" s="2014">
        <f t="shared" si="69"/>
        <v>0</v>
      </c>
      <c r="AD91" s="2013">
        <f t="shared" si="70"/>
        <v>0</v>
      </c>
      <c r="AE91" s="2013">
        <f t="shared" si="71"/>
        <v>0</v>
      </c>
      <c r="AG91" s="2011" t="s">
        <v>1149</v>
      </c>
      <c r="AH91" s="2015" t="s">
        <v>1712</v>
      </c>
      <c r="AI91" s="2016" t="s">
        <v>1713</v>
      </c>
      <c r="AJ91" s="2013">
        <v>0.2</v>
      </c>
      <c r="AK91" s="2013">
        <v>0.2</v>
      </c>
      <c r="AL91" s="2013">
        <v>0.2</v>
      </c>
      <c r="AM91" s="2013">
        <v>0.2</v>
      </c>
      <c r="AN91" s="2013">
        <v>0.2</v>
      </c>
      <c r="AO91" s="2013">
        <v>0.2</v>
      </c>
      <c r="AP91" s="2013">
        <v>0.2</v>
      </c>
      <c r="AQ91" s="2022">
        <v>0.2</v>
      </c>
      <c r="AR91" s="2013">
        <v>0.2</v>
      </c>
      <c r="AS91" s="2018">
        <v>0.2</v>
      </c>
      <c r="AT91" s="2019">
        <v>0</v>
      </c>
      <c r="AU91" s="2018">
        <v>0</v>
      </c>
      <c r="AV91" s="2018">
        <v>0</v>
      </c>
      <c r="AX91" s="2011" t="s">
        <v>1149</v>
      </c>
      <c r="AY91" s="2015" t="s">
        <v>1712</v>
      </c>
      <c r="AZ91" s="2016" t="s">
        <v>1713</v>
      </c>
      <c r="BA91" s="2018">
        <v>0.2</v>
      </c>
      <c r="BB91" s="2018">
        <v>0.2</v>
      </c>
      <c r="BC91" s="2018">
        <v>0.2</v>
      </c>
      <c r="BD91" s="2018">
        <v>0.2</v>
      </c>
      <c r="BE91" s="2018">
        <v>0.2</v>
      </c>
      <c r="BF91" s="2018">
        <v>0.2</v>
      </c>
      <c r="BG91" s="2018">
        <v>0.2</v>
      </c>
      <c r="BH91" s="2025">
        <v>0.2</v>
      </c>
      <c r="BI91" s="2018">
        <v>0.2</v>
      </c>
      <c r="BJ91" s="2018">
        <v>0.2</v>
      </c>
      <c r="BK91" s="2019"/>
      <c r="BL91" s="2018"/>
      <c r="BM91" s="2018"/>
      <c r="BO91" s="2011" t="s">
        <v>1149</v>
      </c>
      <c r="BP91" s="2015" t="s">
        <v>1712</v>
      </c>
      <c r="BQ91" s="2016" t="s">
        <v>1713</v>
      </c>
      <c r="BR91" s="2018">
        <v>0.2</v>
      </c>
      <c r="BS91" s="2018">
        <v>0.2</v>
      </c>
      <c r="BT91" s="2018">
        <v>0.2</v>
      </c>
      <c r="BU91" s="2018">
        <v>0.2</v>
      </c>
      <c r="BV91" s="2018">
        <v>0.2</v>
      </c>
      <c r="BW91" s="2018">
        <v>0.2</v>
      </c>
      <c r="BX91" s="2018">
        <v>0.2</v>
      </c>
      <c r="BY91" s="2025">
        <v>0.2</v>
      </c>
      <c r="BZ91" s="2018">
        <v>0.2</v>
      </c>
      <c r="CA91" s="2018">
        <v>0.2</v>
      </c>
      <c r="CB91" s="2019"/>
      <c r="CC91" s="2018"/>
      <c r="CD91" s="2018"/>
      <c r="CE91" s="2447"/>
    </row>
    <row r="92" spans="1:84">
      <c r="B92" s="1985" t="str">
        <f t="shared" si="72"/>
        <v>2.4.2</v>
      </c>
      <c r="C92" s="2008" t="str">
        <f t="shared" si="51"/>
        <v>給排水・衛生設備</v>
      </c>
      <c r="D92" s="1998" t="e">
        <f t="shared" si="75"/>
        <v>#DIV/0!</v>
      </c>
      <c r="E92" s="2010" t="e">
        <f t="shared" si="75"/>
        <v>#DIV/0!</v>
      </c>
      <c r="G92" s="2010" t="e">
        <f t="shared" si="52"/>
        <v>#DIV/0!</v>
      </c>
      <c r="H92" s="2010" t="e">
        <f t="shared" si="53"/>
        <v>#DIV/0!</v>
      </c>
      <c r="I92" s="2010"/>
      <c r="J92" s="2010"/>
      <c r="K92" s="2010" t="e">
        <f>IF(スコア!O92=0,0,1)</f>
        <v>#DIV/0!</v>
      </c>
      <c r="L92" s="2010">
        <f>IF(スコア!Q92=0,0,1)</f>
        <v>0</v>
      </c>
      <c r="M92" s="2010" t="e">
        <f t="shared" si="54"/>
        <v>#DIV/0!</v>
      </c>
      <c r="N92" s="2010" t="e">
        <f t="shared" si="55"/>
        <v>#DIV/0!</v>
      </c>
      <c r="P92" s="2011" t="str">
        <f t="shared" si="56"/>
        <v>2.4.2</v>
      </c>
      <c r="Q92" s="2011" t="str">
        <f t="shared" si="57"/>
        <v xml:space="preserve"> Q2 2.4</v>
      </c>
      <c r="R92" s="2012" t="str">
        <f t="shared" si="58"/>
        <v>給排水・衛生設備</v>
      </c>
      <c r="S92" s="2013">
        <f t="shared" si="59"/>
        <v>0.2</v>
      </c>
      <c r="T92" s="2013">
        <f t="shared" si="60"/>
        <v>0.2</v>
      </c>
      <c r="U92" s="2013">
        <f t="shared" si="61"/>
        <v>0.2</v>
      </c>
      <c r="V92" s="2013">
        <f t="shared" si="62"/>
        <v>0.2</v>
      </c>
      <c r="W92" s="2013">
        <f t="shared" si="63"/>
        <v>0.2</v>
      </c>
      <c r="X92" s="2013">
        <f t="shared" si="64"/>
        <v>0.2</v>
      </c>
      <c r="Y92" s="2013">
        <f t="shared" si="65"/>
        <v>0.2</v>
      </c>
      <c r="Z92" s="2022">
        <f t="shared" si="66"/>
        <v>0.2</v>
      </c>
      <c r="AA92" s="2013">
        <f t="shared" si="67"/>
        <v>0.2</v>
      </c>
      <c r="AB92" s="2013">
        <f t="shared" si="68"/>
        <v>0.2</v>
      </c>
      <c r="AC92" s="2014">
        <f t="shared" si="69"/>
        <v>0</v>
      </c>
      <c r="AD92" s="2013">
        <f t="shared" si="70"/>
        <v>0</v>
      </c>
      <c r="AE92" s="2013">
        <f t="shared" si="71"/>
        <v>0</v>
      </c>
      <c r="AG92" s="2011" t="s">
        <v>1714</v>
      </c>
      <c r="AH92" s="2015" t="s">
        <v>1712</v>
      </c>
      <c r="AI92" s="2016" t="s">
        <v>1715</v>
      </c>
      <c r="AJ92" s="2013">
        <v>0.2</v>
      </c>
      <c r="AK92" s="2013">
        <v>0.2</v>
      </c>
      <c r="AL92" s="2013">
        <v>0.2</v>
      </c>
      <c r="AM92" s="2013">
        <v>0.2</v>
      </c>
      <c r="AN92" s="2013">
        <v>0.2</v>
      </c>
      <c r="AO92" s="2013">
        <v>0.2</v>
      </c>
      <c r="AP92" s="2013">
        <v>0.2</v>
      </c>
      <c r="AQ92" s="2022">
        <v>0.2</v>
      </c>
      <c r="AR92" s="2013">
        <v>0.2</v>
      </c>
      <c r="AS92" s="2018">
        <v>0.2</v>
      </c>
      <c r="AT92" s="2019">
        <v>0</v>
      </c>
      <c r="AU92" s="2018">
        <v>0</v>
      </c>
      <c r="AV92" s="2018">
        <v>0</v>
      </c>
      <c r="AX92" s="2011" t="s">
        <v>1714</v>
      </c>
      <c r="AY92" s="2015" t="s">
        <v>1712</v>
      </c>
      <c r="AZ92" s="2016" t="s">
        <v>1715</v>
      </c>
      <c r="BA92" s="2018">
        <v>0.2</v>
      </c>
      <c r="BB92" s="2018">
        <v>0.2</v>
      </c>
      <c r="BC92" s="2018">
        <v>0.2</v>
      </c>
      <c r="BD92" s="2018">
        <v>0.2</v>
      </c>
      <c r="BE92" s="2018">
        <v>0.2</v>
      </c>
      <c r="BF92" s="2018">
        <v>0.2</v>
      </c>
      <c r="BG92" s="2018">
        <v>0.2</v>
      </c>
      <c r="BH92" s="2025">
        <v>0.2</v>
      </c>
      <c r="BI92" s="2018">
        <v>0.2</v>
      </c>
      <c r="BJ92" s="2018">
        <v>0.2</v>
      </c>
      <c r="BK92" s="2019"/>
      <c r="BL92" s="2018"/>
      <c r="BM92" s="2018"/>
      <c r="BO92" s="2011" t="s">
        <v>1714</v>
      </c>
      <c r="BP92" s="2015" t="s">
        <v>1712</v>
      </c>
      <c r="BQ92" s="2016" t="s">
        <v>1715</v>
      </c>
      <c r="BR92" s="2018">
        <v>0.2</v>
      </c>
      <c r="BS92" s="2018">
        <v>0.2</v>
      </c>
      <c r="BT92" s="2018">
        <v>0.2</v>
      </c>
      <c r="BU92" s="2018">
        <v>0.2</v>
      </c>
      <c r="BV92" s="2018">
        <v>0.2</v>
      </c>
      <c r="BW92" s="2018">
        <v>0.2</v>
      </c>
      <c r="BX92" s="2018">
        <v>0.2</v>
      </c>
      <c r="BY92" s="2025">
        <v>0.2</v>
      </c>
      <c r="BZ92" s="2018">
        <v>0.2</v>
      </c>
      <c r="CA92" s="2018">
        <v>0.2</v>
      </c>
      <c r="CB92" s="2019"/>
      <c r="CC92" s="2018"/>
      <c r="CD92" s="2018"/>
      <c r="CE92" s="2447"/>
    </row>
    <row r="93" spans="1:84">
      <c r="B93" s="1985" t="str">
        <f t="shared" si="72"/>
        <v>2.4.3</v>
      </c>
      <c r="C93" s="2008" t="str">
        <f t="shared" si="51"/>
        <v>電気設備</v>
      </c>
      <c r="D93" s="1998" t="e">
        <f t="shared" si="75"/>
        <v>#DIV/0!</v>
      </c>
      <c r="E93" s="2010" t="e">
        <f t="shared" si="75"/>
        <v>#DIV/0!</v>
      </c>
      <c r="G93" s="2010" t="e">
        <f t="shared" si="52"/>
        <v>#DIV/0!</v>
      </c>
      <c r="H93" s="2010" t="e">
        <f t="shared" si="53"/>
        <v>#DIV/0!</v>
      </c>
      <c r="I93" s="2010"/>
      <c r="J93" s="2010"/>
      <c r="K93" s="2010">
        <f>IF(スコア!O93=0,0,1)</f>
        <v>1</v>
      </c>
      <c r="L93" s="2010">
        <f>IF(スコア!Q93=0,0,1)</f>
        <v>0</v>
      </c>
      <c r="M93" s="2010" t="e">
        <f t="shared" si="54"/>
        <v>#DIV/0!</v>
      </c>
      <c r="N93" s="2010" t="e">
        <f t="shared" si="55"/>
        <v>#DIV/0!</v>
      </c>
      <c r="P93" s="2011" t="str">
        <f t="shared" si="56"/>
        <v>2.4.3</v>
      </c>
      <c r="Q93" s="2011" t="str">
        <f t="shared" si="57"/>
        <v xml:space="preserve"> Q2 2.4</v>
      </c>
      <c r="R93" s="2012" t="str">
        <f t="shared" si="58"/>
        <v>電気設備</v>
      </c>
      <c r="S93" s="2013">
        <f t="shared" si="59"/>
        <v>0.2</v>
      </c>
      <c r="T93" s="2013">
        <f t="shared" si="60"/>
        <v>0.2</v>
      </c>
      <c r="U93" s="2013">
        <f t="shared" si="61"/>
        <v>0.2</v>
      </c>
      <c r="V93" s="2013">
        <f t="shared" si="62"/>
        <v>0.2</v>
      </c>
      <c r="W93" s="2013">
        <f t="shared" si="63"/>
        <v>0.2</v>
      </c>
      <c r="X93" s="2013">
        <f t="shared" si="64"/>
        <v>0.2</v>
      </c>
      <c r="Y93" s="2013">
        <f t="shared" si="65"/>
        <v>0.2</v>
      </c>
      <c r="Z93" s="2022">
        <f t="shared" si="66"/>
        <v>0.2</v>
      </c>
      <c r="AA93" s="2013">
        <f t="shared" si="67"/>
        <v>0.2</v>
      </c>
      <c r="AB93" s="2013">
        <f t="shared" si="68"/>
        <v>0.2</v>
      </c>
      <c r="AC93" s="2014">
        <f t="shared" si="69"/>
        <v>0</v>
      </c>
      <c r="AD93" s="2013">
        <f t="shared" si="70"/>
        <v>0</v>
      </c>
      <c r="AE93" s="2013">
        <f t="shared" si="71"/>
        <v>0</v>
      </c>
      <c r="AG93" s="2011" t="s">
        <v>1716</v>
      </c>
      <c r="AH93" s="2015" t="s">
        <v>1712</v>
      </c>
      <c r="AI93" s="2016" t="s">
        <v>1717</v>
      </c>
      <c r="AJ93" s="2013">
        <v>0.2</v>
      </c>
      <c r="AK93" s="2013">
        <v>0.2</v>
      </c>
      <c r="AL93" s="2013">
        <v>0.2</v>
      </c>
      <c r="AM93" s="2013">
        <v>0.2</v>
      </c>
      <c r="AN93" s="2013">
        <v>0.2</v>
      </c>
      <c r="AO93" s="2013">
        <v>0.2</v>
      </c>
      <c r="AP93" s="2013">
        <v>0.2</v>
      </c>
      <c r="AQ93" s="2022">
        <v>0.2</v>
      </c>
      <c r="AR93" s="2013">
        <v>0.2</v>
      </c>
      <c r="AS93" s="2018">
        <v>0.2</v>
      </c>
      <c r="AT93" s="2019">
        <v>0</v>
      </c>
      <c r="AU93" s="2018">
        <v>0</v>
      </c>
      <c r="AV93" s="2018">
        <v>0</v>
      </c>
      <c r="AX93" s="2011" t="s">
        <v>1716</v>
      </c>
      <c r="AY93" s="2015" t="s">
        <v>1712</v>
      </c>
      <c r="AZ93" s="2016" t="s">
        <v>1717</v>
      </c>
      <c r="BA93" s="2018">
        <v>0.2</v>
      </c>
      <c r="BB93" s="2018">
        <v>0.2</v>
      </c>
      <c r="BC93" s="2018">
        <v>0.2</v>
      </c>
      <c r="BD93" s="2018">
        <v>0.2</v>
      </c>
      <c r="BE93" s="2018">
        <v>0.2</v>
      </c>
      <c r="BF93" s="2018">
        <v>0.2</v>
      </c>
      <c r="BG93" s="2018">
        <v>0.2</v>
      </c>
      <c r="BH93" s="2025">
        <v>0.2</v>
      </c>
      <c r="BI93" s="2018">
        <v>0.2</v>
      </c>
      <c r="BJ93" s="2018">
        <v>0.2</v>
      </c>
      <c r="BK93" s="2019"/>
      <c r="BL93" s="2018"/>
      <c r="BM93" s="2018"/>
      <c r="BO93" s="2011" t="s">
        <v>1716</v>
      </c>
      <c r="BP93" s="2015" t="s">
        <v>1712</v>
      </c>
      <c r="BQ93" s="2016" t="s">
        <v>1717</v>
      </c>
      <c r="BR93" s="2018">
        <v>0.2</v>
      </c>
      <c r="BS93" s="2018">
        <v>0.2</v>
      </c>
      <c r="BT93" s="2018">
        <v>0.2</v>
      </c>
      <c r="BU93" s="2018">
        <v>0.2</v>
      </c>
      <c r="BV93" s="2018">
        <v>0.2</v>
      </c>
      <c r="BW93" s="2018">
        <v>0.2</v>
      </c>
      <c r="BX93" s="2018">
        <v>0.2</v>
      </c>
      <c r="BY93" s="2025">
        <v>0.2</v>
      </c>
      <c r="BZ93" s="2018">
        <v>0.2</v>
      </c>
      <c r="CA93" s="2018">
        <v>0.2</v>
      </c>
      <c r="CB93" s="2019"/>
      <c r="CC93" s="2018"/>
      <c r="CD93" s="2018"/>
      <c r="CE93" s="2447"/>
    </row>
    <row r="94" spans="1:84">
      <c r="B94" s="1985" t="str">
        <f t="shared" si="72"/>
        <v>2.4.4</v>
      </c>
      <c r="C94" s="2008" t="str">
        <f t="shared" si="51"/>
        <v>機械・配管支持方法</v>
      </c>
      <c r="D94" s="1998" t="e">
        <f t="shared" si="75"/>
        <v>#DIV/0!</v>
      </c>
      <c r="E94" s="2010" t="e">
        <f t="shared" si="75"/>
        <v>#DIV/0!</v>
      </c>
      <c r="G94" s="2010" t="e">
        <f t="shared" si="52"/>
        <v>#DIV/0!</v>
      </c>
      <c r="H94" s="2010" t="e">
        <f t="shared" si="53"/>
        <v>#DIV/0!</v>
      </c>
      <c r="I94" s="2010"/>
      <c r="J94" s="2010"/>
      <c r="K94" s="2010">
        <f>IF(スコア!O94=0,0,1)</f>
        <v>1</v>
      </c>
      <c r="L94" s="2010">
        <f>IF(スコア!Q94=0,0,1)</f>
        <v>0</v>
      </c>
      <c r="M94" s="2010" t="e">
        <f t="shared" si="54"/>
        <v>#DIV/0!</v>
      </c>
      <c r="N94" s="2010" t="e">
        <f t="shared" si="55"/>
        <v>#DIV/0!</v>
      </c>
      <c r="P94" s="2011" t="str">
        <f t="shared" si="56"/>
        <v>2.4.4</v>
      </c>
      <c r="Q94" s="2011" t="str">
        <f t="shared" si="57"/>
        <v xml:space="preserve"> Q2 2.4</v>
      </c>
      <c r="R94" s="2012" t="str">
        <f t="shared" si="58"/>
        <v>機械・配管支持方法</v>
      </c>
      <c r="S94" s="2013">
        <f t="shared" si="59"/>
        <v>0.2</v>
      </c>
      <c r="T94" s="2013">
        <f t="shared" si="60"/>
        <v>0.2</v>
      </c>
      <c r="U94" s="2013">
        <f t="shared" si="61"/>
        <v>0.2</v>
      </c>
      <c r="V94" s="2013">
        <f t="shared" si="62"/>
        <v>0.2</v>
      </c>
      <c r="W94" s="2013">
        <f t="shared" si="63"/>
        <v>0.2</v>
      </c>
      <c r="X94" s="2013">
        <f t="shared" si="64"/>
        <v>0.2</v>
      </c>
      <c r="Y94" s="2013">
        <f t="shared" si="65"/>
        <v>0.2</v>
      </c>
      <c r="Z94" s="2022">
        <f t="shared" si="66"/>
        <v>0.2</v>
      </c>
      <c r="AA94" s="2013">
        <f t="shared" si="67"/>
        <v>0.2</v>
      </c>
      <c r="AB94" s="2013">
        <f t="shared" si="68"/>
        <v>0.2</v>
      </c>
      <c r="AC94" s="2014">
        <f t="shared" si="69"/>
        <v>0</v>
      </c>
      <c r="AD94" s="2013">
        <f t="shared" si="70"/>
        <v>0</v>
      </c>
      <c r="AE94" s="2013">
        <f t="shared" si="71"/>
        <v>0</v>
      </c>
      <c r="AG94" s="2011" t="s">
        <v>1718</v>
      </c>
      <c r="AH94" s="2015" t="s">
        <v>1712</v>
      </c>
      <c r="AI94" s="2016" t="s">
        <v>1719</v>
      </c>
      <c r="AJ94" s="2013">
        <v>0.2</v>
      </c>
      <c r="AK94" s="2013">
        <v>0.2</v>
      </c>
      <c r="AL94" s="2013">
        <v>0.2</v>
      </c>
      <c r="AM94" s="2013">
        <v>0.2</v>
      </c>
      <c r="AN94" s="2013">
        <v>0.2</v>
      </c>
      <c r="AO94" s="2013">
        <v>0.2</v>
      </c>
      <c r="AP94" s="2013">
        <v>0.2</v>
      </c>
      <c r="AQ94" s="2022">
        <v>0.2</v>
      </c>
      <c r="AR94" s="2013">
        <v>0.2</v>
      </c>
      <c r="AS94" s="2018">
        <v>0.2</v>
      </c>
      <c r="AT94" s="2019">
        <v>0</v>
      </c>
      <c r="AU94" s="2018">
        <v>0</v>
      </c>
      <c r="AV94" s="2018">
        <v>0</v>
      </c>
      <c r="AX94" s="2011" t="s">
        <v>1718</v>
      </c>
      <c r="AY94" s="2015" t="s">
        <v>1712</v>
      </c>
      <c r="AZ94" s="2016" t="s">
        <v>1719</v>
      </c>
      <c r="BA94" s="2018">
        <v>0.2</v>
      </c>
      <c r="BB94" s="2018">
        <v>0.2</v>
      </c>
      <c r="BC94" s="2018">
        <v>0.2</v>
      </c>
      <c r="BD94" s="2018">
        <v>0.2</v>
      </c>
      <c r="BE94" s="2018">
        <v>0.2</v>
      </c>
      <c r="BF94" s="2018">
        <v>0.2</v>
      </c>
      <c r="BG94" s="2018">
        <v>0.2</v>
      </c>
      <c r="BH94" s="2025">
        <v>0.2</v>
      </c>
      <c r="BI94" s="2018">
        <v>0.2</v>
      </c>
      <c r="BJ94" s="2018">
        <v>0.2</v>
      </c>
      <c r="BK94" s="2019"/>
      <c r="BL94" s="2018"/>
      <c r="BM94" s="2018"/>
      <c r="BO94" s="2011" t="s">
        <v>1718</v>
      </c>
      <c r="BP94" s="2015" t="s">
        <v>1712</v>
      </c>
      <c r="BQ94" s="2016" t="s">
        <v>1719</v>
      </c>
      <c r="BR94" s="2018">
        <v>0.2</v>
      </c>
      <c r="BS94" s="2018">
        <v>0.2</v>
      </c>
      <c r="BT94" s="2018">
        <v>0.2</v>
      </c>
      <c r="BU94" s="2018">
        <v>0.2</v>
      </c>
      <c r="BV94" s="2018">
        <v>0.2</v>
      </c>
      <c r="BW94" s="2018">
        <v>0.2</v>
      </c>
      <c r="BX94" s="2018">
        <v>0.2</v>
      </c>
      <c r="BY94" s="2025">
        <v>0.2</v>
      </c>
      <c r="BZ94" s="2018">
        <v>0.2</v>
      </c>
      <c r="CA94" s="2018">
        <v>0.2</v>
      </c>
      <c r="CB94" s="2019"/>
      <c r="CC94" s="2018"/>
      <c r="CD94" s="2018"/>
      <c r="CE94" s="2447"/>
    </row>
    <row r="95" spans="1:84">
      <c r="B95" s="1985" t="str">
        <f t="shared" si="72"/>
        <v>2.4.5</v>
      </c>
      <c r="C95" s="2008" t="str">
        <f t="shared" si="51"/>
        <v>通信・情報設備</v>
      </c>
      <c r="D95" s="1998" t="e">
        <f t="shared" si="75"/>
        <v>#DIV/0!</v>
      </c>
      <c r="E95" s="2010" t="e">
        <f t="shared" si="75"/>
        <v>#DIV/0!</v>
      </c>
      <c r="G95" s="2010" t="e">
        <f t="shared" si="52"/>
        <v>#DIV/0!</v>
      </c>
      <c r="H95" s="2010" t="e">
        <f t="shared" si="53"/>
        <v>#DIV/0!</v>
      </c>
      <c r="I95" s="2010"/>
      <c r="J95" s="2010"/>
      <c r="K95" s="2010">
        <f>IF(スコア!O95=0,0,1)</f>
        <v>1</v>
      </c>
      <c r="L95" s="2010">
        <f>IF(スコア!Q95=0,0,1)</f>
        <v>0</v>
      </c>
      <c r="M95" s="2010" t="e">
        <f t="shared" si="54"/>
        <v>#DIV/0!</v>
      </c>
      <c r="N95" s="2010" t="e">
        <f t="shared" si="55"/>
        <v>#DIV/0!</v>
      </c>
      <c r="P95" s="2011" t="str">
        <f t="shared" si="56"/>
        <v>2.4.5</v>
      </c>
      <c r="Q95" s="2011" t="str">
        <f t="shared" si="57"/>
        <v xml:space="preserve"> Q2 2.4</v>
      </c>
      <c r="R95" s="2012" t="str">
        <f t="shared" si="58"/>
        <v>通信・情報設備</v>
      </c>
      <c r="S95" s="2013">
        <f t="shared" si="59"/>
        <v>0.2</v>
      </c>
      <c r="T95" s="2013">
        <f t="shared" si="60"/>
        <v>0.2</v>
      </c>
      <c r="U95" s="2013">
        <f t="shared" si="61"/>
        <v>0.2</v>
      </c>
      <c r="V95" s="2013">
        <f t="shared" si="62"/>
        <v>0.2</v>
      </c>
      <c r="W95" s="2013">
        <f t="shared" si="63"/>
        <v>0.2</v>
      </c>
      <c r="X95" s="2013">
        <f t="shared" si="64"/>
        <v>0.2</v>
      </c>
      <c r="Y95" s="2013">
        <f t="shared" si="65"/>
        <v>0.2</v>
      </c>
      <c r="Z95" s="2022">
        <f t="shared" si="66"/>
        <v>0.2</v>
      </c>
      <c r="AA95" s="2013">
        <f t="shared" si="67"/>
        <v>0.2</v>
      </c>
      <c r="AB95" s="2013">
        <f t="shared" si="68"/>
        <v>0.2</v>
      </c>
      <c r="AC95" s="2014">
        <f t="shared" si="69"/>
        <v>0</v>
      </c>
      <c r="AD95" s="2013">
        <f t="shared" si="70"/>
        <v>0</v>
      </c>
      <c r="AE95" s="2013">
        <f t="shared" si="71"/>
        <v>0</v>
      </c>
      <c r="AG95" s="2011" t="s">
        <v>1720</v>
      </c>
      <c r="AH95" s="2015" t="s">
        <v>1712</v>
      </c>
      <c r="AI95" s="2016" t="s">
        <v>1721</v>
      </c>
      <c r="AJ95" s="2013">
        <v>0.2</v>
      </c>
      <c r="AK95" s="2013">
        <v>0.2</v>
      </c>
      <c r="AL95" s="2013">
        <v>0.2</v>
      </c>
      <c r="AM95" s="2013">
        <v>0.2</v>
      </c>
      <c r="AN95" s="2013">
        <v>0.2</v>
      </c>
      <c r="AO95" s="2013">
        <v>0.2</v>
      </c>
      <c r="AP95" s="2013">
        <v>0.2</v>
      </c>
      <c r="AQ95" s="2022">
        <v>0.2</v>
      </c>
      <c r="AR95" s="2013">
        <v>0.2</v>
      </c>
      <c r="AS95" s="2018">
        <v>0.2</v>
      </c>
      <c r="AT95" s="2019">
        <v>0</v>
      </c>
      <c r="AU95" s="2018">
        <v>0</v>
      </c>
      <c r="AV95" s="2018">
        <v>0</v>
      </c>
      <c r="AX95" s="2011" t="s">
        <v>1720</v>
      </c>
      <c r="AY95" s="2015" t="s">
        <v>1712</v>
      </c>
      <c r="AZ95" s="2016" t="s">
        <v>1721</v>
      </c>
      <c r="BA95" s="2018">
        <v>0.2</v>
      </c>
      <c r="BB95" s="2018">
        <v>0.2</v>
      </c>
      <c r="BC95" s="2018">
        <v>0.2</v>
      </c>
      <c r="BD95" s="2018">
        <v>0.2</v>
      </c>
      <c r="BE95" s="2018">
        <v>0.2</v>
      </c>
      <c r="BF95" s="2018">
        <v>0.2</v>
      </c>
      <c r="BG95" s="2018">
        <v>0.2</v>
      </c>
      <c r="BH95" s="2025">
        <v>0.2</v>
      </c>
      <c r="BI95" s="2018">
        <v>0.2</v>
      </c>
      <c r="BJ95" s="2018">
        <v>0.2</v>
      </c>
      <c r="BK95" s="2019"/>
      <c r="BL95" s="2018"/>
      <c r="BM95" s="2018"/>
      <c r="BO95" s="2011" t="s">
        <v>1720</v>
      </c>
      <c r="BP95" s="2015" t="s">
        <v>1712</v>
      </c>
      <c r="BQ95" s="2016" t="s">
        <v>1721</v>
      </c>
      <c r="BR95" s="2018">
        <v>0.2</v>
      </c>
      <c r="BS95" s="2018">
        <v>0.2</v>
      </c>
      <c r="BT95" s="2018">
        <v>0.2</v>
      </c>
      <c r="BU95" s="2018">
        <v>0.2</v>
      </c>
      <c r="BV95" s="2018">
        <v>0.2</v>
      </c>
      <c r="BW95" s="2018">
        <v>0.2</v>
      </c>
      <c r="BX95" s="2018">
        <v>0.2</v>
      </c>
      <c r="BY95" s="2025">
        <v>0.2</v>
      </c>
      <c r="BZ95" s="2018">
        <v>0.2</v>
      </c>
      <c r="CA95" s="2018">
        <v>0.2</v>
      </c>
      <c r="CB95" s="2019"/>
      <c r="CC95" s="2018"/>
      <c r="CD95" s="2018"/>
      <c r="CE95" s="2447"/>
    </row>
    <row r="96" spans="1:84" hidden="1">
      <c r="B96" s="1985">
        <f t="shared" si="72"/>
        <v>0</v>
      </c>
      <c r="C96" s="2008">
        <f t="shared" si="51"/>
        <v>0</v>
      </c>
      <c r="D96" s="1998"/>
      <c r="E96" s="2010"/>
      <c r="G96" s="2010" t="e">
        <f t="shared" si="52"/>
        <v>#DIV/0!</v>
      </c>
      <c r="H96" s="2010">
        <f t="shared" si="53"/>
        <v>0</v>
      </c>
      <c r="I96" s="2010"/>
      <c r="J96" s="2010"/>
      <c r="K96" s="2010"/>
      <c r="L96" s="2010"/>
      <c r="M96" s="2010" t="e">
        <f t="shared" si="54"/>
        <v>#DIV/0!</v>
      </c>
      <c r="N96" s="2010"/>
      <c r="P96" s="2011">
        <f t="shared" si="56"/>
        <v>0</v>
      </c>
      <c r="Q96" s="2011" t="str">
        <f t="shared" si="57"/>
        <v xml:space="preserve"> Q</v>
      </c>
      <c r="R96" s="2012">
        <f t="shared" si="58"/>
        <v>0</v>
      </c>
      <c r="S96" s="2013">
        <f t="shared" si="59"/>
        <v>0</v>
      </c>
      <c r="T96" s="2013">
        <f t="shared" si="60"/>
        <v>0</v>
      </c>
      <c r="U96" s="2013">
        <f t="shared" si="61"/>
        <v>0</v>
      </c>
      <c r="V96" s="2013">
        <f t="shared" si="62"/>
        <v>0</v>
      </c>
      <c r="W96" s="2013">
        <f t="shared" si="63"/>
        <v>0</v>
      </c>
      <c r="X96" s="2013">
        <f t="shared" si="64"/>
        <v>0</v>
      </c>
      <c r="Y96" s="2013">
        <f t="shared" si="65"/>
        <v>0</v>
      </c>
      <c r="Z96" s="2022">
        <f t="shared" si="66"/>
        <v>0</v>
      </c>
      <c r="AA96" s="2013">
        <f t="shared" si="67"/>
        <v>0</v>
      </c>
      <c r="AB96" s="2013">
        <f t="shared" si="68"/>
        <v>0</v>
      </c>
      <c r="AC96" s="2014">
        <f t="shared" si="69"/>
        <v>0</v>
      </c>
      <c r="AD96" s="2013">
        <f t="shared" si="70"/>
        <v>0</v>
      </c>
      <c r="AE96" s="2013">
        <f t="shared" si="71"/>
        <v>0</v>
      </c>
      <c r="AG96" s="2011"/>
      <c r="AH96" s="2015" t="s">
        <v>764</v>
      </c>
      <c r="AI96" s="2016"/>
      <c r="AJ96" s="2023">
        <v>0</v>
      </c>
      <c r="AK96" s="2023">
        <v>0</v>
      </c>
      <c r="AL96" s="2023">
        <v>0</v>
      </c>
      <c r="AM96" s="2023">
        <v>0</v>
      </c>
      <c r="AN96" s="2023">
        <v>0</v>
      </c>
      <c r="AO96" s="2023">
        <v>0</v>
      </c>
      <c r="AP96" s="2023">
        <v>0</v>
      </c>
      <c r="AQ96" s="2041">
        <v>0</v>
      </c>
      <c r="AR96" s="2023">
        <v>0</v>
      </c>
      <c r="AS96" s="2018"/>
      <c r="AT96" s="2019">
        <v>0</v>
      </c>
      <c r="AU96" s="2018">
        <v>0</v>
      </c>
      <c r="AV96" s="2018">
        <v>0</v>
      </c>
      <c r="AX96" s="2011"/>
      <c r="AY96" s="2015" t="s">
        <v>764</v>
      </c>
      <c r="AZ96" s="2016"/>
      <c r="BA96" s="2018"/>
      <c r="BB96" s="2018"/>
      <c r="BC96" s="2018"/>
      <c r="BD96" s="2018"/>
      <c r="BE96" s="2018"/>
      <c r="BF96" s="2018"/>
      <c r="BG96" s="2018"/>
      <c r="BH96" s="2025"/>
      <c r="BI96" s="2018"/>
      <c r="BJ96" s="2018"/>
      <c r="BK96" s="2019"/>
      <c r="BL96" s="2018"/>
      <c r="BM96" s="2018"/>
      <c r="BO96" s="2011"/>
      <c r="BP96" s="2015" t="s">
        <v>764</v>
      </c>
      <c r="BQ96" s="2016"/>
      <c r="BR96" s="2018"/>
      <c r="BS96" s="2018"/>
      <c r="BT96" s="2018"/>
      <c r="BU96" s="2018"/>
      <c r="BV96" s="2018"/>
      <c r="BW96" s="2018"/>
      <c r="BX96" s="2018"/>
      <c r="BY96" s="2025"/>
      <c r="BZ96" s="2018"/>
      <c r="CA96" s="2018"/>
      <c r="CB96" s="2019"/>
      <c r="CC96" s="2018"/>
      <c r="CD96" s="2018"/>
      <c r="CE96" s="2447"/>
    </row>
    <row r="97" spans="1:84" s="1406" customFormat="1">
      <c r="A97"/>
      <c r="B97" s="1985">
        <f t="shared" si="72"/>
        <v>3</v>
      </c>
      <c r="C97" s="2026" t="str">
        <f t="shared" si="51"/>
        <v>対応性・更新性</v>
      </c>
      <c r="D97" s="1996" t="e">
        <f>IF(I$61=0,0,G97/I$61)</f>
        <v>#DIV/0!</v>
      </c>
      <c r="E97" s="1997" t="e">
        <f>IF(J$61=0,0,H97/J$61)</f>
        <v>#DIV/0!</v>
      </c>
      <c r="F97"/>
      <c r="G97" s="1997" t="e">
        <f t="shared" si="52"/>
        <v>#DIV/0!</v>
      </c>
      <c r="H97" s="1997" t="e">
        <f t="shared" si="53"/>
        <v>#DIV/0!</v>
      </c>
      <c r="I97" s="1997" t="e">
        <f>G98+G101+G102</f>
        <v>#DIV/0!</v>
      </c>
      <c r="J97" s="1997" t="e">
        <f>H98+H101+H102</f>
        <v>#DIV/0!</v>
      </c>
      <c r="K97" s="1997" t="e">
        <f>IF(スコア!O97=0,0,1)</f>
        <v>#DIV/0!</v>
      </c>
      <c r="L97" s="1997" t="e">
        <f>IF(スコア!Q97=0,0,1)</f>
        <v>#DIV/0!</v>
      </c>
      <c r="M97" s="1997" t="e">
        <f t="shared" si="54"/>
        <v>#DIV/0!</v>
      </c>
      <c r="N97" s="1997" t="e">
        <f t="shared" ref="N97:N114" si="76">(AC$7*AC97)+(AD$7*AD97)+(AE$7*AE97)</f>
        <v>#DIV/0!</v>
      </c>
      <c r="O97"/>
      <c r="P97" s="1999">
        <f t="shared" si="56"/>
        <v>3</v>
      </c>
      <c r="Q97" s="1999" t="str">
        <f t="shared" si="57"/>
        <v xml:space="preserve"> Q2</v>
      </c>
      <c r="R97" s="2000" t="str">
        <f t="shared" si="58"/>
        <v>対応性・更新性</v>
      </c>
      <c r="S97" s="2001">
        <f t="shared" si="59"/>
        <v>0.3</v>
      </c>
      <c r="T97" s="2001">
        <f t="shared" si="60"/>
        <v>0.3</v>
      </c>
      <c r="U97" s="2001">
        <f t="shared" si="61"/>
        <v>0.3</v>
      </c>
      <c r="V97" s="2001">
        <f t="shared" si="62"/>
        <v>0.3</v>
      </c>
      <c r="W97" s="2001">
        <f t="shared" si="63"/>
        <v>0.3</v>
      </c>
      <c r="X97" s="2001">
        <f t="shared" si="64"/>
        <v>0.3</v>
      </c>
      <c r="Y97" s="2001">
        <f t="shared" si="65"/>
        <v>0.3</v>
      </c>
      <c r="Z97" s="2065">
        <f t="shared" si="66"/>
        <v>0.3</v>
      </c>
      <c r="AA97" s="2001">
        <f t="shared" si="67"/>
        <v>0.3</v>
      </c>
      <c r="AB97" s="2001">
        <f t="shared" si="68"/>
        <v>0.3</v>
      </c>
      <c r="AC97" s="2003">
        <f t="shared" si="69"/>
        <v>0</v>
      </c>
      <c r="AD97" s="2001">
        <f t="shared" si="70"/>
        <v>0</v>
      </c>
      <c r="AE97" s="2001">
        <f t="shared" si="71"/>
        <v>0</v>
      </c>
      <c r="AF97"/>
      <c r="AG97" s="1999">
        <v>3</v>
      </c>
      <c r="AH97" s="2004" t="s">
        <v>2153</v>
      </c>
      <c r="AI97" s="2028" t="s">
        <v>107</v>
      </c>
      <c r="AJ97" s="2001">
        <v>0.3</v>
      </c>
      <c r="AK97" s="2001">
        <v>0.3</v>
      </c>
      <c r="AL97" s="2001">
        <v>0.3</v>
      </c>
      <c r="AM97" s="2001">
        <v>0.3</v>
      </c>
      <c r="AN97" s="2001">
        <v>0.3</v>
      </c>
      <c r="AO97" s="2001">
        <v>0.3</v>
      </c>
      <c r="AP97" s="2001">
        <v>0.3</v>
      </c>
      <c r="AQ97" s="2065">
        <v>0.3</v>
      </c>
      <c r="AR97" s="2001">
        <v>0.3</v>
      </c>
      <c r="AS97" s="2005">
        <v>0.3</v>
      </c>
      <c r="AT97" s="2006"/>
      <c r="AU97" s="2005"/>
      <c r="AV97" s="2005"/>
      <c r="AW97"/>
      <c r="AX97" s="1999">
        <v>3</v>
      </c>
      <c r="AY97" s="2004" t="s">
        <v>2153</v>
      </c>
      <c r="AZ97" s="2028" t="s">
        <v>107</v>
      </c>
      <c r="BA97" s="2005">
        <v>0.3</v>
      </c>
      <c r="BB97" s="2005">
        <v>0.3</v>
      </c>
      <c r="BC97" s="2005">
        <v>0.3</v>
      </c>
      <c r="BD97" s="2005">
        <v>0.3</v>
      </c>
      <c r="BE97" s="2005">
        <v>0.3</v>
      </c>
      <c r="BF97" s="2005">
        <v>0.3</v>
      </c>
      <c r="BG97" s="2005">
        <v>0.3</v>
      </c>
      <c r="BH97" s="2066">
        <v>0.3</v>
      </c>
      <c r="BI97" s="2005">
        <v>0.3</v>
      </c>
      <c r="BJ97" s="2005">
        <v>0.3</v>
      </c>
      <c r="BK97" s="2006"/>
      <c r="BL97" s="2005"/>
      <c r="BM97" s="2005"/>
      <c r="BN97"/>
      <c r="BO97" s="1999">
        <v>3</v>
      </c>
      <c r="BP97" s="2004" t="s">
        <v>2153</v>
      </c>
      <c r="BQ97" s="2028" t="s">
        <v>107</v>
      </c>
      <c r="BR97" s="2005">
        <v>0.3</v>
      </c>
      <c r="BS97" s="2005">
        <v>0.3</v>
      </c>
      <c r="BT97" s="2005">
        <v>0.3</v>
      </c>
      <c r="BU97" s="2005">
        <v>0.3</v>
      </c>
      <c r="BV97" s="2005">
        <v>0.3</v>
      </c>
      <c r="BW97" s="2005">
        <v>0.3</v>
      </c>
      <c r="BX97" s="2005">
        <v>0.3</v>
      </c>
      <c r="BY97" s="2066">
        <v>0.3</v>
      </c>
      <c r="BZ97" s="2005">
        <v>0.3</v>
      </c>
      <c r="CA97" s="2005">
        <v>0.3</v>
      </c>
      <c r="CB97" s="2006"/>
      <c r="CC97" s="2005"/>
      <c r="CD97" s="2005"/>
      <c r="CE97" s="2446"/>
      <c r="CF97"/>
    </row>
    <row r="98" spans="1:84">
      <c r="B98" s="1985">
        <f t="shared" si="72"/>
        <v>3.1</v>
      </c>
      <c r="C98" s="2012" t="str">
        <f t="shared" si="51"/>
        <v>空間のゆとり</v>
      </c>
      <c r="D98" s="2009" t="e">
        <f>IF(I$97=0,0,G98/I$97)</f>
        <v>#DIV/0!</v>
      </c>
      <c r="E98" s="2010" t="e">
        <f>IF(J$97=0,0,H98/J$97)</f>
        <v>#DIV/0!</v>
      </c>
      <c r="G98" s="2010" t="e">
        <f t="shared" si="52"/>
        <v>#DIV/0!</v>
      </c>
      <c r="H98" s="2010" t="e">
        <f t="shared" si="53"/>
        <v>#DIV/0!</v>
      </c>
      <c r="I98" s="2010" t="e">
        <f>SUM(G99:G100)</f>
        <v>#DIV/0!</v>
      </c>
      <c r="J98" s="2010" t="e">
        <f>SUM(H99:H100)</f>
        <v>#DIV/0!</v>
      </c>
      <c r="K98" s="2010" t="e">
        <f>IF(スコア!O98=0,0,1)</f>
        <v>#DIV/0!</v>
      </c>
      <c r="L98" s="2010" t="e">
        <f>IF(スコア!Q98=0,0,1)</f>
        <v>#DIV/0!</v>
      </c>
      <c r="M98" s="2010" t="e">
        <f t="shared" si="54"/>
        <v>#DIV/0!</v>
      </c>
      <c r="N98" s="2010" t="e">
        <f t="shared" si="76"/>
        <v>#DIV/0!</v>
      </c>
      <c r="P98" s="2011">
        <f t="shared" si="56"/>
        <v>3.1</v>
      </c>
      <c r="Q98" s="2011" t="str">
        <f t="shared" si="57"/>
        <v xml:space="preserve"> Q2 3</v>
      </c>
      <c r="R98" s="2012" t="str">
        <f t="shared" si="58"/>
        <v>空間のゆとり</v>
      </c>
      <c r="S98" s="2013">
        <f t="shared" si="59"/>
        <v>0.3</v>
      </c>
      <c r="T98" s="2013">
        <f t="shared" si="60"/>
        <v>0.3</v>
      </c>
      <c r="U98" s="2013">
        <f t="shared" si="61"/>
        <v>0.3</v>
      </c>
      <c r="V98" s="2013">
        <f t="shared" si="62"/>
        <v>0.3</v>
      </c>
      <c r="W98" s="2013">
        <f t="shared" si="63"/>
        <v>0.3</v>
      </c>
      <c r="X98" s="2013">
        <f t="shared" si="64"/>
        <v>0</v>
      </c>
      <c r="Y98" s="2013">
        <f t="shared" si="65"/>
        <v>0</v>
      </c>
      <c r="Z98" s="2022">
        <f t="shared" si="66"/>
        <v>0.3</v>
      </c>
      <c r="AA98" s="2013">
        <f t="shared" si="67"/>
        <v>0.3</v>
      </c>
      <c r="AB98" s="2013">
        <f t="shared" si="68"/>
        <v>0.3</v>
      </c>
      <c r="AC98" s="2014">
        <f t="shared" si="69"/>
        <v>0.5</v>
      </c>
      <c r="AD98" s="2013">
        <f t="shared" si="70"/>
        <v>0.5</v>
      </c>
      <c r="AE98" s="2013">
        <f t="shared" si="71"/>
        <v>0.5</v>
      </c>
      <c r="AG98" s="2011">
        <v>3.1</v>
      </c>
      <c r="AH98" s="2015" t="s">
        <v>108</v>
      </c>
      <c r="AI98" s="2012" t="s">
        <v>1026</v>
      </c>
      <c r="AJ98" s="2013">
        <v>0.3</v>
      </c>
      <c r="AK98" s="2013">
        <v>0.3</v>
      </c>
      <c r="AL98" s="2013">
        <v>0.3</v>
      </c>
      <c r="AM98" s="2013">
        <v>0.3</v>
      </c>
      <c r="AN98" s="2013">
        <v>0.3</v>
      </c>
      <c r="AO98" s="2013"/>
      <c r="AP98" s="2013"/>
      <c r="AQ98" s="2022">
        <v>0.3</v>
      </c>
      <c r="AR98" s="2013">
        <v>0.3</v>
      </c>
      <c r="AS98" s="2018">
        <v>0.3</v>
      </c>
      <c r="AT98" s="2019">
        <v>0.5</v>
      </c>
      <c r="AU98" s="2018">
        <v>0.5</v>
      </c>
      <c r="AV98" s="2018">
        <v>0.5</v>
      </c>
      <c r="AX98" s="2011">
        <v>3.1</v>
      </c>
      <c r="AY98" s="2015" t="s">
        <v>108</v>
      </c>
      <c r="AZ98" s="2012" t="s">
        <v>1026</v>
      </c>
      <c r="BA98" s="2018">
        <v>0.3</v>
      </c>
      <c r="BB98" s="2018">
        <v>0.3</v>
      </c>
      <c r="BC98" s="2018">
        <v>0.3</v>
      </c>
      <c r="BD98" s="2018">
        <v>0.3</v>
      </c>
      <c r="BE98" s="2018">
        <v>0.3</v>
      </c>
      <c r="BF98" s="2018"/>
      <c r="BG98" s="2018"/>
      <c r="BH98" s="2025">
        <v>0.3</v>
      </c>
      <c r="BI98" s="2018">
        <v>0.3</v>
      </c>
      <c r="BJ98" s="2018">
        <v>0.3</v>
      </c>
      <c r="BK98" s="2019">
        <v>0.5</v>
      </c>
      <c r="BL98" s="2018">
        <v>0.5</v>
      </c>
      <c r="BM98" s="2018">
        <v>0.5</v>
      </c>
      <c r="BO98" s="2011">
        <v>3.1</v>
      </c>
      <c r="BP98" s="2015" t="s">
        <v>108</v>
      </c>
      <c r="BQ98" s="2012" t="s">
        <v>1026</v>
      </c>
      <c r="BR98" s="2018">
        <v>0.3</v>
      </c>
      <c r="BS98" s="2018">
        <v>0.3</v>
      </c>
      <c r="BT98" s="2018">
        <v>0.3</v>
      </c>
      <c r="BU98" s="2018">
        <v>0.3</v>
      </c>
      <c r="BV98" s="2018">
        <v>0.3</v>
      </c>
      <c r="BW98" s="2018"/>
      <c r="BX98" s="2018"/>
      <c r="BY98" s="2025">
        <v>0.3</v>
      </c>
      <c r="BZ98" s="2018">
        <v>0.3</v>
      </c>
      <c r="CA98" s="2018">
        <v>0.3</v>
      </c>
      <c r="CB98" s="2019">
        <v>0.5</v>
      </c>
      <c r="CC98" s="2018">
        <v>0.5</v>
      </c>
      <c r="CD98" s="2018">
        <v>0.5</v>
      </c>
      <c r="CE98" s="2447"/>
    </row>
    <row r="99" spans="1:84">
      <c r="B99" s="1985" t="str">
        <f t="shared" si="72"/>
        <v>3.1.1</v>
      </c>
      <c r="C99" s="2008" t="str">
        <f t="shared" si="51"/>
        <v>階高のゆとり</v>
      </c>
      <c r="D99" s="1998" t="e">
        <f>IF(I$98&gt;0,G99/I$98,0)</f>
        <v>#DIV/0!</v>
      </c>
      <c r="E99" s="2010" t="e">
        <f>IF(J$98&gt;0,H99/J$98,0)</f>
        <v>#DIV/0!</v>
      </c>
      <c r="G99" s="2010" t="e">
        <f t="shared" si="52"/>
        <v>#DIV/0!</v>
      </c>
      <c r="H99" s="2010" t="e">
        <f t="shared" si="53"/>
        <v>#DIV/0!</v>
      </c>
      <c r="I99" s="2010"/>
      <c r="J99" s="2010"/>
      <c r="K99" s="2010">
        <f>IF(スコア!O99=0,0,1)</f>
        <v>1</v>
      </c>
      <c r="L99" s="2010">
        <f>IF(スコア!Q99=0,0,1)</f>
        <v>1</v>
      </c>
      <c r="M99" s="2010" t="e">
        <f t="shared" si="54"/>
        <v>#DIV/0!</v>
      </c>
      <c r="N99" s="2010" t="e">
        <f t="shared" si="76"/>
        <v>#DIV/0!</v>
      </c>
      <c r="P99" s="2011" t="str">
        <f t="shared" si="56"/>
        <v>3.1.1</v>
      </c>
      <c r="Q99" s="2011" t="str">
        <f t="shared" si="57"/>
        <v xml:space="preserve"> Q2 3.1</v>
      </c>
      <c r="R99" s="2012" t="str">
        <f t="shared" si="58"/>
        <v>階高のゆとり</v>
      </c>
      <c r="S99" s="2013">
        <f t="shared" si="59"/>
        <v>0.6</v>
      </c>
      <c r="T99" s="2013">
        <f t="shared" si="60"/>
        <v>0.6</v>
      </c>
      <c r="U99" s="2013">
        <f t="shared" si="61"/>
        <v>0.6</v>
      </c>
      <c r="V99" s="2013">
        <f t="shared" si="62"/>
        <v>0.6</v>
      </c>
      <c r="W99" s="2013">
        <f t="shared" si="63"/>
        <v>0.6</v>
      </c>
      <c r="X99" s="2013">
        <f t="shared" si="64"/>
        <v>0</v>
      </c>
      <c r="Y99" s="2013">
        <f t="shared" si="65"/>
        <v>0</v>
      </c>
      <c r="Z99" s="2022">
        <f t="shared" si="66"/>
        <v>0</v>
      </c>
      <c r="AA99" s="2013">
        <f t="shared" si="67"/>
        <v>0.6</v>
      </c>
      <c r="AB99" s="2013">
        <f t="shared" si="68"/>
        <v>0.6</v>
      </c>
      <c r="AC99" s="2014">
        <f t="shared" si="69"/>
        <v>0.6</v>
      </c>
      <c r="AD99" s="2013">
        <f t="shared" si="70"/>
        <v>0.6</v>
      </c>
      <c r="AE99" s="2013">
        <f t="shared" si="71"/>
        <v>0.6</v>
      </c>
      <c r="AG99" s="2011" t="s">
        <v>1150</v>
      </c>
      <c r="AH99" s="2015" t="s">
        <v>109</v>
      </c>
      <c r="AI99" s="2016" t="s">
        <v>110</v>
      </c>
      <c r="AJ99" s="2013">
        <v>0.6</v>
      </c>
      <c r="AK99" s="2013">
        <v>0.6</v>
      </c>
      <c r="AL99" s="2013">
        <v>0.6</v>
      </c>
      <c r="AM99" s="2013">
        <v>0.6</v>
      </c>
      <c r="AN99" s="2013">
        <v>0.6</v>
      </c>
      <c r="AO99" s="2013"/>
      <c r="AP99" s="2013"/>
      <c r="AQ99" s="2022">
        <v>0</v>
      </c>
      <c r="AR99" s="2013">
        <v>0.6</v>
      </c>
      <c r="AS99" s="2018">
        <v>0.6</v>
      </c>
      <c r="AT99" s="2019">
        <v>0.6</v>
      </c>
      <c r="AU99" s="2018">
        <v>0.6</v>
      </c>
      <c r="AV99" s="2018">
        <v>0.6</v>
      </c>
      <c r="AX99" s="2011" t="s">
        <v>1150</v>
      </c>
      <c r="AY99" s="2015" t="s">
        <v>109</v>
      </c>
      <c r="AZ99" s="2016" t="s">
        <v>110</v>
      </c>
      <c r="BA99" s="2018">
        <v>0.6</v>
      </c>
      <c r="BB99" s="2018">
        <v>0.6</v>
      </c>
      <c r="BC99" s="2018">
        <v>0.6</v>
      </c>
      <c r="BD99" s="2018">
        <v>0.6</v>
      </c>
      <c r="BE99" s="2018">
        <v>0.6</v>
      </c>
      <c r="BF99" s="2018"/>
      <c r="BG99" s="2018"/>
      <c r="BH99" s="2025">
        <v>0</v>
      </c>
      <c r="BI99" s="2018">
        <v>0.6</v>
      </c>
      <c r="BJ99" s="2018">
        <v>0.6</v>
      </c>
      <c r="BK99" s="2019">
        <v>0.6</v>
      </c>
      <c r="BL99" s="2018">
        <v>0.6</v>
      </c>
      <c r="BM99" s="2018">
        <v>0.6</v>
      </c>
      <c r="BO99" s="2011" t="s">
        <v>1150</v>
      </c>
      <c r="BP99" s="2015" t="s">
        <v>109</v>
      </c>
      <c r="BQ99" s="2016" t="s">
        <v>110</v>
      </c>
      <c r="BR99" s="2018">
        <v>0.6</v>
      </c>
      <c r="BS99" s="2018">
        <v>0.6</v>
      </c>
      <c r="BT99" s="2018">
        <v>0.6</v>
      </c>
      <c r="BU99" s="2018">
        <v>0.6</v>
      </c>
      <c r="BV99" s="2018">
        <v>0.6</v>
      </c>
      <c r="BW99" s="2018"/>
      <c r="BX99" s="2018"/>
      <c r="BY99" s="2025">
        <v>0</v>
      </c>
      <c r="BZ99" s="2018">
        <v>0.6</v>
      </c>
      <c r="CA99" s="2018">
        <v>0.6</v>
      </c>
      <c r="CB99" s="2019">
        <v>0.6</v>
      </c>
      <c r="CC99" s="2018">
        <v>0.6</v>
      </c>
      <c r="CD99" s="2018">
        <v>0.6</v>
      </c>
      <c r="CE99" s="2447"/>
    </row>
    <row r="100" spans="1:84">
      <c r="B100" s="1985" t="str">
        <f t="shared" si="72"/>
        <v>3.1.2</v>
      </c>
      <c r="C100" s="2008" t="str">
        <f t="shared" si="51"/>
        <v>空間の形状・自由さ</v>
      </c>
      <c r="D100" s="1998" t="e">
        <f>IF(I$98&gt;0,G100/I$98,0)</f>
        <v>#DIV/0!</v>
      </c>
      <c r="E100" s="2010" t="e">
        <f>IF(J$98&gt;0,H100/J$98,0)</f>
        <v>#DIV/0!</v>
      </c>
      <c r="G100" s="2010" t="e">
        <f t="shared" si="52"/>
        <v>#DIV/0!</v>
      </c>
      <c r="H100" s="2010" t="e">
        <f t="shared" si="53"/>
        <v>#DIV/0!</v>
      </c>
      <c r="I100" s="2010"/>
      <c r="J100" s="2010"/>
      <c r="K100" s="2010">
        <f>IF(スコア!O100=0,0,1)</f>
        <v>1</v>
      </c>
      <c r="L100" s="2010">
        <f>IF(スコア!Q100=0,0,1)</f>
        <v>1</v>
      </c>
      <c r="M100" s="2010" t="e">
        <f t="shared" si="54"/>
        <v>#DIV/0!</v>
      </c>
      <c r="N100" s="2010" t="e">
        <f t="shared" si="76"/>
        <v>#DIV/0!</v>
      </c>
      <c r="P100" s="2011" t="str">
        <f t="shared" si="56"/>
        <v>3.1.2</v>
      </c>
      <c r="Q100" s="2011" t="str">
        <f t="shared" si="57"/>
        <v xml:space="preserve"> Q2 3.1</v>
      </c>
      <c r="R100" s="2012" t="str">
        <f t="shared" si="58"/>
        <v>空間の形状・自由さ</v>
      </c>
      <c r="S100" s="2013">
        <f t="shared" si="59"/>
        <v>0.4</v>
      </c>
      <c r="T100" s="2013">
        <f t="shared" si="60"/>
        <v>0.4</v>
      </c>
      <c r="U100" s="2013">
        <f t="shared" si="61"/>
        <v>0.4</v>
      </c>
      <c r="V100" s="2013">
        <f t="shared" si="62"/>
        <v>0.4</v>
      </c>
      <c r="W100" s="2013">
        <f t="shared" si="63"/>
        <v>0.4</v>
      </c>
      <c r="X100" s="2013">
        <f t="shared" si="64"/>
        <v>0</v>
      </c>
      <c r="Y100" s="2013">
        <f t="shared" si="65"/>
        <v>0</v>
      </c>
      <c r="Z100" s="2022">
        <f t="shared" si="66"/>
        <v>1</v>
      </c>
      <c r="AA100" s="2013">
        <f t="shared" si="67"/>
        <v>0.4</v>
      </c>
      <c r="AB100" s="2013">
        <f t="shared" si="68"/>
        <v>0.4</v>
      </c>
      <c r="AC100" s="2014">
        <f t="shared" si="69"/>
        <v>0.4</v>
      </c>
      <c r="AD100" s="2013">
        <f t="shared" si="70"/>
        <v>0.4</v>
      </c>
      <c r="AE100" s="2013">
        <f t="shared" si="71"/>
        <v>0.4</v>
      </c>
      <c r="AG100" s="2011" t="s">
        <v>1151</v>
      </c>
      <c r="AH100" s="2015" t="s">
        <v>109</v>
      </c>
      <c r="AI100" s="2016" t="s">
        <v>111</v>
      </c>
      <c r="AJ100" s="2013">
        <v>0.4</v>
      </c>
      <c r="AK100" s="2013">
        <v>0.4</v>
      </c>
      <c r="AL100" s="2013">
        <v>0.4</v>
      </c>
      <c r="AM100" s="2013">
        <v>0.4</v>
      </c>
      <c r="AN100" s="2013">
        <v>0.4</v>
      </c>
      <c r="AO100" s="2013"/>
      <c r="AP100" s="2013"/>
      <c r="AQ100" s="2022">
        <v>1</v>
      </c>
      <c r="AR100" s="2013">
        <v>0.4</v>
      </c>
      <c r="AS100" s="2018">
        <v>0.4</v>
      </c>
      <c r="AT100" s="2019">
        <v>0.4</v>
      </c>
      <c r="AU100" s="2018">
        <v>0.4</v>
      </c>
      <c r="AV100" s="2018">
        <v>0.4</v>
      </c>
      <c r="AX100" s="2011" t="s">
        <v>1151</v>
      </c>
      <c r="AY100" s="2015" t="s">
        <v>109</v>
      </c>
      <c r="AZ100" s="2016" t="s">
        <v>111</v>
      </c>
      <c r="BA100" s="2018">
        <v>0.4</v>
      </c>
      <c r="BB100" s="2018">
        <v>0.4</v>
      </c>
      <c r="BC100" s="2018">
        <v>0.4</v>
      </c>
      <c r="BD100" s="2018">
        <v>0.4</v>
      </c>
      <c r="BE100" s="2018">
        <v>0.4</v>
      </c>
      <c r="BF100" s="2018"/>
      <c r="BG100" s="2018"/>
      <c r="BH100" s="2025">
        <v>1</v>
      </c>
      <c r="BI100" s="2018">
        <v>0.4</v>
      </c>
      <c r="BJ100" s="2018">
        <v>0.4</v>
      </c>
      <c r="BK100" s="2019">
        <v>0.4</v>
      </c>
      <c r="BL100" s="2018">
        <v>0.4</v>
      </c>
      <c r="BM100" s="2018">
        <v>0.4</v>
      </c>
      <c r="BO100" s="2011" t="s">
        <v>1151</v>
      </c>
      <c r="BP100" s="2015" t="s">
        <v>109</v>
      </c>
      <c r="BQ100" s="2016" t="s">
        <v>111</v>
      </c>
      <c r="BR100" s="2018">
        <v>0.4</v>
      </c>
      <c r="BS100" s="2018">
        <v>0.4</v>
      </c>
      <c r="BT100" s="2018">
        <v>0.4</v>
      </c>
      <c r="BU100" s="2018">
        <v>0.4</v>
      </c>
      <c r="BV100" s="2018">
        <v>0.4</v>
      </c>
      <c r="BW100" s="2018"/>
      <c r="BX100" s="2018"/>
      <c r="BY100" s="2025">
        <v>1</v>
      </c>
      <c r="BZ100" s="2018">
        <v>0.4</v>
      </c>
      <c r="CA100" s="2018">
        <v>0.4</v>
      </c>
      <c r="CB100" s="2019">
        <v>0.4</v>
      </c>
      <c r="CC100" s="2018">
        <v>0.4</v>
      </c>
      <c r="CD100" s="2018">
        <v>0.4</v>
      </c>
      <c r="CE100" s="2447"/>
    </row>
    <row r="101" spans="1:84">
      <c r="B101" s="1985">
        <f t="shared" si="72"/>
        <v>3.2</v>
      </c>
      <c r="C101" s="2012" t="str">
        <f t="shared" si="51"/>
        <v>荷重のゆとり</v>
      </c>
      <c r="D101" s="2009" t="e">
        <f>IF(I$97=0,0,G101/I$97)</f>
        <v>#DIV/0!</v>
      </c>
      <c r="E101" s="2010" t="e">
        <f>IF(J$97=0,0,H101/J$97)</f>
        <v>#DIV/0!</v>
      </c>
      <c r="G101" s="2010" t="e">
        <f t="shared" si="52"/>
        <v>#DIV/0!</v>
      </c>
      <c r="H101" s="2010" t="e">
        <f t="shared" si="53"/>
        <v>#DIV/0!</v>
      </c>
      <c r="I101" s="2010"/>
      <c r="J101" s="2010"/>
      <c r="K101" s="2010">
        <f>IF(スコア!O101=0,0,1)</f>
        <v>1</v>
      </c>
      <c r="L101" s="2010">
        <f>IF(スコア!Q101=0,0,1)</f>
        <v>1</v>
      </c>
      <c r="M101" s="2010" t="e">
        <f t="shared" si="54"/>
        <v>#DIV/0!</v>
      </c>
      <c r="N101" s="2010" t="e">
        <f t="shared" si="76"/>
        <v>#DIV/0!</v>
      </c>
      <c r="P101" s="2011">
        <f t="shared" si="56"/>
        <v>3.2</v>
      </c>
      <c r="Q101" s="2011" t="str">
        <f t="shared" si="57"/>
        <v xml:space="preserve"> Q2 3</v>
      </c>
      <c r="R101" s="2012" t="str">
        <f t="shared" si="58"/>
        <v>荷重のゆとり</v>
      </c>
      <c r="S101" s="2013">
        <f t="shared" si="59"/>
        <v>0.3</v>
      </c>
      <c r="T101" s="2013">
        <f t="shared" si="60"/>
        <v>0.3</v>
      </c>
      <c r="U101" s="2013">
        <f t="shared" si="61"/>
        <v>0.3</v>
      </c>
      <c r="V101" s="2013">
        <f t="shared" si="62"/>
        <v>0.3</v>
      </c>
      <c r="W101" s="2013">
        <f t="shared" si="63"/>
        <v>0.3</v>
      </c>
      <c r="X101" s="2013">
        <f t="shared" si="64"/>
        <v>0</v>
      </c>
      <c r="Y101" s="2013">
        <f t="shared" si="65"/>
        <v>0</v>
      </c>
      <c r="Z101" s="2022">
        <f t="shared" si="66"/>
        <v>0.3</v>
      </c>
      <c r="AA101" s="2013">
        <f t="shared" si="67"/>
        <v>0.3</v>
      </c>
      <c r="AB101" s="2013">
        <f t="shared" si="68"/>
        <v>0.3</v>
      </c>
      <c r="AC101" s="2014">
        <f t="shared" si="69"/>
        <v>0.5</v>
      </c>
      <c r="AD101" s="2013">
        <f t="shared" si="70"/>
        <v>0.5</v>
      </c>
      <c r="AE101" s="2013">
        <f t="shared" si="71"/>
        <v>0.5</v>
      </c>
      <c r="AG101" s="2011">
        <v>3.2</v>
      </c>
      <c r="AH101" s="2015" t="s">
        <v>108</v>
      </c>
      <c r="AI101" s="2012" t="s">
        <v>1029</v>
      </c>
      <c r="AJ101" s="2013">
        <v>0.3</v>
      </c>
      <c r="AK101" s="2013">
        <v>0.3</v>
      </c>
      <c r="AL101" s="2013">
        <v>0.3</v>
      </c>
      <c r="AM101" s="2013">
        <v>0.3</v>
      </c>
      <c r="AN101" s="2013">
        <v>0.3</v>
      </c>
      <c r="AO101" s="2013"/>
      <c r="AP101" s="2013"/>
      <c r="AQ101" s="2022">
        <v>0.3</v>
      </c>
      <c r="AR101" s="2013">
        <v>0.3</v>
      </c>
      <c r="AS101" s="2018">
        <v>0.3</v>
      </c>
      <c r="AT101" s="2019">
        <v>0.5</v>
      </c>
      <c r="AU101" s="2018">
        <v>0.5</v>
      </c>
      <c r="AV101" s="2018">
        <v>0.5</v>
      </c>
      <c r="AX101" s="2011">
        <v>3.2</v>
      </c>
      <c r="AY101" s="2015" t="s">
        <v>108</v>
      </c>
      <c r="AZ101" s="2012" t="s">
        <v>1029</v>
      </c>
      <c r="BA101" s="2018">
        <v>0.3</v>
      </c>
      <c r="BB101" s="2018">
        <v>0.3</v>
      </c>
      <c r="BC101" s="2018">
        <v>0.3</v>
      </c>
      <c r="BD101" s="2018">
        <v>0.3</v>
      </c>
      <c r="BE101" s="2018">
        <v>0.3</v>
      </c>
      <c r="BF101" s="2018"/>
      <c r="BG101" s="2018"/>
      <c r="BH101" s="2025">
        <v>0.3</v>
      </c>
      <c r="BI101" s="2018">
        <v>0.3</v>
      </c>
      <c r="BJ101" s="2018">
        <v>0.3</v>
      </c>
      <c r="BK101" s="2019">
        <v>0.5</v>
      </c>
      <c r="BL101" s="2018">
        <v>0.5</v>
      </c>
      <c r="BM101" s="2018">
        <v>0.5</v>
      </c>
      <c r="BO101" s="2011">
        <v>3.2</v>
      </c>
      <c r="BP101" s="2015" t="s">
        <v>108</v>
      </c>
      <c r="BQ101" s="2012" t="s">
        <v>1029</v>
      </c>
      <c r="BR101" s="2018">
        <v>0.3</v>
      </c>
      <c r="BS101" s="2018">
        <v>0.3</v>
      </c>
      <c r="BT101" s="2018">
        <v>0.3</v>
      </c>
      <c r="BU101" s="2018">
        <v>0.3</v>
      </c>
      <c r="BV101" s="2018">
        <v>0.3</v>
      </c>
      <c r="BW101" s="2018"/>
      <c r="BX101" s="2018"/>
      <c r="BY101" s="2025">
        <v>0.3</v>
      </c>
      <c r="BZ101" s="2018">
        <v>0.3</v>
      </c>
      <c r="CA101" s="2018">
        <v>0.3</v>
      </c>
      <c r="CB101" s="2019">
        <v>0.5</v>
      </c>
      <c r="CC101" s="2018">
        <v>0.5</v>
      </c>
      <c r="CD101" s="2018">
        <v>0.5</v>
      </c>
      <c r="CE101" s="2447"/>
    </row>
    <row r="102" spans="1:84">
      <c r="B102" s="1985">
        <f t="shared" si="72"/>
        <v>3.3</v>
      </c>
      <c r="C102" s="2012" t="str">
        <f t="shared" si="51"/>
        <v>設備の更新性</v>
      </c>
      <c r="D102" s="2009" t="e">
        <f>IF(I$97=0,0,G102/I$97)</f>
        <v>#DIV/0!</v>
      </c>
      <c r="E102" s="2010" t="e">
        <f>IF(J$97=0,0,H102/J$97)</f>
        <v>#DIV/0!</v>
      </c>
      <c r="G102" s="2010" t="e">
        <f t="shared" si="52"/>
        <v>#DIV/0!</v>
      </c>
      <c r="H102" s="2010" t="e">
        <f t="shared" si="53"/>
        <v>#DIV/0!</v>
      </c>
      <c r="I102" s="2010" t="e">
        <f>SUM(G103:G108)</f>
        <v>#DIV/0!</v>
      </c>
      <c r="J102" s="2010" t="e">
        <f>SUM(H103:H108)</f>
        <v>#DIV/0!</v>
      </c>
      <c r="K102" s="2010" t="e">
        <f>IF(スコア!O102=0,0,1)</f>
        <v>#DIV/0!</v>
      </c>
      <c r="L102" s="2010" t="e">
        <f>IF(スコア!Q102=0,0,1)</f>
        <v>#DIV/0!</v>
      </c>
      <c r="M102" s="2010" t="e">
        <f t="shared" si="54"/>
        <v>#DIV/0!</v>
      </c>
      <c r="N102" s="2010" t="e">
        <f t="shared" si="76"/>
        <v>#DIV/0!</v>
      </c>
      <c r="P102" s="2011">
        <f t="shared" si="56"/>
        <v>3.3</v>
      </c>
      <c r="Q102" s="2011" t="str">
        <f t="shared" si="57"/>
        <v xml:space="preserve"> Q2 3</v>
      </c>
      <c r="R102" s="2012" t="str">
        <f t="shared" si="58"/>
        <v>設備の更新性</v>
      </c>
      <c r="S102" s="2013">
        <f t="shared" si="59"/>
        <v>0.4</v>
      </c>
      <c r="T102" s="2013">
        <f t="shared" si="60"/>
        <v>0.4</v>
      </c>
      <c r="U102" s="2013">
        <f t="shared" si="61"/>
        <v>0.4</v>
      </c>
      <c r="V102" s="2013">
        <f t="shared" si="62"/>
        <v>0.4</v>
      </c>
      <c r="W102" s="2013">
        <f t="shared" si="63"/>
        <v>0.4</v>
      </c>
      <c r="X102" s="2013">
        <f t="shared" si="64"/>
        <v>1</v>
      </c>
      <c r="Y102" s="2013">
        <f t="shared" si="65"/>
        <v>1</v>
      </c>
      <c r="Z102" s="2022">
        <f t="shared" si="66"/>
        <v>0.4</v>
      </c>
      <c r="AA102" s="2013">
        <f t="shared" si="67"/>
        <v>0.4</v>
      </c>
      <c r="AB102" s="2013">
        <f t="shared" si="68"/>
        <v>0.4</v>
      </c>
      <c r="AC102" s="2014">
        <f t="shared" si="69"/>
        <v>0</v>
      </c>
      <c r="AD102" s="2013">
        <f t="shared" si="70"/>
        <v>0</v>
      </c>
      <c r="AE102" s="2013">
        <f t="shared" si="71"/>
        <v>0</v>
      </c>
      <c r="AG102" s="2011">
        <v>3.3</v>
      </c>
      <c r="AH102" s="2015" t="s">
        <v>108</v>
      </c>
      <c r="AI102" s="2012" t="s">
        <v>1030</v>
      </c>
      <c r="AJ102" s="2013">
        <v>0.4</v>
      </c>
      <c r="AK102" s="2013">
        <v>0.4</v>
      </c>
      <c r="AL102" s="2013">
        <v>0.4</v>
      </c>
      <c r="AM102" s="2013">
        <v>0.4</v>
      </c>
      <c r="AN102" s="2013">
        <v>0.4</v>
      </c>
      <c r="AO102" s="2013">
        <v>1</v>
      </c>
      <c r="AP102" s="2013">
        <v>1</v>
      </c>
      <c r="AQ102" s="2022">
        <v>0.4</v>
      </c>
      <c r="AR102" s="2013">
        <v>0.4</v>
      </c>
      <c r="AS102" s="2018">
        <v>0.4</v>
      </c>
      <c r="AT102" s="2019"/>
      <c r="AU102" s="2018"/>
      <c r="AV102" s="2018"/>
      <c r="AX102" s="2011">
        <v>3.3</v>
      </c>
      <c r="AY102" s="2015" t="s">
        <v>108</v>
      </c>
      <c r="AZ102" s="2012" t="s">
        <v>1030</v>
      </c>
      <c r="BA102" s="2018">
        <v>0.4</v>
      </c>
      <c r="BB102" s="2018">
        <v>0.4</v>
      </c>
      <c r="BC102" s="2018">
        <v>0.4</v>
      </c>
      <c r="BD102" s="2018">
        <v>0.4</v>
      </c>
      <c r="BE102" s="2018">
        <v>0.4</v>
      </c>
      <c r="BF102" s="2018">
        <v>1</v>
      </c>
      <c r="BG102" s="2018">
        <v>1</v>
      </c>
      <c r="BH102" s="2025">
        <v>0.4</v>
      </c>
      <c r="BI102" s="2018">
        <v>0.4</v>
      </c>
      <c r="BJ102" s="2018">
        <v>0.4</v>
      </c>
      <c r="BK102" s="2019"/>
      <c r="BL102" s="2018"/>
      <c r="BM102" s="2018"/>
      <c r="BO102" s="2011">
        <v>3.3</v>
      </c>
      <c r="BP102" s="2015" t="s">
        <v>108</v>
      </c>
      <c r="BQ102" s="2012" t="s">
        <v>1030</v>
      </c>
      <c r="BR102" s="2018">
        <v>0.4</v>
      </c>
      <c r="BS102" s="2018">
        <v>0.4</v>
      </c>
      <c r="BT102" s="2018">
        <v>0.4</v>
      </c>
      <c r="BU102" s="2018">
        <v>0.4</v>
      </c>
      <c r="BV102" s="2018">
        <v>0.4</v>
      </c>
      <c r="BW102" s="2018">
        <v>1</v>
      </c>
      <c r="BX102" s="2018">
        <v>1</v>
      </c>
      <c r="BY102" s="2025">
        <v>0.4</v>
      </c>
      <c r="BZ102" s="2018">
        <v>0.4</v>
      </c>
      <c r="CA102" s="2018">
        <v>0.4</v>
      </c>
      <c r="CB102" s="2019"/>
      <c r="CC102" s="2018"/>
      <c r="CD102" s="2018"/>
      <c r="CE102" s="2447"/>
    </row>
    <row r="103" spans="1:84">
      <c r="B103" s="1985" t="str">
        <f t="shared" si="72"/>
        <v>3.3.1</v>
      </c>
      <c r="C103" s="2008" t="str">
        <f t="shared" si="51"/>
        <v>空調配管の更新性</v>
      </c>
      <c r="D103" s="1998" t="e">
        <f t="shared" ref="D103:E108" si="77">IF(I$102&gt;0,G103/I$102,0)</f>
        <v>#DIV/0!</v>
      </c>
      <c r="E103" s="2010" t="e">
        <f t="shared" si="77"/>
        <v>#DIV/0!</v>
      </c>
      <c r="G103" s="2010" t="e">
        <f t="shared" si="52"/>
        <v>#DIV/0!</v>
      </c>
      <c r="H103" s="2010" t="e">
        <f t="shared" si="53"/>
        <v>#DIV/0!</v>
      </c>
      <c r="I103" s="2010"/>
      <c r="J103" s="2010"/>
      <c r="K103" s="2010">
        <f>IF(スコア!O103=0,0,1)</f>
        <v>1</v>
      </c>
      <c r="L103" s="2010">
        <f>IF(スコア!Q103=0,0,1)</f>
        <v>0</v>
      </c>
      <c r="M103" s="2010" t="e">
        <f t="shared" si="54"/>
        <v>#DIV/0!</v>
      </c>
      <c r="N103" s="2010" t="e">
        <f t="shared" si="76"/>
        <v>#DIV/0!</v>
      </c>
      <c r="P103" s="2011" t="str">
        <f t="shared" si="56"/>
        <v>3.3.1</v>
      </c>
      <c r="Q103" s="2011" t="str">
        <f t="shared" si="57"/>
        <v xml:space="preserve"> Q2 3.3</v>
      </c>
      <c r="R103" s="2012" t="str">
        <f t="shared" si="58"/>
        <v>空調配管の更新性</v>
      </c>
      <c r="S103" s="2013">
        <f t="shared" si="59"/>
        <v>0.2</v>
      </c>
      <c r="T103" s="2013">
        <f t="shared" si="60"/>
        <v>0.2</v>
      </c>
      <c r="U103" s="2013">
        <f t="shared" si="61"/>
        <v>0.2</v>
      </c>
      <c r="V103" s="2013">
        <f t="shared" si="62"/>
        <v>0.2</v>
      </c>
      <c r="W103" s="2013">
        <f t="shared" si="63"/>
        <v>0.2</v>
      </c>
      <c r="X103" s="2013">
        <f t="shared" si="64"/>
        <v>0.2</v>
      </c>
      <c r="Y103" s="2013">
        <f t="shared" si="65"/>
        <v>0.2</v>
      </c>
      <c r="Z103" s="2022">
        <f t="shared" si="66"/>
        <v>0.2</v>
      </c>
      <c r="AA103" s="2013">
        <f t="shared" si="67"/>
        <v>0.2</v>
      </c>
      <c r="AB103" s="2013">
        <f t="shared" si="68"/>
        <v>0.2</v>
      </c>
      <c r="AC103" s="2014">
        <f t="shared" si="69"/>
        <v>0</v>
      </c>
      <c r="AD103" s="2013">
        <f t="shared" si="70"/>
        <v>0</v>
      </c>
      <c r="AE103" s="2013">
        <f t="shared" si="71"/>
        <v>0</v>
      </c>
      <c r="AG103" s="2011" t="s">
        <v>1152</v>
      </c>
      <c r="AH103" s="2015" t="s">
        <v>112</v>
      </c>
      <c r="AI103" s="2016" t="s">
        <v>113</v>
      </c>
      <c r="AJ103" s="2013">
        <v>0.2</v>
      </c>
      <c r="AK103" s="2013">
        <v>0.2</v>
      </c>
      <c r="AL103" s="2013">
        <v>0.2</v>
      </c>
      <c r="AM103" s="2013">
        <v>0.2</v>
      </c>
      <c r="AN103" s="2013">
        <v>0.2</v>
      </c>
      <c r="AO103" s="2013">
        <v>0.2</v>
      </c>
      <c r="AP103" s="2013">
        <v>0.2</v>
      </c>
      <c r="AQ103" s="2022">
        <v>0.2</v>
      </c>
      <c r="AR103" s="2013">
        <v>0.2</v>
      </c>
      <c r="AS103" s="2018">
        <v>0.2</v>
      </c>
      <c r="AT103" s="2019"/>
      <c r="AU103" s="2018"/>
      <c r="AV103" s="2018"/>
      <c r="AX103" s="2011" t="s">
        <v>1152</v>
      </c>
      <c r="AY103" s="2015" t="s">
        <v>112</v>
      </c>
      <c r="AZ103" s="2016" t="s">
        <v>113</v>
      </c>
      <c r="BA103" s="2018">
        <v>0.2</v>
      </c>
      <c r="BB103" s="2018">
        <v>0.2</v>
      </c>
      <c r="BC103" s="2018">
        <v>0.2</v>
      </c>
      <c r="BD103" s="2018">
        <v>0.2</v>
      </c>
      <c r="BE103" s="2018">
        <v>0.2</v>
      </c>
      <c r="BF103" s="2018">
        <v>0.2</v>
      </c>
      <c r="BG103" s="2018">
        <v>0.2</v>
      </c>
      <c r="BH103" s="2025">
        <v>0.2</v>
      </c>
      <c r="BI103" s="2018">
        <v>0.2</v>
      </c>
      <c r="BJ103" s="2018">
        <v>0.2</v>
      </c>
      <c r="BK103" s="2019"/>
      <c r="BL103" s="2018"/>
      <c r="BM103" s="2018"/>
      <c r="BO103" s="2011" t="s">
        <v>1152</v>
      </c>
      <c r="BP103" s="2015" t="s">
        <v>112</v>
      </c>
      <c r="BQ103" s="2016" t="s">
        <v>113</v>
      </c>
      <c r="BR103" s="2018">
        <v>0.2</v>
      </c>
      <c r="BS103" s="2018">
        <v>0.2</v>
      </c>
      <c r="BT103" s="2018">
        <v>0.2</v>
      </c>
      <c r="BU103" s="2018">
        <v>0.2</v>
      </c>
      <c r="BV103" s="2018">
        <v>0.2</v>
      </c>
      <c r="BW103" s="2018">
        <v>0.2</v>
      </c>
      <c r="BX103" s="2018">
        <v>0.2</v>
      </c>
      <c r="BY103" s="2025">
        <v>0.2</v>
      </c>
      <c r="BZ103" s="2018">
        <v>0.2</v>
      </c>
      <c r="CA103" s="2018">
        <v>0.2</v>
      </c>
      <c r="CB103" s="2019"/>
      <c r="CC103" s="2018"/>
      <c r="CD103" s="2018"/>
      <c r="CE103" s="2447"/>
    </row>
    <row r="104" spans="1:84">
      <c r="B104" s="1985" t="str">
        <f t="shared" si="72"/>
        <v>3.3.2</v>
      </c>
      <c r="C104" s="2008" t="str">
        <f t="shared" si="51"/>
        <v>給排水管の更新性</v>
      </c>
      <c r="D104" s="1998" t="e">
        <f t="shared" si="77"/>
        <v>#DIV/0!</v>
      </c>
      <c r="E104" s="2010" t="e">
        <f t="shared" si="77"/>
        <v>#DIV/0!</v>
      </c>
      <c r="G104" s="2010" t="e">
        <f t="shared" si="52"/>
        <v>#DIV/0!</v>
      </c>
      <c r="H104" s="2010" t="e">
        <f t="shared" si="53"/>
        <v>#DIV/0!</v>
      </c>
      <c r="I104" s="2010"/>
      <c r="J104" s="2010"/>
      <c r="K104" s="2010">
        <f>IF(スコア!O104=0,0,1)</f>
        <v>1</v>
      </c>
      <c r="L104" s="2010">
        <f>IF(スコア!Q104=0,0,1)</f>
        <v>0</v>
      </c>
      <c r="M104" s="2010" t="e">
        <f t="shared" si="54"/>
        <v>#DIV/0!</v>
      </c>
      <c r="N104" s="2010" t="e">
        <f t="shared" si="76"/>
        <v>#DIV/0!</v>
      </c>
      <c r="P104" s="2011" t="str">
        <f t="shared" si="56"/>
        <v>3.3.2</v>
      </c>
      <c r="Q104" s="2011" t="str">
        <f t="shared" si="57"/>
        <v xml:space="preserve"> Q2 3.3</v>
      </c>
      <c r="R104" s="2012" t="str">
        <f t="shared" si="58"/>
        <v>給排水管の更新性</v>
      </c>
      <c r="S104" s="2013">
        <f t="shared" si="59"/>
        <v>0.2</v>
      </c>
      <c r="T104" s="2013">
        <f t="shared" si="60"/>
        <v>0.2</v>
      </c>
      <c r="U104" s="2013">
        <f t="shared" si="61"/>
        <v>0.2</v>
      </c>
      <c r="V104" s="2013">
        <f t="shared" si="62"/>
        <v>0.2</v>
      </c>
      <c r="W104" s="2013">
        <f t="shared" si="63"/>
        <v>0.2</v>
      </c>
      <c r="X104" s="2013">
        <f t="shared" si="64"/>
        <v>0.2</v>
      </c>
      <c r="Y104" s="2013">
        <f t="shared" si="65"/>
        <v>0.2</v>
      </c>
      <c r="Z104" s="2022">
        <f t="shared" si="66"/>
        <v>0.2</v>
      </c>
      <c r="AA104" s="2013">
        <f t="shared" si="67"/>
        <v>0.2</v>
      </c>
      <c r="AB104" s="2013">
        <f t="shared" si="68"/>
        <v>0.2</v>
      </c>
      <c r="AC104" s="2014">
        <f t="shared" si="69"/>
        <v>0</v>
      </c>
      <c r="AD104" s="2013">
        <f t="shared" si="70"/>
        <v>0</v>
      </c>
      <c r="AE104" s="2013">
        <f t="shared" si="71"/>
        <v>0</v>
      </c>
      <c r="AG104" s="2011" t="s">
        <v>1153</v>
      </c>
      <c r="AH104" s="2015" t="s">
        <v>112</v>
      </c>
      <c r="AI104" s="2016" t="s">
        <v>114</v>
      </c>
      <c r="AJ104" s="2013">
        <v>0.2</v>
      </c>
      <c r="AK104" s="2013">
        <v>0.2</v>
      </c>
      <c r="AL104" s="2013">
        <v>0.2</v>
      </c>
      <c r="AM104" s="2013">
        <v>0.2</v>
      </c>
      <c r="AN104" s="2013">
        <v>0.2</v>
      </c>
      <c r="AO104" s="2013">
        <v>0.2</v>
      </c>
      <c r="AP104" s="2013">
        <v>0.2</v>
      </c>
      <c r="AQ104" s="2022">
        <v>0.2</v>
      </c>
      <c r="AR104" s="2013">
        <v>0.2</v>
      </c>
      <c r="AS104" s="2018">
        <v>0.2</v>
      </c>
      <c r="AT104" s="2019"/>
      <c r="AU104" s="2018"/>
      <c r="AV104" s="2018"/>
      <c r="AX104" s="2011" t="s">
        <v>1153</v>
      </c>
      <c r="AY104" s="2015" t="s">
        <v>112</v>
      </c>
      <c r="AZ104" s="2016" t="s">
        <v>114</v>
      </c>
      <c r="BA104" s="2018">
        <v>0.2</v>
      </c>
      <c r="BB104" s="2018">
        <v>0.2</v>
      </c>
      <c r="BC104" s="2018">
        <v>0.2</v>
      </c>
      <c r="BD104" s="2018">
        <v>0.2</v>
      </c>
      <c r="BE104" s="2018">
        <v>0.2</v>
      </c>
      <c r="BF104" s="2018">
        <v>0.2</v>
      </c>
      <c r="BG104" s="2018">
        <v>0.2</v>
      </c>
      <c r="BH104" s="2025">
        <v>0.2</v>
      </c>
      <c r="BI104" s="2018">
        <v>0.2</v>
      </c>
      <c r="BJ104" s="2018">
        <v>0.2</v>
      </c>
      <c r="BK104" s="2019"/>
      <c r="BL104" s="2018"/>
      <c r="BM104" s="2018"/>
      <c r="BO104" s="2011" t="s">
        <v>1153</v>
      </c>
      <c r="BP104" s="2015" t="s">
        <v>112</v>
      </c>
      <c r="BQ104" s="2016" t="s">
        <v>114</v>
      </c>
      <c r="BR104" s="2018">
        <v>0.2</v>
      </c>
      <c r="BS104" s="2018">
        <v>0.2</v>
      </c>
      <c r="BT104" s="2018">
        <v>0.2</v>
      </c>
      <c r="BU104" s="2018">
        <v>0.2</v>
      </c>
      <c r="BV104" s="2018">
        <v>0.2</v>
      </c>
      <c r="BW104" s="2018">
        <v>0.2</v>
      </c>
      <c r="BX104" s="2018">
        <v>0.2</v>
      </c>
      <c r="BY104" s="2025">
        <v>0.2</v>
      </c>
      <c r="BZ104" s="2018">
        <v>0.2</v>
      </c>
      <c r="CA104" s="2018">
        <v>0.2</v>
      </c>
      <c r="CB104" s="2019"/>
      <c r="CC104" s="2018"/>
      <c r="CD104" s="2018"/>
      <c r="CE104" s="2447"/>
    </row>
    <row r="105" spans="1:84">
      <c r="B105" s="1985" t="str">
        <f t="shared" si="72"/>
        <v>3.3.3</v>
      </c>
      <c r="C105" s="2008" t="str">
        <f t="shared" ref="C105:C140" si="78">R105</f>
        <v>電気配線の更新性</v>
      </c>
      <c r="D105" s="1998" t="e">
        <f t="shared" si="77"/>
        <v>#DIV/0!</v>
      </c>
      <c r="E105" s="2010" t="e">
        <f t="shared" si="77"/>
        <v>#DIV/0!</v>
      </c>
      <c r="G105" s="2010" t="e">
        <f t="shared" ref="G105:G140" si="79">K105*M105</f>
        <v>#DIV/0!</v>
      </c>
      <c r="H105" s="2010" t="e">
        <f t="shared" ref="H105:H140" si="80">L105*N105</f>
        <v>#DIV/0!</v>
      </c>
      <c r="I105" s="2010"/>
      <c r="J105" s="2010"/>
      <c r="K105" s="2010">
        <f>IF(スコア!O105=0,0,1)</f>
        <v>1</v>
      </c>
      <c r="L105" s="2010">
        <f>IF(スコア!Q105=0,0,1)</f>
        <v>0</v>
      </c>
      <c r="M105" s="2010" t="e">
        <f t="shared" ref="M105:M140" si="81">SUMPRODUCT($S$7:$AB$7,S105:AB105)</f>
        <v>#DIV/0!</v>
      </c>
      <c r="N105" s="2010" t="e">
        <f t="shared" si="76"/>
        <v>#DIV/0!</v>
      </c>
      <c r="P105" s="2011" t="str">
        <f t="shared" si="56"/>
        <v>3.3.3</v>
      </c>
      <c r="Q105" s="2011" t="str">
        <f t="shared" si="57"/>
        <v xml:space="preserve"> Q2 3.3</v>
      </c>
      <c r="R105" s="2012" t="str">
        <f t="shared" ref="R105:R119" si="82">IF($P$3=1,AZ105,IF($P$3=2,BQ105,AI105))</f>
        <v>電気配線の更新性</v>
      </c>
      <c r="S105" s="2013">
        <f t="shared" ref="S105:S121" si="83">IF($P$3=1,BA105,IF($P$3=2,BR105,AJ105))</f>
        <v>0.1</v>
      </c>
      <c r="T105" s="2013">
        <f t="shared" ref="T105:T121" si="84">IF($P$3=1,BB105,IF($P$3=2,BS105,AK105))</f>
        <v>0.1</v>
      </c>
      <c r="U105" s="2013">
        <f t="shared" ref="U105:U121" si="85">IF($P$3=1,BC105,IF($P$3=2,BT105,AL105))</f>
        <v>0.1</v>
      </c>
      <c r="V105" s="2013">
        <f t="shared" ref="V105:V121" si="86">IF($P$3=1,BD105,IF($P$3=2,BU105,AM105))</f>
        <v>0.1</v>
      </c>
      <c r="W105" s="2013">
        <f t="shared" ref="W105:W121" si="87">IF($P$3=1,BE105,IF($P$3=2,BV105,AN105))</f>
        <v>0.1</v>
      </c>
      <c r="X105" s="2013">
        <f t="shared" ref="X105:X121" si="88">IF($P$3=1,BF105,IF($P$3=2,BW105,AO105))</f>
        <v>0.1</v>
      </c>
      <c r="Y105" s="2013">
        <f t="shared" ref="Y105:Y121" si="89">IF($P$3=1,BG105,IF($P$3=2,BX105,AP105))</f>
        <v>0.1</v>
      </c>
      <c r="Z105" s="2022">
        <f t="shared" ref="Z105:Z121" si="90">IF($P$3=1,BH105,IF($P$3=2,BY105,AQ105))</f>
        <v>0.1</v>
      </c>
      <c r="AA105" s="2013">
        <f t="shared" ref="AA105:AA121" si="91">IF($P$3=1,BI105,IF($P$3=2,BZ105,AR105))</f>
        <v>0.1</v>
      </c>
      <c r="AB105" s="2013">
        <f t="shared" ref="AB105:AB121" si="92">IF($P$3=1,BJ105,IF($P$3=2,CA105,AS105))</f>
        <v>0.1</v>
      </c>
      <c r="AC105" s="2014">
        <f t="shared" ref="AC105:AC119" si="93">IF($P$3=1,BK105,IF($P$3=2,CB105,AT105))</f>
        <v>0</v>
      </c>
      <c r="AD105" s="2013">
        <f t="shared" ref="AD105:AD119" si="94">IF($P$3=1,BL105,IF($P$3=2,CC105,AU105))</f>
        <v>0</v>
      </c>
      <c r="AE105" s="2013">
        <f t="shared" ref="AE105:AE119" si="95">IF($P$3=1,BM105,IF($P$3=2,CD105,AV105))</f>
        <v>0</v>
      </c>
      <c r="AG105" s="2011" t="s">
        <v>1154</v>
      </c>
      <c r="AH105" s="2015" t="s">
        <v>112</v>
      </c>
      <c r="AI105" s="2016" t="s">
        <v>115</v>
      </c>
      <c r="AJ105" s="2013">
        <v>0.1</v>
      </c>
      <c r="AK105" s="2013">
        <v>0.1</v>
      </c>
      <c r="AL105" s="2013">
        <v>0.1</v>
      </c>
      <c r="AM105" s="2013">
        <v>0.1</v>
      </c>
      <c r="AN105" s="2013">
        <v>0.1</v>
      </c>
      <c r="AO105" s="2013">
        <v>0.1</v>
      </c>
      <c r="AP105" s="2013">
        <v>0.1</v>
      </c>
      <c r="AQ105" s="2022">
        <v>0.1</v>
      </c>
      <c r="AR105" s="2013">
        <v>0.1</v>
      </c>
      <c r="AS105" s="2018">
        <v>0.1</v>
      </c>
      <c r="AT105" s="2019"/>
      <c r="AU105" s="2018"/>
      <c r="AV105" s="2018"/>
      <c r="AX105" s="2011" t="s">
        <v>1154</v>
      </c>
      <c r="AY105" s="2015" t="s">
        <v>112</v>
      </c>
      <c r="AZ105" s="2016" t="s">
        <v>115</v>
      </c>
      <c r="BA105" s="2018">
        <v>0.1</v>
      </c>
      <c r="BB105" s="2018">
        <v>0.1</v>
      </c>
      <c r="BC105" s="2018">
        <v>0.1</v>
      </c>
      <c r="BD105" s="2018">
        <v>0.1</v>
      </c>
      <c r="BE105" s="2018">
        <v>0.1</v>
      </c>
      <c r="BF105" s="2018">
        <v>0.1</v>
      </c>
      <c r="BG105" s="2018">
        <v>0.1</v>
      </c>
      <c r="BH105" s="2025">
        <v>0.1</v>
      </c>
      <c r="BI105" s="2018">
        <v>0.1</v>
      </c>
      <c r="BJ105" s="2018">
        <v>0.1</v>
      </c>
      <c r="BK105" s="2019"/>
      <c r="BL105" s="2018"/>
      <c r="BM105" s="2018"/>
      <c r="BO105" s="2011" t="s">
        <v>1154</v>
      </c>
      <c r="BP105" s="2015" t="s">
        <v>112</v>
      </c>
      <c r="BQ105" s="2016" t="s">
        <v>115</v>
      </c>
      <c r="BR105" s="2018">
        <v>0.1</v>
      </c>
      <c r="BS105" s="2018">
        <v>0.1</v>
      </c>
      <c r="BT105" s="2018">
        <v>0.1</v>
      </c>
      <c r="BU105" s="2018">
        <v>0.1</v>
      </c>
      <c r="BV105" s="2018">
        <v>0.1</v>
      </c>
      <c r="BW105" s="2018">
        <v>0.1</v>
      </c>
      <c r="BX105" s="2018">
        <v>0.1</v>
      </c>
      <c r="BY105" s="2025">
        <v>0.1</v>
      </c>
      <c r="BZ105" s="2018">
        <v>0.1</v>
      </c>
      <c r="CA105" s="2018">
        <v>0.1</v>
      </c>
      <c r="CB105" s="2019"/>
      <c r="CC105" s="2018"/>
      <c r="CD105" s="2018"/>
      <c r="CE105" s="2447"/>
    </row>
    <row r="106" spans="1:84">
      <c r="B106" s="1985" t="str">
        <f t="shared" si="72"/>
        <v>3.3.4</v>
      </c>
      <c r="C106" s="2008" t="str">
        <f t="shared" si="78"/>
        <v>通信配線の更新性</v>
      </c>
      <c r="D106" s="1998" t="e">
        <f t="shared" si="77"/>
        <v>#DIV/0!</v>
      </c>
      <c r="E106" s="2010" t="e">
        <f t="shared" si="77"/>
        <v>#DIV/0!</v>
      </c>
      <c r="G106" s="2010" t="e">
        <f t="shared" si="79"/>
        <v>#DIV/0!</v>
      </c>
      <c r="H106" s="2010" t="e">
        <f t="shared" si="80"/>
        <v>#DIV/0!</v>
      </c>
      <c r="I106" s="2010"/>
      <c r="J106" s="2010"/>
      <c r="K106" s="2010">
        <f>IF(スコア!O106=0,0,1)</f>
        <v>1</v>
      </c>
      <c r="L106" s="2010">
        <f>IF(スコア!Q106=0,0,1)</f>
        <v>0</v>
      </c>
      <c r="M106" s="2010" t="e">
        <f t="shared" si="81"/>
        <v>#DIV/0!</v>
      </c>
      <c r="N106" s="2010" t="e">
        <f t="shared" si="76"/>
        <v>#DIV/0!</v>
      </c>
      <c r="P106" s="2011" t="str">
        <f t="shared" si="56"/>
        <v>3.3.4</v>
      </c>
      <c r="Q106" s="2011" t="str">
        <f t="shared" si="57"/>
        <v xml:space="preserve"> Q2 3.3</v>
      </c>
      <c r="R106" s="2012" t="str">
        <f t="shared" si="82"/>
        <v>通信配線の更新性</v>
      </c>
      <c r="S106" s="2013">
        <f t="shared" si="83"/>
        <v>0.1</v>
      </c>
      <c r="T106" s="2013">
        <f t="shared" si="84"/>
        <v>0.1</v>
      </c>
      <c r="U106" s="2013">
        <f t="shared" si="85"/>
        <v>0.1</v>
      </c>
      <c r="V106" s="2013">
        <f t="shared" si="86"/>
        <v>0.1</v>
      </c>
      <c r="W106" s="2013">
        <f t="shared" si="87"/>
        <v>0.1</v>
      </c>
      <c r="X106" s="2013">
        <f t="shared" si="88"/>
        <v>0.1</v>
      </c>
      <c r="Y106" s="2013">
        <f t="shared" si="89"/>
        <v>0.1</v>
      </c>
      <c r="Z106" s="2022">
        <f t="shared" si="90"/>
        <v>0.1</v>
      </c>
      <c r="AA106" s="2013">
        <f t="shared" si="91"/>
        <v>0.1</v>
      </c>
      <c r="AB106" s="2013">
        <f t="shared" si="92"/>
        <v>0.1</v>
      </c>
      <c r="AC106" s="2014">
        <f t="shared" si="93"/>
        <v>0</v>
      </c>
      <c r="AD106" s="2013">
        <f t="shared" si="94"/>
        <v>0</v>
      </c>
      <c r="AE106" s="2013">
        <f t="shared" si="95"/>
        <v>0</v>
      </c>
      <c r="AG106" s="2011" t="s">
        <v>1155</v>
      </c>
      <c r="AH106" s="2015" t="s">
        <v>112</v>
      </c>
      <c r="AI106" s="2016" t="s">
        <v>116</v>
      </c>
      <c r="AJ106" s="2013">
        <v>0.1</v>
      </c>
      <c r="AK106" s="2013">
        <v>0.1</v>
      </c>
      <c r="AL106" s="2013">
        <v>0.1</v>
      </c>
      <c r="AM106" s="2013">
        <v>0.1</v>
      </c>
      <c r="AN106" s="2013">
        <v>0.1</v>
      </c>
      <c r="AO106" s="2013">
        <v>0.1</v>
      </c>
      <c r="AP106" s="2013">
        <v>0.1</v>
      </c>
      <c r="AQ106" s="2022">
        <v>0.1</v>
      </c>
      <c r="AR106" s="2013">
        <v>0.1</v>
      </c>
      <c r="AS106" s="2018">
        <v>0.1</v>
      </c>
      <c r="AT106" s="2019"/>
      <c r="AU106" s="2018"/>
      <c r="AV106" s="2018"/>
      <c r="AX106" s="2011" t="s">
        <v>1155</v>
      </c>
      <c r="AY106" s="2015" t="s">
        <v>112</v>
      </c>
      <c r="AZ106" s="2016" t="s">
        <v>116</v>
      </c>
      <c r="BA106" s="2018">
        <v>0.1</v>
      </c>
      <c r="BB106" s="2018">
        <v>0.1</v>
      </c>
      <c r="BC106" s="2018">
        <v>0.1</v>
      </c>
      <c r="BD106" s="2018">
        <v>0.1</v>
      </c>
      <c r="BE106" s="2018">
        <v>0.1</v>
      </c>
      <c r="BF106" s="2018">
        <v>0.1</v>
      </c>
      <c r="BG106" s="2018">
        <v>0.1</v>
      </c>
      <c r="BH106" s="2025">
        <v>0.1</v>
      </c>
      <c r="BI106" s="2018">
        <v>0.1</v>
      </c>
      <c r="BJ106" s="2018">
        <v>0.1</v>
      </c>
      <c r="BK106" s="2019"/>
      <c r="BL106" s="2018"/>
      <c r="BM106" s="2018"/>
      <c r="BO106" s="2011" t="s">
        <v>1155</v>
      </c>
      <c r="BP106" s="2015" t="s">
        <v>112</v>
      </c>
      <c r="BQ106" s="2016" t="s">
        <v>116</v>
      </c>
      <c r="BR106" s="2018">
        <v>0.1</v>
      </c>
      <c r="BS106" s="2018">
        <v>0.1</v>
      </c>
      <c r="BT106" s="2018">
        <v>0.1</v>
      </c>
      <c r="BU106" s="2018">
        <v>0.1</v>
      </c>
      <c r="BV106" s="2018">
        <v>0.1</v>
      </c>
      <c r="BW106" s="2018">
        <v>0.1</v>
      </c>
      <c r="BX106" s="2018">
        <v>0.1</v>
      </c>
      <c r="BY106" s="2025">
        <v>0.1</v>
      </c>
      <c r="BZ106" s="2018">
        <v>0.1</v>
      </c>
      <c r="CA106" s="2018">
        <v>0.1</v>
      </c>
      <c r="CB106" s="2019"/>
      <c r="CC106" s="2018"/>
      <c r="CD106" s="2018"/>
      <c r="CE106" s="2447"/>
    </row>
    <row r="107" spans="1:84">
      <c r="B107" s="1985" t="str">
        <f t="shared" ref="B107:B142" si="96">P107</f>
        <v>3.3.5</v>
      </c>
      <c r="C107" s="2008" t="str">
        <f t="shared" si="78"/>
        <v>設備機器の更新性</v>
      </c>
      <c r="D107" s="1998" t="e">
        <f t="shared" si="77"/>
        <v>#DIV/0!</v>
      </c>
      <c r="E107" s="2010" t="e">
        <f t="shared" si="77"/>
        <v>#DIV/0!</v>
      </c>
      <c r="G107" s="2010" t="e">
        <f t="shared" si="79"/>
        <v>#DIV/0!</v>
      </c>
      <c r="H107" s="2010" t="e">
        <f t="shared" si="80"/>
        <v>#DIV/0!</v>
      </c>
      <c r="I107" s="2010"/>
      <c r="J107" s="2010"/>
      <c r="K107" s="2010">
        <f>IF(スコア!O107=0,0,1)</f>
        <v>1</v>
      </c>
      <c r="L107" s="2010">
        <f>IF(スコア!Q107=0,0,1)</f>
        <v>0</v>
      </c>
      <c r="M107" s="2010" t="e">
        <f t="shared" si="81"/>
        <v>#DIV/0!</v>
      </c>
      <c r="N107" s="2010" t="e">
        <f t="shared" si="76"/>
        <v>#DIV/0!</v>
      </c>
      <c r="P107" s="2011" t="str">
        <f t="shared" si="56"/>
        <v>3.3.5</v>
      </c>
      <c r="Q107" s="2011" t="str">
        <f t="shared" si="57"/>
        <v xml:space="preserve"> Q2 3.3</v>
      </c>
      <c r="R107" s="2012" t="str">
        <f t="shared" si="82"/>
        <v>設備機器の更新性</v>
      </c>
      <c r="S107" s="2013">
        <f t="shared" si="83"/>
        <v>0.2</v>
      </c>
      <c r="T107" s="2013">
        <f t="shared" si="84"/>
        <v>0.2</v>
      </c>
      <c r="U107" s="2013">
        <f t="shared" si="85"/>
        <v>0.2</v>
      </c>
      <c r="V107" s="2013">
        <f t="shared" si="86"/>
        <v>0.2</v>
      </c>
      <c r="W107" s="2013">
        <f t="shared" si="87"/>
        <v>0.2</v>
      </c>
      <c r="X107" s="2013">
        <f t="shared" si="88"/>
        <v>0.2</v>
      </c>
      <c r="Y107" s="2013">
        <f t="shared" si="89"/>
        <v>0.2</v>
      </c>
      <c r="Z107" s="2022">
        <f t="shared" si="90"/>
        <v>0.2</v>
      </c>
      <c r="AA107" s="2013">
        <f t="shared" si="91"/>
        <v>0.2</v>
      </c>
      <c r="AB107" s="2013">
        <f t="shared" si="92"/>
        <v>0.2</v>
      </c>
      <c r="AC107" s="2014">
        <f t="shared" si="93"/>
        <v>0</v>
      </c>
      <c r="AD107" s="2013">
        <f t="shared" si="94"/>
        <v>0</v>
      </c>
      <c r="AE107" s="2013">
        <f t="shared" si="95"/>
        <v>0</v>
      </c>
      <c r="AG107" s="2011" t="s">
        <v>1156</v>
      </c>
      <c r="AH107" s="2015" t="s">
        <v>112</v>
      </c>
      <c r="AI107" s="2016" t="s">
        <v>117</v>
      </c>
      <c r="AJ107" s="2013">
        <v>0.2</v>
      </c>
      <c r="AK107" s="2013">
        <v>0.2</v>
      </c>
      <c r="AL107" s="2013">
        <v>0.2</v>
      </c>
      <c r="AM107" s="2013">
        <v>0.2</v>
      </c>
      <c r="AN107" s="2013">
        <v>0.2</v>
      </c>
      <c r="AO107" s="2013">
        <v>0.2</v>
      </c>
      <c r="AP107" s="2013">
        <v>0.2</v>
      </c>
      <c r="AQ107" s="2022">
        <v>0.2</v>
      </c>
      <c r="AR107" s="2013">
        <v>0.2</v>
      </c>
      <c r="AS107" s="2018">
        <v>0.2</v>
      </c>
      <c r="AT107" s="2019"/>
      <c r="AU107" s="2018"/>
      <c r="AV107" s="2018"/>
      <c r="AX107" s="2011" t="s">
        <v>1156</v>
      </c>
      <c r="AY107" s="2015" t="s">
        <v>112</v>
      </c>
      <c r="AZ107" s="2016" t="s">
        <v>117</v>
      </c>
      <c r="BA107" s="2018">
        <v>0.2</v>
      </c>
      <c r="BB107" s="2018">
        <v>0.2</v>
      </c>
      <c r="BC107" s="2018">
        <v>0.2</v>
      </c>
      <c r="BD107" s="2018">
        <v>0.2</v>
      </c>
      <c r="BE107" s="2018">
        <v>0.2</v>
      </c>
      <c r="BF107" s="2018">
        <v>0.2</v>
      </c>
      <c r="BG107" s="2018">
        <v>0.2</v>
      </c>
      <c r="BH107" s="2025">
        <v>0.2</v>
      </c>
      <c r="BI107" s="2018">
        <v>0.2</v>
      </c>
      <c r="BJ107" s="2018">
        <v>0.2</v>
      </c>
      <c r="BK107" s="2019"/>
      <c r="BL107" s="2018"/>
      <c r="BM107" s="2018"/>
      <c r="BO107" s="2011" t="s">
        <v>1156</v>
      </c>
      <c r="BP107" s="2015" t="s">
        <v>112</v>
      </c>
      <c r="BQ107" s="2016" t="s">
        <v>117</v>
      </c>
      <c r="BR107" s="2018">
        <v>0.2</v>
      </c>
      <c r="BS107" s="2018">
        <v>0.2</v>
      </c>
      <c r="BT107" s="2018">
        <v>0.2</v>
      </c>
      <c r="BU107" s="2018">
        <v>0.2</v>
      </c>
      <c r="BV107" s="2018">
        <v>0.2</v>
      </c>
      <c r="BW107" s="2018">
        <v>0.2</v>
      </c>
      <c r="BX107" s="2018">
        <v>0.2</v>
      </c>
      <c r="BY107" s="2025">
        <v>0.2</v>
      </c>
      <c r="BZ107" s="2018">
        <v>0.2</v>
      </c>
      <c r="CA107" s="2018">
        <v>0.2</v>
      </c>
      <c r="CB107" s="2019"/>
      <c r="CC107" s="2018"/>
      <c r="CD107" s="2018"/>
      <c r="CE107" s="2447"/>
    </row>
    <row r="108" spans="1:84">
      <c r="B108" s="1985" t="str">
        <f t="shared" si="96"/>
        <v>3.3.6</v>
      </c>
      <c r="C108" s="2008" t="str">
        <f t="shared" si="78"/>
        <v>バックアップスペースの確保</v>
      </c>
      <c r="D108" s="1998" t="e">
        <f t="shared" si="77"/>
        <v>#DIV/0!</v>
      </c>
      <c r="E108" s="2010" t="e">
        <f t="shared" si="77"/>
        <v>#DIV/0!</v>
      </c>
      <c r="G108" s="2010" t="e">
        <f t="shared" si="79"/>
        <v>#DIV/0!</v>
      </c>
      <c r="H108" s="2010" t="e">
        <f t="shared" si="80"/>
        <v>#DIV/0!</v>
      </c>
      <c r="I108" s="2010"/>
      <c r="J108" s="2010"/>
      <c r="K108" s="2010">
        <f>IF(スコア!O108=0,0,1)</f>
        <v>1</v>
      </c>
      <c r="L108" s="2010">
        <f>IF(スコア!Q108=0,0,1)</f>
        <v>0</v>
      </c>
      <c r="M108" s="2010" t="e">
        <f t="shared" si="81"/>
        <v>#DIV/0!</v>
      </c>
      <c r="N108" s="2010" t="e">
        <f t="shared" si="76"/>
        <v>#DIV/0!</v>
      </c>
      <c r="P108" s="2011" t="str">
        <f t="shared" si="56"/>
        <v>3.3.6</v>
      </c>
      <c r="Q108" s="2011" t="str">
        <f t="shared" si="57"/>
        <v xml:space="preserve"> Q2 3.3</v>
      </c>
      <c r="R108" s="2012" t="str">
        <f t="shared" si="82"/>
        <v>バックアップスペースの確保</v>
      </c>
      <c r="S108" s="2013">
        <f t="shared" si="83"/>
        <v>0.2</v>
      </c>
      <c r="T108" s="2013">
        <f t="shared" si="84"/>
        <v>0.2</v>
      </c>
      <c r="U108" s="2013">
        <f t="shared" si="85"/>
        <v>0.2</v>
      </c>
      <c r="V108" s="2013">
        <f t="shared" si="86"/>
        <v>0.2</v>
      </c>
      <c r="W108" s="2013">
        <f t="shared" si="87"/>
        <v>0.2</v>
      </c>
      <c r="X108" s="2013">
        <f t="shared" si="88"/>
        <v>0.2</v>
      </c>
      <c r="Y108" s="2013">
        <f t="shared" si="89"/>
        <v>0.2</v>
      </c>
      <c r="Z108" s="2022">
        <f t="shared" si="90"/>
        <v>0.2</v>
      </c>
      <c r="AA108" s="2013">
        <f t="shared" si="91"/>
        <v>0.2</v>
      </c>
      <c r="AB108" s="2013">
        <f t="shared" si="92"/>
        <v>0.2</v>
      </c>
      <c r="AC108" s="2014">
        <f t="shared" si="93"/>
        <v>0</v>
      </c>
      <c r="AD108" s="2013">
        <f t="shared" si="94"/>
        <v>0</v>
      </c>
      <c r="AE108" s="2013">
        <f t="shared" si="95"/>
        <v>0</v>
      </c>
      <c r="AG108" s="2011" t="s">
        <v>1157</v>
      </c>
      <c r="AH108" s="2015" t="s">
        <v>112</v>
      </c>
      <c r="AI108" s="2016" t="s">
        <v>1035</v>
      </c>
      <c r="AJ108" s="2013">
        <v>0.2</v>
      </c>
      <c r="AK108" s="2013">
        <v>0.2</v>
      </c>
      <c r="AL108" s="2013">
        <v>0.2</v>
      </c>
      <c r="AM108" s="2013">
        <v>0.2</v>
      </c>
      <c r="AN108" s="2013">
        <v>0.2</v>
      </c>
      <c r="AO108" s="2013">
        <v>0.2</v>
      </c>
      <c r="AP108" s="2013">
        <v>0.2</v>
      </c>
      <c r="AQ108" s="2022">
        <v>0.2</v>
      </c>
      <c r="AR108" s="2013">
        <v>0.2</v>
      </c>
      <c r="AS108" s="2018">
        <v>0.2</v>
      </c>
      <c r="AT108" s="2019"/>
      <c r="AU108" s="2018"/>
      <c r="AV108" s="2018"/>
      <c r="AX108" s="2011" t="s">
        <v>1157</v>
      </c>
      <c r="AY108" s="2015" t="s">
        <v>112</v>
      </c>
      <c r="AZ108" s="2016" t="s">
        <v>1665</v>
      </c>
      <c r="BA108" s="2018">
        <v>0.2</v>
      </c>
      <c r="BB108" s="2018">
        <v>0.2</v>
      </c>
      <c r="BC108" s="2018">
        <v>0.2</v>
      </c>
      <c r="BD108" s="2018">
        <v>0.2</v>
      </c>
      <c r="BE108" s="2018">
        <v>0.2</v>
      </c>
      <c r="BF108" s="2018">
        <v>0.2</v>
      </c>
      <c r="BG108" s="2018">
        <v>0.2</v>
      </c>
      <c r="BH108" s="2025">
        <v>0.2</v>
      </c>
      <c r="BI108" s="2018">
        <v>0.2</v>
      </c>
      <c r="BJ108" s="2018">
        <v>0.2</v>
      </c>
      <c r="BK108" s="2019"/>
      <c r="BL108" s="2018"/>
      <c r="BM108" s="2018"/>
      <c r="BO108" s="2011" t="s">
        <v>1157</v>
      </c>
      <c r="BP108" s="2015" t="s">
        <v>112</v>
      </c>
      <c r="BQ108" s="2016" t="s">
        <v>1035</v>
      </c>
      <c r="BR108" s="2018">
        <v>0.2</v>
      </c>
      <c r="BS108" s="2018">
        <v>0.2</v>
      </c>
      <c r="BT108" s="2018">
        <v>0.2</v>
      </c>
      <c r="BU108" s="2018">
        <v>0.2</v>
      </c>
      <c r="BV108" s="2018">
        <v>0.2</v>
      </c>
      <c r="BW108" s="2018">
        <v>0.2</v>
      </c>
      <c r="BX108" s="2018">
        <v>0.2</v>
      </c>
      <c r="BY108" s="2025">
        <v>0.2</v>
      </c>
      <c r="BZ108" s="2018">
        <v>0.2</v>
      </c>
      <c r="CA108" s="2018">
        <v>0.2</v>
      </c>
      <c r="CB108" s="2019"/>
      <c r="CC108" s="2018"/>
      <c r="CD108" s="2018"/>
      <c r="CE108" s="2447"/>
    </row>
    <row r="109" spans="1:84" s="1406" customFormat="1">
      <c r="A109"/>
      <c r="B109" s="1985" t="str">
        <f t="shared" si="96"/>
        <v>Q3</v>
      </c>
      <c r="C109" s="1989" t="str">
        <f t="shared" si="78"/>
        <v>室外環境（敷地内）</v>
      </c>
      <c r="D109" s="1987" t="e">
        <f>IF(I$8=0,0,G109/I$8)</f>
        <v>#DIV/0!</v>
      </c>
      <c r="E109" s="1988" t="e">
        <f>IF(J$8=0,0,H109/J$8)</f>
        <v>#DIV/0!</v>
      </c>
      <c r="F109"/>
      <c r="G109" s="1988" t="e">
        <f t="shared" si="79"/>
        <v>#DIV/0!</v>
      </c>
      <c r="H109" s="1988" t="e">
        <f t="shared" si="80"/>
        <v>#DIV/0!</v>
      </c>
      <c r="I109" s="1988" t="e">
        <f>G110+G111+G112</f>
        <v>#DIV/0!</v>
      </c>
      <c r="J109" s="1988" t="e">
        <f>H110+H111+H112</f>
        <v>#DIV/0!</v>
      </c>
      <c r="K109" s="1988" t="e">
        <f>IF(スコア!S109=0,0,1)</f>
        <v>#DIV/0!</v>
      </c>
      <c r="L109" s="1988">
        <f>IF(スコア!Q109=0,0,1)</f>
        <v>0</v>
      </c>
      <c r="M109" s="1988" t="e">
        <f t="shared" si="81"/>
        <v>#DIV/0!</v>
      </c>
      <c r="N109" s="1988" t="e">
        <f t="shared" si="76"/>
        <v>#DIV/0!</v>
      </c>
      <c r="O109"/>
      <c r="P109" s="1985" t="str">
        <f t="shared" si="56"/>
        <v>Q3</v>
      </c>
      <c r="Q109" s="1985" t="str">
        <f t="shared" si="57"/>
        <v xml:space="preserve"> Q</v>
      </c>
      <c r="R109" s="1989" t="str">
        <f t="shared" si="82"/>
        <v>室外環境（敷地内）</v>
      </c>
      <c r="S109" s="1990">
        <f t="shared" si="83"/>
        <v>0.3</v>
      </c>
      <c r="T109" s="1990">
        <f t="shared" si="84"/>
        <v>0.3</v>
      </c>
      <c r="U109" s="1990">
        <f t="shared" si="85"/>
        <v>0.3</v>
      </c>
      <c r="V109" s="1990">
        <f t="shared" si="86"/>
        <v>0.3</v>
      </c>
      <c r="W109" s="1990">
        <f t="shared" si="87"/>
        <v>0.3</v>
      </c>
      <c r="X109" s="1990">
        <f t="shared" si="88"/>
        <v>0.3</v>
      </c>
      <c r="Y109" s="1990">
        <f t="shared" si="89"/>
        <v>0.3</v>
      </c>
      <c r="Z109" s="1990">
        <f t="shared" si="90"/>
        <v>0.3</v>
      </c>
      <c r="AA109" s="1990">
        <f t="shared" si="91"/>
        <v>0.4</v>
      </c>
      <c r="AB109" s="1990">
        <f t="shared" si="92"/>
        <v>0.3</v>
      </c>
      <c r="AC109" s="1991">
        <f t="shared" si="93"/>
        <v>0</v>
      </c>
      <c r="AD109" s="1990">
        <f t="shared" si="94"/>
        <v>0</v>
      </c>
      <c r="AE109" s="1990">
        <f t="shared" si="95"/>
        <v>0</v>
      </c>
      <c r="AF109"/>
      <c r="AG109" s="1985" t="s">
        <v>1158</v>
      </c>
      <c r="AH109" s="1992" t="s">
        <v>764</v>
      </c>
      <c r="AI109" s="1989" t="s">
        <v>1159</v>
      </c>
      <c r="AJ109" s="1990">
        <v>0.3</v>
      </c>
      <c r="AK109" s="1990">
        <v>0.3</v>
      </c>
      <c r="AL109" s="1990">
        <v>0.3</v>
      </c>
      <c r="AM109" s="1990">
        <v>0.3</v>
      </c>
      <c r="AN109" s="1990">
        <v>0.3</v>
      </c>
      <c r="AO109" s="1990">
        <v>0.3</v>
      </c>
      <c r="AP109" s="1990">
        <v>0.3</v>
      </c>
      <c r="AQ109" s="1990">
        <v>0.3</v>
      </c>
      <c r="AR109" s="1990">
        <v>0.4</v>
      </c>
      <c r="AS109" s="1993">
        <v>0.3</v>
      </c>
      <c r="AT109" s="1994">
        <v>0</v>
      </c>
      <c r="AU109" s="1993">
        <v>0</v>
      </c>
      <c r="AV109" s="1993">
        <v>0</v>
      </c>
      <c r="AW109"/>
      <c r="AX109" s="1985" t="s">
        <v>1158</v>
      </c>
      <c r="AY109" s="1992" t="s">
        <v>764</v>
      </c>
      <c r="AZ109" s="1989" t="s">
        <v>1159</v>
      </c>
      <c r="BA109" s="1993">
        <v>0.3</v>
      </c>
      <c r="BB109" s="1993">
        <v>0.3</v>
      </c>
      <c r="BC109" s="1993">
        <v>0.3</v>
      </c>
      <c r="BD109" s="1993">
        <v>0.3</v>
      </c>
      <c r="BE109" s="1993">
        <v>0.3</v>
      </c>
      <c r="BF109" s="1993">
        <v>0.3</v>
      </c>
      <c r="BG109" s="1993">
        <v>0.3</v>
      </c>
      <c r="BH109" s="1993">
        <v>0.3</v>
      </c>
      <c r="BI109" s="1993">
        <v>0.4</v>
      </c>
      <c r="BJ109" s="1993">
        <v>0.3</v>
      </c>
      <c r="BK109" s="1994"/>
      <c r="BL109" s="1993"/>
      <c r="BM109" s="1993"/>
      <c r="BN109"/>
      <c r="BO109" s="1985" t="s">
        <v>1158</v>
      </c>
      <c r="BP109" s="1992" t="s">
        <v>764</v>
      </c>
      <c r="BQ109" s="1989" t="s">
        <v>1159</v>
      </c>
      <c r="BR109" s="1993">
        <v>0.3</v>
      </c>
      <c r="BS109" s="1993">
        <v>0.3</v>
      </c>
      <c r="BT109" s="1993">
        <v>0.3</v>
      </c>
      <c r="BU109" s="1993">
        <v>0.3</v>
      </c>
      <c r="BV109" s="1993">
        <v>0.3</v>
      </c>
      <c r="BW109" s="1993">
        <v>0.3</v>
      </c>
      <c r="BX109" s="1993">
        <v>0.3</v>
      </c>
      <c r="BY109" s="1993">
        <v>0.3</v>
      </c>
      <c r="BZ109" s="1993">
        <v>0.4</v>
      </c>
      <c r="CA109" s="1993">
        <v>0.3</v>
      </c>
      <c r="CB109" s="1994"/>
      <c r="CC109" s="1993"/>
      <c r="CD109" s="1993"/>
      <c r="CE109" s="2445"/>
      <c r="CF109"/>
    </row>
    <row r="110" spans="1:84" s="1406" customFormat="1">
      <c r="A110"/>
      <c r="B110" s="1985">
        <f t="shared" si="96"/>
        <v>1</v>
      </c>
      <c r="C110" s="2026" t="str">
        <f t="shared" si="78"/>
        <v>生物資源の保全と創出</v>
      </c>
      <c r="D110" s="1996" t="e">
        <f t="shared" ref="D110:E112" si="97">IF(I$109=0,0,G110/I$109)</f>
        <v>#DIV/0!</v>
      </c>
      <c r="E110" s="1997" t="e">
        <f t="shared" si="97"/>
        <v>#DIV/0!</v>
      </c>
      <c r="F110"/>
      <c r="G110" s="1997" t="e">
        <f t="shared" si="79"/>
        <v>#DIV/0!</v>
      </c>
      <c r="H110" s="1997" t="e">
        <f t="shared" si="80"/>
        <v>#DIV/0!</v>
      </c>
      <c r="I110" s="1997"/>
      <c r="J110" s="1997"/>
      <c r="K110" s="1997">
        <f>IF(スコア!O110=0,0,1)</f>
        <v>1</v>
      </c>
      <c r="L110" s="1997">
        <f>IF(スコア!Q110=0,0,1)</f>
        <v>0</v>
      </c>
      <c r="M110" s="1997" t="e">
        <f t="shared" si="81"/>
        <v>#DIV/0!</v>
      </c>
      <c r="N110" s="1997" t="e">
        <f t="shared" si="76"/>
        <v>#DIV/0!</v>
      </c>
      <c r="O110"/>
      <c r="P110" s="1999">
        <f t="shared" si="56"/>
        <v>1</v>
      </c>
      <c r="Q110" s="1999" t="str">
        <f t="shared" si="57"/>
        <v xml:space="preserve"> Q3</v>
      </c>
      <c r="R110" s="2000" t="str">
        <f t="shared" si="82"/>
        <v>生物資源の保全と創出</v>
      </c>
      <c r="S110" s="2001">
        <f t="shared" si="83"/>
        <v>0.3</v>
      </c>
      <c r="T110" s="2001">
        <f t="shared" si="84"/>
        <v>0.3</v>
      </c>
      <c r="U110" s="2001">
        <f t="shared" si="85"/>
        <v>0.3</v>
      </c>
      <c r="V110" s="2001">
        <f t="shared" si="86"/>
        <v>0.3</v>
      </c>
      <c r="W110" s="2001">
        <f t="shared" si="87"/>
        <v>0.3</v>
      </c>
      <c r="X110" s="2001">
        <f t="shared" si="88"/>
        <v>0.3</v>
      </c>
      <c r="Y110" s="2001">
        <f t="shared" si="89"/>
        <v>0.3</v>
      </c>
      <c r="Z110" s="2065">
        <f t="shared" si="90"/>
        <v>0.3</v>
      </c>
      <c r="AA110" s="2001">
        <f t="shared" si="91"/>
        <v>0.3</v>
      </c>
      <c r="AB110" s="2001">
        <f t="shared" si="92"/>
        <v>0.3</v>
      </c>
      <c r="AC110" s="2003">
        <f t="shared" si="93"/>
        <v>0</v>
      </c>
      <c r="AD110" s="2001">
        <f t="shared" si="94"/>
        <v>0</v>
      </c>
      <c r="AE110" s="2001">
        <f t="shared" si="95"/>
        <v>0</v>
      </c>
      <c r="AF110"/>
      <c r="AG110" s="1999">
        <v>1</v>
      </c>
      <c r="AH110" s="2004" t="s">
        <v>118</v>
      </c>
      <c r="AI110" s="2028" t="s">
        <v>119</v>
      </c>
      <c r="AJ110" s="2001">
        <v>0.3</v>
      </c>
      <c r="AK110" s="2001">
        <v>0.3</v>
      </c>
      <c r="AL110" s="2001">
        <v>0.3</v>
      </c>
      <c r="AM110" s="2001">
        <v>0.3</v>
      </c>
      <c r="AN110" s="2001">
        <v>0.3</v>
      </c>
      <c r="AO110" s="2001">
        <v>0.3</v>
      </c>
      <c r="AP110" s="2001">
        <v>0.3</v>
      </c>
      <c r="AQ110" s="2065">
        <v>0.3</v>
      </c>
      <c r="AR110" s="2001">
        <v>0.3</v>
      </c>
      <c r="AS110" s="2005">
        <v>0.3</v>
      </c>
      <c r="AT110" s="2006">
        <v>0</v>
      </c>
      <c r="AU110" s="2005">
        <v>0</v>
      </c>
      <c r="AV110" s="2005">
        <v>0</v>
      </c>
      <c r="AW110"/>
      <c r="AX110" s="1999">
        <v>1</v>
      </c>
      <c r="AY110" s="2004" t="s">
        <v>118</v>
      </c>
      <c r="AZ110" s="2028" t="s">
        <v>119</v>
      </c>
      <c r="BA110" s="2005">
        <v>0.3</v>
      </c>
      <c r="BB110" s="2005">
        <v>0.3</v>
      </c>
      <c r="BC110" s="2005">
        <v>0.3</v>
      </c>
      <c r="BD110" s="2005">
        <v>0.3</v>
      </c>
      <c r="BE110" s="2005">
        <v>0.3</v>
      </c>
      <c r="BF110" s="2005">
        <v>0.3</v>
      </c>
      <c r="BG110" s="2005">
        <v>0.3</v>
      </c>
      <c r="BH110" s="2066">
        <v>0.3</v>
      </c>
      <c r="BI110" s="2005">
        <v>0.3</v>
      </c>
      <c r="BJ110" s="2005">
        <v>0.3</v>
      </c>
      <c r="BK110" s="2006"/>
      <c r="BL110" s="2005"/>
      <c r="BM110" s="2005"/>
      <c r="BN110"/>
      <c r="BO110" s="1999">
        <v>1</v>
      </c>
      <c r="BP110" s="2004" t="s">
        <v>118</v>
      </c>
      <c r="BQ110" s="2028" t="s">
        <v>119</v>
      </c>
      <c r="BR110" s="2005">
        <v>0.3</v>
      </c>
      <c r="BS110" s="2005">
        <v>0.3</v>
      </c>
      <c r="BT110" s="2005">
        <v>0.3</v>
      </c>
      <c r="BU110" s="2005">
        <v>0.3</v>
      </c>
      <c r="BV110" s="2005">
        <v>0.3</v>
      </c>
      <c r="BW110" s="2005">
        <v>0.3</v>
      </c>
      <c r="BX110" s="2005">
        <v>0.3</v>
      </c>
      <c r="BY110" s="2066">
        <v>0.3</v>
      </c>
      <c r="BZ110" s="2005">
        <v>0.3</v>
      </c>
      <c r="CA110" s="2005">
        <v>0.3</v>
      </c>
      <c r="CB110" s="2006"/>
      <c r="CC110" s="2005"/>
      <c r="CD110" s="2005"/>
      <c r="CE110" s="2446"/>
      <c r="CF110"/>
    </row>
    <row r="111" spans="1:84" s="1406" customFormat="1">
      <c r="A111"/>
      <c r="B111" s="1985">
        <f t="shared" si="96"/>
        <v>2</v>
      </c>
      <c r="C111" s="2026" t="str">
        <f t="shared" si="78"/>
        <v>まちなみ・景観への配慮</v>
      </c>
      <c r="D111" s="1996" t="e">
        <f t="shared" si="97"/>
        <v>#DIV/0!</v>
      </c>
      <c r="E111" s="1997" t="e">
        <f t="shared" si="97"/>
        <v>#DIV/0!</v>
      </c>
      <c r="F111"/>
      <c r="G111" s="1997" t="e">
        <f t="shared" si="79"/>
        <v>#DIV/0!</v>
      </c>
      <c r="H111" s="1997" t="e">
        <f t="shared" si="80"/>
        <v>#DIV/0!</v>
      </c>
      <c r="I111" s="1997"/>
      <c r="J111" s="1997"/>
      <c r="K111" s="1997">
        <f>IF(スコア!O111=0,0,1)</f>
        <v>1</v>
      </c>
      <c r="L111" s="1997">
        <f>IF(スコア!Q111=0,0,1)</f>
        <v>0</v>
      </c>
      <c r="M111" s="1997" t="e">
        <f t="shared" si="81"/>
        <v>#DIV/0!</v>
      </c>
      <c r="N111" s="1997" t="e">
        <f t="shared" si="76"/>
        <v>#DIV/0!</v>
      </c>
      <c r="O111"/>
      <c r="P111" s="1999">
        <f t="shared" si="56"/>
        <v>2</v>
      </c>
      <c r="Q111" s="1999" t="str">
        <f t="shared" si="57"/>
        <v xml:space="preserve"> Q3</v>
      </c>
      <c r="R111" s="2000" t="str">
        <f t="shared" si="82"/>
        <v>まちなみ・景観への配慮</v>
      </c>
      <c r="S111" s="2001">
        <f t="shared" si="83"/>
        <v>0.4</v>
      </c>
      <c r="T111" s="2001">
        <f t="shared" si="84"/>
        <v>0.4</v>
      </c>
      <c r="U111" s="2001">
        <f t="shared" si="85"/>
        <v>0.4</v>
      </c>
      <c r="V111" s="2001">
        <f t="shared" si="86"/>
        <v>0.4</v>
      </c>
      <c r="W111" s="2001">
        <f t="shared" si="87"/>
        <v>0.4</v>
      </c>
      <c r="X111" s="2001">
        <f t="shared" si="88"/>
        <v>0.4</v>
      </c>
      <c r="Y111" s="2001">
        <f t="shared" si="89"/>
        <v>0.4</v>
      </c>
      <c r="Z111" s="2065">
        <f t="shared" si="90"/>
        <v>0.4</v>
      </c>
      <c r="AA111" s="2001">
        <f t="shared" si="91"/>
        <v>0.4</v>
      </c>
      <c r="AB111" s="2001">
        <f t="shared" si="92"/>
        <v>0.4</v>
      </c>
      <c r="AC111" s="2003">
        <f t="shared" si="93"/>
        <v>0</v>
      </c>
      <c r="AD111" s="2001">
        <f t="shared" si="94"/>
        <v>0</v>
      </c>
      <c r="AE111" s="2001">
        <f t="shared" si="95"/>
        <v>0</v>
      </c>
      <c r="AF111"/>
      <c r="AG111" s="1999">
        <v>2</v>
      </c>
      <c r="AH111" s="2004" t="s">
        <v>118</v>
      </c>
      <c r="AI111" s="2028" t="s">
        <v>1160</v>
      </c>
      <c r="AJ111" s="2001">
        <v>0.4</v>
      </c>
      <c r="AK111" s="2001">
        <v>0.4</v>
      </c>
      <c r="AL111" s="2001">
        <v>0.4</v>
      </c>
      <c r="AM111" s="2001">
        <v>0.4</v>
      </c>
      <c r="AN111" s="2001">
        <v>0.4</v>
      </c>
      <c r="AO111" s="2001">
        <v>0.4</v>
      </c>
      <c r="AP111" s="2001">
        <v>0.4</v>
      </c>
      <c r="AQ111" s="2065">
        <v>0.4</v>
      </c>
      <c r="AR111" s="2001">
        <v>0.4</v>
      </c>
      <c r="AS111" s="2005">
        <v>0.4</v>
      </c>
      <c r="AT111" s="2006">
        <v>0</v>
      </c>
      <c r="AU111" s="2005">
        <v>0</v>
      </c>
      <c r="AV111" s="2005">
        <v>0</v>
      </c>
      <c r="AW111"/>
      <c r="AX111" s="1999">
        <v>2</v>
      </c>
      <c r="AY111" s="2004" t="s">
        <v>118</v>
      </c>
      <c r="AZ111" s="2028" t="s">
        <v>1160</v>
      </c>
      <c r="BA111" s="2005">
        <v>0.4</v>
      </c>
      <c r="BB111" s="2005">
        <v>0.4</v>
      </c>
      <c r="BC111" s="2005">
        <v>0.4</v>
      </c>
      <c r="BD111" s="2005">
        <v>0.4</v>
      </c>
      <c r="BE111" s="2005">
        <v>0.4</v>
      </c>
      <c r="BF111" s="2005">
        <v>0.4</v>
      </c>
      <c r="BG111" s="2005">
        <v>0.4</v>
      </c>
      <c r="BH111" s="2066">
        <v>0.4</v>
      </c>
      <c r="BI111" s="2005">
        <v>0.4</v>
      </c>
      <c r="BJ111" s="2005">
        <v>0.4</v>
      </c>
      <c r="BK111" s="2006"/>
      <c r="BL111" s="2005"/>
      <c r="BM111" s="2005"/>
      <c r="BN111"/>
      <c r="BO111" s="1999">
        <v>2</v>
      </c>
      <c r="BP111" s="2004" t="s">
        <v>118</v>
      </c>
      <c r="BQ111" s="2028" t="s">
        <v>1160</v>
      </c>
      <c r="BR111" s="2005">
        <v>0.4</v>
      </c>
      <c r="BS111" s="2005">
        <v>0.4</v>
      </c>
      <c r="BT111" s="2005">
        <v>0.4</v>
      </c>
      <c r="BU111" s="2005">
        <v>0.4</v>
      </c>
      <c r="BV111" s="2005">
        <v>0.4</v>
      </c>
      <c r="BW111" s="2005">
        <v>0.4</v>
      </c>
      <c r="BX111" s="2005">
        <v>0.4</v>
      </c>
      <c r="BY111" s="2066">
        <v>0.4</v>
      </c>
      <c r="BZ111" s="2005">
        <v>0.4</v>
      </c>
      <c r="CA111" s="2005">
        <v>0.4</v>
      </c>
      <c r="CB111" s="2006"/>
      <c r="CC111" s="2005"/>
      <c r="CD111" s="2005"/>
      <c r="CE111" s="2446"/>
      <c r="CF111"/>
    </row>
    <row r="112" spans="1:84" s="1406" customFormat="1">
      <c r="A112"/>
      <c r="B112" s="1985">
        <f t="shared" si="96"/>
        <v>3</v>
      </c>
      <c r="C112" s="2026" t="str">
        <f t="shared" si="78"/>
        <v>地域性・アメニティへの配慮</v>
      </c>
      <c r="D112" s="1996" t="e">
        <f t="shared" si="97"/>
        <v>#DIV/0!</v>
      </c>
      <c r="E112" s="1997" t="e">
        <f t="shared" si="97"/>
        <v>#DIV/0!</v>
      </c>
      <c r="F112"/>
      <c r="G112" s="1997" t="e">
        <f t="shared" si="79"/>
        <v>#DIV/0!</v>
      </c>
      <c r="H112" s="1997" t="e">
        <f t="shared" si="80"/>
        <v>#DIV/0!</v>
      </c>
      <c r="I112" s="2069" t="e">
        <f>SUM(G113:G114)</f>
        <v>#DIV/0!</v>
      </c>
      <c r="J112" s="2069" t="e">
        <f>SUM(H113:H114)</f>
        <v>#DIV/0!</v>
      </c>
      <c r="K112" s="1997" t="e">
        <f>IF(スコア!O112=0,0,1)</f>
        <v>#DIV/0!</v>
      </c>
      <c r="L112" s="1997" t="e">
        <f>IF(スコア!Q112=0,0,1)</f>
        <v>#DIV/0!</v>
      </c>
      <c r="M112" s="1997" t="e">
        <f t="shared" si="81"/>
        <v>#DIV/0!</v>
      </c>
      <c r="N112" s="1997" t="e">
        <f t="shared" si="76"/>
        <v>#DIV/0!</v>
      </c>
      <c r="O112"/>
      <c r="P112" s="1999">
        <f t="shared" si="56"/>
        <v>3</v>
      </c>
      <c r="Q112" s="1999" t="str">
        <f t="shared" si="57"/>
        <v xml:space="preserve"> Q3</v>
      </c>
      <c r="R112" s="2000" t="str">
        <f t="shared" si="82"/>
        <v>地域性・アメニティへの配慮</v>
      </c>
      <c r="S112" s="2001">
        <f t="shared" si="83"/>
        <v>0.3</v>
      </c>
      <c r="T112" s="2001">
        <f t="shared" si="84"/>
        <v>0.3</v>
      </c>
      <c r="U112" s="2001">
        <f t="shared" si="85"/>
        <v>0.3</v>
      </c>
      <c r="V112" s="2001">
        <f t="shared" si="86"/>
        <v>0.3</v>
      </c>
      <c r="W112" s="2001">
        <f t="shared" si="87"/>
        <v>0.3</v>
      </c>
      <c r="X112" s="2001">
        <f t="shared" si="88"/>
        <v>0.3</v>
      </c>
      <c r="Y112" s="2001">
        <f t="shared" si="89"/>
        <v>0.3</v>
      </c>
      <c r="Z112" s="2065">
        <f t="shared" si="90"/>
        <v>0.3</v>
      </c>
      <c r="AA112" s="2001">
        <f t="shared" si="91"/>
        <v>0.3</v>
      </c>
      <c r="AB112" s="2001">
        <f t="shared" si="92"/>
        <v>0.3</v>
      </c>
      <c r="AC112" s="2003">
        <f t="shared" si="93"/>
        <v>0</v>
      </c>
      <c r="AD112" s="2001">
        <f t="shared" si="94"/>
        <v>0</v>
      </c>
      <c r="AE112" s="2001">
        <f t="shared" si="95"/>
        <v>0</v>
      </c>
      <c r="AF112"/>
      <c r="AG112" s="1999">
        <v>3</v>
      </c>
      <c r="AH112" s="2004" t="s">
        <v>118</v>
      </c>
      <c r="AI112" s="2028" t="s">
        <v>1161</v>
      </c>
      <c r="AJ112" s="2001">
        <v>0.3</v>
      </c>
      <c r="AK112" s="2001">
        <v>0.3</v>
      </c>
      <c r="AL112" s="2001">
        <v>0.3</v>
      </c>
      <c r="AM112" s="2001">
        <v>0.3</v>
      </c>
      <c r="AN112" s="2001">
        <v>0.3</v>
      </c>
      <c r="AO112" s="2001">
        <v>0.3</v>
      </c>
      <c r="AP112" s="2001">
        <v>0.3</v>
      </c>
      <c r="AQ112" s="2065">
        <v>0.3</v>
      </c>
      <c r="AR112" s="2001">
        <v>0.3</v>
      </c>
      <c r="AS112" s="2005">
        <v>0.3</v>
      </c>
      <c r="AT112" s="2006">
        <v>0</v>
      </c>
      <c r="AU112" s="2005">
        <v>0</v>
      </c>
      <c r="AV112" s="2005">
        <v>0</v>
      </c>
      <c r="AW112"/>
      <c r="AX112" s="1999">
        <v>3</v>
      </c>
      <c r="AY112" s="2004" t="s">
        <v>118</v>
      </c>
      <c r="AZ112" s="2028" t="s">
        <v>1161</v>
      </c>
      <c r="BA112" s="2005">
        <v>0.3</v>
      </c>
      <c r="BB112" s="2005">
        <v>0.3</v>
      </c>
      <c r="BC112" s="2005">
        <v>0.3</v>
      </c>
      <c r="BD112" s="2005">
        <v>0.3</v>
      </c>
      <c r="BE112" s="2005">
        <v>0.3</v>
      </c>
      <c r="BF112" s="2005">
        <v>0.3</v>
      </c>
      <c r="BG112" s="2005">
        <v>0.3</v>
      </c>
      <c r="BH112" s="2066">
        <v>0.3</v>
      </c>
      <c r="BI112" s="2005">
        <v>0.3</v>
      </c>
      <c r="BJ112" s="2005">
        <v>0.3</v>
      </c>
      <c r="BK112" s="2006"/>
      <c r="BL112" s="2005"/>
      <c r="BM112" s="2005"/>
      <c r="BN112"/>
      <c r="BO112" s="1999">
        <v>3</v>
      </c>
      <c r="BP112" s="2004" t="s">
        <v>118</v>
      </c>
      <c r="BQ112" s="2028" t="s">
        <v>1161</v>
      </c>
      <c r="BR112" s="2005">
        <v>0.3</v>
      </c>
      <c r="BS112" s="2005">
        <v>0.3</v>
      </c>
      <c r="BT112" s="2005">
        <v>0.3</v>
      </c>
      <c r="BU112" s="2005">
        <v>0.3</v>
      </c>
      <c r="BV112" s="2005">
        <v>0.3</v>
      </c>
      <c r="BW112" s="2005">
        <v>0.3</v>
      </c>
      <c r="BX112" s="2005">
        <v>0.3</v>
      </c>
      <c r="BY112" s="2066">
        <v>0.3</v>
      </c>
      <c r="BZ112" s="2005">
        <v>0.3</v>
      </c>
      <c r="CA112" s="2005">
        <v>0.3</v>
      </c>
      <c r="CB112" s="2006"/>
      <c r="CC112" s="2005"/>
      <c r="CD112" s="2005"/>
      <c r="CE112" s="2446"/>
      <c r="CF112"/>
    </row>
    <row r="113" spans="1:84" s="1406" customFormat="1">
      <c r="A113"/>
      <c r="B113" s="1985" t="str">
        <f t="shared" si="96"/>
        <v>3.1</v>
      </c>
      <c r="C113" s="2070" t="str">
        <f t="shared" si="78"/>
        <v>地域性への配慮，快適性の向上</v>
      </c>
      <c r="D113" s="2009" t="e">
        <f>IF(I$112=0,0,G113/I$112)</f>
        <v>#DIV/0!</v>
      </c>
      <c r="E113" s="2010" t="e">
        <f>IF(J$112=0,0,H113/J$112)</f>
        <v>#DIV/0!</v>
      </c>
      <c r="F113"/>
      <c r="G113" s="2010" t="e">
        <f t="shared" si="79"/>
        <v>#DIV/0!</v>
      </c>
      <c r="H113" s="2010" t="e">
        <f t="shared" si="80"/>
        <v>#DIV/0!</v>
      </c>
      <c r="I113" s="916"/>
      <c r="J113" s="2010"/>
      <c r="K113" s="2010">
        <f>IF(スコア!O113=0,0,1)</f>
        <v>1</v>
      </c>
      <c r="L113" s="2010">
        <f>IF(スコア!Q113=0,0,1)</f>
        <v>0</v>
      </c>
      <c r="M113" s="2010" t="e">
        <f t="shared" si="81"/>
        <v>#DIV/0!</v>
      </c>
      <c r="N113" s="2010" t="e">
        <f t="shared" si="76"/>
        <v>#DIV/0!</v>
      </c>
      <c r="O113"/>
      <c r="P113" s="2011" t="str">
        <f t="shared" si="56"/>
        <v>3.1</v>
      </c>
      <c r="Q113" s="2011" t="str">
        <f t="shared" si="57"/>
        <v xml:space="preserve"> Q3 3</v>
      </c>
      <c r="R113" s="2012" t="str">
        <f t="shared" si="82"/>
        <v>地域性への配慮，快適性の向上</v>
      </c>
      <c r="S113" s="2071">
        <f t="shared" si="83"/>
        <v>0.5</v>
      </c>
      <c r="T113" s="2071">
        <f t="shared" si="84"/>
        <v>0.5</v>
      </c>
      <c r="U113" s="2071">
        <f t="shared" si="85"/>
        <v>0.5</v>
      </c>
      <c r="V113" s="2071">
        <f t="shared" si="86"/>
        <v>0.5</v>
      </c>
      <c r="W113" s="2071">
        <f t="shared" si="87"/>
        <v>0.5</v>
      </c>
      <c r="X113" s="2071">
        <f t="shared" si="88"/>
        <v>0.5</v>
      </c>
      <c r="Y113" s="2071">
        <f t="shared" si="89"/>
        <v>0.5</v>
      </c>
      <c r="Z113" s="2071">
        <f t="shared" si="90"/>
        <v>0.5</v>
      </c>
      <c r="AA113" s="2071">
        <f t="shared" si="91"/>
        <v>0.5</v>
      </c>
      <c r="AB113" s="2071">
        <f t="shared" si="92"/>
        <v>0.5</v>
      </c>
      <c r="AC113" s="2072">
        <f t="shared" si="93"/>
        <v>0</v>
      </c>
      <c r="AD113" s="2071">
        <f t="shared" si="94"/>
        <v>0</v>
      </c>
      <c r="AE113" s="2071">
        <f t="shared" si="95"/>
        <v>0</v>
      </c>
      <c r="AF113"/>
      <c r="AG113" s="2011" t="s">
        <v>1162</v>
      </c>
      <c r="AH113" s="2015" t="s">
        <v>120</v>
      </c>
      <c r="AI113" s="2070" t="s">
        <v>2815</v>
      </c>
      <c r="AJ113" s="2071">
        <v>0.5</v>
      </c>
      <c r="AK113" s="2071">
        <v>0.5</v>
      </c>
      <c r="AL113" s="2071">
        <v>0.5</v>
      </c>
      <c r="AM113" s="2071">
        <v>0.5</v>
      </c>
      <c r="AN113" s="2071">
        <v>0.5</v>
      </c>
      <c r="AO113" s="2071">
        <v>0.5</v>
      </c>
      <c r="AP113" s="2071">
        <v>0.5</v>
      </c>
      <c r="AQ113" s="2071">
        <v>0.5</v>
      </c>
      <c r="AR113" s="2071">
        <v>0.5</v>
      </c>
      <c r="AS113" s="2073">
        <v>0.5</v>
      </c>
      <c r="AT113" s="2074">
        <v>0</v>
      </c>
      <c r="AU113" s="2073">
        <v>0</v>
      </c>
      <c r="AV113" s="2073">
        <v>0</v>
      </c>
      <c r="AW113"/>
      <c r="AX113" s="2011" t="s">
        <v>1162</v>
      </c>
      <c r="AY113" s="2015" t="s">
        <v>120</v>
      </c>
      <c r="AZ113" s="2070" t="s">
        <v>2815</v>
      </c>
      <c r="BA113" s="2073">
        <v>0.5</v>
      </c>
      <c r="BB113" s="2073">
        <v>0.5</v>
      </c>
      <c r="BC113" s="2073">
        <v>0.5</v>
      </c>
      <c r="BD113" s="2073">
        <v>0.5</v>
      </c>
      <c r="BE113" s="2073">
        <v>0.5</v>
      </c>
      <c r="BF113" s="2073">
        <v>0.5</v>
      </c>
      <c r="BG113" s="2073">
        <v>0.5</v>
      </c>
      <c r="BH113" s="2073">
        <v>0.5</v>
      </c>
      <c r="BI113" s="2073">
        <v>0.5</v>
      </c>
      <c r="BJ113" s="2073">
        <v>0.5</v>
      </c>
      <c r="BK113" s="2074"/>
      <c r="BL113" s="2073"/>
      <c r="BM113" s="2073"/>
      <c r="BN113"/>
      <c r="BO113" s="2011" t="s">
        <v>1162</v>
      </c>
      <c r="BP113" s="2015" t="s">
        <v>120</v>
      </c>
      <c r="BQ113" s="2070" t="s">
        <v>2815</v>
      </c>
      <c r="BR113" s="2073">
        <v>0.5</v>
      </c>
      <c r="BS113" s="2073">
        <v>0.5</v>
      </c>
      <c r="BT113" s="2073">
        <v>0.5</v>
      </c>
      <c r="BU113" s="2073">
        <v>0.5</v>
      </c>
      <c r="BV113" s="2073">
        <v>0.5</v>
      </c>
      <c r="BW113" s="2073">
        <v>0.5</v>
      </c>
      <c r="BX113" s="2073">
        <v>0.5</v>
      </c>
      <c r="BY113" s="2073">
        <v>0.5</v>
      </c>
      <c r="BZ113" s="2073">
        <v>0.5</v>
      </c>
      <c r="CA113" s="2073">
        <v>0.5</v>
      </c>
      <c r="CB113" s="2074"/>
      <c r="CC113" s="2073"/>
      <c r="CD113" s="2073"/>
      <c r="CE113" s="2450"/>
      <c r="CF113"/>
    </row>
    <row r="114" spans="1:84" s="1406" customFormat="1">
      <c r="A114"/>
      <c r="B114" s="1985" t="str">
        <f t="shared" si="96"/>
        <v>3.2</v>
      </c>
      <c r="C114" s="2070" t="str">
        <f t="shared" si="78"/>
        <v>敷地内温熱環境の向上</v>
      </c>
      <c r="D114" s="2009" t="e">
        <f>IF(I$112=0,0,G114/I$112)</f>
        <v>#DIV/0!</v>
      </c>
      <c r="E114" s="2010" t="e">
        <f>IF(J$112=0,0,H114/J$112)</f>
        <v>#DIV/0!</v>
      </c>
      <c r="F114"/>
      <c r="G114" s="2010" t="e">
        <f t="shared" si="79"/>
        <v>#DIV/0!</v>
      </c>
      <c r="H114" s="2010" t="e">
        <f t="shared" si="80"/>
        <v>#DIV/0!</v>
      </c>
      <c r="I114" s="916"/>
      <c r="J114" s="2010"/>
      <c r="K114" s="2010">
        <f>IF(スコア!O114=0,0,1)</f>
        <v>1</v>
      </c>
      <c r="L114" s="2010">
        <f>IF(スコア!Q114=0,0,1)</f>
        <v>0</v>
      </c>
      <c r="M114" s="2010" t="e">
        <f t="shared" si="81"/>
        <v>#DIV/0!</v>
      </c>
      <c r="N114" s="2010" t="e">
        <f t="shared" si="76"/>
        <v>#DIV/0!</v>
      </c>
      <c r="O114"/>
      <c r="P114" s="2011" t="str">
        <f t="shared" si="56"/>
        <v>3.2</v>
      </c>
      <c r="Q114" s="2011" t="str">
        <f t="shared" si="57"/>
        <v xml:space="preserve"> Q3 3</v>
      </c>
      <c r="R114" s="2012" t="str">
        <f t="shared" si="82"/>
        <v>敷地内温熱環境の向上</v>
      </c>
      <c r="S114" s="2071">
        <f t="shared" si="83"/>
        <v>0.5</v>
      </c>
      <c r="T114" s="2071">
        <f t="shared" si="84"/>
        <v>0.5</v>
      </c>
      <c r="U114" s="2071">
        <f t="shared" si="85"/>
        <v>0.5</v>
      </c>
      <c r="V114" s="2071">
        <f t="shared" si="86"/>
        <v>0.5</v>
      </c>
      <c r="W114" s="2071">
        <f t="shared" si="87"/>
        <v>0.5</v>
      </c>
      <c r="X114" s="2071">
        <f t="shared" si="88"/>
        <v>0.5</v>
      </c>
      <c r="Y114" s="2071">
        <f t="shared" si="89"/>
        <v>0.5</v>
      </c>
      <c r="Z114" s="2071">
        <f t="shared" si="90"/>
        <v>0.5</v>
      </c>
      <c r="AA114" s="2071">
        <f t="shared" si="91"/>
        <v>0.5</v>
      </c>
      <c r="AB114" s="2071">
        <f t="shared" si="92"/>
        <v>0.5</v>
      </c>
      <c r="AC114" s="2072">
        <f t="shared" si="93"/>
        <v>0</v>
      </c>
      <c r="AD114" s="2071">
        <f t="shared" si="94"/>
        <v>0</v>
      </c>
      <c r="AE114" s="2071">
        <f t="shared" si="95"/>
        <v>0</v>
      </c>
      <c r="AF114"/>
      <c r="AG114" s="2011" t="s">
        <v>1163</v>
      </c>
      <c r="AH114" s="2015" t="s">
        <v>120</v>
      </c>
      <c r="AI114" s="2070" t="s">
        <v>1164</v>
      </c>
      <c r="AJ114" s="2071">
        <v>0.5</v>
      </c>
      <c r="AK114" s="2071">
        <v>0.5</v>
      </c>
      <c r="AL114" s="2071">
        <v>0.5</v>
      </c>
      <c r="AM114" s="2071">
        <v>0.5</v>
      </c>
      <c r="AN114" s="2071">
        <v>0.5</v>
      </c>
      <c r="AO114" s="2071">
        <v>0.5</v>
      </c>
      <c r="AP114" s="2071">
        <v>0.5</v>
      </c>
      <c r="AQ114" s="2071">
        <v>0.5</v>
      </c>
      <c r="AR114" s="2071">
        <v>0.5</v>
      </c>
      <c r="AS114" s="2073">
        <v>0.5</v>
      </c>
      <c r="AT114" s="2074">
        <v>0</v>
      </c>
      <c r="AU114" s="2073">
        <v>0</v>
      </c>
      <c r="AV114" s="2073">
        <v>0</v>
      </c>
      <c r="AW114"/>
      <c r="AX114" s="2011" t="s">
        <v>1163</v>
      </c>
      <c r="AY114" s="2015" t="s">
        <v>120</v>
      </c>
      <c r="AZ114" s="2070" t="s">
        <v>1164</v>
      </c>
      <c r="BA114" s="2073">
        <v>0.5</v>
      </c>
      <c r="BB114" s="2073">
        <v>0.5</v>
      </c>
      <c r="BC114" s="2073">
        <v>0.5</v>
      </c>
      <c r="BD114" s="2073">
        <v>0.5</v>
      </c>
      <c r="BE114" s="2073">
        <v>0.5</v>
      </c>
      <c r="BF114" s="2073">
        <v>0.5</v>
      </c>
      <c r="BG114" s="2073">
        <v>0.5</v>
      </c>
      <c r="BH114" s="2073">
        <v>0.5</v>
      </c>
      <c r="BI114" s="2073">
        <v>0.5</v>
      </c>
      <c r="BJ114" s="2073">
        <v>0.5</v>
      </c>
      <c r="BK114" s="2074"/>
      <c r="BL114" s="2073"/>
      <c r="BM114" s="2073"/>
      <c r="BN114"/>
      <c r="BO114" s="2011" t="s">
        <v>1163</v>
      </c>
      <c r="BP114" s="2015" t="s">
        <v>120</v>
      </c>
      <c r="BQ114" s="2070" t="s">
        <v>1164</v>
      </c>
      <c r="BR114" s="2073">
        <v>0.5</v>
      </c>
      <c r="BS114" s="2073">
        <v>0.5</v>
      </c>
      <c r="BT114" s="2073">
        <v>0.5</v>
      </c>
      <c r="BU114" s="2073">
        <v>0.5</v>
      </c>
      <c r="BV114" s="2073">
        <v>0.5</v>
      </c>
      <c r="BW114" s="2073">
        <v>0.5</v>
      </c>
      <c r="BX114" s="2073">
        <v>0.5</v>
      </c>
      <c r="BY114" s="2073">
        <v>0.5</v>
      </c>
      <c r="BZ114" s="2073">
        <v>0.5</v>
      </c>
      <c r="CA114" s="2073">
        <v>0.5</v>
      </c>
      <c r="CB114" s="2074"/>
      <c r="CC114" s="2073"/>
      <c r="CD114" s="2073"/>
      <c r="CE114" s="2450"/>
      <c r="CF114"/>
    </row>
    <row r="115" spans="1:84" s="1406" customFormat="1" hidden="1">
      <c r="A115"/>
      <c r="B115" s="1985">
        <f t="shared" si="96"/>
        <v>0</v>
      </c>
      <c r="C115" s="2026">
        <f t="shared" si="78"/>
        <v>0</v>
      </c>
      <c r="D115" s="1996"/>
      <c r="E115" s="1997"/>
      <c r="F115"/>
      <c r="G115" s="1997" t="e">
        <f t="shared" si="79"/>
        <v>#DIV/0!</v>
      </c>
      <c r="H115" s="1997">
        <f t="shared" si="80"/>
        <v>0</v>
      </c>
      <c r="I115" s="1997"/>
      <c r="J115" s="1997"/>
      <c r="K115" s="1997"/>
      <c r="L115" s="1997"/>
      <c r="M115" s="1997" t="e">
        <f t="shared" si="81"/>
        <v>#DIV/0!</v>
      </c>
      <c r="N115" s="1997"/>
      <c r="O115"/>
      <c r="P115" s="1999">
        <f t="shared" si="56"/>
        <v>0</v>
      </c>
      <c r="Q115" s="1999" t="str">
        <f t="shared" si="57"/>
        <v xml:space="preserve"> Q</v>
      </c>
      <c r="R115" s="2000">
        <f t="shared" si="82"/>
        <v>0</v>
      </c>
      <c r="S115" s="2001">
        <f t="shared" si="83"/>
        <v>0</v>
      </c>
      <c r="T115" s="2001">
        <f t="shared" si="84"/>
        <v>0</v>
      </c>
      <c r="U115" s="2001">
        <f t="shared" si="85"/>
        <v>0</v>
      </c>
      <c r="V115" s="2001">
        <f t="shared" si="86"/>
        <v>0</v>
      </c>
      <c r="W115" s="2001">
        <f t="shared" si="87"/>
        <v>0</v>
      </c>
      <c r="X115" s="2001">
        <f t="shared" si="88"/>
        <v>0</v>
      </c>
      <c r="Y115" s="2001">
        <f t="shared" si="89"/>
        <v>0</v>
      </c>
      <c r="Z115" s="2065">
        <f t="shared" si="90"/>
        <v>0</v>
      </c>
      <c r="AA115" s="2001">
        <f t="shared" si="91"/>
        <v>0</v>
      </c>
      <c r="AB115" s="2001">
        <f t="shared" si="92"/>
        <v>0</v>
      </c>
      <c r="AC115" s="2003">
        <f t="shared" si="93"/>
        <v>0</v>
      </c>
      <c r="AD115" s="2001">
        <f t="shared" si="94"/>
        <v>0</v>
      </c>
      <c r="AE115" s="2001">
        <f t="shared" si="95"/>
        <v>0</v>
      </c>
      <c r="AF115"/>
      <c r="AG115" s="1999"/>
      <c r="AH115" s="2004" t="s">
        <v>764</v>
      </c>
      <c r="AI115" s="2028"/>
      <c r="AJ115" s="2005">
        <v>0</v>
      </c>
      <c r="AK115" s="2005">
        <v>0</v>
      </c>
      <c r="AL115" s="2005">
        <v>0</v>
      </c>
      <c r="AM115" s="2005">
        <v>0</v>
      </c>
      <c r="AN115" s="2005">
        <v>0</v>
      </c>
      <c r="AO115" s="2005">
        <v>0</v>
      </c>
      <c r="AP115" s="2005">
        <v>0</v>
      </c>
      <c r="AQ115" s="2066">
        <v>0</v>
      </c>
      <c r="AR115" s="2005">
        <v>0</v>
      </c>
      <c r="AS115" s="2005">
        <v>0</v>
      </c>
      <c r="AT115" s="2006">
        <v>0</v>
      </c>
      <c r="AU115" s="2005">
        <v>0</v>
      </c>
      <c r="AV115" s="2005">
        <v>0</v>
      </c>
      <c r="AW115"/>
      <c r="AX115" s="1999"/>
      <c r="AY115" s="2004" t="s">
        <v>764</v>
      </c>
      <c r="AZ115" s="2028"/>
      <c r="BA115" s="2005"/>
      <c r="BB115" s="2005"/>
      <c r="BC115" s="2005"/>
      <c r="BD115" s="2005"/>
      <c r="BE115" s="2005"/>
      <c r="BF115" s="2005"/>
      <c r="BG115" s="2005"/>
      <c r="BH115" s="2066"/>
      <c r="BI115" s="2005"/>
      <c r="BJ115" s="2005"/>
      <c r="BK115" s="2006"/>
      <c r="BL115" s="2005"/>
      <c r="BM115" s="2005"/>
      <c r="BN115"/>
      <c r="BO115" s="1999"/>
      <c r="BP115" s="2004" t="s">
        <v>764</v>
      </c>
      <c r="BQ115" s="2028"/>
      <c r="BR115" s="2005"/>
      <c r="BS115" s="2005"/>
      <c r="BT115" s="2005"/>
      <c r="BU115" s="2005"/>
      <c r="BV115" s="2005"/>
      <c r="BW115" s="2005"/>
      <c r="BX115" s="2005"/>
      <c r="BY115" s="2066"/>
      <c r="BZ115" s="2005"/>
      <c r="CA115" s="2005"/>
      <c r="CB115" s="2006"/>
      <c r="CC115" s="2005"/>
      <c r="CD115" s="2005"/>
      <c r="CE115" s="2446"/>
      <c r="CF115"/>
    </row>
    <row r="116" spans="1:84" s="1406" customFormat="1" ht="14.25">
      <c r="A116"/>
      <c r="B116" s="2075" t="str">
        <f t="shared" si="96"/>
        <v>LR</v>
      </c>
      <c r="C116" s="1974" t="str">
        <f t="shared" si="78"/>
        <v>建築物の環境負荷低減性</v>
      </c>
      <c r="D116" s="1975"/>
      <c r="E116" s="1976"/>
      <c r="F116"/>
      <c r="G116" s="1976" t="e">
        <f t="shared" si="79"/>
        <v>#DIV/0!</v>
      </c>
      <c r="H116" s="1976" t="e">
        <f t="shared" si="80"/>
        <v>#DIV/0!</v>
      </c>
      <c r="I116" s="1976" t="e">
        <f>G117+G140+G159</f>
        <v>#DIV/0!</v>
      </c>
      <c r="J116" s="1976" t="e">
        <f>H117+H140+H159</f>
        <v>#DIV/0!</v>
      </c>
      <c r="K116" s="1976" t="e">
        <f>IF(スコア!S116=0,0,1)</f>
        <v>#DIV/0!</v>
      </c>
      <c r="L116" s="1976">
        <f>IF(スコア!Q116=0,0,1)</f>
        <v>0</v>
      </c>
      <c r="M116" s="1976" t="e">
        <f t="shared" si="81"/>
        <v>#DIV/0!</v>
      </c>
      <c r="N116" s="1976" t="e">
        <f t="shared" ref="N116:N151" si="98">(AC$7*AC116)+(AD$7*AD116)+(AE$7*AE116)</f>
        <v>#DIV/0!</v>
      </c>
      <c r="O116"/>
      <c r="P116" s="1979" t="str">
        <f t="shared" si="56"/>
        <v>LR</v>
      </c>
      <c r="Q116" s="1979" t="str">
        <f t="shared" si="57"/>
        <v xml:space="preserve"> </v>
      </c>
      <c r="R116" s="2076" t="str">
        <f t="shared" si="82"/>
        <v>建築物の環境負荷低減性</v>
      </c>
      <c r="S116" s="2077">
        <f t="shared" si="83"/>
        <v>0</v>
      </c>
      <c r="T116" s="2077">
        <f t="shared" si="84"/>
        <v>0</v>
      </c>
      <c r="U116" s="2077">
        <f t="shared" si="85"/>
        <v>0</v>
      </c>
      <c r="V116" s="2077">
        <f t="shared" si="86"/>
        <v>0</v>
      </c>
      <c r="W116" s="2077">
        <f t="shared" si="87"/>
        <v>0</v>
      </c>
      <c r="X116" s="2077">
        <f t="shared" si="88"/>
        <v>0</v>
      </c>
      <c r="Y116" s="2077">
        <f t="shared" si="89"/>
        <v>0</v>
      </c>
      <c r="Z116" s="2078">
        <f t="shared" si="90"/>
        <v>0</v>
      </c>
      <c r="AA116" s="2077">
        <f t="shared" si="91"/>
        <v>0</v>
      </c>
      <c r="AB116" s="2077">
        <f t="shared" si="92"/>
        <v>0</v>
      </c>
      <c r="AC116" s="2079">
        <f t="shared" si="93"/>
        <v>0</v>
      </c>
      <c r="AD116" s="2080">
        <f t="shared" si="94"/>
        <v>0</v>
      </c>
      <c r="AE116" s="2080">
        <f t="shared" si="95"/>
        <v>0</v>
      </c>
      <c r="AF116"/>
      <c r="AG116" s="1979" t="s">
        <v>1165</v>
      </c>
      <c r="AH116" s="1973" t="s">
        <v>121</v>
      </c>
      <c r="AI116" s="1974" t="s">
        <v>122</v>
      </c>
      <c r="AJ116" s="1981">
        <v>0</v>
      </c>
      <c r="AK116" s="1981">
        <v>0</v>
      </c>
      <c r="AL116" s="1981">
        <v>0</v>
      </c>
      <c r="AM116" s="1981">
        <v>0</v>
      </c>
      <c r="AN116" s="1981">
        <v>0</v>
      </c>
      <c r="AO116" s="1981">
        <v>0</v>
      </c>
      <c r="AP116" s="1981">
        <v>0</v>
      </c>
      <c r="AQ116" s="1982">
        <v>0</v>
      </c>
      <c r="AR116" s="1981">
        <v>0</v>
      </c>
      <c r="AS116" s="1981">
        <v>0</v>
      </c>
      <c r="AT116" s="1983">
        <v>0</v>
      </c>
      <c r="AU116" s="1984">
        <v>0</v>
      </c>
      <c r="AV116" s="1984">
        <v>0</v>
      </c>
      <c r="AW116"/>
      <c r="AX116" s="1979" t="s">
        <v>1166</v>
      </c>
      <c r="AY116" s="1973" t="s">
        <v>121</v>
      </c>
      <c r="AZ116" s="1974" t="s">
        <v>122</v>
      </c>
      <c r="BA116" s="1981"/>
      <c r="BB116" s="1981"/>
      <c r="BC116" s="1981"/>
      <c r="BD116" s="1981"/>
      <c r="BE116" s="1981"/>
      <c r="BF116" s="1981"/>
      <c r="BG116" s="1981"/>
      <c r="BH116" s="1982"/>
      <c r="BI116" s="1981"/>
      <c r="BJ116" s="1981"/>
      <c r="BK116" s="1983"/>
      <c r="BL116" s="1984"/>
      <c r="BM116" s="1984"/>
      <c r="BN116"/>
      <c r="BO116" s="1979" t="s">
        <v>1166</v>
      </c>
      <c r="BP116" s="1973" t="s">
        <v>121</v>
      </c>
      <c r="BQ116" s="1974" t="s">
        <v>122</v>
      </c>
      <c r="BR116" s="1981"/>
      <c r="BS116" s="1981"/>
      <c r="BT116" s="1981"/>
      <c r="BU116" s="1981"/>
      <c r="BV116" s="1981"/>
      <c r="BW116" s="1981"/>
      <c r="BX116" s="1981"/>
      <c r="BY116" s="1982"/>
      <c r="BZ116" s="1981"/>
      <c r="CA116" s="1981"/>
      <c r="CB116" s="1983"/>
      <c r="CC116" s="1984"/>
      <c r="CD116" s="1984"/>
      <c r="CE116" s="2444"/>
      <c r="CF116"/>
    </row>
    <row r="117" spans="1:84" s="1406" customFormat="1">
      <c r="A117"/>
      <c r="B117" s="1985" t="str">
        <f t="shared" si="96"/>
        <v>LR1</v>
      </c>
      <c r="C117" s="1989" t="str">
        <f t="shared" si="78"/>
        <v>エネルギー</v>
      </c>
      <c r="D117" s="2081" t="e">
        <f>IF(I$116=0,0,G117/I$116)</f>
        <v>#DIV/0!</v>
      </c>
      <c r="E117" s="1988" t="e">
        <f>IF(J$116=0,0,H117/J$116)</f>
        <v>#DIV/0!</v>
      </c>
      <c r="F117"/>
      <c r="G117" s="1988" t="e">
        <f t="shared" si="79"/>
        <v>#DIV/0!</v>
      </c>
      <c r="H117" s="1988" t="e">
        <f t="shared" si="80"/>
        <v>#DIV/0!</v>
      </c>
      <c r="I117" s="1988" t="e">
        <f>G118+G119+G124+G133</f>
        <v>#DIV/0!</v>
      </c>
      <c r="J117" s="1988" t="e">
        <f>H118+H119+H124+H133</f>
        <v>#DIV/0!</v>
      </c>
      <c r="K117" s="1988" t="e">
        <f>IF(スコア!S117=0,0,1)</f>
        <v>#DIV/0!</v>
      </c>
      <c r="L117" s="1988">
        <f>IF(スコア!Q117=0,0,1)</f>
        <v>0</v>
      </c>
      <c r="M117" s="1988" t="e">
        <f t="shared" si="81"/>
        <v>#DIV/0!</v>
      </c>
      <c r="N117" s="1988" t="e">
        <f t="shared" si="98"/>
        <v>#DIV/0!</v>
      </c>
      <c r="O117"/>
      <c r="P117" s="1985" t="str">
        <f t="shared" si="56"/>
        <v>LR1</v>
      </c>
      <c r="Q117" s="1985" t="str">
        <f t="shared" si="57"/>
        <v>LR</v>
      </c>
      <c r="R117" s="1989" t="str">
        <f t="shared" si="82"/>
        <v>エネルギー</v>
      </c>
      <c r="S117" s="1990">
        <f t="shared" si="83"/>
        <v>0.4</v>
      </c>
      <c r="T117" s="1990">
        <f t="shared" si="84"/>
        <v>0.4</v>
      </c>
      <c r="U117" s="1990">
        <f t="shared" si="85"/>
        <v>0.4</v>
      </c>
      <c r="V117" s="1990">
        <f t="shared" si="86"/>
        <v>0.4</v>
      </c>
      <c r="W117" s="1990">
        <f t="shared" si="87"/>
        <v>0.4</v>
      </c>
      <c r="X117" s="1990">
        <f t="shared" si="88"/>
        <v>0.4</v>
      </c>
      <c r="Y117" s="1990">
        <f t="shared" si="89"/>
        <v>0.4</v>
      </c>
      <c r="Z117" s="1990">
        <f t="shared" si="90"/>
        <v>0.4</v>
      </c>
      <c r="AA117" s="1990">
        <f t="shared" si="91"/>
        <v>0.4</v>
      </c>
      <c r="AB117" s="1990">
        <f t="shared" si="92"/>
        <v>0.4</v>
      </c>
      <c r="AC117" s="1991">
        <f t="shared" si="93"/>
        <v>0</v>
      </c>
      <c r="AD117" s="1990">
        <f t="shared" si="94"/>
        <v>0</v>
      </c>
      <c r="AE117" s="1990">
        <f t="shared" si="95"/>
        <v>0</v>
      </c>
      <c r="AF117"/>
      <c r="AG117" s="1985" t="s">
        <v>1167</v>
      </c>
      <c r="AH117" s="1992" t="s">
        <v>1168</v>
      </c>
      <c r="AI117" s="1989" t="s">
        <v>1169</v>
      </c>
      <c r="AJ117" s="1993">
        <v>0.4</v>
      </c>
      <c r="AK117" s="1993">
        <v>0.4</v>
      </c>
      <c r="AL117" s="1993">
        <v>0.4</v>
      </c>
      <c r="AM117" s="1993">
        <v>0.4</v>
      </c>
      <c r="AN117" s="1993">
        <v>0.4</v>
      </c>
      <c r="AO117" s="1993">
        <v>0.4</v>
      </c>
      <c r="AP117" s="1993">
        <v>0.4</v>
      </c>
      <c r="AQ117" s="1993">
        <v>0.4</v>
      </c>
      <c r="AR117" s="1993">
        <v>0.4</v>
      </c>
      <c r="AS117" s="1993">
        <v>0.4</v>
      </c>
      <c r="AT117" s="1994"/>
      <c r="AU117" s="1993"/>
      <c r="AV117" s="1993"/>
      <c r="AW117"/>
      <c r="AX117" s="1985" t="s">
        <v>1167</v>
      </c>
      <c r="AY117" s="1992" t="s">
        <v>1168</v>
      </c>
      <c r="AZ117" s="1989" t="s">
        <v>1169</v>
      </c>
      <c r="BA117" s="1993">
        <v>0.4</v>
      </c>
      <c r="BB117" s="1993">
        <v>0.4</v>
      </c>
      <c r="BC117" s="1993">
        <v>0.4</v>
      </c>
      <c r="BD117" s="1993">
        <v>0.4</v>
      </c>
      <c r="BE117" s="1993">
        <v>0.4</v>
      </c>
      <c r="BF117" s="1993">
        <v>0.4</v>
      </c>
      <c r="BG117" s="1993">
        <v>0.4</v>
      </c>
      <c r="BH117" s="1993">
        <v>0.4</v>
      </c>
      <c r="BI117" s="1993">
        <v>0.4</v>
      </c>
      <c r="BJ117" s="1993">
        <v>0.4</v>
      </c>
      <c r="BK117" s="1994"/>
      <c r="BL117" s="1993"/>
      <c r="BM117" s="1993"/>
      <c r="BN117"/>
      <c r="BO117" s="1985" t="s">
        <v>1167</v>
      </c>
      <c r="BP117" s="1992" t="s">
        <v>1168</v>
      </c>
      <c r="BQ117" s="1989" t="s">
        <v>1169</v>
      </c>
      <c r="BR117" s="1993">
        <v>0.4</v>
      </c>
      <c r="BS117" s="1993">
        <v>0.4</v>
      </c>
      <c r="BT117" s="1993">
        <v>0.4</v>
      </c>
      <c r="BU117" s="1993">
        <v>0.4</v>
      </c>
      <c r="BV117" s="1993">
        <v>0.4</v>
      </c>
      <c r="BW117" s="1993">
        <v>0.4</v>
      </c>
      <c r="BX117" s="1993">
        <v>0.4</v>
      </c>
      <c r="BY117" s="1993">
        <v>0.4</v>
      </c>
      <c r="BZ117" s="1993">
        <v>0.4</v>
      </c>
      <c r="CA117" s="1993">
        <v>0.4</v>
      </c>
      <c r="CB117" s="1994"/>
      <c r="CC117" s="1993"/>
      <c r="CD117" s="1993"/>
      <c r="CE117" s="2445"/>
      <c r="CF117"/>
    </row>
    <row r="118" spans="1:84" s="1406" customFormat="1">
      <c r="A118"/>
      <c r="B118" s="1985">
        <f t="shared" si="96"/>
        <v>1</v>
      </c>
      <c r="C118" s="2000" t="str">
        <f t="shared" si="78"/>
        <v>建物外皮の熱負荷抑制</v>
      </c>
      <c r="D118" s="1996" t="e">
        <f>IF(I$117=0,0,G118/I$117)</f>
        <v>#DIV/0!</v>
      </c>
      <c r="E118" s="1997" t="e">
        <f>IF(J$117=0,0,H118/J$117)</f>
        <v>#DIV/0!</v>
      </c>
      <c r="F118"/>
      <c r="G118" s="1997" t="e">
        <f t="shared" si="79"/>
        <v>#DIV/0!</v>
      </c>
      <c r="H118" s="1997" t="e">
        <f t="shared" si="80"/>
        <v>#DIV/0!</v>
      </c>
      <c r="I118" s="1997"/>
      <c r="J118" s="1997"/>
      <c r="K118" s="1997">
        <f>IF(スコア!O118=0,0,1)</f>
        <v>0</v>
      </c>
      <c r="L118" s="1997">
        <f>IF(スコア!Q118=0,0,1)</f>
        <v>0</v>
      </c>
      <c r="M118" s="1997" t="e">
        <f t="shared" si="81"/>
        <v>#DIV/0!</v>
      </c>
      <c r="N118" s="1997" t="e">
        <f t="shared" si="98"/>
        <v>#DIV/0!</v>
      </c>
      <c r="O118"/>
      <c r="P118" s="2082">
        <f t="shared" si="56"/>
        <v>1</v>
      </c>
      <c r="Q118" s="1999" t="str">
        <f t="shared" si="57"/>
        <v>LR1</v>
      </c>
      <c r="R118" s="2000" t="str">
        <f t="shared" si="82"/>
        <v>建物外皮の熱負荷抑制</v>
      </c>
      <c r="S118" s="2058">
        <f t="shared" si="83"/>
        <v>0.2</v>
      </c>
      <c r="T118" s="2058">
        <f t="shared" si="84"/>
        <v>0.2</v>
      </c>
      <c r="U118" s="2058">
        <f t="shared" si="85"/>
        <v>0.2</v>
      </c>
      <c r="V118" s="2058">
        <f t="shared" si="86"/>
        <v>0.2</v>
      </c>
      <c r="W118" s="2058">
        <f t="shared" si="87"/>
        <v>0.2</v>
      </c>
      <c r="X118" s="2058">
        <f t="shared" si="88"/>
        <v>0.2</v>
      </c>
      <c r="Y118" s="2058">
        <f t="shared" si="89"/>
        <v>0.2</v>
      </c>
      <c r="Z118" s="2002">
        <f t="shared" si="90"/>
        <v>0.2</v>
      </c>
      <c r="AA118" s="2058">
        <f t="shared" si="91"/>
        <v>0</v>
      </c>
      <c r="AB118" s="2058">
        <f t="shared" si="92"/>
        <v>0.2</v>
      </c>
      <c r="AC118" s="2003">
        <f t="shared" si="93"/>
        <v>0</v>
      </c>
      <c r="AD118" s="2001">
        <f t="shared" si="94"/>
        <v>0</v>
      </c>
      <c r="AE118" s="2001">
        <f t="shared" si="95"/>
        <v>0</v>
      </c>
      <c r="AF118"/>
      <c r="AG118" s="2082">
        <v>1</v>
      </c>
      <c r="AH118" s="2004" t="s">
        <v>1437</v>
      </c>
      <c r="AI118" s="2000" t="s">
        <v>1806</v>
      </c>
      <c r="AJ118" s="2060">
        <v>0.2</v>
      </c>
      <c r="AK118" s="2060">
        <v>0.2</v>
      </c>
      <c r="AL118" s="2060">
        <v>0.2</v>
      </c>
      <c r="AM118" s="2060">
        <v>0.2</v>
      </c>
      <c r="AN118" s="2060">
        <v>0.2</v>
      </c>
      <c r="AO118" s="2060">
        <v>0.2</v>
      </c>
      <c r="AP118" s="2060">
        <v>0.2</v>
      </c>
      <c r="AQ118" s="2060">
        <v>0.2</v>
      </c>
      <c r="AR118" s="2060"/>
      <c r="AS118" s="2060">
        <v>0.2</v>
      </c>
      <c r="AT118" s="2006"/>
      <c r="AU118" s="2005"/>
      <c r="AV118" s="2005"/>
      <c r="AW118"/>
      <c r="AX118" s="2082">
        <v>1</v>
      </c>
      <c r="AY118" s="2004" t="s">
        <v>1437</v>
      </c>
      <c r="AZ118" s="2000" t="s">
        <v>1806</v>
      </c>
      <c r="BA118" s="2060">
        <v>0.2</v>
      </c>
      <c r="BB118" s="2060">
        <v>0.2</v>
      </c>
      <c r="BC118" s="2060">
        <v>0.2</v>
      </c>
      <c r="BD118" s="2060">
        <v>0.2</v>
      </c>
      <c r="BE118" s="2060">
        <v>0.2</v>
      </c>
      <c r="BF118" s="2060">
        <v>0.2</v>
      </c>
      <c r="BG118" s="2060">
        <v>0.2</v>
      </c>
      <c r="BH118" s="2060">
        <v>0.2</v>
      </c>
      <c r="BI118" s="2060"/>
      <c r="BJ118" s="2060">
        <v>0.2</v>
      </c>
      <c r="BK118" s="2006"/>
      <c r="BL118" s="2005"/>
      <c r="BM118" s="2005"/>
      <c r="BN118"/>
      <c r="BO118" s="2082">
        <v>1</v>
      </c>
      <c r="BP118" s="2004" t="s">
        <v>1437</v>
      </c>
      <c r="BQ118" s="2000" t="s">
        <v>1806</v>
      </c>
      <c r="BR118" s="2060">
        <v>0.2</v>
      </c>
      <c r="BS118" s="2060">
        <v>0.2</v>
      </c>
      <c r="BT118" s="2060">
        <v>0.2</v>
      </c>
      <c r="BU118" s="2060">
        <v>0.2</v>
      </c>
      <c r="BV118" s="2060">
        <v>0.2</v>
      </c>
      <c r="BW118" s="2060">
        <v>0.2</v>
      </c>
      <c r="BX118" s="2060">
        <v>0.2</v>
      </c>
      <c r="BY118" s="2060">
        <v>0.2</v>
      </c>
      <c r="BZ118" s="2060"/>
      <c r="CA118" s="2060">
        <v>0.2</v>
      </c>
      <c r="CB118" s="2006"/>
      <c r="CC118" s="2005"/>
      <c r="CD118" s="2005"/>
      <c r="CE118" s="2446"/>
      <c r="CF118"/>
    </row>
    <row r="119" spans="1:84" s="1406" customFormat="1">
      <c r="A119"/>
      <c r="B119" s="1985">
        <f t="shared" si="96"/>
        <v>2</v>
      </c>
      <c r="C119" s="2000" t="str">
        <f t="shared" si="78"/>
        <v>自然エネルギー利用</v>
      </c>
      <c r="D119" s="1996" t="e">
        <f>IF(I$117=0,0,G119/I$117)</f>
        <v>#DIV/0!</v>
      </c>
      <c r="E119" s="1997" t="e">
        <f>IF(J$117=0,0,H119/J$117)</f>
        <v>#DIV/0!</v>
      </c>
      <c r="F119"/>
      <c r="G119" s="1997" t="e">
        <f>K119*M119</f>
        <v>#DIV/0!</v>
      </c>
      <c r="H119" s="1997" t="e">
        <f t="shared" si="80"/>
        <v>#DIV/0!</v>
      </c>
      <c r="I119" s="2083" t="e">
        <f>SUM(G120:G121)</f>
        <v>#DIV/0!</v>
      </c>
      <c r="J119" s="2083" t="e">
        <f>SUM(H120:H121)</f>
        <v>#DIV/0!</v>
      </c>
      <c r="K119" s="1997" t="e">
        <f>IF(スコア!O119=0,0,1)</f>
        <v>#DIV/0!</v>
      </c>
      <c r="L119" s="1997" t="e">
        <f>IF(スコア!Q119=0,0,1)</f>
        <v>#DIV/0!</v>
      </c>
      <c r="M119" s="1997" t="e">
        <f t="shared" si="81"/>
        <v>#DIV/0!</v>
      </c>
      <c r="N119" s="1997" t="e">
        <f t="shared" si="98"/>
        <v>#DIV/0!</v>
      </c>
      <c r="O119"/>
      <c r="P119" s="1999">
        <f t="shared" si="56"/>
        <v>2</v>
      </c>
      <c r="Q119" s="1999" t="str">
        <f t="shared" si="57"/>
        <v>LR1</v>
      </c>
      <c r="R119" s="2000" t="str">
        <f t="shared" si="82"/>
        <v>自然エネルギー利用</v>
      </c>
      <c r="S119" s="2058">
        <f t="shared" si="83"/>
        <v>0.1</v>
      </c>
      <c r="T119" s="2058">
        <f t="shared" si="84"/>
        <v>0.1</v>
      </c>
      <c r="U119" s="2058">
        <f t="shared" si="85"/>
        <v>0.1</v>
      </c>
      <c r="V119" s="2058">
        <f t="shared" si="86"/>
        <v>0.1</v>
      </c>
      <c r="W119" s="2058">
        <f t="shared" si="87"/>
        <v>0.1</v>
      </c>
      <c r="X119" s="2058">
        <f t="shared" si="88"/>
        <v>0.1</v>
      </c>
      <c r="Y119" s="2058">
        <f t="shared" si="89"/>
        <v>0.1</v>
      </c>
      <c r="Z119" s="2002">
        <f t="shared" si="90"/>
        <v>0.1</v>
      </c>
      <c r="AA119" s="2058">
        <f t="shared" si="91"/>
        <v>0.125</v>
      </c>
      <c r="AB119" s="2058">
        <f t="shared" si="92"/>
        <v>0.1</v>
      </c>
      <c r="AC119" s="2003">
        <f t="shared" si="93"/>
        <v>0</v>
      </c>
      <c r="AD119" s="2001">
        <f t="shared" si="94"/>
        <v>0</v>
      </c>
      <c r="AE119" s="2001">
        <f t="shared" si="95"/>
        <v>0</v>
      </c>
      <c r="AF119"/>
      <c r="AG119" s="1999">
        <v>2</v>
      </c>
      <c r="AH119" s="2004" t="s">
        <v>1437</v>
      </c>
      <c r="AI119" s="2000" t="s">
        <v>1043</v>
      </c>
      <c r="AJ119" s="2060">
        <v>0.1</v>
      </c>
      <c r="AK119" s="2060">
        <v>0.1</v>
      </c>
      <c r="AL119" s="2060">
        <v>0.1</v>
      </c>
      <c r="AM119" s="2060">
        <v>0.1</v>
      </c>
      <c r="AN119" s="2060">
        <v>0.1</v>
      </c>
      <c r="AO119" s="2060">
        <v>0.1</v>
      </c>
      <c r="AP119" s="2060">
        <v>0.1</v>
      </c>
      <c r="AQ119" s="2060">
        <v>0.1</v>
      </c>
      <c r="AR119" s="2230">
        <v>0.125</v>
      </c>
      <c r="AS119" s="2060">
        <v>0.1</v>
      </c>
      <c r="AT119" s="2006"/>
      <c r="AU119" s="2005"/>
      <c r="AV119" s="2005"/>
      <c r="AW119"/>
      <c r="AX119" s="1999">
        <v>2</v>
      </c>
      <c r="AY119" s="2004" t="s">
        <v>1437</v>
      </c>
      <c r="AZ119" s="2000" t="s">
        <v>1043</v>
      </c>
      <c r="BA119" s="2060">
        <v>0.1</v>
      </c>
      <c r="BB119" s="2060">
        <v>0.1</v>
      </c>
      <c r="BC119" s="2060">
        <v>0.1</v>
      </c>
      <c r="BD119" s="2060">
        <v>0.1</v>
      </c>
      <c r="BE119" s="2060">
        <v>0.1</v>
      </c>
      <c r="BF119" s="2060">
        <v>0.1</v>
      </c>
      <c r="BG119" s="2060">
        <v>0.1</v>
      </c>
      <c r="BH119" s="2060">
        <v>0.1</v>
      </c>
      <c r="BI119" s="2230">
        <v>0.125</v>
      </c>
      <c r="BJ119" s="2060">
        <v>0.1</v>
      </c>
      <c r="BK119" s="2006"/>
      <c r="BL119" s="2005"/>
      <c r="BM119" s="2005"/>
      <c r="BN119"/>
      <c r="BO119" s="1999">
        <v>2</v>
      </c>
      <c r="BP119" s="2004" t="s">
        <v>1437</v>
      </c>
      <c r="BQ119" s="2000" t="s">
        <v>1043</v>
      </c>
      <c r="BR119" s="2060">
        <v>0.1</v>
      </c>
      <c r="BS119" s="2060">
        <v>0.1</v>
      </c>
      <c r="BT119" s="2060">
        <v>0.1</v>
      </c>
      <c r="BU119" s="2060">
        <v>0.1</v>
      </c>
      <c r="BV119" s="2060">
        <v>0.1</v>
      </c>
      <c r="BW119" s="2060">
        <v>0.1</v>
      </c>
      <c r="BX119" s="2060">
        <v>0.1</v>
      </c>
      <c r="BY119" s="2060">
        <v>0.1</v>
      </c>
      <c r="BZ119" s="2230">
        <v>0.125</v>
      </c>
      <c r="CA119" s="2060">
        <v>0.1</v>
      </c>
      <c r="CB119" s="2006"/>
      <c r="CC119" s="2005"/>
      <c r="CD119" s="2005"/>
      <c r="CE119" s="2446"/>
      <c r="CF119"/>
    </row>
    <row r="120" spans="1:84" s="1406" customFormat="1" hidden="1">
      <c r="A120"/>
      <c r="B120" s="1985">
        <f t="shared" si="96"/>
        <v>0</v>
      </c>
      <c r="C120" s="2000" t="str">
        <f t="shared" si="78"/>
        <v>実施・竣工</v>
      </c>
      <c r="D120" s="2009" t="e">
        <f>IF(I$119=0,0,G120/I$119)</f>
        <v>#DIV/0!</v>
      </c>
      <c r="E120" s="2009" t="e">
        <f>IF(J$119=0,0,H120/J$119)</f>
        <v>#DIV/0!</v>
      </c>
      <c r="F120"/>
      <c r="G120" s="1997" t="e">
        <f t="shared" si="79"/>
        <v>#DIV/0!</v>
      </c>
      <c r="H120" s="1997" t="e">
        <f t="shared" si="80"/>
        <v>#DIV/0!</v>
      </c>
      <c r="I120" s="1997"/>
      <c r="J120" s="1997"/>
      <c r="K120" s="2010">
        <f>IF(スコア!O120=0,0,1)</f>
        <v>1</v>
      </c>
      <c r="L120" s="2010">
        <f>IF(スコア!Q120=0,0,1)</f>
        <v>0</v>
      </c>
      <c r="M120" s="2010" t="e">
        <f t="shared" si="81"/>
        <v>#DIV/0!</v>
      </c>
      <c r="N120" s="2010" t="e">
        <f t="shared" si="98"/>
        <v>#DIV/0!</v>
      </c>
      <c r="O120"/>
      <c r="P120" s="1999">
        <f t="shared" si="56"/>
        <v>0</v>
      </c>
      <c r="Q120" s="1999" t="str">
        <f t="shared" si="57"/>
        <v>LR</v>
      </c>
      <c r="R120" s="2000" t="str">
        <f t="shared" ref="R120:R155" si="99">IF($P$3=1,AZ120,IF($P$3=2,BQ120,AI120))</f>
        <v>実施・竣工</v>
      </c>
      <c r="S120" s="2013">
        <f t="shared" si="83"/>
        <v>0</v>
      </c>
      <c r="T120" s="2013">
        <f t="shared" si="84"/>
        <v>0</v>
      </c>
      <c r="U120" s="2013">
        <f t="shared" si="85"/>
        <v>0</v>
      </c>
      <c r="V120" s="2013">
        <f t="shared" si="86"/>
        <v>0</v>
      </c>
      <c r="W120" s="2013">
        <f t="shared" si="87"/>
        <v>0</v>
      </c>
      <c r="X120" s="2013">
        <f t="shared" si="88"/>
        <v>0</v>
      </c>
      <c r="Y120" s="2013">
        <f t="shared" si="89"/>
        <v>0</v>
      </c>
      <c r="Z120" s="2022">
        <f t="shared" si="90"/>
        <v>0</v>
      </c>
      <c r="AA120" s="2013">
        <f t="shared" si="91"/>
        <v>0</v>
      </c>
      <c r="AB120" s="2013">
        <f t="shared" si="92"/>
        <v>0</v>
      </c>
      <c r="AC120" s="2003">
        <f t="shared" ref="AC120:AC155" si="100">IF($P$3=1,BK120,IF($P$3=2,CB120,AT120))</f>
        <v>0</v>
      </c>
      <c r="AD120" s="2001">
        <f t="shared" ref="AD120:AD155" si="101">IF($P$3=1,BL120,IF($P$3=2,CC120,AU120))</f>
        <v>0</v>
      </c>
      <c r="AE120" s="2001">
        <f t="shared" ref="AE120:AE155" si="102">IF($P$3=1,BM120,IF($P$3=2,CD120,AV120))</f>
        <v>0</v>
      </c>
      <c r="AF120"/>
      <c r="AG120" s="1999"/>
      <c r="AH120" s="2004" t="s">
        <v>123</v>
      </c>
      <c r="AI120" s="2000" t="s">
        <v>1044</v>
      </c>
      <c r="AJ120" s="2060"/>
      <c r="AK120" s="2060"/>
      <c r="AL120" s="2060"/>
      <c r="AM120" s="2060"/>
      <c r="AN120" s="2060"/>
      <c r="AO120" s="2060"/>
      <c r="AP120" s="2060"/>
      <c r="AQ120" s="2060"/>
      <c r="AR120" s="2060"/>
      <c r="AS120" s="2060"/>
      <c r="AT120" s="2006"/>
      <c r="AU120" s="2005"/>
      <c r="AV120" s="2005"/>
      <c r="AW120"/>
      <c r="AX120" s="1999"/>
      <c r="AY120" s="2004" t="s">
        <v>123</v>
      </c>
      <c r="AZ120" s="2000" t="s">
        <v>824</v>
      </c>
      <c r="BA120" s="2060"/>
      <c r="BB120" s="2060"/>
      <c r="BC120" s="2060"/>
      <c r="BD120" s="2060"/>
      <c r="BE120" s="2060"/>
      <c r="BF120" s="2060"/>
      <c r="BG120" s="2060"/>
      <c r="BH120" s="2060"/>
      <c r="BI120" s="2060"/>
      <c r="BJ120" s="2060"/>
      <c r="BK120" s="2006"/>
      <c r="BL120" s="2005"/>
      <c r="BM120" s="2005"/>
      <c r="BN120"/>
      <c r="BO120" s="1999"/>
      <c r="BP120" s="2004" t="s">
        <v>123</v>
      </c>
      <c r="BQ120" s="2000"/>
      <c r="BR120" s="2060"/>
      <c r="BS120" s="2060"/>
      <c r="BT120" s="2060"/>
      <c r="BU120" s="2060"/>
      <c r="BV120" s="2060"/>
      <c r="BW120" s="2060"/>
      <c r="BX120" s="2060"/>
      <c r="BY120" s="2060"/>
      <c r="BZ120" s="2060"/>
      <c r="CA120" s="2060"/>
      <c r="CB120" s="2006"/>
      <c r="CC120" s="2005"/>
      <c r="CD120" s="2005"/>
      <c r="CE120" s="2446"/>
      <c r="CF120"/>
    </row>
    <row r="121" spans="1:84" s="1406" customFormat="1" hidden="1">
      <c r="A121"/>
      <c r="B121" s="1985">
        <f t="shared" si="96"/>
        <v>0</v>
      </c>
      <c r="C121" s="2000" t="str">
        <f t="shared" si="78"/>
        <v>定性評価</v>
      </c>
      <c r="D121" s="2009" t="e">
        <f>IF(I$119=0,0,G121/I$119)</f>
        <v>#DIV/0!</v>
      </c>
      <c r="E121" s="2009" t="e">
        <f>IF(J$119=0,0,H121/J$119)</f>
        <v>#DIV/0!</v>
      </c>
      <c r="F121"/>
      <c r="G121" s="1997" t="e">
        <f t="shared" si="79"/>
        <v>#DIV/0!</v>
      </c>
      <c r="H121" s="1997" t="e">
        <f t="shared" si="80"/>
        <v>#DIV/0!</v>
      </c>
      <c r="I121" s="2083" t="e">
        <f>SUM(G122:G123)</f>
        <v>#DIV/0!</v>
      </c>
      <c r="J121" s="2083" t="e">
        <f>SUM(H122:H123)</f>
        <v>#DIV/0!</v>
      </c>
      <c r="K121" s="2010">
        <f>IF(スコア!O121=0,0,1)</f>
        <v>0</v>
      </c>
      <c r="L121" s="2010" t="e">
        <f>IF(スコア!Q121=0,0,1)</f>
        <v>#DIV/0!</v>
      </c>
      <c r="M121" s="2010" t="e">
        <f t="shared" si="81"/>
        <v>#DIV/0!</v>
      </c>
      <c r="N121" s="2010" t="e">
        <f t="shared" si="98"/>
        <v>#DIV/0!</v>
      </c>
      <c r="O121"/>
      <c r="P121" s="1999">
        <f t="shared" si="56"/>
        <v>0</v>
      </c>
      <c r="Q121" s="1999" t="str">
        <f t="shared" si="57"/>
        <v>LR</v>
      </c>
      <c r="R121" s="2000" t="str">
        <f t="shared" si="99"/>
        <v>定性評価</v>
      </c>
      <c r="S121" s="2013">
        <f t="shared" si="83"/>
        <v>1</v>
      </c>
      <c r="T121" s="2013">
        <f t="shared" si="84"/>
        <v>1</v>
      </c>
      <c r="U121" s="2013">
        <f t="shared" si="85"/>
        <v>1</v>
      </c>
      <c r="V121" s="2013">
        <f t="shared" si="86"/>
        <v>1</v>
      </c>
      <c r="W121" s="2013">
        <f t="shared" si="87"/>
        <v>1</v>
      </c>
      <c r="X121" s="2013">
        <f t="shared" si="88"/>
        <v>1</v>
      </c>
      <c r="Y121" s="2013">
        <f t="shared" si="89"/>
        <v>1</v>
      </c>
      <c r="Z121" s="2022">
        <f t="shared" si="90"/>
        <v>1</v>
      </c>
      <c r="AA121" s="2013">
        <f t="shared" si="91"/>
        <v>1</v>
      </c>
      <c r="AB121" s="2013">
        <f t="shared" si="92"/>
        <v>1</v>
      </c>
      <c r="AC121" s="2003">
        <f t="shared" si="100"/>
        <v>0</v>
      </c>
      <c r="AD121" s="2001">
        <f t="shared" si="101"/>
        <v>0</v>
      </c>
      <c r="AE121" s="2001">
        <f t="shared" si="102"/>
        <v>0</v>
      </c>
      <c r="AF121"/>
      <c r="AG121" s="1999"/>
      <c r="AH121" s="2004" t="s">
        <v>123</v>
      </c>
      <c r="AI121" s="2000" t="s">
        <v>823</v>
      </c>
      <c r="AJ121" s="2060">
        <v>1</v>
      </c>
      <c r="AK121" s="2060">
        <v>1</v>
      </c>
      <c r="AL121" s="2060">
        <v>1</v>
      </c>
      <c r="AM121" s="2060">
        <v>1</v>
      </c>
      <c r="AN121" s="2060">
        <v>1</v>
      </c>
      <c r="AO121" s="2060">
        <v>1</v>
      </c>
      <c r="AP121" s="2060">
        <v>1</v>
      </c>
      <c r="AQ121" s="2060">
        <v>1</v>
      </c>
      <c r="AR121" s="2060">
        <v>1</v>
      </c>
      <c r="AS121" s="2060">
        <v>1</v>
      </c>
      <c r="AT121" s="2006"/>
      <c r="AU121" s="2005"/>
      <c r="AV121" s="2005"/>
      <c r="AW121"/>
      <c r="AX121" s="1999"/>
      <c r="AY121" s="2004" t="s">
        <v>123</v>
      </c>
      <c r="AZ121" s="2000" t="s">
        <v>823</v>
      </c>
      <c r="BA121" s="2060">
        <v>1</v>
      </c>
      <c r="BB121" s="2060">
        <v>1</v>
      </c>
      <c r="BC121" s="2060">
        <v>1</v>
      </c>
      <c r="BD121" s="2060">
        <v>1</v>
      </c>
      <c r="BE121" s="2060">
        <v>1</v>
      </c>
      <c r="BF121" s="2060">
        <v>1</v>
      </c>
      <c r="BG121" s="2060">
        <v>1</v>
      </c>
      <c r="BH121" s="2060">
        <v>1</v>
      </c>
      <c r="BI121" s="2060">
        <v>1</v>
      </c>
      <c r="BJ121" s="2060">
        <v>1</v>
      </c>
      <c r="BK121" s="2006"/>
      <c r="BL121" s="2005"/>
      <c r="BM121" s="2005"/>
      <c r="BN121"/>
      <c r="BO121" s="1999"/>
      <c r="BP121" s="2004" t="s">
        <v>123</v>
      </c>
      <c r="BQ121" s="2000" t="s">
        <v>823</v>
      </c>
      <c r="BR121" s="2060">
        <v>1</v>
      </c>
      <c r="BS121" s="2060">
        <v>1</v>
      </c>
      <c r="BT121" s="2060">
        <v>1</v>
      </c>
      <c r="BU121" s="2060">
        <v>1</v>
      </c>
      <c r="BV121" s="2060">
        <v>1</v>
      </c>
      <c r="BW121" s="2060">
        <v>1</v>
      </c>
      <c r="BX121" s="2060">
        <v>1</v>
      </c>
      <c r="BY121" s="2060">
        <v>1</v>
      </c>
      <c r="BZ121" s="2060">
        <v>1</v>
      </c>
      <c r="CA121" s="2060">
        <v>1</v>
      </c>
      <c r="CB121" s="2006"/>
      <c r="CC121" s="2005"/>
      <c r="CD121" s="2005"/>
      <c r="CE121" s="2446"/>
      <c r="CF121"/>
    </row>
    <row r="122" spans="1:84" hidden="1">
      <c r="B122" s="1985" t="str">
        <f t="shared" si="96"/>
        <v>2.1</v>
      </c>
      <c r="C122" s="2012" t="str">
        <f t="shared" si="78"/>
        <v>自然エネルギーの直接利用</v>
      </c>
      <c r="D122" s="2009" t="e">
        <f>IF(I$121=0,0,G122/I$121)</f>
        <v>#DIV/0!</v>
      </c>
      <c r="E122" s="2009" t="e">
        <f>IF(J$121=0,0,H122/J$121)</f>
        <v>#DIV/0!</v>
      </c>
      <c r="G122" s="2010" t="e">
        <f t="shared" si="79"/>
        <v>#DIV/0!</v>
      </c>
      <c r="H122" s="2010" t="e">
        <f t="shared" si="80"/>
        <v>#DIV/0!</v>
      </c>
      <c r="I122" s="2010"/>
      <c r="J122" s="2010"/>
      <c r="K122" s="2010">
        <f>IF(スコア!O122=0,0,1)</f>
        <v>0</v>
      </c>
      <c r="L122" s="2010">
        <f>IF(スコア!Q122=0,0,1)</f>
        <v>0</v>
      </c>
      <c r="M122" s="2010" t="e">
        <f t="shared" si="81"/>
        <v>#DIV/0!</v>
      </c>
      <c r="N122" s="2010" t="e">
        <f t="shared" si="98"/>
        <v>#DIV/0!</v>
      </c>
      <c r="P122" s="2011" t="str">
        <f t="shared" si="56"/>
        <v>2.1</v>
      </c>
      <c r="Q122" s="2011" t="str">
        <f t="shared" si="57"/>
        <v>LR1 2</v>
      </c>
      <c r="R122" s="2012" t="str">
        <f t="shared" si="99"/>
        <v>自然エネルギーの直接利用</v>
      </c>
      <c r="S122" s="2013">
        <f t="shared" ref="S122:AB123" si="103">IF($P$3=1,BA122,IF($P$3=2,BR122,AJ122))</f>
        <v>0</v>
      </c>
      <c r="T122" s="2013">
        <f t="shared" si="103"/>
        <v>0</v>
      </c>
      <c r="U122" s="2013">
        <f t="shared" si="103"/>
        <v>0</v>
      </c>
      <c r="V122" s="2013">
        <f t="shared" si="103"/>
        <v>0</v>
      </c>
      <c r="W122" s="2013">
        <f t="shared" si="103"/>
        <v>0</v>
      </c>
      <c r="X122" s="2013">
        <f t="shared" si="103"/>
        <v>0</v>
      </c>
      <c r="Y122" s="2013">
        <f t="shared" si="103"/>
        <v>0</v>
      </c>
      <c r="Z122" s="2022">
        <f t="shared" si="103"/>
        <v>0</v>
      </c>
      <c r="AA122" s="2013">
        <f t="shared" si="103"/>
        <v>0</v>
      </c>
      <c r="AB122" s="2013">
        <f t="shared" si="103"/>
        <v>0</v>
      </c>
      <c r="AC122" s="2072">
        <f t="shared" si="100"/>
        <v>0</v>
      </c>
      <c r="AD122" s="2071">
        <f t="shared" si="101"/>
        <v>0</v>
      </c>
      <c r="AE122" s="2071">
        <f t="shared" si="102"/>
        <v>0</v>
      </c>
      <c r="AG122" s="2011" t="s">
        <v>1170</v>
      </c>
      <c r="AH122" s="2015" t="s">
        <v>124</v>
      </c>
      <c r="AI122" s="2012" t="s">
        <v>1046</v>
      </c>
      <c r="AJ122" s="2018"/>
      <c r="AK122" s="2018"/>
      <c r="AL122" s="2018"/>
      <c r="AM122" s="2018"/>
      <c r="AN122" s="2018"/>
      <c r="AO122" s="2018"/>
      <c r="AP122" s="2018"/>
      <c r="AQ122" s="2018"/>
      <c r="AR122" s="2018"/>
      <c r="AS122" s="2018"/>
      <c r="AT122" s="2074"/>
      <c r="AU122" s="2073"/>
      <c r="AV122" s="2073"/>
      <c r="AX122" s="2011" t="s">
        <v>1170</v>
      </c>
      <c r="AY122" s="2015" t="s">
        <v>124</v>
      </c>
      <c r="AZ122" s="2012" t="s">
        <v>1046</v>
      </c>
      <c r="BA122" s="2018"/>
      <c r="BB122" s="2018"/>
      <c r="BC122" s="2018"/>
      <c r="BD122" s="2018"/>
      <c r="BE122" s="2018"/>
      <c r="BF122" s="2018"/>
      <c r="BG122" s="2018"/>
      <c r="BH122" s="2018"/>
      <c r="BI122" s="2018"/>
      <c r="BJ122" s="2018"/>
      <c r="BK122" s="2074"/>
      <c r="BL122" s="2073"/>
      <c r="BM122" s="2073"/>
      <c r="BO122" s="2011" t="s">
        <v>1170</v>
      </c>
      <c r="BP122" s="2015" t="s">
        <v>124</v>
      </c>
      <c r="BQ122" s="2012" t="s">
        <v>1046</v>
      </c>
      <c r="BR122" s="2018"/>
      <c r="BS122" s="2018"/>
      <c r="BT122" s="2018"/>
      <c r="BU122" s="2018"/>
      <c r="BV122" s="2018"/>
      <c r="BW122" s="2018"/>
      <c r="BX122" s="2018"/>
      <c r="BY122" s="2018"/>
      <c r="BZ122" s="2018"/>
      <c r="CA122" s="2018"/>
      <c r="CB122" s="2074"/>
      <c r="CC122" s="2073"/>
      <c r="CD122" s="2073"/>
      <c r="CE122" s="2450"/>
    </row>
    <row r="123" spans="1:84" hidden="1">
      <c r="B123" s="1985" t="str">
        <f t="shared" si="96"/>
        <v>2.2</v>
      </c>
      <c r="C123" s="2012" t="str">
        <f t="shared" si="78"/>
        <v>自然エネルギーの変換利用</v>
      </c>
      <c r="D123" s="2009" t="e">
        <f>IF(I$121=0,0,G123/I$121)</f>
        <v>#DIV/0!</v>
      </c>
      <c r="E123" s="2009" t="e">
        <f>IF(J$121=0,0,H123/J$121)</f>
        <v>#DIV/0!</v>
      </c>
      <c r="G123" s="2010" t="e">
        <f t="shared" si="79"/>
        <v>#DIV/0!</v>
      </c>
      <c r="H123" s="2010" t="e">
        <f t="shared" si="80"/>
        <v>#DIV/0!</v>
      </c>
      <c r="I123" s="2010"/>
      <c r="J123" s="2010"/>
      <c r="K123" s="2010">
        <f>IF(スコア!O123=0,0,1)</f>
        <v>0</v>
      </c>
      <c r="L123" s="2010">
        <f>IF(スコア!Q123=0,0,1)</f>
        <v>0</v>
      </c>
      <c r="M123" s="2010" t="e">
        <f t="shared" si="81"/>
        <v>#DIV/0!</v>
      </c>
      <c r="N123" s="2010" t="e">
        <f t="shared" si="98"/>
        <v>#DIV/0!</v>
      </c>
      <c r="P123" s="2011" t="str">
        <f t="shared" si="56"/>
        <v>2.2</v>
      </c>
      <c r="Q123" s="2011" t="str">
        <f t="shared" si="57"/>
        <v>LR1 2</v>
      </c>
      <c r="R123" s="2012" t="str">
        <f t="shared" si="99"/>
        <v>自然エネルギーの変換利用</v>
      </c>
      <c r="S123" s="2013">
        <f t="shared" si="103"/>
        <v>0</v>
      </c>
      <c r="T123" s="2013">
        <f t="shared" si="103"/>
        <v>0</v>
      </c>
      <c r="U123" s="2013">
        <f t="shared" si="103"/>
        <v>0</v>
      </c>
      <c r="V123" s="2013">
        <f t="shared" si="103"/>
        <v>0</v>
      </c>
      <c r="W123" s="2013">
        <f t="shared" si="103"/>
        <v>0</v>
      </c>
      <c r="X123" s="2013">
        <f t="shared" si="103"/>
        <v>0</v>
      </c>
      <c r="Y123" s="2013">
        <f t="shared" si="103"/>
        <v>0</v>
      </c>
      <c r="Z123" s="2022">
        <f t="shared" si="103"/>
        <v>0</v>
      </c>
      <c r="AA123" s="2013">
        <f t="shared" si="103"/>
        <v>0</v>
      </c>
      <c r="AB123" s="2013">
        <f t="shared" si="103"/>
        <v>0</v>
      </c>
      <c r="AC123" s="2072">
        <f t="shared" si="100"/>
        <v>0</v>
      </c>
      <c r="AD123" s="2071">
        <f t="shared" si="101"/>
        <v>0</v>
      </c>
      <c r="AE123" s="2071">
        <f t="shared" si="102"/>
        <v>0</v>
      </c>
      <c r="AG123" s="2011" t="s">
        <v>1171</v>
      </c>
      <c r="AH123" s="2015" t="s">
        <v>124</v>
      </c>
      <c r="AI123" s="2012" t="s">
        <v>1047</v>
      </c>
      <c r="AJ123" s="2018"/>
      <c r="AK123" s="2018"/>
      <c r="AL123" s="2018"/>
      <c r="AM123" s="2018"/>
      <c r="AN123" s="2018"/>
      <c r="AO123" s="2018"/>
      <c r="AP123" s="2018"/>
      <c r="AQ123" s="2018"/>
      <c r="AR123" s="2018"/>
      <c r="AS123" s="2018"/>
      <c r="AT123" s="2074"/>
      <c r="AU123" s="2073"/>
      <c r="AV123" s="2073"/>
      <c r="AX123" s="2011" t="s">
        <v>1171</v>
      </c>
      <c r="AY123" s="2015" t="s">
        <v>124</v>
      </c>
      <c r="AZ123" s="2012" t="s">
        <v>1047</v>
      </c>
      <c r="BA123" s="2018"/>
      <c r="BB123" s="2018"/>
      <c r="BC123" s="2018"/>
      <c r="BD123" s="2018"/>
      <c r="BE123" s="2018"/>
      <c r="BF123" s="2018"/>
      <c r="BG123" s="2018"/>
      <c r="BH123" s="2018"/>
      <c r="BI123" s="2018"/>
      <c r="BJ123" s="2018"/>
      <c r="BK123" s="2074"/>
      <c r="BL123" s="2073"/>
      <c r="BM123" s="2073"/>
      <c r="BO123" s="2011" t="s">
        <v>1171</v>
      </c>
      <c r="BP123" s="2015" t="s">
        <v>124</v>
      </c>
      <c r="BQ123" s="2012" t="s">
        <v>1047</v>
      </c>
      <c r="BR123" s="2018"/>
      <c r="BS123" s="2018"/>
      <c r="BT123" s="2018"/>
      <c r="BU123" s="2018"/>
      <c r="BV123" s="2018"/>
      <c r="BW123" s="2018"/>
      <c r="BX123" s="2018"/>
      <c r="BY123" s="2018"/>
      <c r="BZ123" s="2018"/>
      <c r="CA123" s="2018"/>
      <c r="CB123" s="2074"/>
      <c r="CC123" s="2073"/>
      <c r="CD123" s="2073"/>
      <c r="CE123" s="2450"/>
    </row>
    <row r="124" spans="1:84" s="1406" customFormat="1">
      <c r="A124"/>
      <c r="B124" s="1985">
        <f t="shared" si="96"/>
        <v>3</v>
      </c>
      <c r="C124" s="2000" t="str">
        <f t="shared" si="78"/>
        <v>設備システムの高効率化</v>
      </c>
      <c r="D124" s="1996" t="e">
        <f>IF(I$117=0,0,G124/I$117)</f>
        <v>#DIV/0!</v>
      </c>
      <c r="E124" s="1997" t="e">
        <f>IF(J$117=0,0,H124/J$117)</f>
        <v>#DIV/0!</v>
      </c>
      <c r="F124"/>
      <c r="G124" s="1997" t="e">
        <f t="shared" si="79"/>
        <v>#DIV/0!</v>
      </c>
      <c r="H124" s="1997" t="e">
        <f t="shared" si="80"/>
        <v>#DIV/0!</v>
      </c>
      <c r="I124" s="2083" t="e">
        <f>SUM(G125:G126)</f>
        <v>#DIV/0!</v>
      </c>
      <c r="J124" s="2083" t="e">
        <f>SUM(H125:H126)</f>
        <v>#DIV/0!</v>
      </c>
      <c r="K124" s="1997" t="e">
        <f>IF(スコア!O124=0,0,1)</f>
        <v>#DIV/0!</v>
      </c>
      <c r="L124" s="1997">
        <f>IF(スコア!Q124=0,0,1)</f>
        <v>0</v>
      </c>
      <c r="M124" s="1997" t="e">
        <f>SUMPRODUCT($S$7:$AB$7,S124:AB124)</f>
        <v>#DIV/0!</v>
      </c>
      <c r="N124" s="1997" t="e">
        <f t="shared" si="98"/>
        <v>#DIV/0!</v>
      </c>
      <c r="O124"/>
      <c r="P124" s="1999">
        <f t="shared" si="56"/>
        <v>3</v>
      </c>
      <c r="Q124" s="1999" t="str">
        <f t="shared" si="57"/>
        <v>LR1</v>
      </c>
      <c r="R124" s="2000" t="str">
        <f t="shared" si="99"/>
        <v>設備システムの高効率化</v>
      </c>
      <c r="S124" s="2058">
        <f t="shared" ref="S124:S159" si="104">IF($P$3=1,BA124,IF($P$3=2,BR124,AJ124))</f>
        <v>0.5</v>
      </c>
      <c r="T124" s="2058">
        <f t="shared" ref="T124:T159" si="105">IF($P$3=1,BB124,IF($P$3=2,BS124,AK124))</f>
        <v>0.5</v>
      </c>
      <c r="U124" s="2058">
        <f t="shared" ref="U124:U159" si="106">IF($P$3=1,BC124,IF($P$3=2,BT124,AL124))</f>
        <v>0.5</v>
      </c>
      <c r="V124" s="2058">
        <f t="shared" ref="V124:V159" si="107">IF($P$3=1,BD124,IF($P$3=2,BU124,AM124))</f>
        <v>0.5</v>
      </c>
      <c r="W124" s="2058">
        <f t="shared" ref="W124:W159" si="108">IF($P$3=1,BE124,IF($P$3=2,BV124,AN124))</f>
        <v>0.5</v>
      </c>
      <c r="X124" s="2058">
        <f t="shared" ref="X124:X159" si="109">IF($P$3=1,BF124,IF($P$3=2,BW124,AO124))</f>
        <v>0.5</v>
      </c>
      <c r="Y124" s="2058">
        <f t="shared" ref="Y124:Y159" si="110">IF($P$3=1,BG124,IF($P$3=2,BX124,AP124))</f>
        <v>0.5</v>
      </c>
      <c r="Z124" s="2002">
        <f t="shared" ref="Z124:Z159" si="111">IF($P$3=1,BH124,IF($P$3=2,BY124,AQ124))</f>
        <v>0.5</v>
      </c>
      <c r="AA124" s="2058">
        <f t="shared" ref="AA124:AA159" si="112">IF($P$3=1,BI124,IF($P$3=2,BZ124,AR124))</f>
        <v>0.625</v>
      </c>
      <c r="AB124" s="2058">
        <f t="shared" ref="AB124:AB159" si="113">IF($P$3=1,BJ124,IF($P$3=2,CA124,AS124))</f>
        <v>0.5</v>
      </c>
      <c r="AC124" s="2003">
        <f t="shared" si="100"/>
        <v>0</v>
      </c>
      <c r="AD124" s="2001">
        <f t="shared" si="101"/>
        <v>0</v>
      </c>
      <c r="AE124" s="2001">
        <f t="shared" si="102"/>
        <v>0</v>
      </c>
      <c r="AF124"/>
      <c r="AG124" s="1999">
        <v>3</v>
      </c>
      <c r="AH124" s="2004" t="s">
        <v>1437</v>
      </c>
      <c r="AI124" s="2000" t="s">
        <v>1048</v>
      </c>
      <c r="AJ124" s="2060">
        <v>0.5</v>
      </c>
      <c r="AK124" s="2060">
        <v>0.5</v>
      </c>
      <c r="AL124" s="2060">
        <v>0.5</v>
      </c>
      <c r="AM124" s="2060">
        <v>0.5</v>
      </c>
      <c r="AN124" s="2060">
        <v>0.5</v>
      </c>
      <c r="AO124" s="2060">
        <v>0.5</v>
      </c>
      <c r="AP124" s="2060">
        <v>0.5</v>
      </c>
      <c r="AQ124" s="2060">
        <v>0.5</v>
      </c>
      <c r="AR124" s="2230">
        <v>0.625</v>
      </c>
      <c r="AS124" s="2060">
        <v>0.5</v>
      </c>
      <c r="AT124" s="2006"/>
      <c r="AU124" s="2005"/>
      <c r="AV124" s="2005"/>
      <c r="AW124"/>
      <c r="AX124" s="1999">
        <v>3</v>
      </c>
      <c r="AY124" s="2004" t="s">
        <v>1437</v>
      </c>
      <c r="AZ124" s="2000" t="s">
        <v>1048</v>
      </c>
      <c r="BA124" s="2060">
        <v>0.5</v>
      </c>
      <c r="BB124" s="2060">
        <v>0.5</v>
      </c>
      <c r="BC124" s="2060">
        <v>0.5</v>
      </c>
      <c r="BD124" s="2060">
        <v>0.5</v>
      </c>
      <c r="BE124" s="2060">
        <v>0.5</v>
      </c>
      <c r="BF124" s="2060">
        <v>0.5</v>
      </c>
      <c r="BG124" s="2060">
        <v>0.5</v>
      </c>
      <c r="BH124" s="2060">
        <v>0.5</v>
      </c>
      <c r="BI124" s="2230">
        <v>0.625</v>
      </c>
      <c r="BJ124" s="2060">
        <v>0.5</v>
      </c>
      <c r="BK124" s="2006"/>
      <c r="BL124" s="2005"/>
      <c r="BM124" s="2005"/>
      <c r="BN124"/>
      <c r="BO124" s="1999">
        <v>3</v>
      </c>
      <c r="BP124" s="2004" t="s">
        <v>1437</v>
      </c>
      <c r="BQ124" s="2000" t="s">
        <v>1048</v>
      </c>
      <c r="BR124" s="2060">
        <v>0.5</v>
      </c>
      <c r="BS124" s="2060">
        <v>0.5</v>
      </c>
      <c r="BT124" s="2060">
        <v>0.5</v>
      </c>
      <c r="BU124" s="2060">
        <v>0.5</v>
      </c>
      <c r="BV124" s="2060">
        <v>0.5</v>
      </c>
      <c r="BW124" s="2060">
        <v>0.5</v>
      </c>
      <c r="BX124" s="2060">
        <v>0.5</v>
      </c>
      <c r="BY124" s="2060">
        <v>0.5</v>
      </c>
      <c r="BZ124" s="2230">
        <v>0.625</v>
      </c>
      <c r="CA124" s="2060">
        <v>0.5</v>
      </c>
      <c r="CB124" s="2006"/>
      <c r="CC124" s="2005"/>
      <c r="CD124" s="2005"/>
      <c r="CE124" s="2446"/>
      <c r="CF124"/>
    </row>
    <row r="125" spans="1:84" s="1406" customFormat="1">
      <c r="A125"/>
      <c r="B125" s="1985" t="str">
        <f t="shared" si="96"/>
        <v>3a.3b</v>
      </c>
      <c r="C125" s="2000" t="str">
        <f t="shared" si="78"/>
        <v>非住宅部分</v>
      </c>
      <c r="D125" s="1996" t="e">
        <f>IF(I$124=0,0,G125/I$124)</f>
        <v>#DIV/0!</v>
      </c>
      <c r="E125" s="1997" t="e">
        <f>IF(J$124=0,0,H125/J$124)</f>
        <v>#DIV/0!</v>
      </c>
      <c r="F125"/>
      <c r="G125" s="1997" t="e">
        <f t="shared" si="79"/>
        <v>#DIV/0!</v>
      </c>
      <c r="H125" s="1997" t="e">
        <f t="shared" si="80"/>
        <v>#DIV/0!</v>
      </c>
      <c r="I125" s="1997"/>
      <c r="J125" s="1997"/>
      <c r="K125" s="1997">
        <f>IF(スコア!O125=0,0,1)</f>
        <v>0</v>
      </c>
      <c r="L125" s="1997">
        <f>IF(スコア!Q125=0,0,1)</f>
        <v>0</v>
      </c>
      <c r="M125" s="1997" t="e">
        <f>SUMPRODUCT($S$7:$AB$7,S125:AB125)</f>
        <v>#DIV/0!</v>
      </c>
      <c r="N125" s="1997" t="e">
        <f t="shared" si="98"/>
        <v>#DIV/0!</v>
      </c>
      <c r="O125"/>
      <c r="P125" s="1999" t="str">
        <f t="shared" si="56"/>
        <v>3a.3b</v>
      </c>
      <c r="Q125" s="1999" t="str">
        <f t="shared" si="57"/>
        <v>LR1 3.1</v>
      </c>
      <c r="R125" s="2000" t="str">
        <f t="shared" si="99"/>
        <v>非住宅部分</v>
      </c>
      <c r="S125" s="2013">
        <f t="shared" si="104"/>
        <v>1</v>
      </c>
      <c r="T125" s="2013">
        <f t="shared" si="105"/>
        <v>1</v>
      </c>
      <c r="U125" s="2013">
        <f t="shared" si="106"/>
        <v>1</v>
      </c>
      <c r="V125" s="2013">
        <f t="shared" si="107"/>
        <v>1</v>
      </c>
      <c r="W125" s="2013">
        <f t="shared" si="108"/>
        <v>1</v>
      </c>
      <c r="X125" s="2013">
        <f t="shared" si="109"/>
        <v>1</v>
      </c>
      <c r="Y125" s="2013">
        <f t="shared" si="110"/>
        <v>0</v>
      </c>
      <c r="Z125" s="2022">
        <f t="shared" si="111"/>
        <v>1</v>
      </c>
      <c r="AA125" s="2013">
        <f t="shared" si="112"/>
        <v>1</v>
      </c>
      <c r="AB125" s="2013">
        <f t="shared" si="113"/>
        <v>1</v>
      </c>
      <c r="AC125" s="2003">
        <f t="shared" si="100"/>
        <v>0</v>
      </c>
      <c r="AD125" s="2001">
        <f t="shared" si="101"/>
        <v>0</v>
      </c>
      <c r="AE125" s="2001">
        <f t="shared" si="102"/>
        <v>0</v>
      </c>
      <c r="AF125"/>
      <c r="AG125" s="1999" t="s">
        <v>2488</v>
      </c>
      <c r="AH125" s="2004" t="s">
        <v>2745</v>
      </c>
      <c r="AI125" s="2000" t="s">
        <v>831</v>
      </c>
      <c r="AJ125" s="2147">
        <v>1</v>
      </c>
      <c r="AK125" s="2147">
        <v>1</v>
      </c>
      <c r="AL125" s="2147">
        <v>1</v>
      </c>
      <c r="AM125" s="2147">
        <v>1</v>
      </c>
      <c r="AN125" s="2147">
        <v>1</v>
      </c>
      <c r="AO125" s="2147">
        <v>1</v>
      </c>
      <c r="AP125" s="2147"/>
      <c r="AQ125" s="2147">
        <v>1</v>
      </c>
      <c r="AR125" s="2147">
        <v>1</v>
      </c>
      <c r="AS125" s="2147">
        <v>1</v>
      </c>
      <c r="AT125" s="2006"/>
      <c r="AU125" s="2005"/>
      <c r="AV125" s="2005"/>
      <c r="AW125"/>
      <c r="AX125" s="1999" t="s">
        <v>1172</v>
      </c>
      <c r="AY125" s="2004" t="s">
        <v>1173</v>
      </c>
      <c r="AZ125" s="2000" t="s">
        <v>831</v>
      </c>
      <c r="BA125" s="2147">
        <v>1</v>
      </c>
      <c r="BB125" s="2147">
        <v>1</v>
      </c>
      <c r="BC125" s="2147">
        <v>1</v>
      </c>
      <c r="BD125" s="2147">
        <v>1</v>
      </c>
      <c r="BE125" s="2147">
        <v>1</v>
      </c>
      <c r="BF125" s="2147">
        <v>1</v>
      </c>
      <c r="BG125" s="2147"/>
      <c r="BH125" s="2147">
        <v>1</v>
      </c>
      <c r="BI125" s="2147">
        <v>1</v>
      </c>
      <c r="BJ125" s="2147">
        <v>1</v>
      </c>
      <c r="BK125" s="2006"/>
      <c r="BL125" s="2005"/>
      <c r="BM125" s="2005"/>
      <c r="BN125"/>
      <c r="BO125" s="1999" t="s">
        <v>2488</v>
      </c>
      <c r="BP125" s="2004" t="s">
        <v>1173</v>
      </c>
      <c r="BQ125" s="2000" t="s">
        <v>831</v>
      </c>
      <c r="BR125" s="2147">
        <v>1</v>
      </c>
      <c r="BS125" s="2147">
        <v>1</v>
      </c>
      <c r="BT125" s="2147">
        <v>1</v>
      </c>
      <c r="BU125" s="2147">
        <v>1</v>
      </c>
      <c r="BV125" s="2147">
        <v>1</v>
      </c>
      <c r="BW125" s="2147">
        <v>1</v>
      </c>
      <c r="BX125" s="2147"/>
      <c r="BY125" s="2147">
        <v>1</v>
      </c>
      <c r="BZ125" s="2147">
        <v>1</v>
      </c>
      <c r="CA125" s="2147">
        <v>1</v>
      </c>
      <c r="CB125" s="2006"/>
      <c r="CC125" s="2005"/>
      <c r="CD125" s="2005"/>
      <c r="CE125" s="2446"/>
      <c r="CF125"/>
    </row>
    <row r="126" spans="1:84" s="1406" customFormat="1">
      <c r="A126"/>
      <c r="B126" s="1985" t="str">
        <f t="shared" si="96"/>
        <v>3b.c</v>
      </c>
      <c r="C126" s="2000" t="str">
        <f>R126</f>
        <v>集合住宅の評価</v>
      </c>
      <c r="D126" s="1996" t="e">
        <f>IF(I$124=0,0,G126/I$124)</f>
        <v>#DIV/0!</v>
      </c>
      <c r="E126" s="1997" t="e">
        <f>IF(J$124=0,0,H126/J$124)</f>
        <v>#DIV/0!</v>
      </c>
      <c r="F126"/>
      <c r="G126" s="1997" t="e">
        <f t="shared" si="79"/>
        <v>#DIV/0!</v>
      </c>
      <c r="H126" s="1997" t="e">
        <f t="shared" si="80"/>
        <v>#DIV/0!</v>
      </c>
      <c r="I126" s="1997" t="e">
        <f>G127+G128+G129+G130+G131</f>
        <v>#DIV/0!</v>
      </c>
      <c r="J126" s="1997" t="e">
        <f>H127+H128+H129+H130+H131</f>
        <v>#DIV/0!</v>
      </c>
      <c r="K126" s="1997">
        <f>IF(スコア!O126=0,0,1)</f>
        <v>0</v>
      </c>
      <c r="L126" s="1997">
        <f>IF(スコア!Q126=0,0,1)</f>
        <v>0</v>
      </c>
      <c r="M126" s="1997" t="e">
        <f>SUMPRODUCT($S$7:$AB$7,S126:AB126)</f>
        <v>#DIV/0!</v>
      </c>
      <c r="N126" s="1997" t="e">
        <f t="shared" si="98"/>
        <v>#DIV/0!</v>
      </c>
      <c r="O126"/>
      <c r="P126" s="1999" t="str">
        <f t="shared" si="56"/>
        <v>3b.c</v>
      </c>
      <c r="Q126" s="1999" t="str">
        <f t="shared" si="57"/>
        <v>LR1 3.1</v>
      </c>
      <c r="R126" s="2000" t="str">
        <f t="shared" si="99"/>
        <v>集合住宅の評価</v>
      </c>
      <c r="S126" s="2013">
        <f t="shared" si="104"/>
        <v>0</v>
      </c>
      <c r="T126" s="2013">
        <f t="shared" si="105"/>
        <v>0</v>
      </c>
      <c r="U126" s="2013">
        <f t="shared" si="106"/>
        <v>0</v>
      </c>
      <c r="V126" s="2013">
        <f t="shared" si="107"/>
        <v>0</v>
      </c>
      <c r="W126" s="2013">
        <f t="shared" si="108"/>
        <v>0</v>
      </c>
      <c r="X126" s="2013">
        <f t="shared" si="109"/>
        <v>0</v>
      </c>
      <c r="Y126" s="2013">
        <f t="shared" si="110"/>
        <v>1</v>
      </c>
      <c r="Z126" s="2022">
        <f t="shared" si="111"/>
        <v>0</v>
      </c>
      <c r="AA126" s="2013">
        <f t="shared" si="112"/>
        <v>0</v>
      </c>
      <c r="AB126" s="2013">
        <f t="shared" si="113"/>
        <v>0</v>
      </c>
      <c r="AC126" s="2003">
        <f t="shared" si="100"/>
        <v>0</v>
      </c>
      <c r="AD126" s="2001">
        <f t="shared" si="101"/>
        <v>0</v>
      </c>
      <c r="AE126" s="2001">
        <f t="shared" si="102"/>
        <v>0</v>
      </c>
      <c r="AF126"/>
      <c r="AG126" s="1999" t="s">
        <v>2489</v>
      </c>
      <c r="AH126" s="2004" t="s">
        <v>2746</v>
      </c>
      <c r="AI126" s="2000" t="s">
        <v>1306</v>
      </c>
      <c r="AJ126" s="2148"/>
      <c r="AK126" s="2148"/>
      <c r="AL126" s="2148"/>
      <c r="AM126" s="2148"/>
      <c r="AN126" s="2148"/>
      <c r="AO126" s="2148"/>
      <c r="AP126" s="2147">
        <v>1</v>
      </c>
      <c r="AQ126" s="2148"/>
      <c r="AR126" s="2148"/>
      <c r="AS126" s="2147"/>
      <c r="AT126" s="2006"/>
      <c r="AU126" s="2005"/>
      <c r="AV126" s="2005"/>
      <c r="AW126"/>
      <c r="AX126" s="1999" t="s">
        <v>1577</v>
      </c>
      <c r="AY126" s="2004" t="s">
        <v>1173</v>
      </c>
      <c r="AZ126" s="2000" t="s">
        <v>1306</v>
      </c>
      <c r="BA126" s="2148"/>
      <c r="BB126" s="2148"/>
      <c r="BC126" s="2148"/>
      <c r="BD126" s="2148"/>
      <c r="BE126" s="2148"/>
      <c r="BF126" s="2148"/>
      <c r="BG126" s="2147">
        <v>1</v>
      </c>
      <c r="BH126" s="2148"/>
      <c r="BI126" s="2148"/>
      <c r="BJ126" s="2147"/>
      <c r="BK126" s="2006"/>
      <c r="BL126" s="2005"/>
      <c r="BM126" s="2005"/>
      <c r="BN126"/>
      <c r="BO126" s="1999" t="s">
        <v>2489</v>
      </c>
      <c r="BP126" s="2004" t="s">
        <v>1173</v>
      </c>
      <c r="BQ126" s="2000" t="s">
        <v>1306</v>
      </c>
      <c r="BR126" s="2148"/>
      <c r="BS126" s="2148"/>
      <c r="BT126" s="2148"/>
      <c r="BU126" s="2148"/>
      <c r="BV126" s="2148"/>
      <c r="BW126" s="2148"/>
      <c r="BX126" s="2147">
        <v>1</v>
      </c>
      <c r="BY126" s="2148"/>
      <c r="BZ126" s="2148"/>
      <c r="CA126" s="2147"/>
      <c r="CB126" s="2006"/>
      <c r="CC126" s="2005"/>
      <c r="CD126" s="2005"/>
      <c r="CE126" s="2446"/>
      <c r="CF126"/>
    </row>
    <row r="127" spans="1:84" hidden="1">
      <c r="B127" s="1985">
        <f t="shared" si="96"/>
        <v>3.1</v>
      </c>
      <c r="C127" s="2012" t="str">
        <f t="shared" si="78"/>
        <v>空調設備</v>
      </c>
      <c r="D127" s="2009" t="e">
        <f t="shared" ref="D127:E131" si="114">IF(I$126=0,0,G127/I$126)</f>
        <v>#DIV/0!</v>
      </c>
      <c r="E127" s="2010" t="e">
        <f t="shared" si="114"/>
        <v>#DIV/0!</v>
      </c>
      <c r="G127" s="2010" t="e">
        <f t="shared" si="79"/>
        <v>#DIV/0!</v>
      </c>
      <c r="H127" s="2010" t="e">
        <f t="shared" si="80"/>
        <v>#DIV/0!</v>
      </c>
      <c r="I127" s="2010"/>
      <c r="J127" s="2010"/>
      <c r="K127" s="2010">
        <f>IF(スコア!O127=0,0,1)</f>
        <v>0</v>
      </c>
      <c r="L127" s="2010">
        <f>IF(スコア!Q127=0,0,1)</f>
        <v>0</v>
      </c>
      <c r="M127" s="2010" t="e">
        <f t="shared" si="81"/>
        <v>#DIV/0!</v>
      </c>
      <c r="N127" s="2010" t="e">
        <f t="shared" si="98"/>
        <v>#DIV/0!</v>
      </c>
      <c r="P127" s="2011">
        <f t="shared" si="56"/>
        <v>3.1</v>
      </c>
      <c r="Q127" s="2011" t="str">
        <f t="shared" si="57"/>
        <v>LR1 3b</v>
      </c>
      <c r="R127" s="2012" t="str">
        <f t="shared" si="99"/>
        <v>空調設備</v>
      </c>
      <c r="S127" s="2013">
        <f t="shared" si="104"/>
        <v>0</v>
      </c>
      <c r="T127" s="2013">
        <f t="shared" si="105"/>
        <v>0</v>
      </c>
      <c r="U127" s="2013">
        <f t="shared" si="106"/>
        <v>0</v>
      </c>
      <c r="V127" s="2013">
        <f t="shared" si="107"/>
        <v>0</v>
      </c>
      <c r="W127" s="2013">
        <f t="shared" si="108"/>
        <v>0</v>
      </c>
      <c r="X127" s="2013">
        <f t="shared" si="109"/>
        <v>0</v>
      </c>
      <c r="Y127" s="2013">
        <f t="shared" si="110"/>
        <v>0</v>
      </c>
      <c r="Z127" s="2022">
        <f t="shared" si="111"/>
        <v>0</v>
      </c>
      <c r="AA127" s="2013">
        <f t="shared" si="112"/>
        <v>0</v>
      </c>
      <c r="AB127" s="2013">
        <f t="shared" si="113"/>
        <v>0.65</v>
      </c>
      <c r="AC127" s="2014">
        <f t="shared" si="100"/>
        <v>0</v>
      </c>
      <c r="AD127" s="2013">
        <f t="shared" si="101"/>
        <v>0</v>
      </c>
      <c r="AE127" s="2013">
        <f t="shared" si="102"/>
        <v>0</v>
      </c>
      <c r="AG127" s="2011">
        <v>3.1</v>
      </c>
      <c r="AH127" s="2015" t="s">
        <v>1174</v>
      </c>
      <c r="AI127" s="2012" t="s">
        <v>1049</v>
      </c>
      <c r="AJ127" s="2018"/>
      <c r="AK127" s="2018"/>
      <c r="AL127" s="2018"/>
      <c r="AM127" s="2018"/>
      <c r="AN127" s="2018"/>
      <c r="AO127" s="2018"/>
      <c r="AP127" s="2018"/>
      <c r="AQ127" s="2025"/>
      <c r="AR127" s="2018"/>
      <c r="AS127" s="2231">
        <v>0.65</v>
      </c>
      <c r="AT127" s="2019"/>
      <c r="AU127" s="2018"/>
      <c r="AV127" s="2018"/>
      <c r="AX127" s="2011">
        <v>3.1</v>
      </c>
      <c r="AY127" s="2015" t="s">
        <v>1174</v>
      </c>
      <c r="AZ127" s="2012" t="s">
        <v>1049</v>
      </c>
      <c r="BA127" s="2018"/>
      <c r="BB127" s="2018"/>
      <c r="BC127" s="2018"/>
      <c r="BD127" s="2018"/>
      <c r="BE127" s="2018"/>
      <c r="BF127" s="2018"/>
      <c r="BG127" s="2018"/>
      <c r="BH127" s="2025"/>
      <c r="BI127" s="2018"/>
      <c r="BJ127" s="2231">
        <v>0.65</v>
      </c>
      <c r="BK127" s="2019"/>
      <c r="BL127" s="2018"/>
      <c r="BM127" s="2018"/>
      <c r="BO127" s="2011">
        <v>3.1</v>
      </c>
      <c r="BP127" s="2015" t="s">
        <v>1174</v>
      </c>
      <c r="BQ127" s="2012" t="s">
        <v>1049</v>
      </c>
      <c r="BR127" s="2018"/>
      <c r="BS127" s="2018"/>
      <c r="BT127" s="2018"/>
      <c r="BU127" s="2018"/>
      <c r="BV127" s="2018"/>
      <c r="BW127" s="2018"/>
      <c r="BX127" s="2018"/>
      <c r="BY127" s="2025"/>
      <c r="BZ127" s="2018"/>
      <c r="CA127" s="2018"/>
      <c r="CB127" s="2019"/>
      <c r="CC127" s="2018"/>
      <c r="CD127" s="2018"/>
      <c r="CE127" s="2447"/>
      <c r="CF127">
        <f>ROWS($CF$5:CF126)</f>
        <v>122</v>
      </c>
    </row>
    <row r="128" spans="1:84" hidden="1">
      <c r="B128" s="1985">
        <f t="shared" si="96"/>
        <v>3.2</v>
      </c>
      <c r="C128" s="2012" t="str">
        <f t="shared" si="78"/>
        <v>換気設備</v>
      </c>
      <c r="D128" s="2009" t="e">
        <f t="shared" si="114"/>
        <v>#DIV/0!</v>
      </c>
      <c r="E128" s="2010" t="e">
        <f t="shared" si="114"/>
        <v>#DIV/0!</v>
      </c>
      <c r="G128" s="2010" t="e">
        <f t="shared" si="79"/>
        <v>#DIV/0!</v>
      </c>
      <c r="H128" s="2010" t="e">
        <f t="shared" si="80"/>
        <v>#DIV/0!</v>
      </c>
      <c r="I128" s="2010"/>
      <c r="J128" s="2010"/>
      <c r="K128" s="2010">
        <f>IF(スコア!O128=0,0,1)</f>
        <v>0</v>
      </c>
      <c r="L128" s="2010">
        <f>IF(スコア!Q128=0,0,1)</f>
        <v>0</v>
      </c>
      <c r="M128" s="2010" t="e">
        <f t="shared" si="81"/>
        <v>#DIV/0!</v>
      </c>
      <c r="N128" s="2010" t="e">
        <f t="shared" si="98"/>
        <v>#DIV/0!</v>
      </c>
      <c r="P128" s="2011">
        <f t="shared" si="56"/>
        <v>3.2</v>
      </c>
      <c r="Q128" s="2011" t="str">
        <f t="shared" si="57"/>
        <v>LR1 3b</v>
      </c>
      <c r="R128" s="2012" t="str">
        <f t="shared" si="99"/>
        <v>換気設備</v>
      </c>
      <c r="S128" s="2013">
        <f t="shared" si="104"/>
        <v>0</v>
      </c>
      <c r="T128" s="2013">
        <f t="shared" si="105"/>
        <v>0</v>
      </c>
      <c r="U128" s="2013">
        <f t="shared" si="106"/>
        <v>0</v>
      </c>
      <c r="V128" s="2013">
        <f t="shared" si="107"/>
        <v>0</v>
      </c>
      <c r="W128" s="2013">
        <f t="shared" si="108"/>
        <v>0</v>
      </c>
      <c r="X128" s="2013">
        <f t="shared" si="109"/>
        <v>0</v>
      </c>
      <c r="Y128" s="2013">
        <f t="shared" si="110"/>
        <v>0</v>
      </c>
      <c r="Z128" s="2022">
        <f t="shared" si="111"/>
        <v>0</v>
      </c>
      <c r="AA128" s="2013">
        <f t="shared" si="112"/>
        <v>0</v>
      </c>
      <c r="AB128" s="2013">
        <f t="shared" si="113"/>
        <v>0.1</v>
      </c>
      <c r="AC128" s="2014">
        <f t="shared" si="100"/>
        <v>0</v>
      </c>
      <c r="AD128" s="2013">
        <f t="shared" si="101"/>
        <v>0</v>
      </c>
      <c r="AE128" s="2013">
        <f t="shared" si="102"/>
        <v>0</v>
      </c>
      <c r="AG128" s="2011">
        <v>3.2</v>
      </c>
      <c r="AH128" s="2015" t="s">
        <v>1174</v>
      </c>
      <c r="AI128" s="2012" t="s">
        <v>1050</v>
      </c>
      <c r="AJ128" s="2018"/>
      <c r="AK128" s="2018"/>
      <c r="AL128" s="2018"/>
      <c r="AM128" s="2018"/>
      <c r="AN128" s="2018"/>
      <c r="AO128" s="2018"/>
      <c r="AP128" s="2018"/>
      <c r="AQ128" s="2025"/>
      <c r="AR128" s="2018"/>
      <c r="AS128" s="2231">
        <v>0.1</v>
      </c>
      <c r="AT128" s="2019"/>
      <c r="AU128" s="2018"/>
      <c r="AV128" s="2018"/>
      <c r="AX128" s="2011">
        <v>3.2</v>
      </c>
      <c r="AY128" s="2015" t="s">
        <v>1174</v>
      </c>
      <c r="AZ128" s="2012" t="s">
        <v>1050</v>
      </c>
      <c r="BA128" s="2018"/>
      <c r="BB128" s="2018"/>
      <c r="BC128" s="2018"/>
      <c r="BD128" s="2018"/>
      <c r="BE128" s="2018"/>
      <c r="BF128" s="2018"/>
      <c r="BG128" s="2018"/>
      <c r="BH128" s="2025"/>
      <c r="BI128" s="2018"/>
      <c r="BJ128" s="2231">
        <v>0.1</v>
      </c>
      <c r="BK128" s="2019"/>
      <c r="BL128" s="2018"/>
      <c r="BM128" s="2018"/>
      <c r="BO128" s="2011">
        <v>3.2</v>
      </c>
      <c r="BP128" s="2015" t="s">
        <v>1174</v>
      </c>
      <c r="BQ128" s="2012" t="s">
        <v>1050</v>
      </c>
      <c r="BR128" s="2018"/>
      <c r="BS128" s="2018"/>
      <c r="BT128" s="2018"/>
      <c r="BU128" s="2018"/>
      <c r="BV128" s="2018"/>
      <c r="BW128" s="2018"/>
      <c r="BX128" s="2018"/>
      <c r="BY128" s="2025"/>
      <c r="BZ128" s="2018"/>
      <c r="CA128" s="2018"/>
      <c r="CB128" s="2019"/>
      <c r="CC128" s="2018"/>
      <c r="CD128" s="2018"/>
      <c r="CE128" s="2447"/>
      <c r="CF128">
        <f>ROWS($CF$5:CF127)</f>
        <v>123</v>
      </c>
    </row>
    <row r="129" spans="1:84" hidden="1">
      <c r="B129" s="1985">
        <f t="shared" si="96"/>
        <v>3.3</v>
      </c>
      <c r="C129" s="2012" t="str">
        <f t="shared" si="78"/>
        <v>照明設備</v>
      </c>
      <c r="D129" s="2009" t="e">
        <f t="shared" si="114"/>
        <v>#DIV/0!</v>
      </c>
      <c r="E129" s="2010" t="e">
        <f t="shared" si="114"/>
        <v>#DIV/0!</v>
      </c>
      <c r="G129" s="2010" t="e">
        <f t="shared" si="79"/>
        <v>#DIV/0!</v>
      </c>
      <c r="H129" s="2010" t="e">
        <f t="shared" si="80"/>
        <v>#DIV/0!</v>
      </c>
      <c r="I129" s="2010"/>
      <c r="J129" s="2010"/>
      <c r="K129" s="2010">
        <f>IF(スコア!O129=0,0,1)</f>
        <v>0</v>
      </c>
      <c r="L129" s="2010">
        <f>IF(スコア!Q129=0,0,1)</f>
        <v>0</v>
      </c>
      <c r="M129" s="2010" t="e">
        <f t="shared" si="81"/>
        <v>#DIV/0!</v>
      </c>
      <c r="N129" s="2010" t="e">
        <f t="shared" si="98"/>
        <v>#DIV/0!</v>
      </c>
      <c r="P129" s="2011">
        <f t="shared" si="56"/>
        <v>3.3</v>
      </c>
      <c r="Q129" s="2011" t="str">
        <f t="shared" si="57"/>
        <v>LR1 3b</v>
      </c>
      <c r="R129" s="2012" t="str">
        <f t="shared" si="99"/>
        <v>照明設備</v>
      </c>
      <c r="S129" s="2013">
        <f t="shared" si="104"/>
        <v>0</v>
      </c>
      <c r="T129" s="2013">
        <f t="shared" si="105"/>
        <v>0</v>
      </c>
      <c r="U129" s="2013">
        <f t="shared" si="106"/>
        <v>0</v>
      </c>
      <c r="V129" s="2013">
        <f t="shared" si="107"/>
        <v>0</v>
      </c>
      <c r="W129" s="2013">
        <f t="shared" si="108"/>
        <v>0</v>
      </c>
      <c r="X129" s="2013">
        <f t="shared" si="109"/>
        <v>0</v>
      </c>
      <c r="Y129" s="2013">
        <f t="shared" si="110"/>
        <v>0</v>
      </c>
      <c r="Z129" s="2022">
        <f t="shared" si="111"/>
        <v>0</v>
      </c>
      <c r="AA129" s="2013">
        <f t="shared" si="112"/>
        <v>0</v>
      </c>
      <c r="AB129" s="2013">
        <f t="shared" si="113"/>
        <v>0.2</v>
      </c>
      <c r="AC129" s="2014">
        <f t="shared" si="100"/>
        <v>0</v>
      </c>
      <c r="AD129" s="2013">
        <f t="shared" si="101"/>
        <v>0</v>
      </c>
      <c r="AE129" s="2013">
        <f t="shared" si="102"/>
        <v>0</v>
      </c>
      <c r="AG129" s="2011">
        <v>3.3</v>
      </c>
      <c r="AH129" s="2015" t="s">
        <v>1174</v>
      </c>
      <c r="AI129" s="2012" t="s">
        <v>1051</v>
      </c>
      <c r="AJ129" s="2018"/>
      <c r="AK129" s="2018"/>
      <c r="AL129" s="2018"/>
      <c r="AM129" s="2018"/>
      <c r="AN129" s="2018"/>
      <c r="AO129" s="2018"/>
      <c r="AP129" s="2018"/>
      <c r="AQ129" s="2025"/>
      <c r="AR129" s="2018"/>
      <c r="AS129" s="2231">
        <v>0.2</v>
      </c>
      <c r="AT129" s="2019"/>
      <c r="AU129" s="2018"/>
      <c r="AV129" s="2018"/>
      <c r="AX129" s="2011">
        <v>3.3</v>
      </c>
      <c r="AY129" s="2015" t="s">
        <v>1174</v>
      </c>
      <c r="AZ129" s="2012" t="s">
        <v>1051</v>
      </c>
      <c r="BA129" s="2018"/>
      <c r="BB129" s="2018"/>
      <c r="BC129" s="2018"/>
      <c r="BD129" s="2018"/>
      <c r="BE129" s="2018"/>
      <c r="BF129" s="2018"/>
      <c r="BG129" s="2018"/>
      <c r="BH129" s="2025"/>
      <c r="BI129" s="2018"/>
      <c r="BJ129" s="2231">
        <v>0.2</v>
      </c>
      <c r="BK129" s="2019"/>
      <c r="BL129" s="2018"/>
      <c r="BM129" s="2018"/>
      <c r="BO129" s="2011">
        <v>3.3</v>
      </c>
      <c r="BP129" s="2015" t="s">
        <v>1174</v>
      </c>
      <c r="BQ129" s="2012" t="s">
        <v>1051</v>
      </c>
      <c r="BR129" s="2018"/>
      <c r="BS129" s="2018"/>
      <c r="BT129" s="2018"/>
      <c r="BU129" s="2018"/>
      <c r="BV129" s="2018"/>
      <c r="BW129" s="2018"/>
      <c r="BX129" s="2018"/>
      <c r="BY129" s="2025"/>
      <c r="BZ129" s="2018"/>
      <c r="CA129" s="2018"/>
      <c r="CB129" s="2019"/>
      <c r="CC129" s="2018"/>
      <c r="CD129" s="2018"/>
      <c r="CE129" s="2447"/>
      <c r="CF129">
        <f>ROWS($CF$5:CF128)</f>
        <v>124</v>
      </c>
    </row>
    <row r="130" spans="1:84" hidden="1">
      <c r="B130" s="1985">
        <f t="shared" si="96"/>
        <v>3.4</v>
      </c>
      <c r="C130" s="2012" t="str">
        <f t="shared" si="78"/>
        <v>給湯設備</v>
      </c>
      <c r="D130" s="2009" t="e">
        <f t="shared" si="114"/>
        <v>#DIV/0!</v>
      </c>
      <c r="E130" s="2010" t="e">
        <f t="shared" si="114"/>
        <v>#DIV/0!</v>
      </c>
      <c r="G130" s="2010" t="e">
        <f t="shared" si="79"/>
        <v>#DIV/0!</v>
      </c>
      <c r="H130" s="2010" t="e">
        <f t="shared" si="80"/>
        <v>#DIV/0!</v>
      </c>
      <c r="I130" s="2010"/>
      <c r="J130" s="2010"/>
      <c r="K130" s="2010">
        <f>IF(スコア!O130=0,0,1)</f>
        <v>0</v>
      </c>
      <c r="L130" s="2010">
        <f>IF(スコア!Q130=0,0,1)</f>
        <v>0</v>
      </c>
      <c r="M130" s="2010" t="e">
        <f t="shared" si="81"/>
        <v>#DIV/0!</v>
      </c>
      <c r="N130" s="2010" t="e">
        <f t="shared" si="98"/>
        <v>#DIV/0!</v>
      </c>
      <c r="P130" s="2084">
        <f t="shared" si="56"/>
        <v>3.4</v>
      </c>
      <c r="Q130" s="2011" t="str">
        <f t="shared" si="57"/>
        <v>LR1 3b</v>
      </c>
      <c r="R130" s="2012" t="str">
        <f t="shared" si="99"/>
        <v>給湯設備</v>
      </c>
      <c r="S130" s="2013">
        <f t="shared" si="104"/>
        <v>0</v>
      </c>
      <c r="T130" s="2013">
        <f t="shared" si="105"/>
        <v>0</v>
      </c>
      <c r="U130" s="2013">
        <f t="shared" si="106"/>
        <v>0</v>
      </c>
      <c r="V130" s="2013">
        <f t="shared" si="107"/>
        <v>0</v>
      </c>
      <c r="W130" s="2013">
        <f t="shared" si="108"/>
        <v>0</v>
      </c>
      <c r="X130" s="2013">
        <f t="shared" si="109"/>
        <v>0</v>
      </c>
      <c r="Y130" s="2013">
        <f t="shared" si="110"/>
        <v>0</v>
      </c>
      <c r="Z130" s="2022">
        <f t="shared" si="111"/>
        <v>0</v>
      </c>
      <c r="AA130" s="2013">
        <f t="shared" si="112"/>
        <v>0</v>
      </c>
      <c r="AB130" s="2013">
        <f t="shared" si="113"/>
        <v>0.05</v>
      </c>
      <c r="AC130" s="2014">
        <f t="shared" si="100"/>
        <v>0</v>
      </c>
      <c r="AD130" s="2013">
        <f t="shared" si="101"/>
        <v>0</v>
      </c>
      <c r="AE130" s="2013">
        <f t="shared" si="102"/>
        <v>0</v>
      </c>
      <c r="AG130" s="2084">
        <v>3.4</v>
      </c>
      <c r="AH130" s="2015" t="s">
        <v>1174</v>
      </c>
      <c r="AI130" s="2012" t="s">
        <v>1052</v>
      </c>
      <c r="AJ130" s="2018"/>
      <c r="AK130" s="2018"/>
      <c r="AL130" s="2018"/>
      <c r="AM130" s="2018"/>
      <c r="AN130" s="2018"/>
      <c r="AO130" s="2018"/>
      <c r="AP130" s="2018"/>
      <c r="AQ130" s="2025"/>
      <c r="AR130" s="2018"/>
      <c r="AS130" s="2231">
        <v>0.05</v>
      </c>
      <c r="AT130" s="2019"/>
      <c r="AU130" s="2018"/>
      <c r="AV130" s="2018"/>
      <c r="AX130" s="2084">
        <v>3.4</v>
      </c>
      <c r="AY130" s="2015" t="s">
        <v>1174</v>
      </c>
      <c r="AZ130" s="2012" t="s">
        <v>1052</v>
      </c>
      <c r="BA130" s="2018"/>
      <c r="BB130" s="2018"/>
      <c r="BC130" s="2018"/>
      <c r="BD130" s="2018"/>
      <c r="BE130" s="2018"/>
      <c r="BF130" s="2018"/>
      <c r="BG130" s="2018"/>
      <c r="BH130" s="2025"/>
      <c r="BI130" s="2018"/>
      <c r="BJ130" s="2231">
        <v>0.05</v>
      </c>
      <c r="BK130" s="2019"/>
      <c r="BL130" s="2018"/>
      <c r="BM130" s="2018"/>
      <c r="BO130" s="2084">
        <v>3.4</v>
      </c>
      <c r="BP130" s="2015" t="s">
        <v>1174</v>
      </c>
      <c r="BQ130" s="2012" t="s">
        <v>1052</v>
      </c>
      <c r="BR130" s="2018"/>
      <c r="BS130" s="2018"/>
      <c r="BT130" s="2018"/>
      <c r="BU130" s="2018"/>
      <c r="BV130" s="2018"/>
      <c r="BW130" s="2018"/>
      <c r="BX130" s="2018"/>
      <c r="BY130" s="2025"/>
      <c r="BZ130" s="2018"/>
      <c r="CA130" s="2018"/>
      <c r="CB130" s="2019"/>
      <c r="CC130" s="2018"/>
      <c r="CD130" s="2018"/>
      <c r="CE130" s="2447"/>
      <c r="CF130">
        <f>ROWS($CF$5:CF129)</f>
        <v>125</v>
      </c>
    </row>
    <row r="131" spans="1:84" hidden="1">
      <c r="B131" s="1985">
        <f t="shared" si="96"/>
        <v>3.5</v>
      </c>
      <c r="C131" s="2012" t="str">
        <f t="shared" si="78"/>
        <v>昇降機設備</v>
      </c>
      <c r="D131" s="2009" t="e">
        <f t="shared" si="114"/>
        <v>#DIV/0!</v>
      </c>
      <c r="E131" s="2010" t="e">
        <f t="shared" si="114"/>
        <v>#DIV/0!</v>
      </c>
      <c r="G131" s="2010" t="e">
        <f t="shared" si="79"/>
        <v>#DIV/0!</v>
      </c>
      <c r="H131" s="2010" t="e">
        <f t="shared" si="80"/>
        <v>#DIV/0!</v>
      </c>
      <c r="I131" s="2010"/>
      <c r="J131" s="2010"/>
      <c r="K131" s="2010">
        <f>IF(スコア!O131=0,0,1)</f>
        <v>0</v>
      </c>
      <c r="L131" s="2010">
        <f>IF(スコア!Q131=0,0,1)</f>
        <v>0</v>
      </c>
      <c r="M131" s="2010" t="e">
        <f t="shared" si="81"/>
        <v>#DIV/0!</v>
      </c>
      <c r="N131" s="2010" t="e">
        <f t="shared" si="98"/>
        <v>#DIV/0!</v>
      </c>
      <c r="P131" s="2084">
        <f t="shared" si="56"/>
        <v>3.5</v>
      </c>
      <c r="Q131" s="2011" t="str">
        <f t="shared" si="57"/>
        <v>LR1 3b</v>
      </c>
      <c r="R131" s="2012" t="str">
        <f t="shared" si="99"/>
        <v>昇降機設備</v>
      </c>
      <c r="S131" s="2013">
        <f t="shared" si="104"/>
        <v>0</v>
      </c>
      <c r="T131" s="2013">
        <f t="shared" si="105"/>
        <v>0</v>
      </c>
      <c r="U131" s="2013">
        <f t="shared" si="106"/>
        <v>0</v>
      </c>
      <c r="V131" s="2013">
        <f t="shared" si="107"/>
        <v>0</v>
      </c>
      <c r="W131" s="2013">
        <f t="shared" si="108"/>
        <v>0</v>
      </c>
      <c r="X131" s="2013">
        <f t="shared" si="109"/>
        <v>0</v>
      </c>
      <c r="Y131" s="2013">
        <f t="shared" si="110"/>
        <v>0</v>
      </c>
      <c r="Z131" s="2022">
        <f t="shared" si="111"/>
        <v>0</v>
      </c>
      <c r="AA131" s="2013">
        <f t="shared" si="112"/>
        <v>0</v>
      </c>
      <c r="AB131" s="2013">
        <f t="shared" si="113"/>
        <v>0</v>
      </c>
      <c r="AC131" s="2014">
        <f t="shared" si="100"/>
        <v>0</v>
      </c>
      <c r="AD131" s="2013">
        <f t="shared" si="101"/>
        <v>0</v>
      </c>
      <c r="AE131" s="2013">
        <f t="shared" si="102"/>
        <v>0</v>
      </c>
      <c r="AG131" s="2084">
        <v>3.5</v>
      </c>
      <c r="AH131" s="2015" t="s">
        <v>1174</v>
      </c>
      <c r="AI131" s="2012" t="s">
        <v>1053</v>
      </c>
      <c r="AJ131" s="2018"/>
      <c r="AK131" s="2018"/>
      <c r="AL131" s="2018"/>
      <c r="AM131" s="2018"/>
      <c r="AN131" s="2018"/>
      <c r="AO131" s="2018"/>
      <c r="AP131" s="2018"/>
      <c r="AQ131" s="2025"/>
      <c r="AR131" s="2018"/>
      <c r="AS131" s="2018"/>
      <c r="AT131" s="2019"/>
      <c r="AU131" s="2018"/>
      <c r="AV131" s="2018"/>
      <c r="AX131" s="2084">
        <v>3.5</v>
      </c>
      <c r="AY131" s="2015" t="s">
        <v>1174</v>
      </c>
      <c r="AZ131" s="2012" t="s">
        <v>1053</v>
      </c>
      <c r="BA131" s="2018"/>
      <c r="BB131" s="2018"/>
      <c r="BC131" s="2018"/>
      <c r="BD131" s="2018"/>
      <c r="BE131" s="2018"/>
      <c r="BF131" s="2018"/>
      <c r="BG131" s="2018"/>
      <c r="BH131" s="2025"/>
      <c r="BI131" s="2018"/>
      <c r="BJ131" s="2018"/>
      <c r="BK131" s="2019"/>
      <c r="BL131" s="2018"/>
      <c r="BM131" s="2018"/>
      <c r="BO131" s="2084">
        <v>3.5</v>
      </c>
      <c r="BP131" s="2015" t="s">
        <v>1174</v>
      </c>
      <c r="BQ131" s="2012" t="s">
        <v>1053</v>
      </c>
      <c r="BR131" s="2018"/>
      <c r="BS131" s="2018"/>
      <c r="BT131" s="2018"/>
      <c r="BU131" s="2018"/>
      <c r="BV131" s="2018"/>
      <c r="BW131" s="2018"/>
      <c r="BX131" s="2018"/>
      <c r="BY131" s="2025"/>
      <c r="BZ131" s="2018"/>
      <c r="CA131" s="2018"/>
      <c r="CB131" s="2019"/>
      <c r="CC131" s="2018"/>
      <c r="CD131" s="2018"/>
      <c r="CE131" s="2447"/>
      <c r="CF131">
        <f>ROWS($CF$5:CF130)</f>
        <v>126</v>
      </c>
    </row>
    <row r="132" spans="1:84">
      <c r="B132" s="1985">
        <f t="shared" si="96"/>
        <v>3</v>
      </c>
      <c r="C132" s="2000" t="str">
        <f t="shared" si="78"/>
        <v>実績値を用いた総合評価</v>
      </c>
      <c r="D132" s="1996" t="e">
        <f>D125</f>
        <v>#DIV/0!</v>
      </c>
      <c r="E132" s="1997" t="e">
        <f>IF(J$124=0,0,H132/J$124)</f>
        <v>#DIV/0!</v>
      </c>
      <c r="F132" s="2573"/>
      <c r="G132" s="1997" t="e">
        <f>K132*M132</f>
        <v>#DIV/0!</v>
      </c>
      <c r="H132" s="1997" t="e">
        <f>L132*N132</f>
        <v>#DIV/0!</v>
      </c>
      <c r="I132" s="1997"/>
      <c r="J132" s="1997"/>
      <c r="K132" s="1997">
        <f>IF(スコア!O132=0,0,1)</f>
        <v>1</v>
      </c>
      <c r="L132" s="1997">
        <f>IF(スコア!Q132=0,0,1)</f>
        <v>0</v>
      </c>
      <c r="M132" s="1997" t="e">
        <f>SUMPRODUCT($S$7:$AB$7,S132:AB132)</f>
        <v>#DIV/0!</v>
      </c>
      <c r="N132" s="1997" t="e">
        <f t="shared" si="98"/>
        <v>#DIV/0!</v>
      </c>
      <c r="P132" s="2082">
        <f t="shared" si="56"/>
        <v>3</v>
      </c>
      <c r="Q132" s="2082" t="str">
        <f t="shared" si="57"/>
        <v>LR1 3.2</v>
      </c>
      <c r="R132" s="2000" t="str">
        <f t="shared" si="99"/>
        <v>実績値を用いた総合評価</v>
      </c>
      <c r="S132" s="2058">
        <f t="shared" si="104"/>
        <v>1</v>
      </c>
      <c r="T132" s="2058">
        <f t="shared" si="105"/>
        <v>1</v>
      </c>
      <c r="U132" s="2058">
        <f t="shared" si="106"/>
        <v>1</v>
      </c>
      <c r="V132" s="2058">
        <f t="shared" si="107"/>
        <v>1</v>
      </c>
      <c r="W132" s="2058">
        <f t="shared" si="108"/>
        <v>1</v>
      </c>
      <c r="X132" s="2058">
        <f t="shared" si="109"/>
        <v>1</v>
      </c>
      <c r="Y132" s="2058">
        <f t="shared" si="110"/>
        <v>0</v>
      </c>
      <c r="Z132" s="2002">
        <f t="shared" si="111"/>
        <v>1</v>
      </c>
      <c r="AA132" s="2058">
        <f t="shared" si="112"/>
        <v>0</v>
      </c>
      <c r="AB132" s="2058">
        <f t="shared" si="113"/>
        <v>1</v>
      </c>
      <c r="AC132" s="2014">
        <f t="shared" si="100"/>
        <v>0</v>
      </c>
      <c r="AD132" s="2013">
        <f t="shared" si="101"/>
        <v>0</v>
      </c>
      <c r="AE132" s="2013">
        <f t="shared" si="102"/>
        <v>0</v>
      </c>
      <c r="AG132" s="2084">
        <v>3</v>
      </c>
      <c r="AH132" s="2690" t="s">
        <v>2747</v>
      </c>
      <c r="AI132" s="2000" t="s">
        <v>2743</v>
      </c>
      <c r="AJ132" s="2018">
        <v>1</v>
      </c>
      <c r="AK132" s="2018">
        <v>1</v>
      </c>
      <c r="AL132" s="2018">
        <v>1</v>
      </c>
      <c r="AM132" s="2018">
        <v>1</v>
      </c>
      <c r="AN132" s="2018">
        <v>1</v>
      </c>
      <c r="AO132" s="2018">
        <v>1</v>
      </c>
      <c r="AP132" s="2018"/>
      <c r="AQ132" s="2018">
        <v>1</v>
      </c>
      <c r="AR132" s="2018"/>
      <c r="AS132" s="2018">
        <v>1</v>
      </c>
      <c r="AT132" s="2019"/>
      <c r="AU132" s="2018"/>
      <c r="AV132" s="2018"/>
      <c r="AX132" s="2084"/>
      <c r="AY132" s="2085" t="s">
        <v>123</v>
      </c>
      <c r="AZ132" s="2012"/>
      <c r="BA132" s="2018"/>
      <c r="BB132" s="2018"/>
      <c r="BC132" s="2018"/>
      <c r="BD132" s="2018"/>
      <c r="BE132" s="2018"/>
      <c r="BF132" s="2018"/>
      <c r="BG132" s="2018"/>
      <c r="BH132" s="2025"/>
      <c r="BI132" s="2018"/>
      <c r="BJ132" s="2018"/>
      <c r="BK132" s="2019"/>
      <c r="BL132" s="2018"/>
      <c r="BM132" s="2018"/>
      <c r="BO132" s="2084"/>
      <c r="BP132" s="2085" t="s">
        <v>123</v>
      </c>
      <c r="BQ132" s="2012"/>
      <c r="BR132" s="2018"/>
      <c r="BS132" s="2018"/>
      <c r="BT132" s="2018"/>
      <c r="BU132" s="2018"/>
      <c r="BV132" s="2018"/>
      <c r="BW132" s="2018"/>
      <c r="BX132" s="2018"/>
      <c r="BY132" s="2025"/>
      <c r="BZ132" s="2018"/>
      <c r="CA132" s="2018"/>
      <c r="CB132" s="2019"/>
      <c r="CC132" s="2018"/>
      <c r="CD132" s="2018"/>
      <c r="CE132" s="2447"/>
      <c r="CF132">
        <f>ROWS($CF$5:CF131)</f>
        <v>127</v>
      </c>
    </row>
    <row r="133" spans="1:84" s="1406" customFormat="1">
      <c r="A133"/>
      <c r="B133" s="1985">
        <f t="shared" si="96"/>
        <v>4</v>
      </c>
      <c r="C133" s="2000" t="str">
        <f t="shared" si="78"/>
        <v>効率的運用</v>
      </c>
      <c r="D133" s="1996" t="e">
        <f>IF(I$117=0,0,G133/I$117)</f>
        <v>#DIV/0!</v>
      </c>
      <c r="E133" s="1997" t="e">
        <f>IF(J$117=0,0,H133/J$117)</f>
        <v>#DIV/0!</v>
      </c>
      <c r="F133"/>
      <c r="G133" s="1997" t="e">
        <f>K133*M133</f>
        <v>#DIV/0!</v>
      </c>
      <c r="H133" s="1997" t="e">
        <f t="shared" si="80"/>
        <v>#DIV/0!</v>
      </c>
      <c r="I133" s="1997" t="e">
        <f>G134+G137</f>
        <v>#DIV/0!</v>
      </c>
      <c r="J133" s="1997" t="e">
        <f>H134+H137</f>
        <v>#DIV/0!</v>
      </c>
      <c r="K133" s="1997" t="e">
        <f>IF(スコア!O133=0,0,1)</f>
        <v>#DIV/0!</v>
      </c>
      <c r="L133" s="1997" t="e">
        <f>IF(スコア!Q133=0,0,1)</f>
        <v>#DIV/0!</v>
      </c>
      <c r="M133" s="1997" t="e">
        <f t="shared" ref="M133:M139" si="115">SUMPRODUCT($S$7:$AB$7,S133:AB133)</f>
        <v>#DIV/0!</v>
      </c>
      <c r="N133" s="1997" t="e">
        <f t="shared" si="98"/>
        <v>#DIV/0!</v>
      </c>
      <c r="O133"/>
      <c r="P133" s="2082">
        <f t="shared" si="56"/>
        <v>4</v>
      </c>
      <c r="Q133" s="1999" t="str">
        <f t="shared" si="57"/>
        <v>LR1</v>
      </c>
      <c r="R133" s="2000" t="str">
        <f t="shared" si="99"/>
        <v>効率的運用</v>
      </c>
      <c r="S133" s="2058">
        <f t="shared" si="104"/>
        <v>0.2</v>
      </c>
      <c r="T133" s="2058">
        <f t="shared" si="105"/>
        <v>0.2</v>
      </c>
      <c r="U133" s="2058">
        <f t="shared" si="106"/>
        <v>0.2</v>
      </c>
      <c r="V133" s="2058">
        <f t="shared" si="107"/>
        <v>0.2</v>
      </c>
      <c r="W133" s="2058">
        <f t="shared" si="108"/>
        <v>0.2</v>
      </c>
      <c r="X133" s="2058">
        <f t="shared" si="109"/>
        <v>0.2</v>
      </c>
      <c r="Y133" s="2058">
        <f t="shared" si="110"/>
        <v>0.2</v>
      </c>
      <c r="Z133" s="2002">
        <f t="shared" si="111"/>
        <v>0.2</v>
      </c>
      <c r="AA133" s="2058">
        <f t="shared" si="112"/>
        <v>0.25</v>
      </c>
      <c r="AB133" s="2058">
        <f t="shared" si="113"/>
        <v>0.2</v>
      </c>
      <c r="AC133" s="2003">
        <f t="shared" si="100"/>
        <v>0</v>
      </c>
      <c r="AD133" s="2001">
        <f t="shared" si="101"/>
        <v>0</v>
      </c>
      <c r="AE133" s="2001">
        <f t="shared" si="102"/>
        <v>0</v>
      </c>
      <c r="AF133"/>
      <c r="AG133" s="2082">
        <v>4</v>
      </c>
      <c r="AH133" s="2004" t="s">
        <v>1437</v>
      </c>
      <c r="AI133" s="2000" t="s">
        <v>1054</v>
      </c>
      <c r="AJ133" s="2060">
        <v>0.2</v>
      </c>
      <c r="AK133" s="2060">
        <v>0.2</v>
      </c>
      <c r="AL133" s="2060">
        <v>0.2</v>
      </c>
      <c r="AM133" s="2060">
        <v>0.2</v>
      </c>
      <c r="AN133" s="2060">
        <v>0.2</v>
      </c>
      <c r="AO133" s="2060">
        <v>0.2</v>
      </c>
      <c r="AP133" s="2060">
        <v>0.2</v>
      </c>
      <c r="AQ133" s="2060">
        <v>0.2</v>
      </c>
      <c r="AR133" s="2060">
        <v>0.25</v>
      </c>
      <c r="AS133" s="2060">
        <v>0.2</v>
      </c>
      <c r="AT133" s="2006"/>
      <c r="AU133" s="2005"/>
      <c r="AV133" s="2005"/>
      <c r="AW133"/>
      <c r="AX133" s="2082">
        <v>4</v>
      </c>
      <c r="AY133" s="2004" t="s">
        <v>1437</v>
      </c>
      <c r="AZ133" s="2000" t="s">
        <v>1054</v>
      </c>
      <c r="BA133" s="2060">
        <v>0.2</v>
      </c>
      <c r="BB133" s="2060">
        <v>0.2</v>
      </c>
      <c r="BC133" s="2060">
        <v>0.2</v>
      </c>
      <c r="BD133" s="2060">
        <v>0.2</v>
      </c>
      <c r="BE133" s="2060">
        <v>0.2</v>
      </c>
      <c r="BF133" s="2060">
        <v>0.2</v>
      </c>
      <c r="BG133" s="2060">
        <v>0.2</v>
      </c>
      <c r="BH133" s="2060">
        <v>0.2</v>
      </c>
      <c r="BI133" s="2060">
        <v>0.25</v>
      </c>
      <c r="BJ133" s="2060">
        <v>0.2</v>
      </c>
      <c r="BK133" s="2006"/>
      <c r="BL133" s="2005"/>
      <c r="BM133" s="2005"/>
      <c r="BN133"/>
      <c r="BO133" s="2082">
        <v>4</v>
      </c>
      <c r="BP133" s="2004" t="s">
        <v>1437</v>
      </c>
      <c r="BQ133" s="2000" t="s">
        <v>1054</v>
      </c>
      <c r="BR133" s="2060">
        <v>0.2</v>
      </c>
      <c r="BS133" s="2060">
        <v>0.2</v>
      </c>
      <c r="BT133" s="2060">
        <v>0.2</v>
      </c>
      <c r="BU133" s="2060">
        <v>0.2</v>
      </c>
      <c r="BV133" s="2060">
        <v>0.2</v>
      </c>
      <c r="BW133" s="2060">
        <v>0.2</v>
      </c>
      <c r="BX133" s="2060">
        <v>0.2</v>
      </c>
      <c r="BY133" s="2060">
        <v>0.2</v>
      </c>
      <c r="BZ133" s="2060">
        <v>0.25</v>
      </c>
      <c r="CA133" s="2060">
        <v>0.2</v>
      </c>
      <c r="CB133" s="2006"/>
      <c r="CC133" s="2005"/>
      <c r="CD133" s="2005"/>
      <c r="CE133" s="2446"/>
      <c r="CF133">
        <f>ROWS($CF$5:CF132)</f>
        <v>128</v>
      </c>
    </row>
    <row r="134" spans="1:84">
      <c r="B134" s="1985">
        <f t="shared" si="96"/>
        <v>4.0999999999999996</v>
      </c>
      <c r="C134" s="2012" t="str">
        <f t="shared" si="78"/>
        <v>住宅以外の評価</v>
      </c>
      <c r="D134" s="2009" t="e">
        <f>IF(I$133=0,0,G134/I$133)</f>
        <v>#DIV/0!</v>
      </c>
      <c r="E134" s="2009" t="e">
        <f>IF(J$133=0,0,H134/J$133)</f>
        <v>#DIV/0!</v>
      </c>
      <c r="G134" s="2010" t="e">
        <f t="shared" si="79"/>
        <v>#DIV/0!</v>
      </c>
      <c r="H134" s="2010" t="e">
        <f t="shared" si="80"/>
        <v>#DIV/0!</v>
      </c>
      <c r="I134" s="2010" t="e">
        <f>SUM(G135:G136)</f>
        <v>#DIV/0!</v>
      </c>
      <c r="J134" s="2010" t="e">
        <f>SUM(H135:H136)</f>
        <v>#DIV/0!</v>
      </c>
      <c r="K134" s="2010" t="e">
        <f>IF(スコア!O134=0,0,1)</f>
        <v>#DIV/0!</v>
      </c>
      <c r="L134" s="2010" t="e">
        <f>IF(スコア!Q134=0,0,1)</f>
        <v>#DIV/0!</v>
      </c>
      <c r="M134" s="2010" t="e">
        <f t="shared" si="115"/>
        <v>#DIV/0!</v>
      </c>
      <c r="N134" s="2010" t="e">
        <f t="shared" ref="N134:N139" si="116">(AC$7*AC134)+(AD$7*AD134)+(AE$7*AE134)</f>
        <v>#DIV/0!</v>
      </c>
      <c r="P134" s="2011">
        <f t="shared" si="56"/>
        <v>4.0999999999999996</v>
      </c>
      <c r="Q134" s="2011" t="str">
        <f t="shared" si="57"/>
        <v>LR1 4</v>
      </c>
      <c r="R134" s="2012" t="str">
        <f t="shared" si="99"/>
        <v>住宅以外の評価</v>
      </c>
      <c r="S134" s="2013">
        <f t="shared" si="104"/>
        <v>1</v>
      </c>
      <c r="T134" s="2013">
        <f t="shared" si="105"/>
        <v>1</v>
      </c>
      <c r="U134" s="2013">
        <f t="shared" si="106"/>
        <v>1</v>
      </c>
      <c r="V134" s="2013">
        <f t="shared" si="107"/>
        <v>1</v>
      </c>
      <c r="W134" s="2013">
        <f t="shared" si="108"/>
        <v>1</v>
      </c>
      <c r="X134" s="2013">
        <f t="shared" si="109"/>
        <v>1</v>
      </c>
      <c r="Y134" s="2013">
        <f t="shared" si="110"/>
        <v>0</v>
      </c>
      <c r="Z134" s="2022">
        <f t="shared" si="111"/>
        <v>1</v>
      </c>
      <c r="AA134" s="2013">
        <f t="shared" si="112"/>
        <v>1</v>
      </c>
      <c r="AB134" s="2013">
        <f t="shared" si="113"/>
        <v>1</v>
      </c>
      <c r="AC134" s="2014">
        <f t="shared" si="100"/>
        <v>0</v>
      </c>
      <c r="AD134" s="2071">
        <f t="shared" si="101"/>
        <v>0</v>
      </c>
      <c r="AE134" s="2071">
        <f t="shared" si="102"/>
        <v>0</v>
      </c>
      <c r="AG134" s="2011">
        <v>4.0999999999999996</v>
      </c>
      <c r="AH134" s="2015" t="s">
        <v>125</v>
      </c>
      <c r="AI134" s="2012" t="s">
        <v>1324</v>
      </c>
      <c r="AJ134" s="2018">
        <v>1</v>
      </c>
      <c r="AK134" s="2018">
        <v>1</v>
      </c>
      <c r="AL134" s="2018">
        <v>1</v>
      </c>
      <c r="AM134" s="2018">
        <v>1</v>
      </c>
      <c r="AN134" s="2018">
        <v>1</v>
      </c>
      <c r="AO134" s="2018">
        <v>1</v>
      </c>
      <c r="AP134" s="2018"/>
      <c r="AQ134" s="2018">
        <v>1</v>
      </c>
      <c r="AR134" s="2018">
        <v>1</v>
      </c>
      <c r="AS134" s="2018">
        <v>1</v>
      </c>
      <c r="AT134" s="2019"/>
      <c r="AU134" s="2073"/>
      <c r="AV134" s="2073"/>
      <c r="AX134" s="2011">
        <v>4.0999999999999996</v>
      </c>
      <c r="AY134" s="2015" t="s">
        <v>125</v>
      </c>
      <c r="AZ134" s="2012" t="s">
        <v>1324</v>
      </c>
      <c r="BA134" s="2018">
        <v>1</v>
      </c>
      <c r="BB134" s="2018">
        <v>1</v>
      </c>
      <c r="BC134" s="2018">
        <v>1</v>
      </c>
      <c r="BD134" s="2018">
        <v>1</v>
      </c>
      <c r="BE134" s="2018">
        <v>1</v>
      </c>
      <c r="BF134" s="2018">
        <v>1</v>
      </c>
      <c r="BG134" s="2018"/>
      <c r="BH134" s="2018">
        <v>1</v>
      </c>
      <c r="BI134" s="2018">
        <v>1</v>
      </c>
      <c r="BJ134" s="2018">
        <v>1</v>
      </c>
      <c r="BK134" s="2019"/>
      <c r="BL134" s="2073"/>
      <c r="BM134" s="2073"/>
      <c r="BO134" s="2011">
        <v>4.0999999999999996</v>
      </c>
      <c r="BP134" s="2015" t="s">
        <v>125</v>
      </c>
      <c r="BQ134" s="2012" t="s">
        <v>1324</v>
      </c>
      <c r="BR134" s="2018">
        <v>1</v>
      </c>
      <c r="BS134" s="2018">
        <v>1</v>
      </c>
      <c r="BT134" s="2018">
        <v>1</v>
      </c>
      <c r="BU134" s="2018">
        <v>1</v>
      </c>
      <c r="BV134" s="2018">
        <v>1</v>
      </c>
      <c r="BW134" s="2018">
        <v>1</v>
      </c>
      <c r="BX134" s="2018"/>
      <c r="BY134" s="2018">
        <v>1</v>
      </c>
      <c r="BZ134" s="2018">
        <v>1</v>
      </c>
      <c r="CA134" s="2018">
        <v>1</v>
      </c>
      <c r="CB134" s="2019"/>
      <c r="CC134" s="2073"/>
      <c r="CD134" s="2073"/>
      <c r="CE134" s="2450"/>
      <c r="CF134">
        <f>ROWS($CF$5:CF133)</f>
        <v>129</v>
      </c>
    </row>
    <row r="135" spans="1:84">
      <c r="B135" s="1985" t="str">
        <f>P135</f>
        <v>4.1.1</v>
      </c>
      <c r="C135" s="2012" t="str">
        <f>R135</f>
        <v>モニタリング</v>
      </c>
      <c r="D135" s="2009" t="e">
        <f>IF(I$134=0,0,G135/I$134)</f>
        <v>#DIV/0!</v>
      </c>
      <c r="E135" s="2009" t="e">
        <f>IF(J$134=0,0,H135/J$134)</f>
        <v>#DIV/0!</v>
      </c>
      <c r="G135" s="2010" t="e">
        <f t="shared" si="79"/>
        <v>#DIV/0!</v>
      </c>
      <c r="H135" s="2010" t="e">
        <f t="shared" si="80"/>
        <v>#DIV/0!</v>
      </c>
      <c r="I135" s="2010"/>
      <c r="J135" s="2010"/>
      <c r="K135" s="2010">
        <f>IF(スコア!O135=0,0,1)</f>
        <v>1</v>
      </c>
      <c r="L135" s="2010">
        <f>IF(スコア!Q135=0,0,1)</f>
        <v>0</v>
      </c>
      <c r="M135" s="2010" t="e">
        <f t="shared" si="115"/>
        <v>#DIV/0!</v>
      </c>
      <c r="N135" s="2010" t="e">
        <f t="shared" si="116"/>
        <v>#DIV/0!</v>
      </c>
      <c r="P135" s="2011" t="str">
        <f t="shared" si="56"/>
        <v>4.1.1</v>
      </c>
      <c r="Q135" s="2011" t="str">
        <f t="shared" si="57"/>
        <v>LR1 4.1</v>
      </c>
      <c r="R135" s="2012" t="str">
        <f t="shared" ref="R135:AE139" si="117">IF($P$3=1,AZ135,IF($P$3=2,BQ135,AI135))</f>
        <v>モニタリング</v>
      </c>
      <c r="S135" s="2013">
        <f>IF($P$3=1,BA135,IF($P$3=2,BR135,AJ135))</f>
        <v>0.5</v>
      </c>
      <c r="T135" s="2013">
        <f t="shared" si="117"/>
        <v>0.5</v>
      </c>
      <c r="U135" s="2013">
        <f t="shared" si="117"/>
        <v>0.5</v>
      </c>
      <c r="V135" s="2013">
        <f t="shared" si="117"/>
        <v>0.5</v>
      </c>
      <c r="W135" s="2013">
        <f t="shared" si="117"/>
        <v>0.5</v>
      </c>
      <c r="X135" s="2013">
        <f t="shared" si="117"/>
        <v>0.5</v>
      </c>
      <c r="Y135" s="2013">
        <f t="shared" si="117"/>
        <v>0</v>
      </c>
      <c r="Z135" s="2022">
        <f t="shared" si="117"/>
        <v>0.5</v>
      </c>
      <c r="AA135" s="2013">
        <f t="shared" si="117"/>
        <v>0.5</v>
      </c>
      <c r="AB135" s="2013">
        <f t="shared" si="117"/>
        <v>0.5</v>
      </c>
      <c r="AC135" s="2014">
        <f t="shared" si="117"/>
        <v>0</v>
      </c>
      <c r="AD135" s="2071">
        <f t="shared" si="117"/>
        <v>0</v>
      </c>
      <c r="AE135" s="2071">
        <f t="shared" si="117"/>
        <v>0</v>
      </c>
      <c r="AG135" s="2011" t="s">
        <v>1317</v>
      </c>
      <c r="AH135" s="2015" t="s">
        <v>1321</v>
      </c>
      <c r="AI135" s="2012" t="s">
        <v>1578</v>
      </c>
      <c r="AJ135" s="2018">
        <v>0.5</v>
      </c>
      <c r="AK135" s="2018">
        <v>0.5</v>
      </c>
      <c r="AL135" s="2018">
        <v>0.5</v>
      </c>
      <c r="AM135" s="2018">
        <v>0.5</v>
      </c>
      <c r="AN135" s="2018">
        <v>0.5</v>
      </c>
      <c r="AO135" s="2018">
        <v>0.5</v>
      </c>
      <c r="AP135" s="2018"/>
      <c r="AQ135" s="2018">
        <v>0.5</v>
      </c>
      <c r="AR135" s="2018">
        <v>0.5</v>
      </c>
      <c r="AS135" s="2018">
        <v>0.5</v>
      </c>
      <c r="AT135" s="2019"/>
      <c r="AU135" s="2073"/>
      <c r="AV135" s="2073"/>
      <c r="AX135" s="2011" t="s">
        <v>1317</v>
      </c>
      <c r="AY135" s="2015" t="s">
        <v>1321</v>
      </c>
      <c r="AZ135" s="2012" t="s">
        <v>1578</v>
      </c>
      <c r="BA135" s="2018">
        <v>0.5</v>
      </c>
      <c r="BB135" s="2018">
        <v>0.5</v>
      </c>
      <c r="BC135" s="2018">
        <v>0.5</v>
      </c>
      <c r="BD135" s="2018">
        <v>0.5</v>
      </c>
      <c r="BE135" s="2018">
        <v>0.5</v>
      </c>
      <c r="BF135" s="2018">
        <v>0.5</v>
      </c>
      <c r="BG135" s="2018"/>
      <c r="BH135" s="2018">
        <v>0.5</v>
      </c>
      <c r="BI135" s="2018">
        <v>0.5</v>
      </c>
      <c r="BJ135" s="2018">
        <v>0.5</v>
      </c>
      <c r="BK135" s="2019"/>
      <c r="BL135" s="2073"/>
      <c r="BM135" s="2073"/>
      <c r="BO135" s="2011" t="s">
        <v>1317</v>
      </c>
      <c r="BP135" s="2015" t="s">
        <v>1321</v>
      </c>
      <c r="BQ135" s="2012" t="s">
        <v>1578</v>
      </c>
      <c r="BR135" s="2018">
        <v>0.5</v>
      </c>
      <c r="BS135" s="2018">
        <v>0.5</v>
      </c>
      <c r="BT135" s="2018">
        <v>0.5</v>
      </c>
      <c r="BU135" s="2018">
        <v>0.5</v>
      </c>
      <c r="BV135" s="2018">
        <v>0.5</v>
      </c>
      <c r="BW135" s="2018">
        <v>0.5</v>
      </c>
      <c r="BX135" s="2018"/>
      <c r="BY135" s="2018">
        <v>0.5</v>
      </c>
      <c r="BZ135" s="2018">
        <v>0.5</v>
      </c>
      <c r="CA135" s="2018">
        <v>0.5</v>
      </c>
      <c r="CB135" s="2019"/>
      <c r="CC135" s="2073"/>
      <c r="CD135" s="2073"/>
      <c r="CE135" s="2450"/>
    </row>
    <row r="136" spans="1:84">
      <c r="B136" s="1985" t="str">
        <f>P136</f>
        <v>4.1.2</v>
      </c>
      <c r="C136" s="2012" t="str">
        <f>R136</f>
        <v>運用管理体制</v>
      </c>
      <c r="D136" s="1998" t="e">
        <f>IF(I$134&gt;0,G136/I$134,0)</f>
        <v>#DIV/0!</v>
      </c>
      <c r="E136" s="1998" t="e">
        <f>IF(J$134&gt;0,H136/J$134,0)</f>
        <v>#DIV/0!</v>
      </c>
      <c r="G136" s="2010" t="e">
        <f t="shared" si="79"/>
        <v>#DIV/0!</v>
      </c>
      <c r="H136" s="2010" t="e">
        <f t="shared" si="80"/>
        <v>#DIV/0!</v>
      </c>
      <c r="I136" s="2010"/>
      <c r="J136" s="2010"/>
      <c r="K136" s="2010">
        <f>IF(スコア!O136=0,0,1)</f>
        <v>1</v>
      </c>
      <c r="L136" s="2010">
        <f>IF(スコア!Q136=0,0,1)</f>
        <v>0</v>
      </c>
      <c r="M136" s="2010" t="e">
        <f t="shared" si="115"/>
        <v>#DIV/0!</v>
      </c>
      <c r="N136" s="2010" t="e">
        <f t="shared" si="116"/>
        <v>#DIV/0!</v>
      </c>
      <c r="P136" s="2011" t="str">
        <f t="shared" si="56"/>
        <v>4.1.2</v>
      </c>
      <c r="Q136" s="2011" t="str">
        <f t="shared" si="57"/>
        <v>LR1 4.1</v>
      </c>
      <c r="R136" s="2012" t="str">
        <f t="shared" si="117"/>
        <v>運用管理体制</v>
      </c>
      <c r="S136" s="2013">
        <f t="shared" si="117"/>
        <v>0.5</v>
      </c>
      <c r="T136" s="2013">
        <f t="shared" si="117"/>
        <v>0.5</v>
      </c>
      <c r="U136" s="2013">
        <f t="shared" si="117"/>
        <v>0.5</v>
      </c>
      <c r="V136" s="2013">
        <f t="shared" si="117"/>
        <v>0.5</v>
      </c>
      <c r="W136" s="2013">
        <f t="shared" si="117"/>
        <v>0.5</v>
      </c>
      <c r="X136" s="2013">
        <f t="shared" si="117"/>
        <v>0.5</v>
      </c>
      <c r="Y136" s="2013">
        <f t="shared" si="117"/>
        <v>0</v>
      </c>
      <c r="Z136" s="2022">
        <f t="shared" si="117"/>
        <v>0.5</v>
      </c>
      <c r="AA136" s="2013">
        <f t="shared" si="117"/>
        <v>0.5</v>
      </c>
      <c r="AB136" s="2013">
        <f t="shared" si="117"/>
        <v>0.5</v>
      </c>
      <c r="AC136" s="2014">
        <f t="shared" si="117"/>
        <v>0</v>
      </c>
      <c r="AD136" s="2071">
        <f t="shared" si="117"/>
        <v>0</v>
      </c>
      <c r="AE136" s="2071">
        <f t="shared" si="117"/>
        <v>0</v>
      </c>
      <c r="AG136" s="2011" t="s">
        <v>1318</v>
      </c>
      <c r="AH136" s="2015" t="s">
        <v>1322</v>
      </c>
      <c r="AI136" s="2016" t="s">
        <v>1055</v>
      </c>
      <c r="AJ136" s="2018">
        <v>0.5</v>
      </c>
      <c r="AK136" s="2018">
        <v>0.5</v>
      </c>
      <c r="AL136" s="2018">
        <v>0.5</v>
      </c>
      <c r="AM136" s="2018">
        <v>0.5</v>
      </c>
      <c r="AN136" s="2018">
        <v>0.5</v>
      </c>
      <c r="AO136" s="2018">
        <v>0.5</v>
      </c>
      <c r="AP136" s="2018"/>
      <c r="AQ136" s="2018">
        <v>0.5</v>
      </c>
      <c r="AR136" s="2018">
        <v>0.5</v>
      </c>
      <c r="AS136" s="2018">
        <v>0.5</v>
      </c>
      <c r="AT136" s="2019"/>
      <c r="AU136" s="2073"/>
      <c r="AV136" s="2073"/>
      <c r="AX136" s="2011" t="s">
        <v>1318</v>
      </c>
      <c r="AY136" s="2015" t="s">
        <v>1322</v>
      </c>
      <c r="AZ136" s="2016" t="s">
        <v>1055</v>
      </c>
      <c r="BA136" s="2018">
        <v>0.5</v>
      </c>
      <c r="BB136" s="2018">
        <v>0.5</v>
      </c>
      <c r="BC136" s="2018">
        <v>0.5</v>
      </c>
      <c r="BD136" s="2018">
        <v>0.5</v>
      </c>
      <c r="BE136" s="2018">
        <v>0.5</v>
      </c>
      <c r="BF136" s="2018">
        <v>0.5</v>
      </c>
      <c r="BG136" s="2018"/>
      <c r="BH136" s="2018">
        <v>0.5</v>
      </c>
      <c r="BI136" s="2018">
        <v>0.5</v>
      </c>
      <c r="BJ136" s="2018">
        <v>0.5</v>
      </c>
      <c r="BK136" s="2019"/>
      <c r="BL136" s="2073"/>
      <c r="BM136" s="2073"/>
      <c r="BO136" s="2011" t="s">
        <v>1318</v>
      </c>
      <c r="BP136" s="2015" t="s">
        <v>1322</v>
      </c>
      <c r="BQ136" s="2016" t="s">
        <v>1055</v>
      </c>
      <c r="BR136" s="2018">
        <v>0.5</v>
      </c>
      <c r="BS136" s="2018">
        <v>0.5</v>
      </c>
      <c r="BT136" s="2018">
        <v>0.5</v>
      </c>
      <c r="BU136" s="2018">
        <v>0.5</v>
      </c>
      <c r="BV136" s="2018">
        <v>0.5</v>
      </c>
      <c r="BW136" s="2018">
        <v>0.5</v>
      </c>
      <c r="BX136" s="2018"/>
      <c r="BY136" s="2018">
        <v>0.5</v>
      </c>
      <c r="BZ136" s="2018">
        <v>0.5</v>
      </c>
      <c r="CA136" s="2018">
        <v>0.5</v>
      </c>
      <c r="CB136" s="2019"/>
      <c r="CC136" s="2073"/>
      <c r="CD136" s="2073"/>
      <c r="CE136" s="2450"/>
    </row>
    <row r="137" spans="1:84" s="2086" customFormat="1">
      <c r="A137"/>
      <c r="B137" s="1985">
        <f>P137</f>
        <v>4.2</v>
      </c>
      <c r="C137" s="2012" t="str">
        <f>R137</f>
        <v>住宅の評価</v>
      </c>
      <c r="D137" s="2009" t="e">
        <f>IF(I$133=0,0,G137/I$133)</f>
        <v>#DIV/0!</v>
      </c>
      <c r="E137" s="2009" t="e">
        <f>IF(J$133=0,0,H137/J$133)</f>
        <v>#DIV/0!</v>
      </c>
      <c r="F137"/>
      <c r="G137" s="2010" t="e">
        <f t="shared" ref="G137:H139" si="118">K137*M137</f>
        <v>#DIV/0!</v>
      </c>
      <c r="H137" s="2010" t="e">
        <f t="shared" si="118"/>
        <v>#DIV/0!</v>
      </c>
      <c r="I137" s="2010" t="e">
        <f>SUM(G138:G139)</f>
        <v>#DIV/0!</v>
      </c>
      <c r="J137" s="2010" t="e">
        <f>SUM(H138:H139)</f>
        <v>#DIV/0!</v>
      </c>
      <c r="K137" s="2010" t="e">
        <f>IF(スコア!O137=0,0,1)</f>
        <v>#DIV/0!</v>
      </c>
      <c r="L137" s="2010" t="e">
        <f>IF(スコア!Q137=0,0,1)</f>
        <v>#DIV/0!</v>
      </c>
      <c r="M137" s="2010" t="e">
        <f t="shared" si="115"/>
        <v>#DIV/0!</v>
      </c>
      <c r="N137" s="2010" t="e">
        <f t="shared" si="116"/>
        <v>#DIV/0!</v>
      </c>
      <c r="O137"/>
      <c r="P137" s="2011">
        <f t="shared" ref="P137:P180" si="119">IF($P$3=1,AX137,IF($P$3=2,BO137,AG137))</f>
        <v>4.2</v>
      </c>
      <c r="Q137" s="2011" t="str">
        <f t="shared" ref="Q137:Q180" si="120">IF($P$3=1,AY137,IF($P$3=2,BP137,AH137))</f>
        <v>LR1 4</v>
      </c>
      <c r="R137" s="2012" t="str">
        <f t="shared" si="117"/>
        <v>住宅の評価</v>
      </c>
      <c r="S137" s="2013">
        <f t="shared" si="117"/>
        <v>0</v>
      </c>
      <c r="T137" s="2013">
        <f t="shared" si="117"/>
        <v>0</v>
      </c>
      <c r="U137" s="2013">
        <f t="shared" si="117"/>
        <v>0</v>
      </c>
      <c r="V137" s="2013">
        <f t="shared" si="117"/>
        <v>0</v>
      </c>
      <c r="W137" s="2013">
        <f t="shared" si="117"/>
        <v>0</v>
      </c>
      <c r="X137" s="2013">
        <f t="shared" si="117"/>
        <v>0</v>
      </c>
      <c r="Y137" s="2013">
        <f t="shared" si="117"/>
        <v>1</v>
      </c>
      <c r="Z137" s="2022">
        <f t="shared" si="117"/>
        <v>0</v>
      </c>
      <c r="AA137" s="2013">
        <f t="shared" si="117"/>
        <v>0</v>
      </c>
      <c r="AB137" s="2013">
        <f t="shared" si="117"/>
        <v>0</v>
      </c>
      <c r="AC137" s="2014">
        <f t="shared" si="117"/>
        <v>0</v>
      </c>
      <c r="AD137" s="2071">
        <f t="shared" si="117"/>
        <v>0</v>
      </c>
      <c r="AE137" s="2071">
        <f t="shared" si="117"/>
        <v>0</v>
      </c>
      <c r="AF137"/>
      <c r="AG137" s="2011">
        <v>4.2</v>
      </c>
      <c r="AH137" s="2015" t="s">
        <v>125</v>
      </c>
      <c r="AI137" s="2016" t="s">
        <v>1325</v>
      </c>
      <c r="AJ137" s="2018"/>
      <c r="AK137" s="2018"/>
      <c r="AL137" s="2018"/>
      <c r="AM137" s="2018"/>
      <c r="AN137" s="2018"/>
      <c r="AO137" s="2018"/>
      <c r="AP137" s="2018">
        <v>1</v>
      </c>
      <c r="AQ137" s="2025"/>
      <c r="AR137" s="2018"/>
      <c r="AS137" s="2018"/>
      <c r="AT137" s="2019"/>
      <c r="AU137" s="2073"/>
      <c r="AV137" s="2073"/>
      <c r="AW137"/>
      <c r="AX137" s="2011">
        <v>4.2</v>
      </c>
      <c r="AY137" s="2015" t="s">
        <v>125</v>
      </c>
      <c r="AZ137" s="2016" t="s">
        <v>1325</v>
      </c>
      <c r="BA137" s="2018"/>
      <c r="BB137" s="2018"/>
      <c r="BC137" s="2018"/>
      <c r="BD137" s="2018"/>
      <c r="BE137" s="2018"/>
      <c r="BF137" s="2018"/>
      <c r="BG137" s="2018">
        <v>1</v>
      </c>
      <c r="BH137" s="2025"/>
      <c r="BI137" s="2018"/>
      <c r="BJ137" s="2018"/>
      <c r="BK137" s="2019"/>
      <c r="BL137" s="2073"/>
      <c r="BM137" s="2073"/>
      <c r="BN137"/>
      <c r="BO137" s="2011">
        <v>4.2</v>
      </c>
      <c r="BP137" s="2015" t="s">
        <v>125</v>
      </c>
      <c r="BQ137" s="2016" t="s">
        <v>1325</v>
      </c>
      <c r="BR137" s="2018"/>
      <c r="BS137" s="2018"/>
      <c r="BT137" s="2018"/>
      <c r="BU137" s="2018"/>
      <c r="BV137" s="2018"/>
      <c r="BW137" s="2018"/>
      <c r="BX137" s="2018">
        <v>1</v>
      </c>
      <c r="BY137" s="2025"/>
      <c r="BZ137" s="2018"/>
      <c r="CA137" s="2018"/>
      <c r="CB137" s="2019"/>
      <c r="CC137" s="2073"/>
      <c r="CD137" s="2073"/>
      <c r="CE137" s="2450"/>
      <c r="CF137"/>
    </row>
    <row r="138" spans="1:84" s="2086" customFormat="1">
      <c r="A138"/>
      <c r="B138" s="1985" t="str">
        <f>P138</f>
        <v>4.2.1</v>
      </c>
      <c r="C138" s="2012" t="str">
        <f>R138</f>
        <v>住まい方の提示</v>
      </c>
      <c r="D138" s="1998" t="e">
        <f>IF(I$137&gt;0,G138/I$137,0)</f>
        <v>#DIV/0!</v>
      </c>
      <c r="E138" s="1998" t="e">
        <f>IF(J$137&gt;0,H138/J$137,0)</f>
        <v>#DIV/0!</v>
      </c>
      <c r="F138"/>
      <c r="G138" s="2010" t="e">
        <f t="shared" si="118"/>
        <v>#DIV/0!</v>
      </c>
      <c r="H138" s="2010" t="e">
        <f t="shared" si="118"/>
        <v>#DIV/0!</v>
      </c>
      <c r="I138" s="2010"/>
      <c r="J138" s="2010"/>
      <c r="K138" s="2010">
        <f>IF(スコア!O138=0,0,1)</f>
        <v>1</v>
      </c>
      <c r="L138" s="2010">
        <f>IF(スコア!Q138=0,0,1)</f>
        <v>0</v>
      </c>
      <c r="M138" s="2010" t="e">
        <f t="shared" si="115"/>
        <v>#DIV/0!</v>
      </c>
      <c r="N138" s="2010" t="e">
        <f t="shared" si="116"/>
        <v>#DIV/0!</v>
      </c>
      <c r="O138"/>
      <c r="P138" s="2011" t="str">
        <f t="shared" si="119"/>
        <v>4.2.1</v>
      </c>
      <c r="Q138" s="2011" t="str">
        <f t="shared" si="120"/>
        <v>LR1 4.2</v>
      </c>
      <c r="R138" s="2012" t="str">
        <f t="shared" si="117"/>
        <v>住まい方の提示</v>
      </c>
      <c r="S138" s="2013">
        <f t="shared" si="117"/>
        <v>0</v>
      </c>
      <c r="T138" s="2013">
        <f t="shared" si="117"/>
        <v>0</v>
      </c>
      <c r="U138" s="2013">
        <f t="shared" si="117"/>
        <v>0</v>
      </c>
      <c r="V138" s="2013">
        <f t="shared" si="117"/>
        <v>0</v>
      </c>
      <c r="W138" s="2013">
        <f t="shared" si="117"/>
        <v>0</v>
      </c>
      <c r="X138" s="2013">
        <f t="shared" si="117"/>
        <v>0</v>
      </c>
      <c r="Y138" s="2013">
        <f t="shared" si="117"/>
        <v>0.5</v>
      </c>
      <c r="Z138" s="2022">
        <f t="shared" si="117"/>
        <v>0</v>
      </c>
      <c r="AA138" s="2013">
        <f t="shared" si="117"/>
        <v>0</v>
      </c>
      <c r="AB138" s="2013">
        <f t="shared" si="117"/>
        <v>0</v>
      </c>
      <c r="AC138" s="2014">
        <f t="shared" si="117"/>
        <v>0</v>
      </c>
      <c r="AD138" s="2071">
        <f t="shared" si="117"/>
        <v>0</v>
      </c>
      <c r="AE138" s="2071">
        <f t="shared" si="117"/>
        <v>0</v>
      </c>
      <c r="AF138"/>
      <c r="AG138" s="2011" t="s">
        <v>1319</v>
      </c>
      <c r="AH138" s="2015" t="s">
        <v>1323</v>
      </c>
      <c r="AI138" s="2016" t="s">
        <v>1314</v>
      </c>
      <c r="AJ138" s="2018"/>
      <c r="AK138" s="2018"/>
      <c r="AL138" s="2018"/>
      <c r="AM138" s="2018"/>
      <c r="AN138" s="2018"/>
      <c r="AO138" s="2018"/>
      <c r="AP138" s="2018">
        <v>0.5</v>
      </c>
      <c r="AQ138" s="2025"/>
      <c r="AR138" s="2018"/>
      <c r="AS138" s="2018"/>
      <c r="AT138" s="2019"/>
      <c r="AU138" s="2073"/>
      <c r="AV138" s="2073"/>
      <c r="AW138"/>
      <c r="AX138" s="2011" t="s">
        <v>1319</v>
      </c>
      <c r="AY138" s="2015" t="s">
        <v>1323</v>
      </c>
      <c r="AZ138" s="2016" t="s">
        <v>825</v>
      </c>
      <c r="BA138" s="2018"/>
      <c r="BB138" s="2018"/>
      <c r="BC138" s="2018"/>
      <c r="BD138" s="2018"/>
      <c r="BE138" s="2018"/>
      <c r="BF138" s="2018"/>
      <c r="BG138" s="2018">
        <v>0.5</v>
      </c>
      <c r="BH138" s="2025"/>
      <c r="BI138" s="2018"/>
      <c r="BJ138" s="2018"/>
      <c r="BK138" s="2019"/>
      <c r="BL138" s="2073"/>
      <c r="BM138" s="2073"/>
      <c r="BN138"/>
      <c r="BO138" s="2011" t="s">
        <v>1319</v>
      </c>
      <c r="BP138" s="2015" t="s">
        <v>1323</v>
      </c>
      <c r="BQ138" s="2016" t="s">
        <v>825</v>
      </c>
      <c r="BR138" s="2018"/>
      <c r="BS138" s="2018"/>
      <c r="BT138" s="2018"/>
      <c r="BU138" s="2018"/>
      <c r="BV138" s="2018"/>
      <c r="BW138" s="2018"/>
      <c r="BX138" s="2018">
        <v>0.5</v>
      </c>
      <c r="BY138" s="2025"/>
      <c r="BZ138" s="2018"/>
      <c r="CA138" s="2018"/>
      <c r="CB138" s="2019"/>
      <c r="CC138" s="2073"/>
      <c r="CD138" s="2073"/>
      <c r="CE138" s="2450"/>
      <c r="CF138"/>
    </row>
    <row r="139" spans="1:84" s="2086" customFormat="1">
      <c r="A139"/>
      <c r="B139" s="1985" t="str">
        <f>P139</f>
        <v>4.2.2</v>
      </c>
      <c r="C139" s="2012" t="str">
        <f>R139</f>
        <v>エネルギーの管理と制御</v>
      </c>
      <c r="D139" s="1998" t="e">
        <f>IF(I$137&gt;0,G139/I$137,0)</f>
        <v>#DIV/0!</v>
      </c>
      <c r="E139" s="1998" t="e">
        <f>IF(J$137&gt;0,H139/J$137,0)</f>
        <v>#DIV/0!</v>
      </c>
      <c r="F139"/>
      <c r="G139" s="2010" t="e">
        <f t="shared" si="118"/>
        <v>#DIV/0!</v>
      </c>
      <c r="H139" s="2010" t="e">
        <f t="shared" si="118"/>
        <v>#DIV/0!</v>
      </c>
      <c r="I139" s="2010"/>
      <c r="J139" s="2010"/>
      <c r="K139" s="2010">
        <f>IF(スコア!O139=0,0,1)</f>
        <v>1</v>
      </c>
      <c r="L139" s="2010">
        <f>IF(スコア!Q139=0,0,1)</f>
        <v>0</v>
      </c>
      <c r="M139" s="2010" t="e">
        <f t="shared" si="115"/>
        <v>#DIV/0!</v>
      </c>
      <c r="N139" s="2010" t="e">
        <f t="shared" si="116"/>
        <v>#DIV/0!</v>
      </c>
      <c r="O139"/>
      <c r="P139" s="2011" t="str">
        <f t="shared" si="119"/>
        <v>4.2.2</v>
      </c>
      <c r="Q139" s="2011" t="str">
        <f t="shared" si="120"/>
        <v>LR1 4.2</v>
      </c>
      <c r="R139" s="2012" t="str">
        <f t="shared" si="117"/>
        <v>エネルギーの管理と制御</v>
      </c>
      <c r="S139" s="2013">
        <f t="shared" si="117"/>
        <v>0</v>
      </c>
      <c r="T139" s="2013">
        <f t="shared" si="117"/>
        <v>0</v>
      </c>
      <c r="U139" s="2013">
        <f t="shared" si="117"/>
        <v>0</v>
      </c>
      <c r="V139" s="2013">
        <f t="shared" si="117"/>
        <v>0</v>
      </c>
      <c r="W139" s="2013">
        <f t="shared" si="117"/>
        <v>0</v>
      </c>
      <c r="X139" s="2013">
        <f t="shared" si="117"/>
        <v>0</v>
      </c>
      <c r="Y139" s="2013">
        <f t="shared" si="117"/>
        <v>0.5</v>
      </c>
      <c r="Z139" s="2022">
        <f t="shared" si="117"/>
        <v>0</v>
      </c>
      <c r="AA139" s="2013">
        <f t="shared" si="117"/>
        <v>0</v>
      </c>
      <c r="AB139" s="2013">
        <f t="shared" si="117"/>
        <v>0</v>
      </c>
      <c r="AC139" s="2014">
        <f t="shared" si="117"/>
        <v>0</v>
      </c>
      <c r="AD139" s="2071">
        <f t="shared" si="117"/>
        <v>0</v>
      </c>
      <c r="AE139" s="2071">
        <f t="shared" si="117"/>
        <v>0</v>
      </c>
      <c r="AF139"/>
      <c r="AG139" s="2011" t="s">
        <v>1320</v>
      </c>
      <c r="AH139" s="2015" t="s">
        <v>1323</v>
      </c>
      <c r="AI139" s="2016" t="s">
        <v>1315</v>
      </c>
      <c r="AJ139" s="2018"/>
      <c r="AK139" s="2018"/>
      <c r="AL139" s="2018"/>
      <c r="AM139" s="2018"/>
      <c r="AN139" s="2018"/>
      <c r="AO139" s="2018"/>
      <c r="AP139" s="2018">
        <v>0.5</v>
      </c>
      <c r="AQ139" s="2025"/>
      <c r="AR139" s="2018"/>
      <c r="AS139" s="2018"/>
      <c r="AT139" s="2019"/>
      <c r="AU139" s="2073"/>
      <c r="AV139" s="2073"/>
      <c r="AW139"/>
      <c r="AX139" s="2011" t="s">
        <v>1320</v>
      </c>
      <c r="AY139" s="2015" t="s">
        <v>1323</v>
      </c>
      <c r="AZ139" s="2016" t="s">
        <v>826</v>
      </c>
      <c r="BA139" s="2018"/>
      <c r="BB139" s="2018"/>
      <c r="BC139" s="2018"/>
      <c r="BD139" s="2018"/>
      <c r="BE139" s="2018"/>
      <c r="BF139" s="2018"/>
      <c r="BG139" s="2018">
        <v>0.5</v>
      </c>
      <c r="BH139" s="2025"/>
      <c r="BI139" s="2018"/>
      <c r="BJ139" s="2018"/>
      <c r="BK139" s="2019"/>
      <c r="BL139" s="2073"/>
      <c r="BM139" s="2073"/>
      <c r="BN139"/>
      <c r="BO139" s="2011" t="s">
        <v>1320</v>
      </c>
      <c r="BP139" s="2015" t="s">
        <v>1323</v>
      </c>
      <c r="BQ139" s="2016" t="s">
        <v>826</v>
      </c>
      <c r="BR139" s="2018"/>
      <c r="BS139" s="2018"/>
      <c r="BT139" s="2018"/>
      <c r="BU139" s="2018"/>
      <c r="BV139" s="2018"/>
      <c r="BW139" s="2018"/>
      <c r="BX139" s="2018">
        <v>0.5</v>
      </c>
      <c r="BY139" s="2025"/>
      <c r="BZ139" s="2018"/>
      <c r="CA139" s="2018"/>
      <c r="CB139" s="2019"/>
      <c r="CC139" s="2073"/>
      <c r="CD139" s="2073"/>
      <c r="CE139" s="2450"/>
      <c r="CF139"/>
    </row>
    <row r="140" spans="1:84" s="1406" customFormat="1">
      <c r="A140"/>
      <c r="B140" s="1985" t="str">
        <f t="shared" si="96"/>
        <v>LR2</v>
      </c>
      <c r="C140" s="1989" t="str">
        <f t="shared" si="78"/>
        <v>資源・マテリアル</v>
      </c>
      <c r="D140" s="2081" t="e">
        <f>IF(I$116=0,0,G140/I$116)</f>
        <v>#DIV/0!</v>
      </c>
      <c r="E140" s="1988" t="e">
        <f>IF(J$116=0,0,H140/J$116)</f>
        <v>#DIV/0!</v>
      </c>
      <c r="F140"/>
      <c r="G140" s="1988" t="e">
        <f t="shared" si="79"/>
        <v>#DIV/0!</v>
      </c>
      <c r="H140" s="1988" t="e">
        <f t="shared" si="80"/>
        <v>#DIV/0!</v>
      </c>
      <c r="I140" s="1988" t="e">
        <f>G141+G146+G153</f>
        <v>#DIV/0!</v>
      </c>
      <c r="J140" s="1988" t="e">
        <f>H141+H146+H153</f>
        <v>#DIV/0!</v>
      </c>
      <c r="K140" s="1988" t="e">
        <f>IF(スコア!S140=0,0,1)</f>
        <v>#DIV/0!</v>
      </c>
      <c r="L140" s="1988">
        <f>IF(スコア!Q140=0,0,1)</f>
        <v>0</v>
      </c>
      <c r="M140" s="1988" t="e">
        <f t="shared" si="81"/>
        <v>#DIV/0!</v>
      </c>
      <c r="N140" s="1988" t="e">
        <f t="shared" si="98"/>
        <v>#DIV/0!</v>
      </c>
      <c r="O140"/>
      <c r="P140" s="2087" t="str">
        <f t="shared" si="119"/>
        <v>LR2</v>
      </c>
      <c r="Q140" s="2087" t="str">
        <f t="shared" si="120"/>
        <v>LR</v>
      </c>
      <c r="R140" s="1989" t="str">
        <f t="shared" si="99"/>
        <v>資源・マテリアル</v>
      </c>
      <c r="S140" s="1990">
        <f t="shared" si="104"/>
        <v>0.3</v>
      </c>
      <c r="T140" s="1990">
        <f t="shared" si="105"/>
        <v>0.3</v>
      </c>
      <c r="U140" s="1990">
        <f t="shared" si="106"/>
        <v>0.3</v>
      </c>
      <c r="V140" s="1990">
        <f t="shared" si="107"/>
        <v>0.3</v>
      </c>
      <c r="W140" s="1990">
        <f t="shared" si="108"/>
        <v>0.3</v>
      </c>
      <c r="X140" s="1990">
        <f t="shared" si="109"/>
        <v>0.3</v>
      </c>
      <c r="Y140" s="1990">
        <f t="shared" si="110"/>
        <v>0.3</v>
      </c>
      <c r="Z140" s="2088">
        <f t="shared" si="111"/>
        <v>0.3</v>
      </c>
      <c r="AA140" s="1990">
        <f t="shared" si="112"/>
        <v>0.3</v>
      </c>
      <c r="AB140" s="1990">
        <f t="shared" si="113"/>
        <v>0.3</v>
      </c>
      <c r="AC140" s="2089">
        <f t="shared" si="100"/>
        <v>0</v>
      </c>
      <c r="AD140" s="2090">
        <f t="shared" si="101"/>
        <v>0</v>
      </c>
      <c r="AE140" s="2090">
        <f t="shared" si="102"/>
        <v>0</v>
      </c>
      <c r="AF140"/>
      <c r="AG140" s="2087" t="s">
        <v>1579</v>
      </c>
      <c r="AH140" s="2091" t="s">
        <v>1175</v>
      </c>
      <c r="AI140" s="1989" t="s">
        <v>1580</v>
      </c>
      <c r="AJ140" s="1993">
        <v>0.3</v>
      </c>
      <c r="AK140" s="1993">
        <v>0.3</v>
      </c>
      <c r="AL140" s="1993">
        <v>0.3</v>
      </c>
      <c r="AM140" s="1993">
        <v>0.3</v>
      </c>
      <c r="AN140" s="1993">
        <v>0.3</v>
      </c>
      <c r="AO140" s="1993">
        <v>0.3</v>
      </c>
      <c r="AP140" s="1993">
        <v>0.3</v>
      </c>
      <c r="AQ140" s="2092">
        <v>0.3</v>
      </c>
      <c r="AR140" s="1993">
        <v>0.3</v>
      </c>
      <c r="AS140" s="1993">
        <v>0.3</v>
      </c>
      <c r="AT140" s="2093"/>
      <c r="AU140" s="2094"/>
      <c r="AV140" s="2094"/>
      <c r="AW140"/>
      <c r="AX140" s="2087" t="s">
        <v>1579</v>
      </c>
      <c r="AY140" s="2091" t="s">
        <v>1175</v>
      </c>
      <c r="AZ140" s="1989" t="s">
        <v>1580</v>
      </c>
      <c r="BA140" s="1993">
        <v>0.3</v>
      </c>
      <c r="BB140" s="1993">
        <v>0.3</v>
      </c>
      <c r="BC140" s="1993">
        <v>0.3</v>
      </c>
      <c r="BD140" s="1993">
        <v>0.3</v>
      </c>
      <c r="BE140" s="1993">
        <v>0.3</v>
      </c>
      <c r="BF140" s="1993">
        <v>0.3</v>
      </c>
      <c r="BG140" s="1993">
        <v>0.3</v>
      </c>
      <c r="BH140" s="2092">
        <v>0.3</v>
      </c>
      <c r="BI140" s="1993">
        <v>0.3</v>
      </c>
      <c r="BJ140" s="1993">
        <v>0.3</v>
      </c>
      <c r="BK140" s="2093"/>
      <c r="BL140" s="2094"/>
      <c r="BM140" s="2094"/>
      <c r="BN140"/>
      <c r="BO140" s="2087" t="s">
        <v>1579</v>
      </c>
      <c r="BP140" s="2091" t="s">
        <v>1175</v>
      </c>
      <c r="BQ140" s="1989" t="s">
        <v>1580</v>
      </c>
      <c r="BR140" s="1993">
        <v>0.3</v>
      </c>
      <c r="BS140" s="1993">
        <v>0.3</v>
      </c>
      <c r="BT140" s="1993">
        <v>0.3</v>
      </c>
      <c r="BU140" s="1993">
        <v>0.3</v>
      </c>
      <c r="BV140" s="1993">
        <v>0.3</v>
      </c>
      <c r="BW140" s="1993">
        <v>0.3</v>
      </c>
      <c r="BX140" s="1993">
        <v>0.3</v>
      </c>
      <c r="BY140" s="2092">
        <v>0.3</v>
      </c>
      <c r="BZ140" s="1993">
        <v>0.3</v>
      </c>
      <c r="CA140" s="1993">
        <v>0.3</v>
      </c>
      <c r="CB140" s="2093"/>
      <c r="CC140" s="2094"/>
      <c r="CD140" s="2094"/>
      <c r="CE140" s="2451"/>
      <c r="CF140"/>
    </row>
    <row r="141" spans="1:84" s="1406" customFormat="1">
      <c r="A141"/>
      <c r="B141" s="1985">
        <f t="shared" si="96"/>
        <v>1</v>
      </c>
      <c r="C141" s="2000" t="str">
        <f t="shared" ref="C141:C172" si="121">R141</f>
        <v>水資源保護</v>
      </c>
      <c r="D141" s="1996" t="e">
        <f>IF(I$140=0,0,G141/I$140)</f>
        <v>#DIV/0!</v>
      </c>
      <c r="E141" s="1997" t="e">
        <f>IF(J$140=0,0,H141/J$140)</f>
        <v>#DIV/0!</v>
      </c>
      <c r="F141"/>
      <c r="G141" s="1997" t="e">
        <f t="shared" ref="G141:G172" si="122">K141*M141</f>
        <v>#DIV/0!</v>
      </c>
      <c r="H141" s="1997" t="e">
        <f t="shared" ref="H141:H172" si="123">L141*N141</f>
        <v>#DIV/0!</v>
      </c>
      <c r="I141" s="1997" t="e">
        <f>G142+G143</f>
        <v>#DIV/0!</v>
      </c>
      <c r="J141" s="1997" t="e">
        <f>H142+H143</f>
        <v>#DIV/0!</v>
      </c>
      <c r="K141" s="1997" t="e">
        <f>IF(スコア!O141=0,0,1)</f>
        <v>#DIV/0!</v>
      </c>
      <c r="L141" s="1997" t="e">
        <f>IF(スコア!Q141=0,0,1)</f>
        <v>#DIV/0!</v>
      </c>
      <c r="M141" s="1997" t="e">
        <f t="shared" ref="M141:M172" si="124">SUMPRODUCT($S$7:$AB$7,S141:AB141)</f>
        <v>#DIV/0!</v>
      </c>
      <c r="N141" s="1997" t="e">
        <f t="shared" si="98"/>
        <v>#DIV/0!</v>
      </c>
      <c r="O141"/>
      <c r="P141" s="2082">
        <f t="shared" si="119"/>
        <v>1</v>
      </c>
      <c r="Q141" s="1999" t="str">
        <f t="shared" si="120"/>
        <v>LR2</v>
      </c>
      <c r="R141" s="2000" t="str">
        <f t="shared" si="99"/>
        <v>水資源保護</v>
      </c>
      <c r="S141" s="2001">
        <f t="shared" si="104"/>
        <v>0.2</v>
      </c>
      <c r="T141" s="2001">
        <f t="shared" si="105"/>
        <v>0.2</v>
      </c>
      <c r="U141" s="2001">
        <f t="shared" si="106"/>
        <v>0.2</v>
      </c>
      <c r="V141" s="2001">
        <f t="shared" si="107"/>
        <v>0.2</v>
      </c>
      <c r="W141" s="2001">
        <f t="shared" si="108"/>
        <v>0.2</v>
      </c>
      <c r="X141" s="2001">
        <f t="shared" si="109"/>
        <v>0.2</v>
      </c>
      <c r="Y141" s="2001">
        <f t="shared" si="110"/>
        <v>0.2</v>
      </c>
      <c r="Z141" s="2065">
        <f t="shared" si="111"/>
        <v>0.2</v>
      </c>
      <c r="AA141" s="2001">
        <f t="shared" si="112"/>
        <v>0.2</v>
      </c>
      <c r="AB141" s="2001">
        <f t="shared" si="113"/>
        <v>0.2</v>
      </c>
      <c r="AC141" s="2095">
        <f t="shared" si="100"/>
        <v>0</v>
      </c>
      <c r="AD141" s="2096">
        <f t="shared" si="101"/>
        <v>0</v>
      </c>
      <c r="AE141" s="2096">
        <f t="shared" si="102"/>
        <v>0</v>
      </c>
      <c r="AF141"/>
      <c r="AG141" s="2082">
        <v>1</v>
      </c>
      <c r="AH141" s="2004" t="s">
        <v>1307</v>
      </c>
      <c r="AI141" s="2000" t="s">
        <v>1056</v>
      </c>
      <c r="AJ141" s="2005">
        <v>0.2</v>
      </c>
      <c r="AK141" s="2005">
        <v>0.2</v>
      </c>
      <c r="AL141" s="2005">
        <v>0.2</v>
      </c>
      <c r="AM141" s="2005">
        <v>0.2</v>
      </c>
      <c r="AN141" s="2005">
        <v>0.2</v>
      </c>
      <c r="AO141" s="2005">
        <v>0.2</v>
      </c>
      <c r="AP141" s="2005">
        <v>0.2</v>
      </c>
      <c r="AQ141" s="2066">
        <v>0.2</v>
      </c>
      <c r="AR141" s="2005">
        <v>0.2</v>
      </c>
      <c r="AS141" s="2005">
        <v>0.2</v>
      </c>
      <c r="AT141" s="2097"/>
      <c r="AU141" s="2098"/>
      <c r="AV141" s="2098"/>
      <c r="AW141"/>
      <c r="AX141" s="2082">
        <v>1</v>
      </c>
      <c r="AY141" s="2004" t="s">
        <v>1307</v>
      </c>
      <c r="AZ141" s="2000" t="s">
        <v>1056</v>
      </c>
      <c r="BA141" s="2005">
        <v>0.2</v>
      </c>
      <c r="BB141" s="2005">
        <v>0.2</v>
      </c>
      <c r="BC141" s="2005">
        <v>0.2</v>
      </c>
      <c r="BD141" s="2005">
        <v>0.2</v>
      </c>
      <c r="BE141" s="2005">
        <v>0.2</v>
      </c>
      <c r="BF141" s="2005">
        <v>0.2</v>
      </c>
      <c r="BG141" s="2005">
        <v>0.2</v>
      </c>
      <c r="BH141" s="2066">
        <v>0.2</v>
      </c>
      <c r="BI141" s="2005">
        <v>0.2</v>
      </c>
      <c r="BJ141" s="2005">
        <v>0.2</v>
      </c>
      <c r="BK141" s="2097"/>
      <c r="BL141" s="2098"/>
      <c r="BM141" s="2098"/>
      <c r="BN141"/>
      <c r="BO141" s="2082">
        <v>1</v>
      </c>
      <c r="BP141" s="2004" t="s">
        <v>1307</v>
      </c>
      <c r="BQ141" s="2000" t="s">
        <v>1056</v>
      </c>
      <c r="BR141" s="2005">
        <v>0.2</v>
      </c>
      <c r="BS141" s="2005">
        <v>0.2</v>
      </c>
      <c r="BT141" s="2005">
        <v>0.2</v>
      </c>
      <c r="BU141" s="2005">
        <v>0.2</v>
      </c>
      <c r="BV141" s="2005">
        <v>0.2</v>
      </c>
      <c r="BW141" s="2005">
        <v>0.2</v>
      </c>
      <c r="BX141" s="2005">
        <v>0.2</v>
      </c>
      <c r="BY141" s="2066">
        <v>0.2</v>
      </c>
      <c r="BZ141" s="2005">
        <v>0.2</v>
      </c>
      <c r="CA141" s="2005">
        <v>0.2</v>
      </c>
      <c r="CB141" s="2097"/>
      <c r="CC141" s="2098"/>
      <c r="CD141" s="2098"/>
      <c r="CE141" s="2451"/>
      <c r="CF141"/>
    </row>
    <row r="142" spans="1:84">
      <c r="B142" s="1985">
        <f t="shared" si="96"/>
        <v>1.1000000000000001</v>
      </c>
      <c r="C142" s="2008" t="str">
        <f t="shared" si="121"/>
        <v>節水</v>
      </c>
      <c r="D142" s="2009" t="e">
        <f>IF(I$141=0,0,G142/I$141)</f>
        <v>#DIV/0!</v>
      </c>
      <c r="E142" s="2010" t="e">
        <f>IF(J$141=0,0,H142/J$141)</f>
        <v>#DIV/0!</v>
      </c>
      <c r="G142" s="2010" t="e">
        <f t="shared" si="122"/>
        <v>#DIV/0!</v>
      </c>
      <c r="H142" s="2010" t="e">
        <f t="shared" si="123"/>
        <v>#DIV/0!</v>
      </c>
      <c r="I142" s="2010"/>
      <c r="J142" s="2010"/>
      <c r="K142" s="2010">
        <f>IF(スコア!O142=0,0,1)</f>
        <v>1</v>
      </c>
      <c r="L142" s="2010">
        <f>IF(スコア!Q142=0,0,1)</f>
        <v>0</v>
      </c>
      <c r="M142" s="2010" t="e">
        <f t="shared" si="124"/>
        <v>#DIV/0!</v>
      </c>
      <c r="N142" s="2010" t="e">
        <f t="shared" si="98"/>
        <v>#DIV/0!</v>
      </c>
      <c r="P142" s="2011">
        <f t="shared" si="119"/>
        <v>1.1000000000000001</v>
      </c>
      <c r="Q142" s="2011" t="str">
        <f t="shared" si="120"/>
        <v>LR2 1</v>
      </c>
      <c r="R142" s="2012" t="str">
        <f t="shared" si="99"/>
        <v>節水</v>
      </c>
      <c r="S142" s="2013">
        <f t="shared" si="104"/>
        <v>0.4</v>
      </c>
      <c r="T142" s="2013">
        <f t="shared" si="105"/>
        <v>0.4</v>
      </c>
      <c r="U142" s="2013">
        <f t="shared" si="106"/>
        <v>0.4</v>
      </c>
      <c r="V142" s="2013">
        <f t="shared" si="107"/>
        <v>0.4</v>
      </c>
      <c r="W142" s="2013">
        <f t="shared" si="108"/>
        <v>0.4</v>
      </c>
      <c r="X142" s="2013">
        <f t="shared" si="109"/>
        <v>0.4</v>
      </c>
      <c r="Y142" s="2013">
        <f t="shared" si="110"/>
        <v>0.4</v>
      </c>
      <c r="Z142" s="2022">
        <f t="shared" si="111"/>
        <v>0.4</v>
      </c>
      <c r="AA142" s="2013">
        <f t="shared" si="112"/>
        <v>0.4</v>
      </c>
      <c r="AB142" s="2013">
        <f t="shared" si="113"/>
        <v>0.4</v>
      </c>
      <c r="AC142" s="2099">
        <f t="shared" si="100"/>
        <v>0</v>
      </c>
      <c r="AD142" s="2032">
        <f t="shared" si="101"/>
        <v>0</v>
      </c>
      <c r="AE142" s="2032">
        <f t="shared" si="102"/>
        <v>0</v>
      </c>
      <c r="AG142" s="2011">
        <v>1.1000000000000001</v>
      </c>
      <c r="AH142" s="2015" t="s">
        <v>126</v>
      </c>
      <c r="AI142" s="2016" t="s">
        <v>1057</v>
      </c>
      <c r="AJ142" s="2018">
        <v>0.4</v>
      </c>
      <c r="AK142" s="2018">
        <v>0.4</v>
      </c>
      <c r="AL142" s="2018">
        <v>0.4</v>
      </c>
      <c r="AM142" s="2018">
        <v>0.4</v>
      </c>
      <c r="AN142" s="2018">
        <v>0.4</v>
      </c>
      <c r="AO142" s="2018">
        <v>0.4</v>
      </c>
      <c r="AP142" s="2018">
        <v>0.4</v>
      </c>
      <c r="AQ142" s="2025">
        <v>0.4</v>
      </c>
      <c r="AR142" s="2018">
        <v>0.4</v>
      </c>
      <c r="AS142" s="2018">
        <v>0.4</v>
      </c>
      <c r="AT142" s="2100"/>
      <c r="AU142" s="2034"/>
      <c r="AV142" s="2034"/>
      <c r="AX142" s="2011">
        <v>1.1000000000000001</v>
      </c>
      <c r="AY142" s="2015" t="s">
        <v>126</v>
      </c>
      <c r="AZ142" s="2016" t="s">
        <v>1057</v>
      </c>
      <c r="BA142" s="2018">
        <v>0.4</v>
      </c>
      <c r="BB142" s="2018">
        <v>0.4</v>
      </c>
      <c r="BC142" s="2018">
        <v>0.4</v>
      </c>
      <c r="BD142" s="2018">
        <v>0.4</v>
      </c>
      <c r="BE142" s="2018">
        <v>0.4</v>
      </c>
      <c r="BF142" s="2018">
        <v>0.4</v>
      </c>
      <c r="BG142" s="2018">
        <v>0.4</v>
      </c>
      <c r="BH142" s="2025">
        <v>0.4</v>
      </c>
      <c r="BI142" s="2018">
        <v>0.4</v>
      </c>
      <c r="BJ142" s="2018">
        <v>0.4</v>
      </c>
      <c r="BK142" s="2100"/>
      <c r="BL142" s="2034"/>
      <c r="BM142" s="2034"/>
      <c r="BO142" s="2011">
        <v>1.1000000000000001</v>
      </c>
      <c r="BP142" s="2015" t="s">
        <v>126</v>
      </c>
      <c r="BQ142" s="2016" t="s">
        <v>1057</v>
      </c>
      <c r="BR142" s="2018">
        <v>0.4</v>
      </c>
      <c r="BS142" s="2018">
        <v>0.4</v>
      </c>
      <c r="BT142" s="2018">
        <v>0.4</v>
      </c>
      <c r="BU142" s="2018">
        <v>0.4</v>
      </c>
      <c r="BV142" s="2018">
        <v>0.4</v>
      </c>
      <c r="BW142" s="2018">
        <v>0.4</v>
      </c>
      <c r="BX142" s="2018">
        <v>0.4</v>
      </c>
      <c r="BY142" s="2025">
        <v>0.4</v>
      </c>
      <c r="BZ142" s="2018">
        <v>0.4</v>
      </c>
      <c r="CA142" s="2018">
        <v>0.4</v>
      </c>
      <c r="CB142" s="2100"/>
      <c r="CC142" s="2034"/>
      <c r="CD142" s="2034"/>
      <c r="CE142" s="2441"/>
    </row>
    <row r="143" spans="1:84">
      <c r="B143" s="1985">
        <f t="shared" ref="B143:B174" si="125">P143</f>
        <v>1.2</v>
      </c>
      <c r="C143" s="2012" t="str">
        <f t="shared" si="121"/>
        <v>雨水利用・雑排水再利用</v>
      </c>
      <c r="D143" s="2009" t="e">
        <f>IF(I$141=0,0,G143/I$141)</f>
        <v>#DIV/0!</v>
      </c>
      <c r="E143" s="2010" t="e">
        <f>IF(J$141=0,0,H143/J$141)</f>
        <v>#DIV/0!</v>
      </c>
      <c r="G143" s="2010" t="e">
        <f>K143*M143</f>
        <v>#DIV/0!</v>
      </c>
      <c r="H143" s="2010" t="e">
        <f t="shared" si="123"/>
        <v>#DIV/0!</v>
      </c>
      <c r="I143" s="2010" t="e">
        <f>SUM(G144:G145)</f>
        <v>#DIV/0!</v>
      </c>
      <c r="J143" s="2010" t="e">
        <f>SUM(H144:H145)</f>
        <v>#DIV/0!</v>
      </c>
      <c r="K143" s="2010" t="e">
        <f>IF(スコア!O143=0,0,1)</f>
        <v>#DIV/0!</v>
      </c>
      <c r="L143" s="2010" t="e">
        <f>IF(スコア!Q143=0,0,1)</f>
        <v>#DIV/0!</v>
      </c>
      <c r="M143" s="2010" t="e">
        <f>SUMPRODUCT($S$7:$AB$7,S143:AB143)</f>
        <v>#DIV/0!</v>
      </c>
      <c r="N143" s="2010" t="e">
        <f t="shared" si="98"/>
        <v>#DIV/0!</v>
      </c>
      <c r="P143" s="2084">
        <f t="shared" si="119"/>
        <v>1.2</v>
      </c>
      <c r="Q143" s="2011" t="str">
        <f t="shared" si="120"/>
        <v>LR2 1</v>
      </c>
      <c r="R143" s="2012" t="str">
        <f t="shared" si="99"/>
        <v>雨水利用・雑排水再利用</v>
      </c>
      <c r="S143" s="2013">
        <f t="shared" si="104"/>
        <v>0.6</v>
      </c>
      <c r="T143" s="2013">
        <f t="shared" si="105"/>
        <v>0.6</v>
      </c>
      <c r="U143" s="2013">
        <f t="shared" si="106"/>
        <v>0.6</v>
      </c>
      <c r="V143" s="2013">
        <f t="shared" si="107"/>
        <v>0.6</v>
      </c>
      <c r="W143" s="2013">
        <f t="shared" si="108"/>
        <v>0.6</v>
      </c>
      <c r="X143" s="2013">
        <f t="shared" si="109"/>
        <v>0.6</v>
      </c>
      <c r="Y143" s="2013">
        <f t="shared" si="110"/>
        <v>0.6</v>
      </c>
      <c r="Z143" s="2022">
        <f t="shared" si="111"/>
        <v>0.6</v>
      </c>
      <c r="AA143" s="2013">
        <f t="shared" si="112"/>
        <v>0.6</v>
      </c>
      <c r="AB143" s="2013">
        <f t="shared" si="113"/>
        <v>0.6</v>
      </c>
      <c r="AC143" s="2099">
        <f t="shared" si="100"/>
        <v>0</v>
      </c>
      <c r="AD143" s="2032">
        <f t="shared" si="101"/>
        <v>0</v>
      </c>
      <c r="AE143" s="2032">
        <f t="shared" si="102"/>
        <v>0</v>
      </c>
      <c r="AG143" s="2084">
        <v>1.2</v>
      </c>
      <c r="AH143" s="2015" t="s">
        <v>126</v>
      </c>
      <c r="AI143" s="2012" t="s">
        <v>127</v>
      </c>
      <c r="AJ143" s="2018">
        <v>0.6</v>
      </c>
      <c r="AK143" s="2018">
        <v>0.6</v>
      </c>
      <c r="AL143" s="2018">
        <v>0.6</v>
      </c>
      <c r="AM143" s="2018">
        <v>0.6</v>
      </c>
      <c r="AN143" s="2018">
        <v>0.6</v>
      </c>
      <c r="AO143" s="2018">
        <v>0.6</v>
      </c>
      <c r="AP143" s="2018">
        <v>0.6</v>
      </c>
      <c r="AQ143" s="2025">
        <v>0.6</v>
      </c>
      <c r="AR143" s="2018">
        <v>0.6</v>
      </c>
      <c r="AS143" s="2018">
        <v>0.6</v>
      </c>
      <c r="AT143" s="2100"/>
      <c r="AU143" s="2034"/>
      <c r="AV143" s="2034"/>
      <c r="AX143" s="2084">
        <v>1.2</v>
      </c>
      <c r="AY143" s="2015" t="s">
        <v>126</v>
      </c>
      <c r="AZ143" s="2012" t="s">
        <v>127</v>
      </c>
      <c r="BA143" s="2018">
        <v>0.6</v>
      </c>
      <c r="BB143" s="2018">
        <v>0.6</v>
      </c>
      <c r="BC143" s="2018">
        <v>0.6</v>
      </c>
      <c r="BD143" s="2018">
        <v>0.6</v>
      </c>
      <c r="BE143" s="2018">
        <v>0.6</v>
      </c>
      <c r="BF143" s="2018">
        <v>0.6</v>
      </c>
      <c r="BG143" s="2018">
        <v>0.6</v>
      </c>
      <c r="BH143" s="2025">
        <v>0.6</v>
      </c>
      <c r="BI143" s="2018">
        <v>0.6</v>
      </c>
      <c r="BJ143" s="2018">
        <v>0.6</v>
      </c>
      <c r="BK143" s="2100"/>
      <c r="BL143" s="2034"/>
      <c r="BM143" s="2034"/>
      <c r="BO143" s="2084">
        <v>1.2</v>
      </c>
      <c r="BP143" s="2015" t="s">
        <v>126</v>
      </c>
      <c r="BQ143" s="2012" t="s">
        <v>127</v>
      </c>
      <c r="BR143" s="2018">
        <v>0.6</v>
      </c>
      <c r="BS143" s="2018">
        <v>0.6</v>
      </c>
      <c r="BT143" s="2018">
        <v>0.6</v>
      </c>
      <c r="BU143" s="2018">
        <v>0.6</v>
      </c>
      <c r="BV143" s="2018">
        <v>0.6</v>
      </c>
      <c r="BW143" s="2018">
        <v>0.6</v>
      </c>
      <c r="BX143" s="2018">
        <v>0.6</v>
      </c>
      <c r="BY143" s="2025">
        <v>0.6</v>
      </c>
      <c r="BZ143" s="2018">
        <v>0.6</v>
      </c>
      <c r="CA143" s="2018">
        <v>0.6</v>
      </c>
      <c r="CB143" s="2100"/>
      <c r="CC143" s="2034"/>
      <c r="CD143" s="2034"/>
      <c r="CE143" s="2441"/>
    </row>
    <row r="144" spans="1:84">
      <c r="B144" s="1985" t="str">
        <f t="shared" si="125"/>
        <v>1.2.1</v>
      </c>
      <c r="C144" s="2008" t="str">
        <f t="shared" si="121"/>
        <v>雨水利用システム導入の有無</v>
      </c>
      <c r="D144" s="1998" t="e">
        <f>IF(I$143&gt;0,G144/I$143,0)</f>
        <v>#DIV/0!</v>
      </c>
      <c r="E144" s="2010" t="e">
        <f>IF(J$143&gt;0,H144/J$143,0)</f>
        <v>#DIV/0!</v>
      </c>
      <c r="G144" s="2010" t="e">
        <f t="shared" si="122"/>
        <v>#DIV/0!</v>
      </c>
      <c r="H144" s="2010" t="e">
        <f t="shared" si="123"/>
        <v>#DIV/0!</v>
      </c>
      <c r="I144" s="2010"/>
      <c r="J144" s="2010"/>
      <c r="K144" s="2010">
        <f>IF(スコア!O144=0,0,1)</f>
        <v>1</v>
      </c>
      <c r="L144" s="2010">
        <f>IF(スコア!Q144=0,0,1)</f>
        <v>0</v>
      </c>
      <c r="M144" s="2010" t="e">
        <f>SUMPRODUCT($S$7:$AB$7,S144:AB144)</f>
        <v>#DIV/0!</v>
      </c>
      <c r="N144" s="2010" t="e">
        <f t="shared" si="98"/>
        <v>#DIV/0!</v>
      </c>
      <c r="P144" s="2011" t="str">
        <f t="shared" si="119"/>
        <v>1.2.1</v>
      </c>
      <c r="Q144" s="2011" t="str">
        <f t="shared" si="120"/>
        <v>LR2 1.2</v>
      </c>
      <c r="R144" s="2012" t="str">
        <f t="shared" si="99"/>
        <v>雨水利用システム導入の有無</v>
      </c>
      <c r="S144" s="2013">
        <f t="shared" si="104"/>
        <v>0.7</v>
      </c>
      <c r="T144" s="2013">
        <f t="shared" si="105"/>
        <v>0.7</v>
      </c>
      <c r="U144" s="2013">
        <f t="shared" si="106"/>
        <v>0.7</v>
      </c>
      <c r="V144" s="2013">
        <f t="shared" si="107"/>
        <v>0.7</v>
      </c>
      <c r="W144" s="2013">
        <f t="shared" si="108"/>
        <v>0.7</v>
      </c>
      <c r="X144" s="2013">
        <f t="shared" si="109"/>
        <v>0.7</v>
      </c>
      <c r="Y144" s="2013">
        <f t="shared" si="110"/>
        <v>0.7</v>
      </c>
      <c r="Z144" s="2022">
        <f t="shared" si="111"/>
        <v>0.7</v>
      </c>
      <c r="AA144" s="2013">
        <f t="shared" si="112"/>
        <v>0.7</v>
      </c>
      <c r="AB144" s="2013">
        <f t="shared" si="113"/>
        <v>0.7</v>
      </c>
      <c r="AC144" s="2099">
        <f t="shared" si="100"/>
        <v>0</v>
      </c>
      <c r="AD144" s="2032">
        <f t="shared" si="101"/>
        <v>0</v>
      </c>
      <c r="AE144" s="2032">
        <f t="shared" si="102"/>
        <v>0</v>
      </c>
      <c r="AG144" s="2011" t="s">
        <v>2334</v>
      </c>
      <c r="AH144" s="2015" t="s">
        <v>128</v>
      </c>
      <c r="AI144" s="2016" t="s">
        <v>2335</v>
      </c>
      <c r="AJ144" s="2018">
        <v>0.7</v>
      </c>
      <c r="AK144" s="2018">
        <v>0.7</v>
      </c>
      <c r="AL144" s="2018">
        <v>0.7</v>
      </c>
      <c r="AM144" s="2018">
        <v>0.7</v>
      </c>
      <c r="AN144" s="2018">
        <v>0.7</v>
      </c>
      <c r="AO144" s="2018">
        <v>0.7</v>
      </c>
      <c r="AP144" s="2018">
        <v>0.7</v>
      </c>
      <c r="AQ144" s="2025">
        <v>0.7</v>
      </c>
      <c r="AR144" s="2018">
        <v>0.7</v>
      </c>
      <c r="AS144" s="2018">
        <v>0.7</v>
      </c>
      <c r="AT144" s="2100"/>
      <c r="AU144" s="2034"/>
      <c r="AV144" s="2034"/>
      <c r="AX144" s="2011" t="s">
        <v>2334</v>
      </c>
      <c r="AY144" s="2015" t="s">
        <v>128</v>
      </c>
      <c r="AZ144" s="2016" t="s">
        <v>2335</v>
      </c>
      <c r="BA144" s="2018">
        <v>0.7</v>
      </c>
      <c r="BB144" s="2018">
        <v>0.7</v>
      </c>
      <c r="BC144" s="2018">
        <v>0.7</v>
      </c>
      <c r="BD144" s="2018">
        <v>0.7</v>
      </c>
      <c r="BE144" s="2018">
        <v>0.7</v>
      </c>
      <c r="BF144" s="2018">
        <v>0.7</v>
      </c>
      <c r="BG144" s="2018">
        <v>0.7</v>
      </c>
      <c r="BH144" s="2025">
        <v>0.7</v>
      </c>
      <c r="BI144" s="2018">
        <v>0.7</v>
      </c>
      <c r="BJ144" s="2018">
        <v>0.7</v>
      </c>
      <c r="BK144" s="2100"/>
      <c r="BL144" s="2034"/>
      <c r="BM144" s="2034"/>
      <c r="BO144" s="2011" t="s">
        <v>2334</v>
      </c>
      <c r="BP144" s="2015" t="s">
        <v>128</v>
      </c>
      <c r="BQ144" s="2016" t="s">
        <v>2335</v>
      </c>
      <c r="BR144" s="2018">
        <v>0.7</v>
      </c>
      <c r="BS144" s="2018">
        <v>0.7</v>
      </c>
      <c r="BT144" s="2018">
        <v>0.7</v>
      </c>
      <c r="BU144" s="2018">
        <v>0.7</v>
      </c>
      <c r="BV144" s="2018">
        <v>0.7</v>
      </c>
      <c r="BW144" s="2018">
        <v>0.7</v>
      </c>
      <c r="BX144" s="2018">
        <v>0.7</v>
      </c>
      <c r="BY144" s="2025">
        <v>0.7</v>
      </c>
      <c r="BZ144" s="2018">
        <v>0.7</v>
      </c>
      <c r="CA144" s="2018">
        <v>0.7</v>
      </c>
      <c r="CB144" s="2100"/>
      <c r="CC144" s="2034"/>
      <c r="CD144" s="2034"/>
      <c r="CE144" s="2441"/>
    </row>
    <row r="145" spans="1:84">
      <c r="B145" s="1985" t="str">
        <f t="shared" si="125"/>
        <v>1.2.2</v>
      </c>
      <c r="C145" s="2008" t="str">
        <f t="shared" si="121"/>
        <v>雑排水等再利用システム導入の有無</v>
      </c>
      <c r="D145" s="1998" t="e">
        <f>IF(I$143&gt;0,G145/I$143,0)</f>
        <v>#DIV/0!</v>
      </c>
      <c r="E145" s="2010" t="e">
        <f>IF(J$143&gt;0,H145/J$143,0)</f>
        <v>#DIV/0!</v>
      </c>
      <c r="G145" s="2010" t="e">
        <f t="shared" si="122"/>
        <v>#DIV/0!</v>
      </c>
      <c r="H145" s="2010" t="e">
        <f t="shared" si="123"/>
        <v>#DIV/0!</v>
      </c>
      <c r="I145" s="2010"/>
      <c r="J145" s="2010"/>
      <c r="K145" s="2010">
        <f>IF(スコア!O145=0,0,1)</f>
        <v>1</v>
      </c>
      <c r="L145" s="2010">
        <f>IF(スコア!Q145=0,0,1)</f>
        <v>0</v>
      </c>
      <c r="M145" s="2010" t="e">
        <f>SUMPRODUCT($S$7:$AB$7,S145:AB145)</f>
        <v>#DIV/0!</v>
      </c>
      <c r="N145" s="2010" t="e">
        <f t="shared" si="98"/>
        <v>#DIV/0!</v>
      </c>
      <c r="P145" s="2011" t="str">
        <f t="shared" si="119"/>
        <v>1.2.2</v>
      </c>
      <c r="Q145" s="2011" t="str">
        <f t="shared" si="120"/>
        <v>LR2 1.2</v>
      </c>
      <c r="R145" s="2012" t="str">
        <f t="shared" si="99"/>
        <v>雑排水等再利用システム導入の有無</v>
      </c>
      <c r="S145" s="2013">
        <f t="shared" si="104"/>
        <v>0.3</v>
      </c>
      <c r="T145" s="2013">
        <f t="shared" si="105"/>
        <v>0.3</v>
      </c>
      <c r="U145" s="2013">
        <f t="shared" si="106"/>
        <v>0.3</v>
      </c>
      <c r="V145" s="2013">
        <f t="shared" si="107"/>
        <v>0.3</v>
      </c>
      <c r="W145" s="2013">
        <f t="shared" si="108"/>
        <v>0.3</v>
      </c>
      <c r="X145" s="2013">
        <f t="shared" si="109"/>
        <v>0.3</v>
      </c>
      <c r="Y145" s="2013">
        <f t="shared" si="110"/>
        <v>0.3</v>
      </c>
      <c r="Z145" s="2022">
        <f t="shared" si="111"/>
        <v>0.3</v>
      </c>
      <c r="AA145" s="2013">
        <f t="shared" si="112"/>
        <v>0.3</v>
      </c>
      <c r="AB145" s="2013">
        <f t="shared" si="113"/>
        <v>0.3</v>
      </c>
      <c r="AC145" s="2099">
        <f t="shared" si="100"/>
        <v>0</v>
      </c>
      <c r="AD145" s="2032">
        <f t="shared" si="101"/>
        <v>0</v>
      </c>
      <c r="AE145" s="2032">
        <f t="shared" si="102"/>
        <v>0</v>
      </c>
      <c r="AG145" s="2011" t="s">
        <v>2336</v>
      </c>
      <c r="AH145" s="2015" t="s">
        <v>128</v>
      </c>
      <c r="AI145" s="2016" t="s">
        <v>129</v>
      </c>
      <c r="AJ145" s="2018">
        <v>0.3</v>
      </c>
      <c r="AK145" s="2018">
        <v>0.3</v>
      </c>
      <c r="AL145" s="2018">
        <v>0.3</v>
      </c>
      <c r="AM145" s="2018">
        <v>0.3</v>
      </c>
      <c r="AN145" s="2018">
        <v>0.3</v>
      </c>
      <c r="AO145" s="2018">
        <v>0.3</v>
      </c>
      <c r="AP145" s="2018">
        <v>0.3</v>
      </c>
      <c r="AQ145" s="2025">
        <v>0.3</v>
      </c>
      <c r="AR145" s="2018">
        <v>0.3</v>
      </c>
      <c r="AS145" s="2018">
        <v>0.3</v>
      </c>
      <c r="AT145" s="2100"/>
      <c r="AU145" s="2034"/>
      <c r="AV145" s="2034"/>
      <c r="AX145" s="2011" t="s">
        <v>2336</v>
      </c>
      <c r="AY145" s="2015" t="s">
        <v>128</v>
      </c>
      <c r="AZ145" s="2016" t="s">
        <v>129</v>
      </c>
      <c r="BA145" s="2018">
        <v>0.3</v>
      </c>
      <c r="BB145" s="2018">
        <v>0.3</v>
      </c>
      <c r="BC145" s="2018">
        <v>0.3</v>
      </c>
      <c r="BD145" s="2018">
        <v>0.3</v>
      </c>
      <c r="BE145" s="2018">
        <v>0.3</v>
      </c>
      <c r="BF145" s="2018">
        <v>0.3</v>
      </c>
      <c r="BG145" s="2018">
        <v>0.3</v>
      </c>
      <c r="BH145" s="2025">
        <v>0.3</v>
      </c>
      <c r="BI145" s="2018">
        <v>0.3</v>
      </c>
      <c r="BJ145" s="2018">
        <v>0.3</v>
      </c>
      <c r="BK145" s="2100"/>
      <c r="BL145" s="2034"/>
      <c r="BM145" s="2034"/>
      <c r="BO145" s="2011" t="s">
        <v>2336</v>
      </c>
      <c r="BP145" s="2015" t="s">
        <v>128</v>
      </c>
      <c r="BQ145" s="2016" t="s">
        <v>129</v>
      </c>
      <c r="BR145" s="2018">
        <v>0.3</v>
      </c>
      <c r="BS145" s="2018">
        <v>0.3</v>
      </c>
      <c r="BT145" s="2018">
        <v>0.3</v>
      </c>
      <c r="BU145" s="2018">
        <v>0.3</v>
      </c>
      <c r="BV145" s="2018">
        <v>0.3</v>
      </c>
      <c r="BW145" s="2018">
        <v>0.3</v>
      </c>
      <c r="BX145" s="2018">
        <v>0.3</v>
      </c>
      <c r="BY145" s="2025">
        <v>0.3</v>
      </c>
      <c r="BZ145" s="2018">
        <v>0.3</v>
      </c>
      <c r="CA145" s="2018">
        <v>0.3</v>
      </c>
      <c r="CB145" s="2100"/>
      <c r="CC145" s="2034"/>
      <c r="CD145" s="2034"/>
      <c r="CE145" s="2441"/>
    </row>
    <row r="146" spans="1:84" s="1406" customFormat="1">
      <c r="A146"/>
      <c r="B146" s="1985">
        <f t="shared" si="125"/>
        <v>2</v>
      </c>
      <c r="C146" s="2028" t="str">
        <f t="shared" si="121"/>
        <v>非再生性資源の使用量削減</v>
      </c>
      <c r="D146" s="1996" t="e">
        <f>IF(I$140=0,0,G146/I$140)</f>
        <v>#DIV/0!</v>
      </c>
      <c r="E146" s="1997" t="e">
        <f>IF(J$140=0,0,H146/J$140)</f>
        <v>#DIV/0!</v>
      </c>
      <c r="F146"/>
      <c r="G146" s="1997" t="e">
        <f t="shared" si="122"/>
        <v>#DIV/0!</v>
      </c>
      <c r="H146" s="1997" t="e">
        <f t="shared" si="123"/>
        <v>#DIV/0!</v>
      </c>
      <c r="I146" s="1997" t="e">
        <f>G147+G148+G149+G150+G151+G152</f>
        <v>#DIV/0!</v>
      </c>
      <c r="J146" s="1997" t="e">
        <f>H147+H148+H149+H150+H151+H152</f>
        <v>#DIV/0!</v>
      </c>
      <c r="K146" s="1997" t="e">
        <f>IF(スコア!O146=0,0,1)</f>
        <v>#DIV/0!</v>
      </c>
      <c r="L146" s="1997" t="e">
        <f>IF(スコア!Q146=0,0,1)</f>
        <v>#DIV/0!</v>
      </c>
      <c r="M146" s="1997" t="e">
        <f t="shared" si="124"/>
        <v>#DIV/0!</v>
      </c>
      <c r="N146" s="1997" t="e">
        <f t="shared" si="98"/>
        <v>#DIV/0!</v>
      </c>
      <c r="O146"/>
      <c r="P146" s="1999">
        <f t="shared" si="119"/>
        <v>2</v>
      </c>
      <c r="Q146" s="1999" t="str">
        <f t="shared" si="120"/>
        <v>LR2</v>
      </c>
      <c r="R146" s="2000" t="str">
        <f t="shared" si="99"/>
        <v>非再生性資源の使用量削減</v>
      </c>
      <c r="S146" s="2001">
        <f t="shared" si="104"/>
        <v>0.6</v>
      </c>
      <c r="T146" s="2001">
        <f t="shared" si="105"/>
        <v>0.6</v>
      </c>
      <c r="U146" s="2001">
        <f t="shared" si="106"/>
        <v>0.6</v>
      </c>
      <c r="V146" s="2001">
        <f t="shared" si="107"/>
        <v>0.6</v>
      </c>
      <c r="W146" s="2001">
        <f t="shared" si="108"/>
        <v>0.6</v>
      </c>
      <c r="X146" s="2001">
        <f t="shared" si="109"/>
        <v>0.6</v>
      </c>
      <c r="Y146" s="2001">
        <f t="shared" si="110"/>
        <v>0.6</v>
      </c>
      <c r="Z146" s="2065">
        <f t="shared" si="111"/>
        <v>0.6</v>
      </c>
      <c r="AA146" s="2001">
        <f t="shared" si="112"/>
        <v>0.6</v>
      </c>
      <c r="AB146" s="2001">
        <f t="shared" si="113"/>
        <v>0.6</v>
      </c>
      <c r="AC146" s="2095">
        <f t="shared" si="100"/>
        <v>0</v>
      </c>
      <c r="AD146" s="2096">
        <f t="shared" si="101"/>
        <v>0</v>
      </c>
      <c r="AE146" s="2096">
        <f t="shared" si="102"/>
        <v>0</v>
      </c>
      <c r="AF146"/>
      <c r="AG146" s="1999">
        <v>2</v>
      </c>
      <c r="AH146" s="2004" t="s">
        <v>1307</v>
      </c>
      <c r="AI146" s="2028" t="s">
        <v>1061</v>
      </c>
      <c r="AJ146" s="2005">
        <v>0.6</v>
      </c>
      <c r="AK146" s="2005">
        <v>0.6</v>
      </c>
      <c r="AL146" s="2005">
        <v>0.6</v>
      </c>
      <c r="AM146" s="2005">
        <v>0.6</v>
      </c>
      <c r="AN146" s="2005">
        <v>0.6</v>
      </c>
      <c r="AO146" s="2005">
        <v>0.6</v>
      </c>
      <c r="AP146" s="2005">
        <v>0.6</v>
      </c>
      <c r="AQ146" s="2005">
        <v>0.6</v>
      </c>
      <c r="AR146" s="2005">
        <v>0.6</v>
      </c>
      <c r="AS146" s="2005">
        <v>0.6</v>
      </c>
      <c r="AT146" s="2097"/>
      <c r="AU146" s="2098"/>
      <c r="AV146" s="2098"/>
      <c r="AW146"/>
      <c r="AX146" s="1999">
        <v>2</v>
      </c>
      <c r="AY146" s="2004" t="s">
        <v>1307</v>
      </c>
      <c r="AZ146" s="2028" t="s">
        <v>1061</v>
      </c>
      <c r="BA146" s="2005">
        <v>0.6</v>
      </c>
      <c r="BB146" s="2005">
        <v>0.6</v>
      </c>
      <c r="BC146" s="2005">
        <v>0.6</v>
      </c>
      <c r="BD146" s="2005">
        <v>0.6</v>
      </c>
      <c r="BE146" s="2005">
        <v>0.6</v>
      </c>
      <c r="BF146" s="2005">
        <v>0.6</v>
      </c>
      <c r="BG146" s="2005">
        <v>0.6</v>
      </c>
      <c r="BH146" s="2005">
        <v>0.6</v>
      </c>
      <c r="BI146" s="2005">
        <v>0.6</v>
      </c>
      <c r="BJ146" s="2005">
        <v>0.6</v>
      </c>
      <c r="BK146" s="2097"/>
      <c r="BL146" s="2098"/>
      <c r="BM146" s="2098"/>
      <c r="BN146"/>
      <c r="BO146" s="1999">
        <v>2</v>
      </c>
      <c r="BP146" s="2004" t="s">
        <v>1307</v>
      </c>
      <c r="BQ146" s="2028" t="s">
        <v>1061</v>
      </c>
      <c r="BR146" s="2005">
        <v>0.6</v>
      </c>
      <c r="BS146" s="2005">
        <v>0.6</v>
      </c>
      <c r="BT146" s="2005">
        <v>0.6</v>
      </c>
      <c r="BU146" s="2005">
        <v>0.6</v>
      </c>
      <c r="BV146" s="2005">
        <v>0.6</v>
      </c>
      <c r="BW146" s="2005">
        <v>0.6</v>
      </c>
      <c r="BX146" s="2005">
        <v>0.6</v>
      </c>
      <c r="BY146" s="2005">
        <v>0.6</v>
      </c>
      <c r="BZ146" s="2005">
        <v>0.6</v>
      </c>
      <c r="CA146" s="2005">
        <v>0.6</v>
      </c>
      <c r="CB146" s="2097"/>
      <c r="CC146" s="2098"/>
      <c r="CD146" s="2098"/>
      <c r="CE146" s="2451"/>
      <c r="CF146"/>
    </row>
    <row r="147" spans="1:84" s="1406" customFormat="1">
      <c r="A147"/>
      <c r="B147" s="1985" t="str">
        <f t="shared" si="125"/>
        <v>2.1</v>
      </c>
      <c r="C147" s="2012" t="str">
        <f t="shared" si="121"/>
        <v>材料使用量の削減</v>
      </c>
      <c r="D147" s="2009" t="e">
        <f t="shared" ref="D147:E152" si="126">IF(I$146=0,0,G147/I$146)</f>
        <v>#DIV/0!</v>
      </c>
      <c r="E147" s="2010" t="e">
        <f t="shared" si="126"/>
        <v>#DIV/0!</v>
      </c>
      <c r="F147"/>
      <c r="G147" s="2010" t="e">
        <f t="shared" si="122"/>
        <v>#DIV/0!</v>
      </c>
      <c r="H147" s="2010" t="e">
        <f t="shared" si="123"/>
        <v>#DIV/0!</v>
      </c>
      <c r="I147" s="2010"/>
      <c r="J147" s="2010"/>
      <c r="K147" s="2010">
        <f>IF(スコア!O147=0,0,1)</f>
        <v>1</v>
      </c>
      <c r="L147" s="2010">
        <f>IF(スコア!Q147=0,0,1)</f>
        <v>0</v>
      </c>
      <c r="M147" s="2010" t="e">
        <f t="shared" si="124"/>
        <v>#DIV/0!</v>
      </c>
      <c r="N147" s="2010" t="e">
        <f t="shared" si="98"/>
        <v>#DIV/0!</v>
      </c>
      <c r="O147"/>
      <c r="P147" s="2011" t="str">
        <f t="shared" si="119"/>
        <v>2.1</v>
      </c>
      <c r="Q147" s="2011" t="str">
        <f t="shared" si="120"/>
        <v>LR2 2</v>
      </c>
      <c r="R147" s="2012" t="str">
        <f t="shared" si="99"/>
        <v>材料使用量の削減</v>
      </c>
      <c r="S147" s="2013">
        <f t="shared" si="104"/>
        <v>0.1</v>
      </c>
      <c r="T147" s="2013">
        <f t="shared" si="105"/>
        <v>0.1</v>
      </c>
      <c r="U147" s="2013">
        <f t="shared" si="106"/>
        <v>0.1</v>
      </c>
      <c r="V147" s="2013">
        <f t="shared" si="107"/>
        <v>0.1</v>
      </c>
      <c r="W147" s="2013">
        <f t="shared" si="108"/>
        <v>0.1</v>
      </c>
      <c r="X147" s="2013">
        <f t="shared" si="109"/>
        <v>0.1</v>
      </c>
      <c r="Y147" s="2013">
        <f t="shared" si="110"/>
        <v>0.1</v>
      </c>
      <c r="Z147" s="2022">
        <f t="shared" si="111"/>
        <v>0.1</v>
      </c>
      <c r="AA147" s="2013">
        <f t="shared" si="112"/>
        <v>0.1</v>
      </c>
      <c r="AB147" s="2013">
        <f t="shared" si="113"/>
        <v>0.1</v>
      </c>
      <c r="AC147" s="2099">
        <f t="shared" si="100"/>
        <v>0</v>
      </c>
      <c r="AD147" s="2032">
        <f t="shared" si="101"/>
        <v>0</v>
      </c>
      <c r="AE147" s="2032">
        <f t="shared" si="102"/>
        <v>0</v>
      </c>
      <c r="AF147"/>
      <c r="AG147" s="2011" t="s">
        <v>2337</v>
      </c>
      <c r="AH147" s="2004" t="s">
        <v>130</v>
      </c>
      <c r="AI147" s="2016" t="s">
        <v>1062</v>
      </c>
      <c r="AJ147" s="2073">
        <v>0.1</v>
      </c>
      <c r="AK147" s="2073">
        <v>0.1</v>
      </c>
      <c r="AL147" s="2073">
        <v>0.1</v>
      </c>
      <c r="AM147" s="2073">
        <v>0.1</v>
      </c>
      <c r="AN147" s="2073">
        <v>0.1</v>
      </c>
      <c r="AO147" s="2073">
        <v>0.1</v>
      </c>
      <c r="AP147" s="2073">
        <v>0.1</v>
      </c>
      <c r="AQ147" s="2073">
        <v>0.1</v>
      </c>
      <c r="AR147" s="2073">
        <v>0.1</v>
      </c>
      <c r="AS147" s="2073">
        <v>0.1</v>
      </c>
      <c r="AT147" s="2101"/>
      <c r="AU147" s="2098"/>
      <c r="AV147" s="2098"/>
      <c r="AW147"/>
      <c r="AX147" s="2011" t="s">
        <v>2338</v>
      </c>
      <c r="AY147" s="2004" t="s">
        <v>130</v>
      </c>
      <c r="AZ147" s="2016" t="s">
        <v>1062</v>
      </c>
      <c r="BA147" s="2073">
        <v>0.1</v>
      </c>
      <c r="BB147" s="2073">
        <v>0.1</v>
      </c>
      <c r="BC147" s="2073">
        <v>0.1</v>
      </c>
      <c r="BD147" s="2073">
        <v>0.1</v>
      </c>
      <c r="BE147" s="2073">
        <v>0.1</v>
      </c>
      <c r="BF147" s="2073">
        <v>0.1</v>
      </c>
      <c r="BG147" s="2073">
        <v>0.1</v>
      </c>
      <c r="BH147" s="2073">
        <v>0.1</v>
      </c>
      <c r="BI147" s="2073">
        <v>0.1</v>
      </c>
      <c r="BJ147" s="2073">
        <v>0.1</v>
      </c>
      <c r="BK147" s="2101"/>
      <c r="BL147" s="2098"/>
      <c r="BM147" s="2098"/>
      <c r="BN147"/>
      <c r="BO147" s="2011" t="s">
        <v>2338</v>
      </c>
      <c r="BP147" s="2004" t="s">
        <v>130</v>
      </c>
      <c r="BQ147" s="2016" t="s">
        <v>1062</v>
      </c>
      <c r="BR147" s="2073">
        <v>0.1</v>
      </c>
      <c r="BS147" s="2073">
        <v>0.1</v>
      </c>
      <c r="BT147" s="2073">
        <v>0.1</v>
      </c>
      <c r="BU147" s="2073">
        <v>0.1</v>
      </c>
      <c r="BV147" s="2073">
        <v>0.1</v>
      </c>
      <c r="BW147" s="2073">
        <v>0.1</v>
      </c>
      <c r="BX147" s="2073">
        <v>0.1</v>
      </c>
      <c r="BY147" s="2073">
        <v>0.1</v>
      </c>
      <c r="BZ147" s="2073">
        <v>0.1</v>
      </c>
      <c r="CA147" s="2073">
        <v>0.1</v>
      </c>
      <c r="CB147" s="2097"/>
      <c r="CC147" s="2098"/>
      <c r="CD147" s="2098"/>
      <c r="CE147" s="2451"/>
      <c r="CF147"/>
    </row>
    <row r="148" spans="1:84">
      <c r="B148" s="1985" t="str">
        <f t="shared" si="125"/>
        <v>2.2</v>
      </c>
      <c r="C148" s="2012" t="str">
        <f t="shared" si="121"/>
        <v>既存建築躯体等の継続使用</v>
      </c>
      <c r="D148" s="2009" t="e">
        <f t="shared" si="126"/>
        <v>#DIV/0!</v>
      </c>
      <c r="E148" s="2010" t="e">
        <f t="shared" si="126"/>
        <v>#DIV/0!</v>
      </c>
      <c r="G148" s="2010" t="e">
        <f t="shared" si="122"/>
        <v>#DIV/0!</v>
      </c>
      <c r="H148" s="2010" t="e">
        <f t="shared" si="123"/>
        <v>#DIV/0!</v>
      </c>
      <c r="I148" s="2010"/>
      <c r="J148" s="2010"/>
      <c r="K148" s="2010">
        <f>IF(スコア!O148=0,0,1)</f>
        <v>1</v>
      </c>
      <c r="L148" s="2010">
        <f>IF(スコア!Q148=0,0,1)</f>
        <v>0</v>
      </c>
      <c r="M148" s="2010" t="e">
        <f t="shared" si="124"/>
        <v>#DIV/0!</v>
      </c>
      <c r="N148" s="2010" t="e">
        <f t="shared" si="98"/>
        <v>#DIV/0!</v>
      </c>
      <c r="P148" s="2011" t="str">
        <f t="shared" si="119"/>
        <v>2.2</v>
      </c>
      <c r="Q148" s="2011" t="str">
        <f t="shared" si="120"/>
        <v>LR2 2</v>
      </c>
      <c r="R148" s="2012" t="str">
        <f t="shared" si="99"/>
        <v>既存建築躯体等の継続使用</v>
      </c>
      <c r="S148" s="2013">
        <f t="shared" si="104"/>
        <v>0.2</v>
      </c>
      <c r="T148" s="2013">
        <f t="shared" si="105"/>
        <v>0.2</v>
      </c>
      <c r="U148" s="2013">
        <f t="shared" si="106"/>
        <v>0.2</v>
      </c>
      <c r="V148" s="2013">
        <f t="shared" si="107"/>
        <v>0.2</v>
      </c>
      <c r="W148" s="2013">
        <f t="shared" si="108"/>
        <v>0.2</v>
      </c>
      <c r="X148" s="2013">
        <f t="shared" si="109"/>
        <v>0.2</v>
      </c>
      <c r="Y148" s="2013">
        <f t="shared" si="110"/>
        <v>0.2</v>
      </c>
      <c r="Z148" s="2022">
        <f t="shared" si="111"/>
        <v>0.2</v>
      </c>
      <c r="AA148" s="2013">
        <f t="shared" si="112"/>
        <v>0.2</v>
      </c>
      <c r="AB148" s="2013">
        <f t="shared" si="113"/>
        <v>0.2</v>
      </c>
      <c r="AC148" s="2099">
        <f t="shared" si="100"/>
        <v>0</v>
      </c>
      <c r="AD148" s="2032">
        <f t="shared" si="101"/>
        <v>0</v>
      </c>
      <c r="AE148" s="2032">
        <f t="shared" si="102"/>
        <v>0</v>
      </c>
      <c r="AG148" s="2011" t="s">
        <v>2339</v>
      </c>
      <c r="AH148" s="2015" t="s">
        <v>130</v>
      </c>
      <c r="AI148" s="2012" t="s">
        <v>1063</v>
      </c>
      <c r="AJ148" s="2018">
        <v>0.2</v>
      </c>
      <c r="AK148" s="2018">
        <v>0.2</v>
      </c>
      <c r="AL148" s="2018">
        <v>0.2</v>
      </c>
      <c r="AM148" s="2018">
        <v>0.2</v>
      </c>
      <c r="AN148" s="2018">
        <v>0.2</v>
      </c>
      <c r="AO148" s="2018">
        <v>0.2</v>
      </c>
      <c r="AP148" s="2018">
        <v>0.2</v>
      </c>
      <c r="AQ148" s="2018">
        <v>0.2</v>
      </c>
      <c r="AR148" s="2018">
        <v>0.2</v>
      </c>
      <c r="AS148" s="2018">
        <v>0.2</v>
      </c>
      <c r="AT148" s="2100"/>
      <c r="AU148" s="2034"/>
      <c r="AV148" s="2034"/>
      <c r="AX148" s="2011" t="s">
        <v>2340</v>
      </c>
      <c r="AY148" s="2015" t="s">
        <v>130</v>
      </c>
      <c r="AZ148" s="2012" t="s">
        <v>1063</v>
      </c>
      <c r="BA148" s="2018">
        <v>0.2</v>
      </c>
      <c r="BB148" s="2018">
        <v>0.2</v>
      </c>
      <c r="BC148" s="2018">
        <v>0.2</v>
      </c>
      <c r="BD148" s="2018">
        <v>0.2</v>
      </c>
      <c r="BE148" s="2018">
        <v>0.2</v>
      </c>
      <c r="BF148" s="2018">
        <v>0.2</v>
      </c>
      <c r="BG148" s="2018">
        <v>0.2</v>
      </c>
      <c r="BH148" s="2018">
        <v>0.2</v>
      </c>
      <c r="BI148" s="2018">
        <v>0.2</v>
      </c>
      <c r="BJ148" s="2018">
        <v>0.2</v>
      </c>
      <c r="BK148" s="2100"/>
      <c r="BL148" s="2034"/>
      <c r="BM148" s="2034"/>
      <c r="BO148" s="2011" t="s">
        <v>2340</v>
      </c>
      <c r="BP148" s="2015" t="s">
        <v>130</v>
      </c>
      <c r="BQ148" s="2012" t="s">
        <v>1063</v>
      </c>
      <c r="BR148" s="2018">
        <v>0.2</v>
      </c>
      <c r="BS148" s="2018">
        <v>0.2</v>
      </c>
      <c r="BT148" s="2018">
        <v>0.2</v>
      </c>
      <c r="BU148" s="2018">
        <v>0.2</v>
      </c>
      <c r="BV148" s="2018">
        <v>0.2</v>
      </c>
      <c r="BW148" s="2018">
        <v>0.2</v>
      </c>
      <c r="BX148" s="2018">
        <v>0.2</v>
      </c>
      <c r="BY148" s="2018">
        <v>0.2</v>
      </c>
      <c r="BZ148" s="2018">
        <v>0.2</v>
      </c>
      <c r="CA148" s="2018">
        <v>0.2</v>
      </c>
      <c r="CB148" s="2100"/>
      <c r="CC148" s="2034"/>
      <c r="CD148" s="2034"/>
      <c r="CE148" s="2441"/>
    </row>
    <row r="149" spans="1:84">
      <c r="B149" s="1985" t="str">
        <f t="shared" si="125"/>
        <v>2.3</v>
      </c>
      <c r="C149" s="2012" t="str">
        <f t="shared" si="121"/>
        <v>躯体材料におけるリサイクル材の使用</v>
      </c>
      <c r="D149" s="2009" t="e">
        <f t="shared" si="126"/>
        <v>#DIV/0!</v>
      </c>
      <c r="E149" s="2010" t="e">
        <f t="shared" si="126"/>
        <v>#DIV/0!</v>
      </c>
      <c r="G149" s="2010" t="e">
        <f t="shared" si="122"/>
        <v>#DIV/0!</v>
      </c>
      <c r="H149" s="2010" t="e">
        <f t="shared" si="123"/>
        <v>#DIV/0!</v>
      </c>
      <c r="I149" s="2010"/>
      <c r="J149" s="2010"/>
      <c r="K149" s="2010">
        <f>IF(スコア!O149=0,0,1)</f>
        <v>1</v>
      </c>
      <c r="L149" s="2010">
        <f>IF(スコア!Q149=0,0,1)</f>
        <v>0</v>
      </c>
      <c r="M149" s="2010" t="e">
        <f t="shared" si="124"/>
        <v>#DIV/0!</v>
      </c>
      <c r="N149" s="2010" t="e">
        <f t="shared" si="98"/>
        <v>#DIV/0!</v>
      </c>
      <c r="P149" s="2011" t="str">
        <f t="shared" si="119"/>
        <v>2.3</v>
      </c>
      <c r="Q149" s="2011" t="str">
        <f t="shared" si="120"/>
        <v>LR2 2</v>
      </c>
      <c r="R149" s="2012" t="str">
        <f t="shared" si="99"/>
        <v>躯体材料におけるリサイクル材の使用</v>
      </c>
      <c r="S149" s="2013">
        <f t="shared" si="104"/>
        <v>0.2</v>
      </c>
      <c r="T149" s="2013">
        <f t="shared" si="105"/>
        <v>0.2</v>
      </c>
      <c r="U149" s="2013">
        <f t="shared" si="106"/>
        <v>0.2</v>
      </c>
      <c r="V149" s="2013">
        <f t="shared" si="107"/>
        <v>0.2</v>
      </c>
      <c r="W149" s="2013">
        <f t="shared" si="108"/>
        <v>0.2</v>
      </c>
      <c r="X149" s="2013">
        <f t="shared" si="109"/>
        <v>0.2</v>
      </c>
      <c r="Y149" s="2013">
        <f t="shared" si="110"/>
        <v>0.2</v>
      </c>
      <c r="Z149" s="2022">
        <f t="shared" si="111"/>
        <v>0.2</v>
      </c>
      <c r="AA149" s="2013">
        <f t="shared" si="112"/>
        <v>0.2</v>
      </c>
      <c r="AB149" s="2013">
        <f t="shared" si="113"/>
        <v>0.2</v>
      </c>
      <c r="AC149" s="2099">
        <f t="shared" si="100"/>
        <v>0</v>
      </c>
      <c r="AD149" s="2032">
        <f t="shared" si="101"/>
        <v>0</v>
      </c>
      <c r="AE149" s="2032">
        <f t="shared" si="102"/>
        <v>0</v>
      </c>
      <c r="AG149" s="2011" t="s">
        <v>2341</v>
      </c>
      <c r="AH149" s="2015" t="s">
        <v>130</v>
      </c>
      <c r="AI149" s="2012" t="s">
        <v>1064</v>
      </c>
      <c r="AJ149" s="2018">
        <v>0.2</v>
      </c>
      <c r="AK149" s="2018">
        <v>0.2</v>
      </c>
      <c r="AL149" s="2018">
        <v>0.2</v>
      </c>
      <c r="AM149" s="2018">
        <v>0.2</v>
      </c>
      <c r="AN149" s="2018">
        <v>0.2</v>
      </c>
      <c r="AO149" s="2018">
        <v>0.2</v>
      </c>
      <c r="AP149" s="2018">
        <v>0.2</v>
      </c>
      <c r="AQ149" s="2018">
        <v>0.2</v>
      </c>
      <c r="AR149" s="2018">
        <v>0.2</v>
      </c>
      <c r="AS149" s="2018">
        <v>0.2</v>
      </c>
      <c r="AT149" s="2100"/>
      <c r="AU149" s="2034"/>
      <c r="AV149" s="2034"/>
      <c r="AX149" s="2011" t="s">
        <v>2342</v>
      </c>
      <c r="AY149" s="2015" t="s">
        <v>130</v>
      </c>
      <c r="AZ149" s="2012" t="s">
        <v>1064</v>
      </c>
      <c r="BA149" s="2018">
        <v>0.2</v>
      </c>
      <c r="BB149" s="2018">
        <v>0.2</v>
      </c>
      <c r="BC149" s="2018">
        <v>0.2</v>
      </c>
      <c r="BD149" s="2018">
        <v>0.2</v>
      </c>
      <c r="BE149" s="2018">
        <v>0.2</v>
      </c>
      <c r="BF149" s="2018">
        <v>0.2</v>
      </c>
      <c r="BG149" s="2018">
        <v>0.2</v>
      </c>
      <c r="BH149" s="2018">
        <v>0.2</v>
      </c>
      <c r="BI149" s="2018">
        <v>0.2</v>
      </c>
      <c r="BJ149" s="2018">
        <v>0.2</v>
      </c>
      <c r="BK149" s="2100"/>
      <c r="BL149" s="2034"/>
      <c r="BM149" s="2034"/>
      <c r="BO149" s="2011" t="s">
        <v>2342</v>
      </c>
      <c r="BP149" s="2015" t="s">
        <v>130</v>
      </c>
      <c r="BQ149" s="2012" t="s">
        <v>1064</v>
      </c>
      <c r="BR149" s="2018">
        <v>0.2</v>
      </c>
      <c r="BS149" s="2018">
        <v>0.2</v>
      </c>
      <c r="BT149" s="2018">
        <v>0.2</v>
      </c>
      <c r="BU149" s="2018">
        <v>0.2</v>
      </c>
      <c r="BV149" s="2018">
        <v>0.2</v>
      </c>
      <c r="BW149" s="2018">
        <v>0.2</v>
      </c>
      <c r="BX149" s="2018">
        <v>0.2</v>
      </c>
      <c r="BY149" s="2018">
        <v>0.2</v>
      </c>
      <c r="BZ149" s="2018">
        <v>0.2</v>
      </c>
      <c r="CA149" s="2018">
        <v>0.2</v>
      </c>
      <c r="CB149" s="2100"/>
      <c r="CC149" s="2034"/>
      <c r="CD149" s="2034"/>
      <c r="CE149" s="2441"/>
    </row>
    <row r="150" spans="1:84">
      <c r="B150" s="1985" t="str">
        <f t="shared" si="125"/>
        <v>2.4</v>
      </c>
      <c r="C150" s="2012" t="str">
        <f t="shared" si="121"/>
        <v>躯体材料以外におけるリサイクル材の使用</v>
      </c>
      <c r="D150" s="2009" t="e">
        <f t="shared" si="126"/>
        <v>#DIV/0!</v>
      </c>
      <c r="E150" s="2010" t="e">
        <f t="shared" si="126"/>
        <v>#DIV/0!</v>
      </c>
      <c r="G150" s="2010" t="e">
        <f t="shared" si="122"/>
        <v>#DIV/0!</v>
      </c>
      <c r="H150" s="2010" t="e">
        <f t="shared" si="123"/>
        <v>#DIV/0!</v>
      </c>
      <c r="I150" s="2010"/>
      <c r="J150" s="2010"/>
      <c r="K150" s="2010">
        <f>IF(スコア!O150=0,0,1)</f>
        <v>1</v>
      </c>
      <c r="L150" s="2010">
        <f>IF(スコア!Q150=0,0,1)</f>
        <v>0</v>
      </c>
      <c r="M150" s="2010" t="e">
        <f t="shared" si="124"/>
        <v>#DIV/0!</v>
      </c>
      <c r="N150" s="2010" t="e">
        <f t="shared" si="98"/>
        <v>#DIV/0!</v>
      </c>
      <c r="P150" s="2011" t="str">
        <f t="shared" si="119"/>
        <v>2.4</v>
      </c>
      <c r="Q150" s="2011" t="str">
        <f t="shared" si="120"/>
        <v>LR2 2</v>
      </c>
      <c r="R150" s="2012" t="str">
        <f t="shared" si="99"/>
        <v>躯体材料以外におけるリサイクル材の使用</v>
      </c>
      <c r="S150" s="2013">
        <f t="shared" si="104"/>
        <v>0.2</v>
      </c>
      <c r="T150" s="2013">
        <f t="shared" si="105"/>
        <v>0.2</v>
      </c>
      <c r="U150" s="2013">
        <f t="shared" si="106"/>
        <v>0.2</v>
      </c>
      <c r="V150" s="2013">
        <f t="shared" si="107"/>
        <v>0.2</v>
      </c>
      <c r="W150" s="2013">
        <f t="shared" si="108"/>
        <v>0.2</v>
      </c>
      <c r="X150" s="2013">
        <f t="shared" si="109"/>
        <v>0.2</v>
      </c>
      <c r="Y150" s="2013">
        <f t="shared" si="110"/>
        <v>0.2</v>
      </c>
      <c r="Z150" s="2022">
        <f t="shared" si="111"/>
        <v>0.2</v>
      </c>
      <c r="AA150" s="2013">
        <f t="shared" si="112"/>
        <v>0.2</v>
      </c>
      <c r="AB150" s="2013">
        <f t="shared" si="113"/>
        <v>0.2</v>
      </c>
      <c r="AC150" s="2099">
        <f t="shared" si="100"/>
        <v>0</v>
      </c>
      <c r="AD150" s="2032">
        <f t="shared" si="101"/>
        <v>0</v>
      </c>
      <c r="AE150" s="2032">
        <f t="shared" si="102"/>
        <v>0</v>
      </c>
      <c r="AG150" s="2011" t="s">
        <v>2343</v>
      </c>
      <c r="AH150" s="2015" t="s">
        <v>130</v>
      </c>
      <c r="AI150" s="2012" t="s">
        <v>1326</v>
      </c>
      <c r="AJ150" s="2018">
        <v>0.2</v>
      </c>
      <c r="AK150" s="2018">
        <v>0.2</v>
      </c>
      <c r="AL150" s="2018">
        <v>0.2</v>
      </c>
      <c r="AM150" s="2018">
        <v>0.2</v>
      </c>
      <c r="AN150" s="2018">
        <v>0.2</v>
      </c>
      <c r="AO150" s="2018">
        <v>0.2</v>
      </c>
      <c r="AP150" s="2018">
        <v>0.2</v>
      </c>
      <c r="AQ150" s="2018">
        <v>0.2</v>
      </c>
      <c r="AR150" s="2018">
        <v>0.2</v>
      </c>
      <c r="AS150" s="2018">
        <v>0.2</v>
      </c>
      <c r="AT150" s="2100"/>
      <c r="AU150" s="2034"/>
      <c r="AV150" s="2034"/>
      <c r="AX150" s="2011" t="s">
        <v>2344</v>
      </c>
      <c r="AY150" s="2015" t="s">
        <v>130</v>
      </c>
      <c r="AZ150" s="2012" t="s">
        <v>1326</v>
      </c>
      <c r="BA150" s="2018">
        <v>0.2</v>
      </c>
      <c r="BB150" s="2018">
        <v>0.2</v>
      </c>
      <c r="BC150" s="2018">
        <v>0.2</v>
      </c>
      <c r="BD150" s="2018">
        <v>0.2</v>
      </c>
      <c r="BE150" s="2018">
        <v>0.2</v>
      </c>
      <c r="BF150" s="2018">
        <v>0.2</v>
      </c>
      <c r="BG150" s="2018">
        <v>0.2</v>
      </c>
      <c r="BH150" s="2018">
        <v>0.2</v>
      </c>
      <c r="BI150" s="2018">
        <v>0.2</v>
      </c>
      <c r="BJ150" s="2018">
        <v>0.2</v>
      </c>
      <c r="BK150" s="2100"/>
      <c r="BL150" s="2034"/>
      <c r="BM150" s="2034"/>
      <c r="BO150" s="2011" t="s">
        <v>2344</v>
      </c>
      <c r="BP150" s="2015" t="s">
        <v>130</v>
      </c>
      <c r="BQ150" s="2012" t="s">
        <v>1326</v>
      </c>
      <c r="BR150" s="2018">
        <v>0.2</v>
      </c>
      <c r="BS150" s="2018">
        <v>0.2</v>
      </c>
      <c r="BT150" s="2018">
        <v>0.2</v>
      </c>
      <c r="BU150" s="2018">
        <v>0.2</v>
      </c>
      <c r="BV150" s="2018">
        <v>0.2</v>
      </c>
      <c r="BW150" s="2018">
        <v>0.2</v>
      </c>
      <c r="BX150" s="2018">
        <v>0.2</v>
      </c>
      <c r="BY150" s="2018">
        <v>0.2</v>
      </c>
      <c r="BZ150" s="2018">
        <v>0.2</v>
      </c>
      <c r="CA150" s="2018">
        <v>0.2</v>
      </c>
      <c r="CB150" s="2100"/>
      <c r="CC150" s="2034"/>
      <c r="CD150" s="2034"/>
      <c r="CE150" s="2441"/>
    </row>
    <row r="151" spans="1:84">
      <c r="B151" s="1985" t="str">
        <f t="shared" si="125"/>
        <v>2.5</v>
      </c>
      <c r="C151" s="2008" t="str">
        <f t="shared" si="121"/>
        <v>持続可能な森林から産出された木材</v>
      </c>
      <c r="D151" s="2009" t="e">
        <f t="shared" si="126"/>
        <v>#DIV/0!</v>
      </c>
      <c r="E151" s="2010" t="e">
        <f t="shared" si="126"/>
        <v>#DIV/0!</v>
      </c>
      <c r="G151" s="2010" t="e">
        <f t="shared" si="122"/>
        <v>#DIV/0!</v>
      </c>
      <c r="H151" s="2010" t="e">
        <f t="shared" si="123"/>
        <v>#DIV/0!</v>
      </c>
      <c r="I151" s="2010"/>
      <c r="J151" s="2010"/>
      <c r="K151" s="2010">
        <f>IF(スコア!O151=0,0,1)</f>
        <v>1</v>
      </c>
      <c r="L151" s="2010">
        <f>IF(スコア!Q151=0,0,1)</f>
        <v>0</v>
      </c>
      <c r="M151" s="2010" t="e">
        <f t="shared" si="124"/>
        <v>#DIV/0!</v>
      </c>
      <c r="N151" s="2010" t="e">
        <f t="shared" si="98"/>
        <v>#DIV/0!</v>
      </c>
      <c r="P151" s="2011" t="str">
        <f t="shared" si="119"/>
        <v>2.5</v>
      </c>
      <c r="Q151" s="2011" t="str">
        <f t="shared" si="120"/>
        <v>LR2 2</v>
      </c>
      <c r="R151" s="2012" t="str">
        <f t="shared" si="99"/>
        <v>持続可能な森林から産出された木材</v>
      </c>
      <c r="S151" s="2013">
        <f t="shared" si="104"/>
        <v>0.1</v>
      </c>
      <c r="T151" s="2013">
        <f t="shared" si="105"/>
        <v>0.1</v>
      </c>
      <c r="U151" s="2013">
        <f t="shared" si="106"/>
        <v>0.1</v>
      </c>
      <c r="V151" s="2013">
        <f t="shared" si="107"/>
        <v>0.1</v>
      </c>
      <c r="W151" s="2013">
        <f t="shared" si="108"/>
        <v>0.1</v>
      </c>
      <c r="X151" s="2013">
        <f t="shared" si="109"/>
        <v>0.1</v>
      </c>
      <c r="Y151" s="2013">
        <f t="shared" si="110"/>
        <v>0.1</v>
      </c>
      <c r="Z151" s="2022">
        <f t="shared" si="111"/>
        <v>0.1</v>
      </c>
      <c r="AA151" s="2013">
        <f t="shared" si="112"/>
        <v>0.1</v>
      </c>
      <c r="AB151" s="2013">
        <f t="shared" si="113"/>
        <v>0.1</v>
      </c>
      <c r="AC151" s="2099">
        <f t="shared" si="100"/>
        <v>0</v>
      </c>
      <c r="AD151" s="2032">
        <f t="shared" si="101"/>
        <v>0</v>
      </c>
      <c r="AE151" s="2032">
        <f t="shared" si="102"/>
        <v>0</v>
      </c>
      <c r="AG151" s="2011" t="s">
        <v>2345</v>
      </c>
      <c r="AH151" s="2015" t="s">
        <v>130</v>
      </c>
      <c r="AI151" s="2016" t="s">
        <v>2346</v>
      </c>
      <c r="AJ151" s="2018">
        <v>0.1</v>
      </c>
      <c r="AK151" s="2018">
        <v>0.1</v>
      </c>
      <c r="AL151" s="2018">
        <v>0.1</v>
      </c>
      <c r="AM151" s="2018">
        <v>0.1</v>
      </c>
      <c r="AN151" s="2018">
        <v>0.1</v>
      </c>
      <c r="AO151" s="2018">
        <v>0.1</v>
      </c>
      <c r="AP151" s="2018">
        <v>0.1</v>
      </c>
      <c r="AQ151" s="2018">
        <v>0.1</v>
      </c>
      <c r="AR151" s="2018">
        <v>0.1</v>
      </c>
      <c r="AS151" s="2018">
        <v>0.1</v>
      </c>
      <c r="AT151" s="2100"/>
      <c r="AU151" s="2034"/>
      <c r="AV151" s="2034"/>
      <c r="AX151" s="2011" t="s">
        <v>2345</v>
      </c>
      <c r="AY151" s="2015" t="s">
        <v>130</v>
      </c>
      <c r="AZ151" s="2016" t="s">
        <v>2346</v>
      </c>
      <c r="BA151" s="2018">
        <v>0.1</v>
      </c>
      <c r="BB151" s="2018">
        <v>0.1</v>
      </c>
      <c r="BC151" s="2018">
        <v>0.1</v>
      </c>
      <c r="BD151" s="2018">
        <v>0.1</v>
      </c>
      <c r="BE151" s="2018">
        <v>0.1</v>
      </c>
      <c r="BF151" s="2018">
        <v>0.1</v>
      </c>
      <c r="BG151" s="2018">
        <v>0.1</v>
      </c>
      <c r="BH151" s="2018">
        <v>0.1</v>
      </c>
      <c r="BI151" s="2018">
        <v>0.1</v>
      </c>
      <c r="BJ151" s="2018">
        <v>0.1</v>
      </c>
      <c r="BK151" s="2100"/>
      <c r="BL151" s="2034"/>
      <c r="BM151" s="2034"/>
      <c r="BO151" s="2011" t="s">
        <v>2345</v>
      </c>
      <c r="BP151" s="2015" t="s">
        <v>130</v>
      </c>
      <c r="BQ151" s="2016" t="s">
        <v>2346</v>
      </c>
      <c r="BR151" s="2018">
        <v>0.1</v>
      </c>
      <c r="BS151" s="2018">
        <v>0.1</v>
      </c>
      <c r="BT151" s="2018">
        <v>0.1</v>
      </c>
      <c r="BU151" s="2018">
        <v>0.1</v>
      </c>
      <c r="BV151" s="2018">
        <v>0.1</v>
      </c>
      <c r="BW151" s="2018">
        <v>0.1</v>
      </c>
      <c r="BX151" s="2018">
        <v>0.1</v>
      </c>
      <c r="BY151" s="2018">
        <v>0.1</v>
      </c>
      <c r="BZ151" s="2018">
        <v>0.1</v>
      </c>
      <c r="CA151" s="2018">
        <v>0.1</v>
      </c>
      <c r="CB151" s="2100"/>
      <c r="CC151" s="2034"/>
      <c r="CD151" s="2034"/>
      <c r="CE151" s="2441"/>
    </row>
    <row r="152" spans="1:84">
      <c r="B152" s="1985" t="str">
        <f t="shared" si="125"/>
        <v>2.6</v>
      </c>
      <c r="C152" s="2012" t="str">
        <f t="shared" si="121"/>
        <v>部材の再利用可能性向上への取組</v>
      </c>
      <c r="D152" s="2009" t="e">
        <f t="shared" si="126"/>
        <v>#DIV/0!</v>
      </c>
      <c r="E152" s="2010" t="e">
        <f t="shared" si="126"/>
        <v>#DIV/0!</v>
      </c>
      <c r="G152" s="2010" t="e">
        <f t="shared" si="122"/>
        <v>#DIV/0!</v>
      </c>
      <c r="H152" s="2010" t="e">
        <f t="shared" si="123"/>
        <v>#DIV/0!</v>
      </c>
      <c r="I152" s="2010"/>
      <c r="J152" s="2010"/>
      <c r="K152" s="2010">
        <f>IF(スコア!O152=0,0,1)</f>
        <v>1</v>
      </c>
      <c r="L152" s="2010">
        <f>IF(スコア!Q152=0,0,1)</f>
        <v>0</v>
      </c>
      <c r="M152" s="2010" t="e">
        <f t="shared" si="124"/>
        <v>#DIV/0!</v>
      </c>
      <c r="N152" s="2010" t="e">
        <f t="shared" ref="N152:N180" si="127">(AC$7*AC152)+(AD$7*AD152)+(AE$7*AE152)</f>
        <v>#DIV/0!</v>
      </c>
      <c r="P152" s="2011" t="str">
        <f t="shared" si="119"/>
        <v>2.6</v>
      </c>
      <c r="Q152" s="2011" t="str">
        <f t="shared" si="120"/>
        <v>LR2 2</v>
      </c>
      <c r="R152" s="2012" t="str">
        <f t="shared" si="99"/>
        <v>部材の再利用可能性向上への取組</v>
      </c>
      <c r="S152" s="2013">
        <f t="shared" si="104"/>
        <v>0.2</v>
      </c>
      <c r="T152" s="2013">
        <f t="shared" si="105"/>
        <v>0.2</v>
      </c>
      <c r="U152" s="2013">
        <f t="shared" si="106"/>
        <v>0.2</v>
      </c>
      <c r="V152" s="2013">
        <f t="shared" si="107"/>
        <v>0.2</v>
      </c>
      <c r="W152" s="2013">
        <f t="shared" si="108"/>
        <v>0.2</v>
      </c>
      <c r="X152" s="2013">
        <f t="shared" si="109"/>
        <v>0.2</v>
      </c>
      <c r="Y152" s="2013">
        <f t="shared" si="110"/>
        <v>0.2</v>
      </c>
      <c r="Z152" s="2022">
        <f t="shared" si="111"/>
        <v>0.2</v>
      </c>
      <c r="AA152" s="2013">
        <f t="shared" si="112"/>
        <v>0.2</v>
      </c>
      <c r="AB152" s="2013">
        <f t="shared" si="113"/>
        <v>0.2</v>
      </c>
      <c r="AC152" s="2099">
        <f t="shared" si="100"/>
        <v>0</v>
      </c>
      <c r="AD152" s="2032">
        <f t="shared" si="101"/>
        <v>0</v>
      </c>
      <c r="AE152" s="2032">
        <f t="shared" si="102"/>
        <v>0</v>
      </c>
      <c r="AG152" s="2011" t="s">
        <v>2347</v>
      </c>
      <c r="AH152" s="2015" t="s">
        <v>130</v>
      </c>
      <c r="AI152" s="2012" t="s">
        <v>3269</v>
      </c>
      <c r="AJ152" s="2018">
        <v>0.2</v>
      </c>
      <c r="AK152" s="2018">
        <v>0.2</v>
      </c>
      <c r="AL152" s="2018">
        <v>0.2</v>
      </c>
      <c r="AM152" s="2018">
        <v>0.2</v>
      </c>
      <c r="AN152" s="2018">
        <v>0.2</v>
      </c>
      <c r="AO152" s="2018">
        <v>0.2</v>
      </c>
      <c r="AP152" s="2018">
        <v>0.2</v>
      </c>
      <c r="AQ152" s="2018">
        <v>0.2</v>
      </c>
      <c r="AR152" s="2018">
        <v>0.2</v>
      </c>
      <c r="AS152" s="2018">
        <v>0.2</v>
      </c>
      <c r="AT152" s="2100"/>
      <c r="AU152" s="2034"/>
      <c r="AV152" s="2034"/>
      <c r="AX152" s="2011" t="s">
        <v>1177</v>
      </c>
      <c r="AY152" s="2015" t="s">
        <v>130</v>
      </c>
      <c r="AZ152" s="2012" t="s">
        <v>3269</v>
      </c>
      <c r="BA152" s="2018">
        <v>0.2</v>
      </c>
      <c r="BB152" s="2018">
        <v>0.2</v>
      </c>
      <c r="BC152" s="2018">
        <v>0.2</v>
      </c>
      <c r="BD152" s="2018">
        <v>0.2</v>
      </c>
      <c r="BE152" s="2018">
        <v>0.2</v>
      </c>
      <c r="BF152" s="2018">
        <v>0.2</v>
      </c>
      <c r="BG152" s="2018">
        <v>0.2</v>
      </c>
      <c r="BH152" s="2018">
        <v>0.2</v>
      </c>
      <c r="BI152" s="2018">
        <v>0.2</v>
      </c>
      <c r="BJ152" s="2018">
        <v>0.2</v>
      </c>
      <c r="BK152" s="2100"/>
      <c r="BL152" s="2034"/>
      <c r="BM152" s="2034"/>
      <c r="BO152" s="2011" t="s">
        <v>1177</v>
      </c>
      <c r="BP152" s="2015" t="s">
        <v>130</v>
      </c>
      <c r="BQ152" s="2012" t="s">
        <v>3269</v>
      </c>
      <c r="BR152" s="2018">
        <v>0.2</v>
      </c>
      <c r="BS152" s="2018">
        <v>0.2</v>
      </c>
      <c r="BT152" s="2018">
        <v>0.2</v>
      </c>
      <c r="BU152" s="2018">
        <v>0.2</v>
      </c>
      <c r="BV152" s="2018">
        <v>0.2</v>
      </c>
      <c r="BW152" s="2018">
        <v>0.2</v>
      </c>
      <c r="BX152" s="2018">
        <v>0.2</v>
      </c>
      <c r="BY152" s="2018">
        <v>0.2</v>
      </c>
      <c r="BZ152" s="2018">
        <v>0.2</v>
      </c>
      <c r="CA152" s="2018">
        <v>0.2</v>
      </c>
      <c r="CB152" s="2100"/>
      <c r="CC152" s="2034"/>
      <c r="CD152" s="2034"/>
      <c r="CE152" s="2441"/>
    </row>
    <row r="153" spans="1:84" s="1406" customFormat="1">
      <c r="A153"/>
      <c r="B153" s="1985">
        <f t="shared" si="125"/>
        <v>3</v>
      </c>
      <c r="C153" s="2028" t="str">
        <f t="shared" si="121"/>
        <v>汚染物質含有材料の使用回避</v>
      </c>
      <c r="D153" s="1996" t="e">
        <f>IF(I$140=0,0,G153/I$140)</f>
        <v>#DIV/0!</v>
      </c>
      <c r="E153" s="1997" t="e">
        <f>IF(J$140=0,0,H153/J$140)</f>
        <v>#DIV/0!</v>
      </c>
      <c r="F153"/>
      <c r="G153" s="1997" t="e">
        <f t="shared" si="122"/>
        <v>#DIV/0!</v>
      </c>
      <c r="H153" s="1997" t="e">
        <f t="shared" si="123"/>
        <v>#DIV/0!</v>
      </c>
      <c r="I153" s="1997" t="e">
        <f>G154+G155</f>
        <v>#DIV/0!</v>
      </c>
      <c r="J153" s="1997" t="e">
        <f>H154+H155</f>
        <v>#DIV/0!</v>
      </c>
      <c r="K153" s="1997" t="e">
        <f>IF(スコア!O153=0,0,1)</f>
        <v>#DIV/0!</v>
      </c>
      <c r="L153" s="1997" t="e">
        <f>IF(スコア!Q153=0,0,1)</f>
        <v>#DIV/0!</v>
      </c>
      <c r="M153" s="1997" t="e">
        <f t="shared" si="124"/>
        <v>#DIV/0!</v>
      </c>
      <c r="N153" s="1997" t="e">
        <f t="shared" si="127"/>
        <v>#DIV/0!</v>
      </c>
      <c r="O153"/>
      <c r="P153" s="1999">
        <f t="shared" si="119"/>
        <v>3</v>
      </c>
      <c r="Q153" s="1999" t="str">
        <f t="shared" si="120"/>
        <v>LR2</v>
      </c>
      <c r="R153" s="2000" t="str">
        <f t="shared" si="99"/>
        <v>汚染物質含有材料の使用回避</v>
      </c>
      <c r="S153" s="2001">
        <f t="shared" si="104"/>
        <v>0.2</v>
      </c>
      <c r="T153" s="2001">
        <f t="shared" si="105"/>
        <v>0.2</v>
      </c>
      <c r="U153" s="2001">
        <f t="shared" si="106"/>
        <v>0.2</v>
      </c>
      <c r="V153" s="2001">
        <f t="shared" si="107"/>
        <v>0.2</v>
      </c>
      <c r="W153" s="2001">
        <f t="shared" si="108"/>
        <v>0.2</v>
      </c>
      <c r="X153" s="2001">
        <f t="shared" si="109"/>
        <v>0.2</v>
      </c>
      <c r="Y153" s="2001">
        <f t="shared" si="110"/>
        <v>0.2</v>
      </c>
      <c r="Z153" s="2065">
        <f t="shared" si="111"/>
        <v>0.2</v>
      </c>
      <c r="AA153" s="2001">
        <f t="shared" si="112"/>
        <v>0.2</v>
      </c>
      <c r="AB153" s="2001">
        <f t="shared" si="113"/>
        <v>0.2</v>
      </c>
      <c r="AC153" s="2095">
        <f t="shared" si="100"/>
        <v>0</v>
      </c>
      <c r="AD153" s="2096">
        <f t="shared" si="101"/>
        <v>0</v>
      </c>
      <c r="AE153" s="2096">
        <f t="shared" si="102"/>
        <v>0</v>
      </c>
      <c r="AF153"/>
      <c r="AG153" s="1999">
        <v>3</v>
      </c>
      <c r="AH153" s="2004" t="s">
        <v>1307</v>
      </c>
      <c r="AI153" s="2028" t="s">
        <v>1066</v>
      </c>
      <c r="AJ153" s="2005">
        <v>0.2</v>
      </c>
      <c r="AK153" s="2005">
        <v>0.2</v>
      </c>
      <c r="AL153" s="2005">
        <v>0.2</v>
      </c>
      <c r="AM153" s="2005">
        <v>0.2</v>
      </c>
      <c r="AN153" s="2005">
        <v>0.2</v>
      </c>
      <c r="AO153" s="2005">
        <v>0.2</v>
      </c>
      <c r="AP153" s="2005">
        <v>0.2</v>
      </c>
      <c r="AQ153" s="2005">
        <v>0.2</v>
      </c>
      <c r="AR153" s="2005">
        <v>0.2</v>
      </c>
      <c r="AS153" s="2005">
        <v>0.2</v>
      </c>
      <c r="AT153" s="2097">
        <v>0</v>
      </c>
      <c r="AU153" s="2098">
        <v>0</v>
      </c>
      <c r="AV153" s="2098">
        <v>0</v>
      </c>
      <c r="AW153"/>
      <c r="AX153" s="1999">
        <v>3</v>
      </c>
      <c r="AY153" s="2004" t="s">
        <v>1307</v>
      </c>
      <c r="AZ153" s="2028" t="s">
        <v>1066</v>
      </c>
      <c r="BA153" s="2005">
        <v>0.2</v>
      </c>
      <c r="BB153" s="2005">
        <v>0.2</v>
      </c>
      <c r="BC153" s="2005">
        <v>0.2</v>
      </c>
      <c r="BD153" s="2005">
        <v>0.2</v>
      </c>
      <c r="BE153" s="2005">
        <v>0.2</v>
      </c>
      <c r="BF153" s="2005">
        <v>0.2</v>
      </c>
      <c r="BG153" s="2005">
        <v>0.2</v>
      </c>
      <c r="BH153" s="2005">
        <v>0.2</v>
      </c>
      <c r="BI153" s="2005">
        <v>0.2</v>
      </c>
      <c r="BJ153" s="2005">
        <v>0.2</v>
      </c>
      <c r="BK153" s="2097"/>
      <c r="BL153" s="2098"/>
      <c r="BM153" s="2098"/>
      <c r="BN153"/>
      <c r="BO153" s="1999">
        <v>3</v>
      </c>
      <c r="BP153" s="2004" t="s">
        <v>1307</v>
      </c>
      <c r="BQ153" s="2028" t="s">
        <v>1066</v>
      </c>
      <c r="BR153" s="2005">
        <v>0.2</v>
      </c>
      <c r="BS153" s="2005">
        <v>0.2</v>
      </c>
      <c r="BT153" s="2005">
        <v>0.2</v>
      </c>
      <c r="BU153" s="2005">
        <v>0.2</v>
      </c>
      <c r="BV153" s="2005">
        <v>0.2</v>
      </c>
      <c r="BW153" s="2005">
        <v>0.2</v>
      </c>
      <c r="BX153" s="2005">
        <v>0.2</v>
      </c>
      <c r="BY153" s="2005">
        <v>0.2</v>
      </c>
      <c r="BZ153" s="2005">
        <v>0.2</v>
      </c>
      <c r="CA153" s="2005">
        <v>0.2</v>
      </c>
      <c r="CB153" s="2097"/>
      <c r="CC153" s="2098"/>
      <c r="CD153" s="2098"/>
      <c r="CE153" s="2451"/>
      <c r="CF153"/>
    </row>
    <row r="154" spans="1:84">
      <c r="B154" s="1985" t="str">
        <f t="shared" si="125"/>
        <v>3.1</v>
      </c>
      <c r="C154" s="2012" t="str">
        <f t="shared" si="121"/>
        <v>有害物質を含まない材料の使用</v>
      </c>
      <c r="D154" s="2009" t="e">
        <f>IF(I$153=0,0,G154/I$153)</f>
        <v>#DIV/0!</v>
      </c>
      <c r="E154" s="2010" t="e">
        <f>IF(J$153=0,0,H154/J$153)</f>
        <v>#DIV/0!</v>
      </c>
      <c r="G154" s="2010" t="e">
        <f t="shared" si="122"/>
        <v>#DIV/0!</v>
      </c>
      <c r="H154" s="2010" t="e">
        <f t="shared" si="123"/>
        <v>#DIV/0!</v>
      </c>
      <c r="I154" s="2010"/>
      <c r="J154" s="2010"/>
      <c r="K154" s="2010">
        <f>IF(スコア!O154=0,0,1)</f>
        <v>1</v>
      </c>
      <c r="L154" s="2010">
        <f>IF(スコア!Q154=0,0,1)</f>
        <v>0</v>
      </c>
      <c r="M154" s="2010" t="e">
        <f t="shared" si="124"/>
        <v>#DIV/0!</v>
      </c>
      <c r="N154" s="2010" t="e">
        <f t="shared" si="127"/>
        <v>#DIV/0!</v>
      </c>
      <c r="P154" s="2011" t="str">
        <f t="shared" si="119"/>
        <v>3.1</v>
      </c>
      <c r="Q154" s="2011" t="str">
        <f t="shared" si="120"/>
        <v>LR2 3</v>
      </c>
      <c r="R154" s="2012" t="str">
        <f t="shared" si="99"/>
        <v>有害物質を含まない材料の使用</v>
      </c>
      <c r="S154" s="2013">
        <f t="shared" si="104"/>
        <v>0.3</v>
      </c>
      <c r="T154" s="2013">
        <f t="shared" si="105"/>
        <v>0.3</v>
      </c>
      <c r="U154" s="2013">
        <f t="shared" si="106"/>
        <v>0.3</v>
      </c>
      <c r="V154" s="2013">
        <f t="shared" si="107"/>
        <v>0.3</v>
      </c>
      <c r="W154" s="2013">
        <f t="shared" si="108"/>
        <v>0.3</v>
      </c>
      <c r="X154" s="2013">
        <f t="shared" si="109"/>
        <v>0.3</v>
      </c>
      <c r="Y154" s="2013">
        <f t="shared" si="110"/>
        <v>0.3</v>
      </c>
      <c r="Z154" s="2022">
        <f t="shared" si="111"/>
        <v>0.3</v>
      </c>
      <c r="AA154" s="2013">
        <f t="shared" si="112"/>
        <v>0.3</v>
      </c>
      <c r="AB154" s="2013">
        <f t="shared" si="113"/>
        <v>0.3</v>
      </c>
      <c r="AC154" s="2099">
        <f t="shared" si="100"/>
        <v>0</v>
      </c>
      <c r="AD154" s="2032">
        <f t="shared" si="101"/>
        <v>0</v>
      </c>
      <c r="AE154" s="2032">
        <f t="shared" si="102"/>
        <v>0</v>
      </c>
      <c r="AG154" s="2011" t="s">
        <v>1178</v>
      </c>
      <c r="AH154" s="2015" t="s">
        <v>131</v>
      </c>
      <c r="AI154" s="2012" t="s">
        <v>1067</v>
      </c>
      <c r="AJ154" s="2018">
        <v>0.3</v>
      </c>
      <c r="AK154" s="2018">
        <v>0.3</v>
      </c>
      <c r="AL154" s="2018">
        <v>0.3</v>
      </c>
      <c r="AM154" s="2018">
        <v>0.3</v>
      </c>
      <c r="AN154" s="2018">
        <v>0.3</v>
      </c>
      <c r="AO154" s="2018">
        <v>0.3</v>
      </c>
      <c r="AP154" s="2018">
        <v>0.3</v>
      </c>
      <c r="AQ154" s="2018">
        <v>0.3</v>
      </c>
      <c r="AR154" s="2018">
        <v>0.3</v>
      </c>
      <c r="AS154" s="2018">
        <v>0.3</v>
      </c>
      <c r="AT154" s="2100">
        <v>0</v>
      </c>
      <c r="AU154" s="2034">
        <v>0</v>
      </c>
      <c r="AV154" s="2034">
        <v>0</v>
      </c>
      <c r="AX154" s="2011" t="s">
        <v>1179</v>
      </c>
      <c r="AY154" s="2015" t="s">
        <v>131</v>
      </c>
      <c r="AZ154" s="2012" t="s">
        <v>1067</v>
      </c>
      <c r="BA154" s="2018">
        <v>0.3</v>
      </c>
      <c r="BB154" s="2018">
        <v>0.3</v>
      </c>
      <c r="BC154" s="2018">
        <v>0.3</v>
      </c>
      <c r="BD154" s="2018">
        <v>0.3</v>
      </c>
      <c r="BE154" s="2018">
        <v>0.3</v>
      </c>
      <c r="BF154" s="2018">
        <v>0.3</v>
      </c>
      <c r="BG154" s="2018">
        <v>0.3</v>
      </c>
      <c r="BH154" s="2018">
        <v>0.3</v>
      </c>
      <c r="BI154" s="2018">
        <v>0.3</v>
      </c>
      <c r="BJ154" s="2018">
        <v>0.3</v>
      </c>
      <c r="BK154" s="2100"/>
      <c r="BL154" s="2034"/>
      <c r="BM154" s="2034"/>
      <c r="BO154" s="2011" t="s">
        <v>1179</v>
      </c>
      <c r="BP154" s="2015" t="s">
        <v>131</v>
      </c>
      <c r="BQ154" s="2012" t="s">
        <v>1067</v>
      </c>
      <c r="BR154" s="2018">
        <v>0.3</v>
      </c>
      <c r="BS154" s="2018">
        <v>0.3</v>
      </c>
      <c r="BT154" s="2018">
        <v>0.3</v>
      </c>
      <c r="BU154" s="2018">
        <v>0.3</v>
      </c>
      <c r="BV154" s="2018">
        <v>0.3</v>
      </c>
      <c r="BW154" s="2018">
        <v>0.3</v>
      </c>
      <c r="BX154" s="2018">
        <v>0.3</v>
      </c>
      <c r="BY154" s="2018">
        <v>0.3</v>
      </c>
      <c r="BZ154" s="2018">
        <v>0.3</v>
      </c>
      <c r="CA154" s="2018">
        <v>0.3</v>
      </c>
      <c r="CB154" s="2100"/>
      <c r="CC154" s="2034"/>
      <c r="CD154" s="2034"/>
      <c r="CE154" s="2441"/>
    </row>
    <row r="155" spans="1:84">
      <c r="B155" s="1985" t="str">
        <f t="shared" si="125"/>
        <v>3.2</v>
      </c>
      <c r="C155" s="2012" t="str">
        <f t="shared" si="121"/>
        <v>フロン・ハロンの回避</v>
      </c>
      <c r="D155" s="2009" t="e">
        <f>IF(I$153=0,0,G155/I$153)</f>
        <v>#DIV/0!</v>
      </c>
      <c r="E155" s="2010" t="e">
        <f>IF(J$153=0,0,H155/J$153)</f>
        <v>#DIV/0!</v>
      </c>
      <c r="G155" s="2010" t="e">
        <f t="shared" si="122"/>
        <v>#DIV/0!</v>
      </c>
      <c r="H155" s="2010" t="e">
        <f t="shared" si="123"/>
        <v>#DIV/0!</v>
      </c>
      <c r="I155" s="2010" t="e">
        <f>SUM(G156:G158)</f>
        <v>#DIV/0!</v>
      </c>
      <c r="J155" s="2010" t="e">
        <f>SUM(H156:H158)</f>
        <v>#DIV/0!</v>
      </c>
      <c r="K155" s="2010" t="e">
        <f>IF(スコア!O155=0,0,1)</f>
        <v>#DIV/0!</v>
      </c>
      <c r="L155" s="2010" t="e">
        <f>IF(スコア!Q155=0,0,1)</f>
        <v>#DIV/0!</v>
      </c>
      <c r="M155" s="2010" t="e">
        <f t="shared" si="124"/>
        <v>#DIV/0!</v>
      </c>
      <c r="N155" s="2010" t="e">
        <f t="shared" si="127"/>
        <v>#DIV/0!</v>
      </c>
      <c r="P155" s="2011" t="str">
        <f t="shared" si="119"/>
        <v>3.2</v>
      </c>
      <c r="Q155" s="2011" t="str">
        <f t="shared" si="120"/>
        <v>LR2 3</v>
      </c>
      <c r="R155" s="2012" t="str">
        <f t="shared" si="99"/>
        <v>フロン・ハロンの回避</v>
      </c>
      <c r="S155" s="2013">
        <f>IF($P$3=1,BA155,IF($P$3=2,BR155,AJ155))</f>
        <v>0.7</v>
      </c>
      <c r="T155" s="2013">
        <f t="shared" si="105"/>
        <v>0.7</v>
      </c>
      <c r="U155" s="2013">
        <f t="shared" si="106"/>
        <v>0.7</v>
      </c>
      <c r="V155" s="2013">
        <f t="shared" si="107"/>
        <v>0.7</v>
      </c>
      <c r="W155" s="2013">
        <f t="shared" si="108"/>
        <v>0.7</v>
      </c>
      <c r="X155" s="2013">
        <f t="shared" si="109"/>
        <v>0.7</v>
      </c>
      <c r="Y155" s="2013">
        <f t="shared" si="110"/>
        <v>0.7</v>
      </c>
      <c r="Z155" s="2022">
        <f t="shared" si="111"/>
        <v>0.7</v>
      </c>
      <c r="AA155" s="2013">
        <f t="shared" si="112"/>
        <v>0.7</v>
      </c>
      <c r="AB155" s="2013">
        <f t="shared" si="113"/>
        <v>0.7</v>
      </c>
      <c r="AC155" s="2099">
        <f t="shared" si="100"/>
        <v>0</v>
      </c>
      <c r="AD155" s="2032">
        <f t="shared" si="101"/>
        <v>0</v>
      </c>
      <c r="AE155" s="2032">
        <f t="shared" si="102"/>
        <v>0</v>
      </c>
      <c r="AG155" s="2011" t="s">
        <v>1180</v>
      </c>
      <c r="AH155" s="2015" t="s">
        <v>131</v>
      </c>
      <c r="AI155" s="2012" t="s">
        <v>132</v>
      </c>
      <c r="AJ155" s="2018">
        <v>0.7</v>
      </c>
      <c r="AK155" s="2018">
        <v>0.7</v>
      </c>
      <c r="AL155" s="2018">
        <v>0.7</v>
      </c>
      <c r="AM155" s="2018">
        <v>0.7</v>
      </c>
      <c r="AN155" s="2018">
        <v>0.7</v>
      </c>
      <c r="AO155" s="2018">
        <v>0.7</v>
      </c>
      <c r="AP155" s="2018">
        <v>0.7</v>
      </c>
      <c r="AQ155" s="2018">
        <v>0.7</v>
      </c>
      <c r="AR155" s="2018">
        <v>0.7</v>
      </c>
      <c r="AS155" s="2018">
        <v>0.7</v>
      </c>
      <c r="AT155" s="2100">
        <v>0</v>
      </c>
      <c r="AU155" s="2034">
        <v>0</v>
      </c>
      <c r="AV155" s="2034">
        <v>0</v>
      </c>
      <c r="AX155" s="2011" t="s">
        <v>1180</v>
      </c>
      <c r="AY155" s="2015" t="s">
        <v>131</v>
      </c>
      <c r="AZ155" s="2012" t="s">
        <v>132</v>
      </c>
      <c r="BA155" s="2018">
        <v>0.7</v>
      </c>
      <c r="BB155" s="2018">
        <v>0.7</v>
      </c>
      <c r="BC155" s="2018">
        <v>0.7</v>
      </c>
      <c r="BD155" s="2018">
        <v>0.7</v>
      </c>
      <c r="BE155" s="2018">
        <v>0.7</v>
      </c>
      <c r="BF155" s="2018">
        <v>0.7</v>
      </c>
      <c r="BG155" s="2018">
        <v>0.7</v>
      </c>
      <c r="BH155" s="2018">
        <v>0.7</v>
      </c>
      <c r="BI155" s="2018">
        <v>0.7</v>
      </c>
      <c r="BJ155" s="2018">
        <v>0.7</v>
      </c>
      <c r="BK155" s="2100"/>
      <c r="BL155" s="2034"/>
      <c r="BM155" s="2034"/>
      <c r="BO155" s="2011" t="s">
        <v>1180</v>
      </c>
      <c r="BP155" s="2015" t="s">
        <v>131</v>
      </c>
      <c r="BQ155" s="2012" t="s">
        <v>132</v>
      </c>
      <c r="BR155" s="2018">
        <v>0.7</v>
      </c>
      <c r="BS155" s="2018">
        <v>0.7</v>
      </c>
      <c r="BT155" s="2018">
        <v>0.7</v>
      </c>
      <c r="BU155" s="2018">
        <v>0.7</v>
      </c>
      <c r="BV155" s="2018">
        <v>0.7</v>
      </c>
      <c r="BW155" s="2018">
        <v>0.7</v>
      </c>
      <c r="BX155" s="2018">
        <v>0.7</v>
      </c>
      <c r="BY155" s="2018">
        <v>0.7</v>
      </c>
      <c r="BZ155" s="2018">
        <v>0.7</v>
      </c>
      <c r="CA155" s="2018">
        <v>0.7</v>
      </c>
      <c r="CB155" s="2100"/>
      <c r="CC155" s="2034"/>
      <c r="CD155" s="2034"/>
      <c r="CE155" s="2441"/>
    </row>
    <row r="156" spans="1:84">
      <c r="B156" s="1985" t="str">
        <f t="shared" si="125"/>
        <v>3.2.1</v>
      </c>
      <c r="C156" s="2008" t="str">
        <f t="shared" si="121"/>
        <v>消火剤</v>
      </c>
      <c r="D156" s="1998" t="e">
        <f t="shared" ref="D156:E158" si="128">IF(I$155&gt;0,G156/I$155,0)</f>
        <v>#DIV/0!</v>
      </c>
      <c r="E156" s="2010" t="e">
        <f t="shared" si="128"/>
        <v>#DIV/0!</v>
      </c>
      <c r="G156" s="2010" t="e">
        <f t="shared" si="122"/>
        <v>#DIV/0!</v>
      </c>
      <c r="H156" s="2010" t="e">
        <f t="shared" si="123"/>
        <v>#DIV/0!</v>
      </c>
      <c r="I156" s="2010"/>
      <c r="J156" s="2010"/>
      <c r="K156" s="2010">
        <f>IF(スコア!O156=0,0,1)</f>
        <v>1</v>
      </c>
      <c r="L156" s="2010">
        <f>IF(スコア!Q156=0,0,1)</f>
        <v>0</v>
      </c>
      <c r="M156" s="2010" t="e">
        <f t="shared" si="124"/>
        <v>#DIV/0!</v>
      </c>
      <c r="N156" s="2010" t="e">
        <f t="shared" si="127"/>
        <v>#DIV/0!</v>
      </c>
      <c r="P156" s="2011" t="str">
        <f t="shared" si="119"/>
        <v>3.2.1</v>
      </c>
      <c r="Q156" s="2011" t="str">
        <f t="shared" si="120"/>
        <v>LR2 3.2</v>
      </c>
      <c r="R156" s="2012" t="str">
        <f t="shared" ref="R156:R180" si="129">IF($P$3=1,AZ156,IF($P$3=2,BQ156,AI156))</f>
        <v>消火剤</v>
      </c>
      <c r="S156" s="2013">
        <f t="shared" si="104"/>
        <v>0.33333333333333331</v>
      </c>
      <c r="T156" s="2013">
        <f t="shared" si="105"/>
        <v>0.33333333333333331</v>
      </c>
      <c r="U156" s="2013">
        <f t="shared" si="106"/>
        <v>0.33333333333333331</v>
      </c>
      <c r="V156" s="2013">
        <f t="shared" si="107"/>
        <v>0.33333333333333331</v>
      </c>
      <c r="W156" s="2013">
        <f t="shared" si="108"/>
        <v>0.33333333333333331</v>
      </c>
      <c r="X156" s="2013">
        <f t="shared" si="109"/>
        <v>0.33333333333333331</v>
      </c>
      <c r="Y156" s="2013">
        <f t="shared" si="110"/>
        <v>0.33333333333333331</v>
      </c>
      <c r="Z156" s="2022">
        <f t="shared" si="111"/>
        <v>0.33333333333333331</v>
      </c>
      <c r="AA156" s="2013">
        <f t="shared" si="112"/>
        <v>0.33333333333333331</v>
      </c>
      <c r="AB156" s="2013">
        <f t="shared" si="113"/>
        <v>0.33333333333333331</v>
      </c>
      <c r="AC156" s="2099">
        <f t="shared" ref="AC156:AC180" si="130">IF($P$3=1,BK156,IF($P$3=2,CB156,AT156))</f>
        <v>0</v>
      </c>
      <c r="AD156" s="2032">
        <f t="shared" ref="AD156:AD180" si="131">IF($P$3=1,BL156,IF($P$3=2,CC156,AU156))</f>
        <v>0</v>
      </c>
      <c r="AE156" s="2032">
        <f t="shared" ref="AE156:AE180" si="132">IF($P$3=1,BM156,IF($P$3=2,CD156,AV156))</f>
        <v>0</v>
      </c>
      <c r="AG156" s="2011" t="s">
        <v>1181</v>
      </c>
      <c r="AH156" s="2015" t="s">
        <v>2107</v>
      </c>
      <c r="AI156" s="2016" t="s">
        <v>1182</v>
      </c>
      <c r="AJ156" s="2018">
        <v>0.33333333333333331</v>
      </c>
      <c r="AK156" s="2018">
        <v>0.33333333333333331</v>
      </c>
      <c r="AL156" s="2018">
        <v>0.33333333333333331</v>
      </c>
      <c r="AM156" s="2018">
        <v>0.33333333333333331</v>
      </c>
      <c r="AN156" s="2018">
        <v>0.33333333333333331</v>
      </c>
      <c r="AO156" s="2018">
        <v>0.33333333333333331</v>
      </c>
      <c r="AP156" s="2018">
        <v>0.33333333333333331</v>
      </c>
      <c r="AQ156" s="2018">
        <v>0.33333333333333331</v>
      </c>
      <c r="AR156" s="2018">
        <v>0.33333333333333331</v>
      </c>
      <c r="AS156" s="2018">
        <v>0.33333333333333331</v>
      </c>
      <c r="AT156" s="2100">
        <v>0</v>
      </c>
      <c r="AU156" s="2034">
        <v>0</v>
      </c>
      <c r="AV156" s="2034">
        <v>0</v>
      </c>
      <c r="AX156" s="2011" t="s">
        <v>1181</v>
      </c>
      <c r="AY156" s="2015" t="s">
        <v>2107</v>
      </c>
      <c r="AZ156" s="2016" t="s">
        <v>1182</v>
      </c>
      <c r="BA156" s="2018">
        <v>0.33333333333333331</v>
      </c>
      <c r="BB156" s="2018">
        <v>0.33333333333333331</v>
      </c>
      <c r="BC156" s="2018">
        <v>0.33333333333333331</v>
      </c>
      <c r="BD156" s="2018">
        <v>0.33333333333333331</v>
      </c>
      <c r="BE156" s="2018">
        <v>0.33333333333333331</v>
      </c>
      <c r="BF156" s="2018">
        <v>0.33333333333333331</v>
      </c>
      <c r="BG156" s="2018">
        <v>0.33333333333333331</v>
      </c>
      <c r="BH156" s="2018">
        <v>0.33333333333333331</v>
      </c>
      <c r="BI156" s="2018">
        <v>0.33333333333333331</v>
      </c>
      <c r="BJ156" s="2018">
        <v>0.33333333333333331</v>
      </c>
      <c r="BK156" s="2100"/>
      <c r="BL156" s="2034"/>
      <c r="BM156" s="2034"/>
      <c r="BO156" s="2011" t="s">
        <v>1181</v>
      </c>
      <c r="BP156" s="2015" t="s">
        <v>2107</v>
      </c>
      <c r="BQ156" s="2016" t="s">
        <v>1182</v>
      </c>
      <c r="BR156" s="2018">
        <v>0.33333333333333331</v>
      </c>
      <c r="BS156" s="2018">
        <v>0.33333333333333331</v>
      </c>
      <c r="BT156" s="2018">
        <v>0.33333333333333331</v>
      </c>
      <c r="BU156" s="2018">
        <v>0.33333333333333331</v>
      </c>
      <c r="BV156" s="2018">
        <v>0.33333333333333331</v>
      </c>
      <c r="BW156" s="2018">
        <v>0.33333333333333331</v>
      </c>
      <c r="BX156" s="2018">
        <v>0.33333333333333331</v>
      </c>
      <c r="BY156" s="2018">
        <v>0.33333333333333331</v>
      </c>
      <c r="BZ156" s="2018">
        <v>0.33333333333333331</v>
      </c>
      <c r="CA156" s="2018">
        <v>0.33333333333333331</v>
      </c>
      <c r="CB156" s="2100"/>
      <c r="CC156" s="2034"/>
      <c r="CD156" s="2034"/>
      <c r="CE156" s="2441"/>
    </row>
    <row r="157" spans="1:84">
      <c r="B157" s="1985" t="str">
        <f t="shared" si="125"/>
        <v>3.2.2</v>
      </c>
      <c r="C157" s="2008" t="str">
        <f t="shared" si="121"/>
        <v>発泡剤（断熱材等）</v>
      </c>
      <c r="D157" s="1998" t="e">
        <f t="shared" si="128"/>
        <v>#DIV/0!</v>
      </c>
      <c r="E157" s="2010" t="e">
        <f t="shared" si="128"/>
        <v>#DIV/0!</v>
      </c>
      <c r="G157" s="2010" t="e">
        <f t="shared" si="122"/>
        <v>#DIV/0!</v>
      </c>
      <c r="H157" s="2010" t="e">
        <f t="shared" si="123"/>
        <v>#DIV/0!</v>
      </c>
      <c r="I157" s="2010"/>
      <c r="J157" s="2010"/>
      <c r="K157" s="2010">
        <f>IF(スコア!O157=0,0,1)</f>
        <v>1</v>
      </c>
      <c r="L157" s="2010">
        <f>IF(スコア!Q157=0,0,1)</f>
        <v>0</v>
      </c>
      <c r="M157" s="2010" t="e">
        <f t="shared" si="124"/>
        <v>#DIV/0!</v>
      </c>
      <c r="N157" s="2010" t="e">
        <f t="shared" si="127"/>
        <v>#DIV/0!</v>
      </c>
      <c r="P157" s="2011" t="str">
        <f t="shared" si="119"/>
        <v>3.2.2</v>
      </c>
      <c r="Q157" s="2011" t="str">
        <f t="shared" si="120"/>
        <v>LR2 3.2</v>
      </c>
      <c r="R157" s="2012" t="str">
        <f t="shared" si="129"/>
        <v>発泡剤（断熱材等）</v>
      </c>
      <c r="S157" s="2013">
        <f t="shared" si="104"/>
        <v>0.33333333333333331</v>
      </c>
      <c r="T157" s="2013">
        <f t="shared" si="105"/>
        <v>0.33333333333333331</v>
      </c>
      <c r="U157" s="2013">
        <f t="shared" si="106"/>
        <v>0.33333333333333331</v>
      </c>
      <c r="V157" s="2013">
        <f t="shared" si="107"/>
        <v>0.33333333333333331</v>
      </c>
      <c r="W157" s="2013">
        <f t="shared" si="108"/>
        <v>0.33333333333333331</v>
      </c>
      <c r="X157" s="2013">
        <f t="shared" si="109"/>
        <v>0.33333333333333331</v>
      </c>
      <c r="Y157" s="2013">
        <f t="shared" si="110"/>
        <v>0.33333333333333331</v>
      </c>
      <c r="Z157" s="2022">
        <f t="shared" si="111"/>
        <v>0.33333333333333331</v>
      </c>
      <c r="AA157" s="2013">
        <f t="shared" si="112"/>
        <v>0.33333333333333331</v>
      </c>
      <c r="AB157" s="2013">
        <f t="shared" si="113"/>
        <v>0.33333333333333331</v>
      </c>
      <c r="AC157" s="2099">
        <f t="shared" si="130"/>
        <v>0</v>
      </c>
      <c r="AD157" s="2032">
        <f t="shared" si="131"/>
        <v>0</v>
      </c>
      <c r="AE157" s="2032">
        <f t="shared" si="132"/>
        <v>0</v>
      </c>
      <c r="AG157" s="2011" t="s">
        <v>1183</v>
      </c>
      <c r="AH157" s="2015" t="s">
        <v>2107</v>
      </c>
      <c r="AI157" s="2016" t="s">
        <v>2108</v>
      </c>
      <c r="AJ157" s="2018">
        <v>0.33333333333333331</v>
      </c>
      <c r="AK157" s="2018">
        <v>0.33333333333333331</v>
      </c>
      <c r="AL157" s="2018">
        <v>0.33333333333333331</v>
      </c>
      <c r="AM157" s="2018">
        <v>0.33333333333333331</v>
      </c>
      <c r="AN157" s="2018">
        <v>0.33333333333333331</v>
      </c>
      <c r="AO157" s="2018">
        <v>0.33333333333333331</v>
      </c>
      <c r="AP157" s="2018">
        <v>0.33333333333333331</v>
      </c>
      <c r="AQ157" s="2018">
        <v>0.33333333333333331</v>
      </c>
      <c r="AR157" s="2018">
        <v>0.33333333333333331</v>
      </c>
      <c r="AS157" s="2018">
        <v>0.33333333333333331</v>
      </c>
      <c r="AT157" s="2100">
        <v>0</v>
      </c>
      <c r="AU157" s="2034">
        <v>0</v>
      </c>
      <c r="AV157" s="2034">
        <v>0</v>
      </c>
      <c r="AX157" s="2011" t="s">
        <v>1183</v>
      </c>
      <c r="AY157" s="2015" t="s">
        <v>2107</v>
      </c>
      <c r="AZ157" s="2016" t="s">
        <v>2108</v>
      </c>
      <c r="BA157" s="2018">
        <v>0.33333333333333331</v>
      </c>
      <c r="BB157" s="2018">
        <v>0.33333333333333331</v>
      </c>
      <c r="BC157" s="2018">
        <v>0.33333333333333331</v>
      </c>
      <c r="BD157" s="2018">
        <v>0.33333333333333331</v>
      </c>
      <c r="BE157" s="2018">
        <v>0.33333333333333331</v>
      </c>
      <c r="BF157" s="2018">
        <v>0.33333333333333331</v>
      </c>
      <c r="BG157" s="2018">
        <v>0.33333333333333331</v>
      </c>
      <c r="BH157" s="2018">
        <v>0.33333333333333331</v>
      </c>
      <c r="BI157" s="2018">
        <v>0.33333333333333331</v>
      </c>
      <c r="BJ157" s="2018">
        <v>0.33333333333333331</v>
      </c>
      <c r="BK157" s="2100"/>
      <c r="BL157" s="2034"/>
      <c r="BM157" s="2034"/>
      <c r="BO157" s="2011" t="s">
        <v>1183</v>
      </c>
      <c r="BP157" s="2015" t="s">
        <v>2107</v>
      </c>
      <c r="BQ157" s="2016" t="s">
        <v>1184</v>
      </c>
      <c r="BR157" s="2018">
        <v>0.33333333333333331</v>
      </c>
      <c r="BS157" s="2018">
        <v>0.33333333333333331</v>
      </c>
      <c r="BT157" s="2018">
        <v>0.33333333333333331</v>
      </c>
      <c r="BU157" s="2018">
        <v>0.33333333333333331</v>
      </c>
      <c r="BV157" s="2018">
        <v>0.33333333333333331</v>
      </c>
      <c r="BW157" s="2018">
        <v>0.33333333333333331</v>
      </c>
      <c r="BX157" s="2018">
        <v>0.33333333333333331</v>
      </c>
      <c r="BY157" s="2018">
        <v>0.33333333333333331</v>
      </c>
      <c r="BZ157" s="2018">
        <v>0.33333333333333331</v>
      </c>
      <c r="CA157" s="2018">
        <v>0.33333333333333331</v>
      </c>
      <c r="CB157" s="2100"/>
      <c r="CC157" s="2034"/>
      <c r="CD157" s="2034"/>
      <c r="CE157" s="2441"/>
    </row>
    <row r="158" spans="1:84">
      <c r="B158" s="1985" t="str">
        <f t="shared" si="125"/>
        <v>3.2.3</v>
      </c>
      <c r="C158" s="2008" t="str">
        <f t="shared" si="121"/>
        <v>冷媒</v>
      </c>
      <c r="D158" s="1998" t="e">
        <f t="shared" si="128"/>
        <v>#DIV/0!</v>
      </c>
      <c r="E158" s="2010" t="e">
        <f t="shared" si="128"/>
        <v>#DIV/0!</v>
      </c>
      <c r="G158" s="2010" t="e">
        <f t="shared" si="122"/>
        <v>#DIV/0!</v>
      </c>
      <c r="H158" s="2010" t="e">
        <f t="shared" si="123"/>
        <v>#DIV/0!</v>
      </c>
      <c r="I158" s="2010"/>
      <c r="J158" s="2010"/>
      <c r="K158" s="2010">
        <f>IF(スコア!O158=0,0,1)</f>
        <v>1</v>
      </c>
      <c r="L158" s="2010">
        <f>IF(スコア!Q158=0,0,1)</f>
        <v>0</v>
      </c>
      <c r="M158" s="2010" t="e">
        <f t="shared" si="124"/>
        <v>#DIV/0!</v>
      </c>
      <c r="N158" s="2010" t="e">
        <f t="shared" si="127"/>
        <v>#DIV/0!</v>
      </c>
      <c r="P158" s="2011" t="str">
        <f t="shared" si="119"/>
        <v>3.2.3</v>
      </c>
      <c r="Q158" s="2011" t="str">
        <f t="shared" si="120"/>
        <v>LR2 3.2</v>
      </c>
      <c r="R158" s="2012" t="str">
        <f t="shared" si="129"/>
        <v>冷媒</v>
      </c>
      <c r="S158" s="2013">
        <f t="shared" si="104"/>
        <v>0.33333333333333331</v>
      </c>
      <c r="T158" s="2013">
        <f t="shared" si="105"/>
        <v>0.33333333333333331</v>
      </c>
      <c r="U158" s="2013">
        <f t="shared" si="106"/>
        <v>0.33333333333333331</v>
      </c>
      <c r="V158" s="2013">
        <f t="shared" si="107"/>
        <v>0.33333333333333331</v>
      </c>
      <c r="W158" s="2013">
        <f t="shared" si="108"/>
        <v>0.33333333333333331</v>
      </c>
      <c r="X158" s="2013">
        <f t="shared" si="109"/>
        <v>0.33333333333333331</v>
      </c>
      <c r="Y158" s="2013">
        <f t="shared" si="110"/>
        <v>0.33333333333333331</v>
      </c>
      <c r="Z158" s="2022">
        <f t="shared" si="111"/>
        <v>0.33333333333333331</v>
      </c>
      <c r="AA158" s="2013">
        <f t="shared" si="112"/>
        <v>0.33333333333333331</v>
      </c>
      <c r="AB158" s="2013">
        <f t="shared" si="113"/>
        <v>0.33333333333333331</v>
      </c>
      <c r="AC158" s="2099">
        <f t="shared" si="130"/>
        <v>0</v>
      </c>
      <c r="AD158" s="2032">
        <f t="shared" si="131"/>
        <v>0</v>
      </c>
      <c r="AE158" s="2032">
        <f t="shared" si="132"/>
        <v>0</v>
      </c>
      <c r="AG158" s="2011" t="s">
        <v>1370</v>
      </c>
      <c r="AH158" s="2015" t="s">
        <v>2107</v>
      </c>
      <c r="AI158" s="2016" t="s">
        <v>2109</v>
      </c>
      <c r="AJ158" s="2018">
        <v>0.33333333333333331</v>
      </c>
      <c r="AK158" s="2018">
        <v>0.33333333333333331</v>
      </c>
      <c r="AL158" s="2018">
        <v>0.33333333333333331</v>
      </c>
      <c r="AM158" s="2018">
        <v>0.33333333333333331</v>
      </c>
      <c r="AN158" s="2018">
        <v>0.33333333333333331</v>
      </c>
      <c r="AO158" s="2018">
        <v>0.33333333333333331</v>
      </c>
      <c r="AP158" s="2018">
        <v>0.33333333333333331</v>
      </c>
      <c r="AQ158" s="2018">
        <v>0.33333333333333331</v>
      </c>
      <c r="AR158" s="2018">
        <v>0.33333333333333331</v>
      </c>
      <c r="AS158" s="2018">
        <v>0.33333333333333331</v>
      </c>
      <c r="AT158" s="2100">
        <v>0</v>
      </c>
      <c r="AU158" s="2034">
        <v>0</v>
      </c>
      <c r="AV158" s="2034">
        <v>0</v>
      </c>
      <c r="AX158" s="2011" t="s">
        <v>1370</v>
      </c>
      <c r="AY158" s="2015" t="s">
        <v>2107</v>
      </c>
      <c r="AZ158" s="2016" t="s">
        <v>2109</v>
      </c>
      <c r="BA158" s="2018">
        <v>0.33333333333333331</v>
      </c>
      <c r="BB158" s="2018">
        <v>0.33333333333333331</v>
      </c>
      <c r="BC158" s="2018">
        <v>0.33333333333333331</v>
      </c>
      <c r="BD158" s="2018">
        <v>0.33333333333333331</v>
      </c>
      <c r="BE158" s="2018">
        <v>0.33333333333333331</v>
      </c>
      <c r="BF158" s="2018">
        <v>0.33333333333333331</v>
      </c>
      <c r="BG158" s="2018">
        <v>0.33333333333333331</v>
      </c>
      <c r="BH158" s="2018">
        <v>0.33333333333333331</v>
      </c>
      <c r="BI158" s="2018">
        <v>0.33333333333333331</v>
      </c>
      <c r="BJ158" s="2018">
        <v>0.33333333333333331</v>
      </c>
      <c r="BK158" s="2100"/>
      <c r="BL158" s="2034"/>
      <c r="BM158" s="2034"/>
      <c r="BO158" s="2011" t="s">
        <v>1370</v>
      </c>
      <c r="BP158" s="2015" t="s">
        <v>2107</v>
      </c>
      <c r="BQ158" s="2016" t="s">
        <v>2109</v>
      </c>
      <c r="BR158" s="2018">
        <v>0.33333333333333331</v>
      </c>
      <c r="BS158" s="2018">
        <v>0.33333333333333331</v>
      </c>
      <c r="BT158" s="2018">
        <v>0.33333333333333331</v>
      </c>
      <c r="BU158" s="2018">
        <v>0.33333333333333331</v>
      </c>
      <c r="BV158" s="2018">
        <v>0.33333333333333331</v>
      </c>
      <c r="BW158" s="2018">
        <v>0.33333333333333331</v>
      </c>
      <c r="BX158" s="2018">
        <v>0.33333333333333331</v>
      </c>
      <c r="BY158" s="2018">
        <v>0.33333333333333331</v>
      </c>
      <c r="BZ158" s="2018">
        <v>0.33333333333333331</v>
      </c>
      <c r="CA158" s="2018">
        <v>0.33333333333333331</v>
      </c>
      <c r="CB158" s="2100"/>
      <c r="CC158" s="2034"/>
      <c r="CD158" s="2034"/>
      <c r="CE158" s="2441"/>
    </row>
    <row r="159" spans="1:84" s="1406" customFormat="1">
      <c r="A159"/>
      <c r="B159" s="1985" t="str">
        <f t="shared" si="125"/>
        <v>LR3</v>
      </c>
      <c r="C159" s="1986" t="str">
        <f t="shared" si="121"/>
        <v>敷地外環境</v>
      </c>
      <c r="D159" s="2081" t="e">
        <f>IF(I$116=0,0,G159/I$116)</f>
        <v>#DIV/0!</v>
      </c>
      <c r="E159" s="1988" t="e">
        <f>IF(J$116=0,0,H159/J$116)</f>
        <v>#DIV/0!</v>
      </c>
      <c r="F159"/>
      <c r="G159" s="1988" t="e">
        <f t="shared" si="122"/>
        <v>#DIV/0!</v>
      </c>
      <c r="H159" s="1988" t="e">
        <f t="shared" si="123"/>
        <v>#DIV/0!</v>
      </c>
      <c r="I159" s="1988" t="e">
        <f>G160+G161+G169</f>
        <v>#DIV/0!</v>
      </c>
      <c r="J159" s="1988" t="e">
        <f>H160+H161+H169</f>
        <v>#DIV/0!</v>
      </c>
      <c r="K159" s="1988" t="e">
        <f>IF(スコア!S159=0,0,1)</f>
        <v>#DIV/0!</v>
      </c>
      <c r="L159" s="1988">
        <f>IF(スコア!Q159=0,0,1)</f>
        <v>0</v>
      </c>
      <c r="M159" s="1988" t="e">
        <f t="shared" si="124"/>
        <v>#DIV/0!</v>
      </c>
      <c r="N159" s="1988" t="e">
        <f t="shared" si="127"/>
        <v>#DIV/0!</v>
      </c>
      <c r="O159"/>
      <c r="P159" s="2087" t="str">
        <f t="shared" si="119"/>
        <v>LR3</v>
      </c>
      <c r="Q159" s="2087" t="str">
        <f t="shared" si="120"/>
        <v>LR</v>
      </c>
      <c r="R159" s="1989" t="str">
        <f t="shared" si="129"/>
        <v>敷地外環境</v>
      </c>
      <c r="S159" s="1990">
        <f t="shared" si="104"/>
        <v>0.3</v>
      </c>
      <c r="T159" s="1990">
        <f t="shared" si="105"/>
        <v>0.3</v>
      </c>
      <c r="U159" s="1990">
        <f t="shared" si="106"/>
        <v>0.3</v>
      </c>
      <c r="V159" s="1990">
        <f t="shared" si="107"/>
        <v>0.3</v>
      </c>
      <c r="W159" s="1990">
        <f t="shared" si="108"/>
        <v>0.3</v>
      </c>
      <c r="X159" s="1990">
        <f t="shared" si="109"/>
        <v>0.3</v>
      </c>
      <c r="Y159" s="1990">
        <f t="shared" si="110"/>
        <v>0.3</v>
      </c>
      <c r="Z159" s="1990">
        <f t="shared" si="111"/>
        <v>0.3</v>
      </c>
      <c r="AA159" s="1990">
        <f t="shared" si="112"/>
        <v>0.3</v>
      </c>
      <c r="AB159" s="1990">
        <f t="shared" si="113"/>
        <v>0.3</v>
      </c>
      <c r="AC159" s="2089">
        <f t="shared" si="130"/>
        <v>0</v>
      </c>
      <c r="AD159" s="2090">
        <f t="shared" si="131"/>
        <v>0</v>
      </c>
      <c r="AE159" s="2090">
        <f t="shared" si="132"/>
        <v>0</v>
      </c>
      <c r="AF159"/>
      <c r="AG159" s="2087" t="s">
        <v>1371</v>
      </c>
      <c r="AH159" s="2091" t="s">
        <v>1372</v>
      </c>
      <c r="AI159" s="1989" t="s">
        <v>1373</v>
      </c>
      <c r="AJ159" s="1993">
        <v>0.3</v>
      </c>
      <c r="AK159" s="1993">
        <v>0.3</v>
      </c>
      <c r="AL159" s="1993">
        <v>0.3</v>
      </c>
      <c r="AM159" s="1993">
        <v>0.3</v>
      </c>
      <c r="AN159" s="1993">
        <v>0.3</v>
      </c>
      <c r="AO159" s="1993">
        <v>0.3</v>
      </c>
      <c r="AP159" s="1993">
        <v>0.3</v>
      </c>
      <c r="AQ159" s="1993">
        <v>0.3</v>
      </c>
      <c r="AR159" s="1993">
        <v>0.3</v>
      </c>
      <c r="AS159" s="1993">
        <v>0.3</v>
      </c>
      <c r="AT159" s="2093">
        <v>0</v>
      </c>
      <c r="AU159" s="2094">
        <v>0</v>
      </c>
      <c r="AV159" s="2094">
        <v>0</v>
      </c>
      <c r="AW159"/>
      <c r="AX159" s="2087" t="s">
        <v>1371</v>
      </c>
      <c r="AY159" s="2091" t="s">
        <v>1372</v>
      </c>
      <c r="AZ159" s="1989" t="s">
        <v>1373</v>
      </c>
      <c r="BA159" s="1993">
        <v>0.3</v>
      </c>
      <c r="BB159" s="1993">
        <v>0.3</v>
      </c>
      <c r="BC159" s="1993">
        <v>0.3</v>
      </c>
      <c r="BD159" s="1993">
        <v>0.3</v>
      </c>
      <c r="BE159" s="1993">
        <v>0.3</v>
      </c>
      <c r="BF159" s="1993">
        <v>0.3</v>
      </c>
      <c r="BG159" s="1993">
        <v>0.3</v>
      </c>
      <c r="BH159" s="1993">
        <v>0.3</v>
      </c>
      <c r="BI159" s="1993">
        <v>0.3</v>
      </c>
      <c r="BJ159" s="1993">
        <v>0.3</v>
      </c>
      <c r="BK159" s="2093"/>
      <c r="BL159" s="2094"/>
      <c r="BM159" s="2094"/>
      <c r="BN159"/>
      <c r="BO159" s="2087" t="s">
        <v>1371</v>
      </c>
      <c r="BP159" s="2091" t="s">
        <v>1372</v>
      </c>
      <c r="BQ159" s="1989" t="s">
        <v>1373</v>
      </c>
      <c r="BR159" s="1993">
        <v>0.3</v>
      </c>
      <c r="BS159" s="1993">
        <v>0.3</v>
      </c>
      <c r="BT159" s="1993">
        <v>0.3</v>
      </c>
      <c r="BU159" s="1993">
        <v>0.3</v>
      </c>
      <c r="BV159" s="1993">
        <v>0.3</v>
      </c>
      <c r="BW159" s="1993">
        <v>0.3</v>
      </c>
      <c r="BX159" s="1993">
        <v>0.3</v>
      </c>
      <c r="BY159" s="1993">
        <v>0.3</v>
      </c>
      <c r="BZ159" s="1993">
        <v>0.3</v>
      </c>
      <c r="CA159" s="1993">
        <v>0.3</v>
      </c>
      <c r="CB159" s="2093"/>
      <c r="CC159" s="2094"/>
      <c r="CD159" s="2094"/>
      <c r="CE159" s="2451"/>
      <c r="CF159"/>
    </row>
    <row r="160" spans="1:84" s="1406" customFormat="1">
      <c r="A160"/>
      <c r="B160" s="1992">
        <f t="shared" si="125"/>
        <v>1</v>
      </c>
      <c r="C160" s="2000" t="str">
        <f t="shared" si="121"/>
        <v>地球温暖化への配慮</v>
      </c>
      <c r="D160" s="1996" t="e">
        <f>IF(I$159=0,0,G160/I$159)</f>
        <v>#DIV/0!</v>
      </c>
      <c r="E160" s="1996" t="e">
        <f>IF(J$159=0,0,H160/J$159)</f>
        <v>#DIV/0!</v>
      </c>
      <c r="F160"/>
      <c r="G160" s="1997" t="e">
        <f t="shared" si="122"/>
        <v>#DIV/0!</v>
      </c>
      <c r="H160" s="1997" t="e">
        <f t="shared" si="123"/>
        <v>#DIV/0!</v>
      </c>
      <c r="I160" s="1997"/>
      <c r="J160" s="1997"/>
      <c r="K160" s="1997" t="e">
        <f>IF(スコア!O160=0,0,1)</f>
        <v>#DIV/0!</v>
      </c>
      <c r="L160" s="1997">
        <f>IF(スコア!Q160=0,0,1)</f>
        <v>0</v>
      </c>
      <c r="M160" s="1997" t="e">
        <f t="shared" si="124"/>
        <v>#DIV/0!</v>
      </c>
      <c r="N160" s="1997" t="e">
        <f t="shared" si="127"/>
        <v>#DIV/0!</v>
      </c>
      <c r="O160"/>
      <c r="P160" s="2102">
        <f t="shared" si="119"/>
        <v>1</v>
      </c>
      <c r="Q160" s="2004" t="str">
        <f t="shared" si="120"/>
        <v>LR3</v>
      </c>
      <c r="R160" s="2000" t="str">
        <f t="shared" si="129"/>
        <v>地球温暖化への配慮</v>
      </c>
      <c r="S160" s="2005">
        <f t="shared" ref="S160:S180" si="133">IF($P$3=1,BA160,IF($P$3=2,BR160,AJ160))</f>
        <v>0.33333333333333331</v>
      </c>
      <c r="T160" s="2005">
        <f t="shared" ref="T160:T180" si="134">IF($P$3=1,BB160,IF($P$3=2,BS160,AK160))</f>
        <v>0.33333333333333331</v>
      </c>
      <c r="U160" s="2005">
        <f t="shared" ref="U160:U180" si="135">IF($P$3=1,BC160,IF($P$3=2,BT160,AL160))</f>
        <v>0.33333333333333331</v>
      </c>
      <c r="V160" s="2005">
        <f t="shared" ref="V160:V180" si="136">IF($P$3=1,BD160,IF($P$3=2,BU160,AM160))</f>
        <v>0.33333333333333331</v>
      </c>
      <c r="W160" s="2005">
        <f t="shared" ref="W160:W180" si="137">IF($P$3=1,BE160,IF($P$3=2,BV160,AN160))</f>
        <v>0.33333333333333331</v>
      </c>
      <c r="X160" s="2005">
        <f t="shared" ref="X160:X180" si="138">IF($P$3=1,BF160,IF($P$3=2,BW160,AO160))</f>
        <v>0.33333333333333331</v>
      </c>
      <c r="Y160" s="2005">
        <f t="shared" ref="Y160:Y180" si="139">IF($P$3=1,BG160,IF($P$3=2,BX160,AP160))</f>
        <v>0.33333333333333331</v>
      </c>
      <c r="Z160" s="2005">
        <f t="shared" ref="Z160:Z180" si="140">IF($P$3=1,BH160,IF($P$3=2,BY160,AQ160))</f>
        <v>0.33333333333333331</v>
      </c>
      <c r="AA160" s="2005">
        <f t="shared" ref="AA160:AA180" si="141">IF($P$3=1,BI160,IF($P$3=2,BZ160,AR160))</f>
        <v>0.33333333333333331</v>
      </c>
      <c r="AB160" s="2005">
        <f t="shared" ref="AB160:AB180" si="142">IF($P$3=1,BJ160,IF($P$3=2,CA160,AS160))</f>
        <v>0.33333333333333331</v>
      </c>
      <c r="AC160" s="2003">
        <f t="shared" si="130"/>
        <v>0</v>
      </c>
      <c r="AD160" s="2001">
        <f t="shared" si="131"/>
        <v>0</v>
      </c>
      <c r="AE160" s="2001">
        <f t="shared" si="132"/>
        <v>0</v>
      </c>
      <c r="AF160"/>
      <c r="AG160" s="1999">
        <v>1</v>
      </c>
      <c r="AH160" s="2004" t="s">
        <v>1308</v>
      </c>
      <c r="AI160" s="2000" t="s">
        <v>531</v>
      </c>
      <c r="AJ160" s="2005">
        <v>0.33333333333333331</v>
      </c>
      <c r="AK160" s="2005">
        <v>0.33333333333333331</v>
      </c>
      <c r="AL160" s="2005">
        <v>0.33333333333333331</v>
      </c>
      <c r="AM160" s="2005">
        <v>0.33333333333333331</v>
      </c>
      <c r="AN160" s="2005">
        <v>0.33333333333333331</v>
      </c>
      <c r="AO160" s="2005">
        <v>0.33333333333333331</v>
      </c>
      <c r="AP160" s="2005">
        <v>0.33333333333333331</v>
      </c>
      <c r="AQ160" s="2005">
        <v>0.33333333333333331</v>
      </c>
      <c r="AR160" s="2005">
        <v>0.33333333333333331</v>
      </c>
      <c r="AS160" s="2005">
        <v>0.33333333333333331</v>
      </c>
      <c r="AT160" s="2006">
        <v>0</v>
      </c>
      <c r="AU160" s="2005">
        <v>0</v>
      </c>
      <c r="AV160" s="2005">
        <v>0</v>
      </c>
      <c r="AW160"/>
      <c r="AX160" s="1999">
        <v>1</v>
      </c>
      <c r="AY160" s="2004" t="s">
        <v>1308</v>
      </c>
      <c r="AZ160" s="2000" t="s">
        <v>531</v>
      </c>
      <c r="BA160" s="2005">
        <f t="shared" ref="BA160:BJ161" si="143">1/3</f>
        <v>0.33333333333333331</v>
      </c>
      <c r="BB160" s="2005">
        <f t="shared" si="143"/>
        <v>0.33333333333333331</v>
      </c>
      <c r="BC160" s="2005">
        <f t="shared" si="143"/>
        <v>0.33333333333333331</v>
      </c>
      <c r="BD160" s="2005">
        <f t="shared" si="143"/>
        <v>0.33333333333333331</v>
      </c>
      <c r="BE160" s="2005">
        <f t="shared" si="143"/>
        <v>0.33333333333333331</v>
      </c>
      <c r="BF160" s="2005">
        <f t="shared" si="143"/>
        <v>0.33333333333333331</v>
      </c>
      <c r="BG160" s="2005">
        <f t="shared" si="143"/>
        <v>0.33333333333333331</v>
      </c>
      <c r="BH160" s="2005">
        <f t="shared" si="143"/>
        <v>0.33333333333333331</v>
      </c>
      <c r="BI160" s="2005">
        <f t="shared" si="143"/>
        <v>0.33333333333333331</v>
      </c>
      <c r="BJ160" s="2005">
        <f t="shared" si="143"/>
        <v>0.33333333333333331</v>
      </c>
      <c r="BK160" s="2006"/>
      <c r="BL160" s="2005"/>
      <c r="BM160" s="2005"/>
      <c r="BN160"/>
      <c r="BO160" s="1999">
        <v>1</v>
      </c>
      <c r="BP160" s="2004" t="s">
        <v>1308</v>
      </c>
      <c r="BQ160" s="2000" t="s">
        <v>531</v>
      </c>
      <c r="BR160" s="2005">
        <f t="shared" ref="BR160:CA161" si="144">1/3</f>
        <v>0.33333333333333331</v>
      </c>
      <c r="BS160" s="2005">
        <f t="shared" si="144"/>
        <v>0.33333333333333331</v>
      </c>
      <c r="BT160" s="2005">
        <f t="shared" si="144"/>
        <v>0.33333333333333331</v>
      </c>
      <c r="BU160" s="2005">
        <f t="shared" si="144"/>
        <v>0.33333333333333331</v>
      </c>
      <c r="BV160" s="2005">
        <f t="shared" si="144"/>
        <v>0.33333333333333331</v>
      </c>
      <c r="BW160" s="2005">
        <f t="shared" si="144"/>
        <v>0.33333333333333331</v>
      </c>
      <c r="BX160" s="2005">
        <f t="shared" si="144"/>
        <v>0.33333333333333331</v>
      </c>
      <c r="BY160" s="2005">
        <f t="shared" si="144"/>
        <v>0.33333333333333331</v>
      </c>
      <c r="BZ160" s="2005">
        <f t="shared" si="144"/>
        <v>0.33333333333333331</v>
      </c>
      <c r="CA160" s="2005">
        <f t="shared" si="144"/>
        <v>0.33333333333333331</v>
      </c>
      <c r="CB160" s="2006"/>
      <c r="CC160" s="2005"/>
      <c r="CD160" s="2005"/>
      <c r="CE160" s="2446"/>
      <c r="CF160"/>
    </row>
    <row r="161" spans="1:84" s="1406" customFormat="1">
      <c r="A161"/>
      <c r="B161" s="1985">
        <f t="shared" si="125"/>
        <v>2</v>
      </c>
      <c r="C161" s="2000" t="str">
        <f t="shared" si="121"/>
        <v>地域環境への配慮</v>
      </c>
      <c r="D161" s="1996" t="e">
        <f>IF(I$159=0,0,G161/I$159)</f>
        <v>#DIV/0!</v>
      </c>
      <c r="E161" s="1996" t="e">
        <f>IF(J$159=0,0,H161/J$159)</f>
        <v>#DIV/0!</v>
      </c>
      <c r="F161"/>
      <c r="G161" s="1997" t="e">
        <f t="shared" si="122"/>
        <v>#DIV/0!</v>
      </c>
      <c r="H161" s="1997" t="e">
        <f t="shared" si="123"/>
        <v>#DIV/0!</v>
      </c>
      <c r="I161" s="1997" t="e">
        <f>G162+G163+G164</f>
        <v>#DIV/0!</v>
      </c>
      <c r="J161" s="1997" t="e">
        <f>H162+H163+H164</f>
        <v>#DIV/0!</v>
      </c>
      <c r="K161" s="1997" t="e">
        <f>IF(スコア!O161=0,0,1)</f>
        <v>#DIV/0!</v>
      </c>
      <c r="L161" s="1997" t="e">
        <f>IF(スコア!Q161=0,0,1)</f>
        <v>#DIV/0!</v>
      </c>
      <c r="M161" s="1997" t="e">
        <f t="shared" si="124"/>
        <v>#DIV/0!</v>
      </c>
      <c r="N161" s="1997" t="e">
        <f t="shared" si="127"/>
        <v>#DIV/0!</v>
      </c>
      <c r="O161"/>
      <c r="P161" s="2102">
        <f t="shared" si="119"/>
        <v>2</v>
      </c>
      <c r="Q161" s="2004" t="str">
        <f t="shared" si="120"/>
        <v>LR3</v>
      </c>
      <c r="R161" s="2000" t="str">
        <f t="shared" si="129"/>
        <v>地域環境への配慮</v>
      </c>
      <c r="S161" s="2005">
        <f t="shared" si="133"/>
        <v>0.33333333333333331</v>
      </c>
      <c r="T161" s="2005">
        <f t="shared" si="134"/>
        <v>0.33333333333333331</v>
      </c>
      <c r="U161" s="2005">
        <f t="shared" si="135"/>
        <v>0.33333333333333331</v>
      </c>
      <c r="V161" s="2005">
        <f t="shared" si="136"/>
        <v>0.33333333333333331</v>
      </c>
      <c r="W161" s="2005">
        <f t="shared" si="137"/>
        <v>0.33333333333333331</v>
      </c>
      <c r="X161" s="2005">
        <f t="shared" si="138"/>
        <v>0.33333333333333331</v>
      </c>
      <c r="Y161" s="2005">
        <f t="shared" si="139"/>
        <v>0.33333333333333331</v>
      </c>
      <c r="Z161" s="2005">
        <f t="shared" si="140"/>
        <v>0.33333333333333331</v>
      </c>
      <c r="AA161" s="2005">
        <f t="shared" si="141"/>
        <v>0.33333333333333331</v>
      </c>
      <c r="AB161" s="2005">
        <f t="shared" si="142"/>
        <v>0.33333333333333331</v>
      </c>
      <c r="AC161" s="2003">
        <f t="shared" si="130"/>
        <v>0</v>
      </c>
      <c r="AD161" s="2001">
        <f t="shared" si="131"/>
        <v>0</v>
      </c>
      <c r="AE161" s="2001">
        <f t="shared" si="132"/>
        <v>0</v>
      </c>
      <c r="AF161"/>
      <c r="AG161" s="1999">
        <v>2</v>
      </c>
      <c r="AH161" s="2004" t="s">
        <v>1308</v>
      </c>
      <c r="AI161" s="2000" t="s">
        <v>532</v>
      </c>
      <c r="AJ161" s="2005">
        <v>0.33333333333333331</v>
      </c>
      <c r="AK161" s="2005">
        <v>0.33333333333333331</v>
      </c>
      <c r="AL161" s="2005">
        <v>0.33333333333333331</v>
      </c>
      <c r="AM161" s="2005">
        <v>0.33333333333333331</v>
      </c>
      <c r="AN161" s="2005">
        <v>0.33333333333333331</v>
      </c>
      <c r="AO161" s="2005">
        <v>0.33333333333333331</v>
      </c>
      <c r="AP161" s="2005">
        <v>0.33333333333333331</v>
      </c>
      <c r="AQ161" s="2005">
        <v>0.33333333333333331</v>
      </c>
      <c r="AR161" s="2005">
        <v>0.33333333333333331</v>
      </c>
      <c r="AS161" s="2005">
        <v>0.33333333333333331</v>
      </c>
      <c r="AT161" s="2006">
        <v>0</v>
      </c>
      <c r="AU161" s="2005">
        <v>0</v>
      </c>
      <c r="AV161" s="2005">
        <v>0</v>
      </c>
      <c r="AW161"/>
      <c r="AX161" s="1999">
        <v>2</v>
      </c>
      <c r="AY161" s="2004" t="s">
        <v>1308</v>
      </c>
      <c r="AZ161" s="2000" t="s">
        <v>532</v>
      </c>
      <c r="BA161" s="2005">
        <f t="shared" si="143"/>
        <v>0.33333333333333331</v>
      </c>
      <c r="BB161" s="2005">
        <f t="shared" si="143"/>
        <v>0.33333333333333331</v>
      </c>
      <c r="BC161" s="2005">
        <f t="shared" si="143"/>
        <v>0.33333333333333331</v>
      </c>
      <c r="BD161" s="2005">
        <f t="shared" si="143"/>
        <v>0.33333333333333331</v>
      </c>
      <c r="BE161" s="2005">
        <f t="shared" si="143"/>
        <v>0.33333333333333331</v>
      </c>
      <c r="BF161" s="2005">
        <f t="shared" si="143"/>
        <v>0.33333333333333331</v>
      </c>
      <c r="BG161" s="2005">
        <f t="shared" si="143"/>
        <v>0.33333333333333331</v>
      </c>
      <c r="BH161" s="2005">
        <f t="shared" si="143"/>
        <v>0.33333333333333331</v>
      </c>
      <c r="BI161" s="2005">
        <f t="shared" si="143"/>
        <v>0.33333333333333331</v>
      </c>
      <c r="BJ161" s="2005">
        <f t="shared" si="143"/>
        <v>0.33333333333333331</v>
      </c>
      <c r="BK161" s="2006"/>
      <c r="BL161" s="2005"/>
      <c r="BM161" s="2005"/>
      <c r="BN161"/>
      <c r="BO161" s="1999">
        <v>2</v>
      </c>
      <c r="BP161" s="2004" t="s">
        <v>1308</v>
      </c>
      <c r="BQ161" s="2000" t="s">
        <v>532</v>
      </c>
      <c r="BR161" s="2005">
        <f t="shared" si="144"/>
        <v>0.33333333333333331</v>
      </c>
      <c r="BS161" s="2005">
        <f t="shared" si="144"/>
        <v>0.33333333333333331</v>
      </c>
      <c r="BT161" s="2005">
        <f t="shared" si="144"/>
        <v>0.33333333333333331</v>
      </c>
      <c r="BU161" s="2005">
        <f t="shared" si="144"/>
        <v>0.33333333333333331</v>
      </c>
      <c r="BV161" s="2005">
        <f t="shared" si="144"/>
        <v>0.33333333333333331</v>
      </c>
      <c r="BW161" s="2005">
        <f t="shared" si="144"/>
        <v>0.33333333333333331</v>
      </c>
      <c r="BX161" s="2005">
        <f t="shared" si="144"/>
        <v>0.33333333333333331</v>
      </c>
      <c r="BY161" s="2005">
        <f t="shared" si="144"/>
        <v>0.33333333333333331</v>
      </c>
      <c r="BZ161" s="2005">
        <f t="shared" si="144"/>
        <v>0.33333333333333331</v>
      </c>
      <c r="CA161" s="2005">
        <f t="shared" si="144"/>
        <v>0.33333333333333331</v>
      </c>
      <c r="CB161" s="2006"/>
      <c r="CC161" s="2005"/>
      <c r="CD161" s="2005"/>
      <c r="CE161" s="2446"/>
      <c r="CF161"/>
    </row>
    <row r="162" spans="1:84">
      <c r="B162" s="1985" t="str">
        <f t="shared" si="125"/>
        <v>2.1</v>
      </c>
      <c r="C162" s="2012" t="str">
        <f t="shared" si="121"/>
        <v>大気汚染防止</v>
      </c>
      <c r="D162" s="2009" t="e">
        <f t="shared" ref="D162:E164" si="145">IF(I$161=0,0,G162/I$161)</f>
        <v>#DIV/0!</v>
      </c>
      <c r="E162" s="2009" t="e">
        <f t="shared" si="145"/>
        <v>#DIV/0!</v>
      </c>
      <c r="G162" s="2010" t="e">
        <f t="shared" si="122"/>
        <v>#DIV/0!</v>
      </c>
      <c r="H162" s="2010" t="e">
        <f t="shared" si="123"/>
        <v>#DIV/0!</v>
      </c>
      <c r="I162" s="2010"/>
      <c r="J162" s="2010"/>
      <c r="K162" s="2010">
        <f>IF(スコア!O162=0,0,1)</f>
        <v>1</v>
      </c>
      <c r="L162" s="2010">
        <f>IF(スコア!Q162=0,0,1)</f>
        <v>0</v>
      </c>
      <c r="M162" s="2010" t="e">
        <f t="shared" si="124"/>
        <v>#DIV/0!</v>
      </c>
      <c r="N162" s="2010" t="e">
        <f t="shared" si="127"/>
        <v>#DIV/0!</v>
      </c>
      <c r="P162" s="2103" t="str">
        <f t="shared" si="119"/>
        <v>2.1</v>
      </c>
      <c r="Q162" s="2015" t="str">
        <f t="shared" si="120"/>
        <v>LR3 2</v>
      </c>
      <c r="R162" s="2012" t="str">
        <f t="shared" si="129"/>
        <v>大気汚染防止</v>
      </c>
      <c r="S162" s="2018">
        <f t="shared" si="133"/>
        <v>0.25</v>
      </c>
      <c r="T162" s="2018">
        <f t="shared" si="134"/>
        <v>0.25</v>
      </c>
      <c r="U162" s="2018">
        <f t="shared" si="135"/>
        <v>0.25</v>
      </c>
      <c r="V162" s="2018">
        <f t="shared" si="136"/>
        <v>0.25</v>
      </c>
      <c r="W162" s="2018">
        <f t="shared" si="137"/>
        <v>0.25</v>
      </c>
      <c r="X162" s="2018">
        <f t="shared" si="138"/>
        <v>0.25</v>
      </c>
      <c r="Y162" s="2018">
        <f t="shared" si="139"/>
        <v>0.25</v>
      </c>
      <c r="Z162" s="2018">
        <f t="shared" si="140"/>
        <v>0.25</v>
      </c>
      <c r="AA162" s="2018">
        <f t="shared" si="141"/>
        <v>0.25</v>
      </c>
      <c r="AB162" s="2018">
        <f t="shared" si="142"/>
        <v>0.25</v>
      </c>
      <c r="AC162" s="2014">
        <f t="shared" si="130"/>
        <v>0</v>
      </c>
      <c r="AD162" s="2013">
        <f t="shared" si="131"/>
        <v>0</v>
      </c>
      <c r="AE162" s="2013">
        <f t="shared" si="132"/>
        <v>0</v>
      </c>
      <c r="AG162" s="2104" t="s">
        <v>1374</v>
      </c>
      <c r="AH162" s="2015" t="s">
        <v>2110</v>
      </c>
      <c r="AI162" s="2012" t="s">
        <v>533</v>
      </c>
      <c r="AJ162" s="2018">
        <v>0.25</v>
      </c>
      <c r="AK162" s="2018">
        <v>0.25</v>
      </c>
      <c r="AL162" s="2018">
        <v>0.25</v>
      </c>
      <c r="AM162" s="2018">
        <v>0.25</v>
      </c>
      <c r="AN162" s="2018">
        <v>0.25</v>
      </c>
      <c r="AO162" s="2018">
        <v>0.25</v>
      </c>
      <c r="AP162" s="2018">
        <v>0.25</v>
      </c>
      <c r="AQ162" s="2018">
        <v>0.25</v>
      </c>
      <c r="AR162" s="2018">
        <v>0.25</v>
      </c>
      <c r="AS162" s="2018">
        <v>0.25</v>
      </c>
      <c r="AT162" s="2019"/>
      <c r="AU162" s="2018"/>
      <c r="AV162" s="2018"/>
      <c r="AX162" s="2104" t="s">
        <v>1375</v>
      </c>
      <c r="AY162" s="2015" t="s">
        <v>2110</v>
      </c>
      <c r="AZ162" s="2012" t="s">
        <v>533</v>
      </c>
      <c r="BA162" s="2018">
        <v>0.25</v>
      </c>
      <c r="BB162" s="2018">
        <v>0.25</v>
      </c>
      <c r="BC162" s="2018">
        <v>0.25</v>
      </c>
      <c r="BD162" s="2018">
        <v>0.25</v>
      </c>
      <c r="BE162" s="2018">
        <v>0.25</v>
      </c>
      <c r="BF162" s="2018">
        <v>0.25</v>
      </c>
      <c r="BG162" s="2018">
        <v>0.25</v>
      </c>
      <c r="BH162" s="2018">
        <v>0.25</v>
      </c>
      <c r="BI162" s="2018">
        <v>0.25</v>
      </c>
      <c r="BJ162" s="2018">
        <v>0.25</v>
      </c>
      <c r="BK162" s="2019"/>
      <c r="BL162" s="2018"/>
      <c r="BM162" s="2018"/>
      <c r="BO162" s="2104" t="s">
        <v>1375</v>
      </c>
      <c r="BP162" s="2015" t="s">
        <v>2110</v>
      </c>
      <c r="BQ162" s="2012" t="s">
        <v>533</v>
      </c>
      <c r="BR162" s="2018">
        <v>0.25</v>
      </c>
      <c r="BS162" s="2018">
        <v>0.25</v>
      </c>
      <c r="BT162" s="2018">
        <v>0.25</v>
      </c>
      <c r="BU162" s="2018">
        <v>0.25</v>
      </c>
      <c r="BV162" s="2018">
        <v>0.25</v>
      </c>
      <c r="BW162" s="2018">
        <v>0.25</v>
      </c>
      <c r="BX162" s="2018">
        <v>0.25</v>
      </c>
      <c r="BY162" s="2018">
        <v>0.25</v>
      </c>
      <c r="BZ162" s="2018">
        <v>0.25</v>
      </c>
      <c r="CA162" s="2018">
        <v>0.25</v>
      </c>
      <c r="CB162" s="2019"/>
      <c r="CC162" s="2018"/>
      <c r="CD162" s="2018"/>
      <c r="CE162" s="2447"/>
    </row>
    <row r="163" spans="1:84">
      <c r="B163" s="1985" t="str">
        <f t="shared" si="125"/>
        <v>2.2</v>
      </c>
      <c r="C163" s="2012" t="str">
        <f t="shared" si="121"/>
        <v>温熱環境悪化の改善</v>
      </c>
      <c r="D163" s="2009" t="e">
        <f t="shared" si="145"/>
        <v>#DIV/0!</v>
      </c>
      <c r="E163" s="2009" t="e">
        <f t="shared" si="145"/>
        <v>#DIV/0!</v>
      </c>
      <c r="G163" s="2010" t="e">
        <f t="shared" si="122"/>
        <v>#DIV/0!</v>
      </c>
      <c r="H163" s="2010" t="e">
        <f t="shared" si="123"/>
        <v>#DIV/0!</v>
      </c>
      <c r="I163" s="2010"/>
      <c r="J163" s="2010"/>
      <c r="K163" s="2010">
        <f>IF(スコア!O163=0,0,1)</f>
        <v>1</v>
      </c>
      <c r="L163" s="2010">
        <f>IF(スコア!Q163=0,0,1)</f>
        <v>0</v>
      </c>
      <c r="M163" s="2010" t="e">
        <f t="shared" si="124"/>
        <v>#DIV/0!</v>
      </c>
      <c r="N163" s="2010" t="e">
        <f t="shared" si="127"/>
        <v>#DIV/0!</v>
      </c>
      <c r="P163" s="2103" t="str">
        <f t="shared" si="119"/>
        <v>2.2</v>
      </c>
      <c r="Q163" s="2015" t="str">
        <f t="shared" si="120"/>
        <v>LR3 2</v>
      </c>
      <c r="R163" s="2012" t="str">
        <f t="shared" si="129"/>
        <v>温熱環境悪化の改善</v>
      </c>
      <c r="S163" s="2073">
        <f t="shared" si="133"/>
        <v>0.5</v>
      </c>
      <c r="T163" s="2073">
        <f t="shared" si="134"/>
        <v>0.5</v>
      </c>
      <c r="U163" s="2073">
        <f t="shared" si="135"/>
        <v>0.5</v>
      </c>
      <c r="V163" s="2073">
        <f t="shared" si="136"/>
        <v>0.5</v>
      </c>
      <c r="W163" s="2073">
        <f t="shared" si="137"/>
        <v>0.5</v>
      </c>
      <c r="X163" s="2073">
        <f t="shared" si="138"/>
        <v>0.5</v>
      </c>
      <c r="Y163" s="2073">
        <f t="shared" si="139"/>
        <v>0.5</v>
      </c>
      <c r="Z163" s="2073">
        <f t="shared" si="140"/>
        <v>0.5</v>
      </c>
      <c r="AA163" s="2073">
        <f t="shared" si="141"/>
        <v>0.5</v>
      </c>
      <c r="AB163" s="2073">
        <f t="shared" si="142"/>
        <v>0.5</v>
      </c>
      <c r="AC163" s="2072">
        <f t="shared" si="130"/>
        <v>0</v>
      </c>
      <c r="AD163" s="2071">
        <f t="shared" si="131"/>
        <v>0</v>
      </c>
      <c r="AE163" s="2071">
        <f t="shared" si="132"/>
        <v>0</v>
      </c>
      <c r="AG163" s="2104" t="s">
        <v>1376</v>
      </c>
      <c r="AH163" s="2015" t="s">
        <v>2110</v>
      </c>
      <c r="AI163" s="2012" t="s">
        <v>1583</v>
      </c>
      <c r="AJ163" s="2073">
        <v>0.5</v>
      </c>
      <c r="AK163" s="2073">
        <v>0.5</v>
      </c>
      <c r="AL163" s="2073">
        <v>0.5</v>
      </c>
      <c r="AM163" s="2073">
        <v>0.5</v>
      </c>
      <c r="AN163" s="2073">
        <v>0.5</v>
      </c>
      <c r="AO163" s="2073">
        <v>0.5</v>
      </c>
      <c r="AP163" s="2073">
        <v>0.5</v>
      </c>
      <c r="AQ163" s="2073">
        <v>0.5</v>
      </c>
      <c r="AR163" s="2073">
        <v>0.5</v>
      </c>
      <c r="AS163" s="2073">
        <v>0.5</v>
      </c>
      <c r="AT163" s="2074"/>
      <c r="AU163" s="2073"/>
      <c r="AV163" s="2073"/>
      <c r="AX163" s="2104" t="s">
        <v>1376</v>
      </c>
      <c r="AY163" s="2015" t="s">
        <v>2110</v>
      </c>
      <c r="AZ163" s="2012" t="s">
        <v>1583</v>
      </c>
      <c r="BA163" s="2073">
        <v>0.5</v>
      </c>
      <c r="BB163" s="2073">
        <v>0.5</v>
      </c>
      <c r="BC163" s="2073">
        <v>0.5</v>
      </c>
      <c r="BD163" s="2073">
        <v>0.5</v>
      </c>
      <c r="BE163" s="2073">
        <v>0.5</v>
      </c>
      <c r="BF163" s="2073">
        <v>0.5</v>
      </c>
      <c r="BG163" s="2073">
        <v>0.5</v>
      </c>
      <c r="BH163" s="2073">
        <v>0.5</v>
      </c>
      <c r="BI163" s="2073">
        <v>0.5</v>
      </c>
      <c r="BJ163" s="2073">
        <v>0.5</v>
      </c>
      <c r="BK163" s="2074"/>
      <c r="BL163" s="2073"/>
      <c r="BM163" s="2073"/>
      <c r="BO163" s="2104" t="s">
        <v>1376</v>
      </c>
      <c r="BP163" s="2015" t="s">
        <v>2110</v>
      </c>
      <c r="BQ163" s="2012" t="s">
        <v>1583</v>
      </c>
      <c r="BR163" s="2073">
        <v>0.5</v>
      </c>
      <c r="BS163" s="2073">
        <v>0.5</v>
      </c>
      <c r="BT163" s="2073">
        <v>0.5</v>
      </c>
      <c r="BU163" s="2073">
        <v>0.5</v>
      </c>
      <c r="BV163" s="2073">
        <v>0.5</v>
      </c>
      <c r="BW163" s="2073">
        <v>0.5</v>
      </c>
      <c r="BX163" s="2073">
        <v>0.5</v>
      </c>
      <c r="BY163" s="2073">
        <v>0.5</v>
      </c>
      <c r="BZ163" s="2073">
        <v>0.5</v>
      </c>
      <c r="CA163" s="2073">
        <v>0.5</v>
      </c>
      <c r="CB163" s="2074"/>
      <c r="CC163" s="2073"/>
      <c r="CD163" s="2073"/>
      <c r="CE163" s="2450"/>
    </row>
    <row r="164" spans="1:84">
      <c r="B164" s="1985" t="str">
        <f t="shared" si="125"/>
        <v>2.3</v>
      </c>
      <c r="C164" s="2012" t="str">
        <f t="shared" si="121"/>
        <v>地域インフラへの負荷抑制</v>
      </c>
      <c r="D164" s="2009" t="e">
        <f t="shared" si="145"/>
        <v>#DIV/0!</v>
      </c>
      <c r="E164" s="2009" t="e">
        <f t="shared" si="145"/>
        <v>#DIV/0!</v>
      </c>
      <c r="G164" s="2010" t="e">
        <f t="shared" si="122"/>
        <v>#DIV/0!</v>
      </c>
      <c r="H164" s="2010" t="e">
        <f t="shared" si="123"/>
        <v>#DIV/0!</v>
      </c>
      <c r="I164" s="2010" t="e">
        <f>SUM(G165:G168)</f>
        <v>#DIV/0!</v>
      </c>
      <c r="J164" s="2010" t="e">
        <f>SUM(H165:H168)</f>
        <v>#DIV/0!</v>
      </c>
      <c r="K164" s="2010" t="e">
        <f>IF(スコア!O164=0,0,1)</f>
        <v>#DIV/0!</v>
      </c>
      <c r="L164" s="2010" t="e">
        <f>IF(スコア!Q164=0,0,1)</f>
        <v>#DIV/0!</v>
      </c>
      <c r="M164" s="2010" t="e">
        <f t="shared" si="124"/>
        <v>#DIV/0!</v>
      </c>
      <c r="N164" s="2010" t="e">
        <f t="shared" si="127"/>
        <v>#DIV/0!</v>
      </c>
      <c r="P164" s="2103" t="str">
        <f t="shared" si="119"/>
        <v>2.3</v>
      </c>
      <c r="Q164" s="2015" t="str">
        <f t="shared" si="120"/>
        <v>LR3 2</v>
      </c>
      <c r="R164" s="2012" t="str">
        <f t="shared" si="129"/>
        <v>地域インフラへの負荷抑制</v>
      </c>
      <c r="S164" s="2073">
        <f t="shared" si="133"/>
        <v>0.25</v>
      </c>
      <c r="T164" s="2073">
        <f t="shared" si="134"/>
        <v>0.25</v>
      </c>
      <c r="U164" s="2073">
        <f t="shared" si="135"/>
        <v>0.25</v>
      </c>
      <c r="V164" s="2073">
        <f t="shared" si="136"/>
        <v>0.25</v>
      </c>
      <c r="W164" s="2073">
        <f t="shared" si="137"/>
        <v>0.25</v>
      </c>
      <c r="X164" s="2073">
        <f t="shared" si="138"/>
        <v>0.25</v>
      </c>
      <c r="Y164" s="2073">
        <f t="shared" si="139"/>
        <v>0.25</v>
      </c>
      <c r="Z164" s="2073">
        <f t="shared" si="140"/>
        <v>0.25</v>
      </c>
      <c r="AA164" s="2073">
        <f t="shared" si="141"/>
        <v>0.25</v>
      </c>
      <c r="AB164" s="2073">
        <f t="shared" si="142"/>
        <v>0.25</v>
      </c>
      <c r="AC164" s="2072">
        <f t="shared" si="130"/>
        <v>0</v>
      </c>
      <c r="AD164" s="2071">
        <f t="shared" si="131"/>
        <v>0</v>
      </c>
      <c r="AE164" s="2071">
        <f t="shared" si="132"/>
        <v>0</v>
      </c>
      <c r="AG164" s="2104" t="s">
        <v>1377</v>
      </c>
      <c r="AH164" s="2015" t="s">
        <v>2110</v>
      </c>
      <c r="AI164" s="2012" t="s">
        <v>534</v>
      </c>
      <c r="AJ164" s="2073">
        <v>0.25</v>
      </c>
      <c r="AK164" s="2073">
        <v>0.25</v>
      </c>
      <c r="AL164" s="2073">
        <v>0.25</v>
      </c>
      <c r="AM164" s="2073">
        <v>0.25</v>
      </c>
      <c r="AN164" s="2073">
        <v>0.25</v>
      </c>
      <c r="AO164" s="2073">
        <v>0.25</v>
      </c>
      <c r="AP164" s="2073">
        <v>0.25</v>
      </c>
      <c r="AQ164" s="2073">
        <v>0.25</v>
      </c>
      <c r="AR164" s="2073">
        <v>0.25</v>
      </c>
      <c r="AS164" s="2073">
        <v>0.25</v>
      </c>
      <c r="AT164" s="2074"/>
      <c r="AU164" s="2073"/>
      <c r="AV164" s="2073"/>
      <c r="AX164" s="2104" t="s">
        <v>1378</v>
      </c>
      <c r="AY164" s="2015" t="s">
        <v>2110</v>
      </c>
      <c r="AZ164" s="2012" t="s">
        <v>534</v>
      </c>
      <c r="BA164" s="2073">
        <v>0.25</v>
      </c>
      <c r="BB164" s="2073">
        <v>0.25</v>
      </c>
      <c r="BC164" s="2073">
        <v>0.25</v>
      </c>
      <c r="BD164" s="2073">
        <v>0.25</v>
      </c>
      <c r="BE164" s="2073">
        <v>0.25</v>
      </c>
      <c r="BF164" s="2073">
        <v>0.25</v>
      </c>
      <c r="BG164" s="2073">
        <v>0.25</v>
      </c>
      <c r="BH164" s="2073">
        <v>0.25</v>
      </c>
      <c r="BI164" s="2073">
        <v>0.25</v>
      </c>
      <c r="BJ164" s="2073">
        <v>0.25</v>
      </c>
      <c r="BK164" s="2074"/>
      <c r="BL164" s="2073"/>
      <c r="BM164" s="2073"/>
      <c r="BO164" s="2104" t="s">
        <v>1378</v>
      </c>
      <c r="BP164" s="2015" t="s">
        <v>2110</v>
      </c>
      <c r="BQ164" s="2012" t="s">
        <v>534</v>
      </c>
      <c r="BR164" s="2073">
        <v>0.25</v>
      </c>
      <c r="BS164" s="2073">
        <v>0.25</v>
      </c>
      <c r="BT164" s="2073">
        <v>0.25</v>
      </c>
      <c r="BU164" s="2073">
        <v>0.25</v>
      </c>
      <c r="BV164" s="2073">
        <v>0.25</v>
      </c>
      <c r="BW164" s="2073">
        <v>0.25</v>
      </c>
      <c r="BX164" s="2073">
        <v>0.25</v>
      </c>
      <c r="BY164" s="2073">
        <v>0.25</v>
      </c>
      <c r="BZ164" s="2073">
        <v>0.25</v>
      </c>
      <c r="CA164" s="2073">
        <v>0.25</v>
      </c>
      <c r="CB164" s="2074"/>
      <c r="CC164" s="2073"/>
      <c r="CD164" s="2073"/>
      <c r="CE164" s="2450"/>
    </row>
    <row r="165" spans="1:84">
      <c r="B165" s="1985" t="str">
        <f t="shared" si="125"/>
        <v>2.3.1</v>
      </c>
      <c r="C165" s="2105" t="str">
        <f t="shared" si="121"/>
        <v>雨水排水負荷低減</v>
      </c>
      <c r="D165" s="2009" t="e">
        <f t="shared" ref="D165:E168" si="146">IF(I$164=0,0,G165/I$164)</f>
        <v>#DIV/0!</v>
      </c>
      <c r="E165" s="2009" t="e">
        <f t="shared" si="146"/>
        <v>#DIV/0!</v>
      </c>
      <c r="G165" s="2010" t="e">
        <f t="shared" si="122"/>
        <v>#DIV/0!</v>
      </c>
      <c r="H165" s="2010" t="e">
        <f t="shared" si="123"/>
        <v>#DIV/0!</v>
      </c>
      <c r="I165" s="2010"/>
      <c r="J165" s="2010"/>
      <c r="K165" s="2010">
        <f>IF(スコア!O165=0,0,1)</f>
        <v>1</v>
      </c>
      <c r="L165" s="2010">
        <f>IF(スコア!Q165=0,0,1)</f>
        <v>0</v>
      </c>
      <c r="M165" s="2010" t="e">
        <f t="shared" si="124"/>
        <v>#DIV/0!</v>
      </c>
      <c r="N165" s="2010" t="e">
        <f t="shared" si="127"/>
        <v>#DIV/0!</v>
      </c>
      <c r="P165" s="2104" t="str">
        <f t="shared" si="119"/>
        <v>2.3.1</v>
      </c>
      <c r="Q165" s="2015" t="str">
        <f t="shared" si="120"/>
        <v>LR3 2.3</v>
      </c>
      <c r="R165" s="2105" t="str">
        <f t="shared" si="129"/>
        <v>雨水排水負荷低減</v>
      </c>
      <c r="S165" s="2018">
        <f t="shared" si="133"/>
        <v>0.25</v>
      </c>
      <c r="T165" s="2018">
        <f t="shared" si="134"/>
        <v>0.25</v>
      </c>
      <c r="U165" s="2018">
        <f t="shared" si="135"/>
        <v>0.25</v>
      </c>
      <c r="V165" s="2018">
        <f t="shared" si="136"/>
        <v>0.25</v>
      </c>
      <c r="W165" s="2018">
        <f t="shared" si="137"/>
        <v>0.25</v>
      </c>
      <c r="X165" s="2018">
        <f t="shared" si="138"/>
        <v>0.25</v>
      </c>
      <c r="Y165" s="2018">
        <f t="shared" si="139"/>
        <v>0.25</v>
      </c>
      <c r="Z165" s="2018">
        <f t="shared" si="140"/>
        <v>0.25</v>
      </c>
      <c r="AA165" s="2018">
        <f t="shared" si="141"/>
        <v>0.25</v>
      </c>
      <c r="AB165" s="2018">
        <f t="shared" si="142"/>
        <v>0.25</v>
      </c>
      <c r="AC165" s="2072">
        <f t="shared" si="130"/>
        <v>0</v>
      </c>
      <c r="AD165" s="2071">
        <f t="shared" si="131"/>
        <v>0</v>
      </c>
      <c r="AE165" s="2071">
        <f t="shared" si="132"/>
        <v>0</v>
      </c>
      <c r="AG165" s="2104" t="s">
        <v>1379</v>
      </c>
      <c r="AH165" s="2015" t="s">
        <v>2111</v>
      </c>
      <c r="AI165" s="2105" t="s">
        <v>1584</v>
      </c>
      <c r="AJ165" s="2018">
        <v>0.25</v>
      </c>
      <c r="AK165" s="2018">
        <v>0.25</v>
      </c>
      <c r="AL165" s="2018">
        <v>0.25</v>
      </c>
      <c r="AM165" s="2018">
        <v>0.25</v>
      </c>
      <c r="AN165" s="2018">
        <v>0.25</v>
      </c>
      <c r="AO165" s="2018">
        <v>0.25</v>
      </c>
      <c r="AP165" s="2018">
        <v>0.25</v>
      </c>
      <c r="AQ165" s="2018">
        <v>0.25</v>
      </c>
      <c r="AR165" s="2018">
        <v>0.25</v>
      </c>
      <c r="AS165" s="2018">
        <v>0.25</v>
      </c>
      <c r="AT165" s="2074"/>
      <c r="AU165" s="2073"/>
      <c r="AV165" s="2073"/>
      <c r="AX165" s="2104" t="s">
        <v>1379</v>
      </c>
      <c r="AY165" s="2015" t="s">
        <v>2111</v>
      </c>
      <c r="AZ165" s="2105" t="s">
        <v>1584</v>
      </c>
      <c r="BA165" s="2018">
        <v>0.25</v>
      </c>
      <c r="BB165" s="2018">
        <v>0.25</v>
      </c>
      <c r="BC165" s="2018">
        <v>0.25</v>
      </c>
      <c r="BD165" s="2018">
        <v>0.25</v>
      </c>
      <c r="BE165" s="2018">
        <v>0.25</v>
      </c>
      <c r="BF165" s="2018">
        <v>0.25</v>
      </c>
      <c r="BG165" s="2018">
        <v>0.25</v>
      </c>
      <c r="BH165" s="2018">
        <v>0.25</v>
      </c>
      <c r="BI165" s="2018">
        <v>0.25</v>
      </c>
      <c r="BJ165" s="2018">
        <v>0.25</v>
      </c>
      <c r="BK165" s="2074"/>
      <c r="BL165" s="2073"/>
      <c r="BM165" s="2073"/>
      <c r="BO165" s="2104" t="s">
        <v>1379</v>
      </c>
      <c r="BP165" s="2015" t="s">
        <v>2111</v>
      </c>
      <c r="BQ165" s="2105" t="s">
        <v>1584</v>
      </c>
      <c r="BR165" s="2018">
        <v>0.25</v>
      </c>
      <c r="BS165" s="2018">
        <v>0.25</v>
      </c>
      <c r="BT165" s="2018">
        <v>0.25</v>
      </c>
      <c r="BU165" s="2018">
        <v>0.25</v>
      </c>
      <c r="BV165" s="2018">
        <v>0.25</v>
      </c>
      <c r="BW165" s="2018">
        <v>0.25</v>
      </c>
      <c r="BX165" s="2018">
        <v>0.25</v>
      </c>
      <c r="BY165" s="2018">
        <v>0.25</v>
      </c>
      <c r="BZ165" s="2018">
        <v>0.25</v>
      </c>
      <c r="CA165" s="2018">
        <v>0.25</v>
      </c>
      <c r="CB165" s="2074"/>
      <c r="CC165" s="2073"/>
      <c r="CD165" s="2073"/>
      <c r="CE165" s="2450"/>
    </row>
    <row r="166" spans="1:84">
      <c r="B166" s="1985" t="str">
        <f t="shared" si="125"/>
        <v>2.3.2</v>
      </c>
      <c r="C166" s="2105" t="str">
        <f t="shared" si="121"/>
        <v>汚水処理負荷抑制</v>
      </c>
      <c r="D166" s="2009" t="e">
        <f t="shared" si="146"/>
        <v>#DIV/0!</v>
      </c>
      <c r="E166" s="2009" t="e">
        <f t="shared" si="146"/>
        <v>#DIV/0!</v>
      </c>
      <c r="G166" s="2010" t="e">
        <f t="shared" si="122"/>
        <v>#DIV/0!</v>
      </c>
      <c r="H166" s="2010" t="e">
        <f t="shared" si="123"/>
        <v>#DIV/0!</v>
      </c>
      <c r="I166" s="2010"/>
      <c r="J166" s="2010"/>
      <c r="K166" s="2010">
        <f>IF(スコア!O166=0,0,1)</f>
        <v>1</v>
      </c>
      <c r="L166" s="2010">
        <f>IF(スコア!Q166=0,0,1)</f>
        <v>0</v>
      </c>
      <c r="M166" s="2010" t="e">
        <f t="shared" si="124"/>
        <v>#DIV/0!</v>
      </c>
      <c r="N166" s="2010" t="e">
        <f t="shared" si="127"/>
        <v>#DIV/0!</v>
      </c>
      <c r="P166" s="2104" t="str">
        <f t="shared" si="119"/>
        <v>2.3.2</v>
      </c>
      <c r="Q166" s="2015" t="str">
        <f t="shared" si="120"/>
        <v>LR3 2.3</v>
      </c>
      <c r="R166" s="2105" t="str">
        <f t="shared" si="129"/>
        <v>汚水処理負荷抑制</v>
      </c>
      <c r="S166" s="2018">
        <f t="shared" si="133"/>
        <v>0.25</v>
      </c>
      <c r="T166" s="2018">
        <f t="shared" si="134"/>
        <v>0.25</v>
      </c>
      <c r="U166" s="2018">
        <f t="shared" si="135"/>
        <v>0.25</v>
      </c>
      <c r="V166" s="2018">
        <f t="shared" si="136"/>
        <v>0.25</v>
      </c>
      <c r="W166" s="2018">
        <f t="shared" si="137"/>
        <v>0.25</v>
      </c>
      <c r="X166" s="2018">
        <f t="shared" si="138"/>
        <v>0.25</v>
      </c>
      <c r="Y166" s="2018">
        <f t="shared" si="139"/>
        <v>0.25</v>
      </c>
      <c r="Z166" s="2018">
        <f t="shared" si="140"/>
        <v>0.25</v>
      </c>
      <c r="AA166" s="2018">
        <f t="shared" si="141"/>
        <v>0.25</v>
      </c>
      <c r="AB166" s="2018">
        <f t="shared" si="142"/>
        <v>0.25</v>
      </c>
      <c r="AC166" s="2072">
        <f t="shared" si="130"/>
        <v>0</v>
      </c>
      <c r="AD166" s="2071">
        <f t="shared" si="131"/>
        <v>0</v>
      </c>
      <c r="AE166" s="2071">
        <f t="shared" si="132"/>
        <v>0</v>
      </c>
      <c r="AG166" s="2104" t="s">
        <v>1380</v>
      </c>
      <c r="AH166" s="2015" t="s">
        <v>2111</v>
      </c>
      <c r="AI166" s="2105" t="s">
        <v>1585</v>
      </c>
      <c r="AJ166" s="2018">
        <v>0.25</v>
      </c>
      <c r="AK166" s="2018">
        <v>0.25</v>
      </c>
      <c r="AL166" s="2018">
        <v>0.25</v>
      </c>
      <c r="AM166" s="2018">
        <v>0.25</v>
      </c>
      <c r="AN166" s="2018">
        <v>0.25</v>
      </c>
      <c r="AO166" s="2018">
        <v>0.25</v>
      </c>
      <c r="AP166" s="2018">
        <v>0.25</v>
      </c>
      <c r="AQ166" s="2018">
        <v>0.25</v>
      </c>
      <c r="AR166" s="2018">
        <v>0.25</v>
      </c>
      <c r="AS166" s="2018">
        <v>0.25</v>
      </c>
      <c r="AT166" s="2074"/>
      <c r="AU166" s="2073"/>
      <c r="AV166" s="2073"/>
      <c r="AX166" s="2104" t="s">
        <v>1380</v>
      </c>
      <c r="AY166" s="2015" t="s">
        <v>2111</v>
      </c>
      <c r="AZ166" s="2105" t="s">
        <v>1585</v>
      </c>
      <c r="BA166" s="2018">
        <v>0.25</v>
      </c>
      <c r="BB166" s="2018">
        <v>0.25</v>
      </c>
      <c r="BC166" s="2018">
        <v>0.25</v>
      </c>
      <c r="BD166" s="2018">
        <v>0.25</v>
      </c>
      <c r="BE166" s="2018">
        <v>0.25</v>
      </c>
      <c r="BF166" s="2018">
        <v>0.25</v>
      </c>
      <c r="BG166" s="2018">
        <v>0.25</v>
      </c>
      <c r="BH166" s="2018">
        <v>0.25</v>
      </c>
      <c r="BI166" s="2018">
        <v>0.25</v>
      </c>
      <c r="BJ166" s="2018">
        <v>0.25</v>
      </c>
      <c r="BK166" s="2074"/>
      <c r="BL166" s="2073"/>
      <c r="BM166" s="2073"/>
      <c r="BO166" s="2104" t="s">
        <v>1380</v>
      </c>
      <c r="BP166" s="2015" t="s">
        <v>2111</v>
      </c>
      <c r="BQ166" s="2105" t="s">
        <v>1585</v>
      </c>
      <c r="BR166" s="2018">
        <v>0.25</v>
      </c>
      <c r="BS166" s="2018">
        <v>0.25</v>
      </c>
      <c r="BT166" s="2018">
        <v>0.25</v>
      </c>
      <c r="BU166" s="2018">
        <v>0.25</v>
      </c>
      <c r="BV166" s="2018">
        <v>0.25</v>
      </c>
      <c r="BW166" s="2018">
        <v>0.25</v>
      </c>
      <c r="BX166" s="2018">
        <v>0.25</v>
      </c>
      <c r="BY166" s="2018">
        <v>0.25</v>
      </c>
      <c r="BZ166" s="2018">
        <v>0.25</v>
      </c>
      <c r="CA166" s="2018">
        <v>0.25</v>
      </c>
      <c r="CB166" s="2074"/>
      <c r="CC166" s="2073"/>
      <c r="CD166" s="2073"/>
      <c r="CE166" s="2450"/>
    </row>
    <row r="167" spans="1:84">
      <c r="B167" s="1985" t="str">
        <f t="shared" si="125"/>
        <v>2.3.3</v>
      </c>
      <c r="C167" s="2105" t="str">
        <f t="shared" si="121"/>
        <v>交通負荷抑制</v>
      </c>
      <c r="D167" s="2009" t="e">
        <f t="shared" si="146"/>
        <v>#DIV/0!</v>
      </c>
      <c r="E167" s="2009" t="e">
        <f t="shared" si="146"/>
        <v>#DIV/0!</v>
      </c>
      <c r="G167" s="2010" t="e">
        <f t="shared" si="122"/>
        <v>#DIV/0!</v>
      </c>
      <c r="H167" s="2010" t="e">
        <f t="shared" si="123"/>
        <v>#DIV/0!</v>
      </c>
      <c r="I167" s="2010"/>
      <c r="J167" s="2010"/>
      <c r="K167" s="2010">
        <f>IF(スコア!O167=0,0,1)</f>
        <v>1</v>
      </c>
      <c r="L167" s="2010">
        <f>IF(スコア!Q167=0,0,1)</f>
        <v>0</v>
      </c>
      <c r="M167" s="2010" t="e">
        <f t="shared" si="124"/>
        <v>#DIV/0!</v>
      </c>
      <c r="N167" s="2010" t="e">
        <f t="shared" si="127"/>
        <v>#DIV/0!</v>
      </c>
      <c r="P167" s="2104" t="str">
        <f t="shared" si="119"/>
        <v>2.3.3</v>
      </c>
      <c r="Q167" s="2015" t="str">
        <f t="shared" si="120"/>
        <v>LR3 2.3</v>
      </c>
      <c r="R167" s="2105" t="str">
        <f t="shared" si="129"/>
        <v>交通負荷抑制</v>
      </c>
      <c r="S167" s="2018">
        <f t="shared" si="133"/>
        <v>0.25</v>
      </c>
      <c r="T167" s="2018">
        <f t="shared" si="134"/>
        <v>0.25</v>
      </c>
      <c r="U167" s="2018">
        <f t="shared" si="135"/>
        <v>0.25</v>
      </c>
      <c r="V167" s="2018">
        <f t="shared" si="136"/>
        <v>0.25</v>
      </c>
      <c r="W167" s="2018">
        <f t="shared" si="137"/>
        <v>0.25</v>
      </c>
      <c r="X167" s="2018">
        <f t="shared" si="138"/>
        <v>0.25</v>
      </c>
      <c r="Y167" s="2018">
        <f t="shared" si="139"/>
        <v>0.25</v>
      </c>
      <c r="Z167" s="2018">
        <f t="shared" si="140"/>
        <v>0.25</v>
      </c>
      <c r="AA167" s="2018">
        <f t="shared" si="141"/>
        <v>0.25</v>
      </c>
      <c r="AB167" s="2018">
        <f t="shared" si="142"/>
        <v>0.25</v>
      </c>
      <c r="AC167" s="2072">
        <f t="shared" si="130"/>
        <v>0</v>
      </c>
      <c r="AD167" s="2071">
        <f t="shared" si="131"/>
        <v>0</v>
      </c>
      <c r="AE167" s="2071">
        <f t="shared" si="132"/>
        <v>0</v>
      </c>
      <c r="AG167" s="2104" t="s">
        <v>1381</v>
      </c>
      <c r="AH167" s="2015" t="s">
        <v>2111</v>
      </c>
      <c r="AI167" s="2105" t="s">
        <v>535</v>
      </c>
      <c r="AJ167" s="2018">
        <v>0.25</v>
      </c>
      <c r="AK167" s="2018">
        <v>0.25</v>
      </c>
      <c r="AL167" s="2018">
        <v>0.25</v>
      </c>
      <c r="AM167" s="2018">
        <v>0.25</v>
      </c>
      <c r="AN167" s="2018">
        <v>0.25</v>
      </c>
      <c r="AO167" s="2018">
        <v>0.25</v>
      </c>
      <c r="AP167" s="2018">
        <v>0.25</v>
      </c>
      <c r="AQ167" s="2018">
        <v>0.25</v>
      </c>
      <c r="AR167" s="2018">
        <v>0.25</v>
      </c>
      <c r="AS167" s="2018">
        <v>0.25</v>
      </c>
      <c r="AT167" s="2074"/>
      <c r="AU167" s="2073"/>
      <c r="AV167" s="2073"/>
      <c r="AX167" s="2104" t="s">
        <v>1382</v>
      </c>
      <c r="AY167" s="2015" t="s">
        <v>2111</v>
      </c>
      <c r="AZ167" s="2105" t="s">
        <v>535</v>
      </c>
      <c r="BA167" s="2018">
        <v>0.25</v>
      </c>
      <c r="BB167" s="2018">
        <v>0.25</v>
      </c>
      <c r="BC167" s="2018">
        <v>0.25</v>
      </c>
      <c r="BD167" s="2018">
        <v>0.25</v>
      </c>
      <c r="BE167" s="2018">
        <v>0.25</v>
      </c>
      <c r="BF167" s="2018">
        <v>0.25</v>
      </c>
      <c r="BG167" s="2018">
        <v>0.25</v>
      </c>
      <c r="BH167" s="2018">
        <v>0.25</v>
      </c>
      <c r="BI167" s="2018">
        <v>0.25</v>
      </c>
      <c r="BJ167" s="2018">
        <v>0.25</v>
      </c>
      <c r="BK167" s="2074"/>
      <c r="BL167" s="2073"/>
      <c r="BM167" s="2073"/>
      <c r="BO167" s="2104" t="s">
        <v>1382</v>
      </c>
      <c r="BP167" s="2015" t="s">
        <v>2111</v>
      </c>
      <c r="BQ167" s="2105" t="s">
        <v>535</v>
      </c>
      <c r="BR167" s="2018">
        <v>0.25</v>
      </c>
      <c r="BS167" s="2018">
        <v>0.25</v>
      </c>
      <c r="BT167" s="2018">
        <v>0.25</v>
      </c>
      <c r="BU167" s="2018">
        <v>0.25</v>
      </c>
      <c r="BV167" s="2018">
        <v>0.25</v>
      </c>
      <c r="BW167" s="2018">
        <v>0.25</v>
      </c>
      <c r="BX167" s="2018">
        <v>0.25</v>
      </c>
      <c r="BY167" s="2018">
        <v>0.25</v>
      </c>
      <c r="BZ167" s="2018">
        <v>0.25</v>
      </c>
      <c r="CA167" s="2018">
        <v>0.25</v>
      </c>
      <c r="CB167" s="2074"/>
      <c r="CC167" s="2073"/>
      <c r="CD167" s="2073"/>
      <c r="CE167" s="2450"/>
    </row>
    <row r="168" spans="1:84">
      <c r="B168" s="1985" t="str">
        <f t="shared" si="125"/>
        <v>2.3.4</v>
      </c>
      <c r="C168" s="874" t="str">
        <f t="shared" si="121"/>
        <v>廃棄物処理負荷抑制</v>
      </c>
      <c r="D168" s="2009" t="e">
        <f t="shared" si="146"/>
        <v>#DIV/0!</v>
      </c>
      <c r="E168" s="2009" t="e">
        <f t="shared" si="146"/>
        <v>#DIV/0!</v>
      </c>
      <c r="G168" s="2010" t="e">
        <f t="shared" si="122"/>
        <v>#DIV/0!</v>
      </c>
      <c r="H168" s="2010" t="e">
        <f t="shared" si="123"/>
        <v>#DIV/0!</v>
      </c>
      <c r="I168" s="2010"/>
      <c r="J168" s="2010"/>
      <c r="K168" s="2010">
        <f>IF(スコア!O168=0,0,1)</f>
        <v>1</v>
      </c>
      <c r="L168" s="2010">
        <f>IF(スコア!Q168=0,0,1)</f>
        <v>0</v>
      </c>
      <c r="M168" s="2010" t="e">
        <f t="shared" si="124"/>
        <v>#DIV/0!</v>
      </c>
      <c r="N168" s="2010" t="e">
        <f t="shared" si="127"/>
        <v>#DIV/0!</v>
      </c>
      <c r="P168" s="2104" t="str">
        <f t="shared" si="119"/>
        <v>2.3.4</v>
      </c>
      <c r="Q168" s="2015" t="str">
        <f t="shared" si="120"/>
        <v>LR3 2.3</v>
      </c>
      <c r="R168" s="874" t="str">
        <f t="shared" si="129"/>
        <v>廃棄物処理負荷抑制</v>
      </c>
      <c r="S168" s="2018">
        <f t="shared" si="133"/>
        <v>0.25</v>
      </c>
      <c r="T168" s="2018">
        <f t="shared" si="134"/>
        <v>0.25</v>
      </c>
      <c r="U168" s="2018">
        <f t="shared" si="135"/>
        <v>0.25</v>
      </c>
      <c r="V168" s="2018">
        <f t="shared" si="136"/>
        <v>0.25</v>
      </c>
      <c r="W168" s="2018">
        <f t="shared" si="137"/>
        <v>0.25</v>
      </c>
      <c r="X168" s="2018">
        <f t="shared" si="138"/>
        <v>0.25</v>
      </c>
      <c r="Y168" s="2018">
        <f t="shared" si="139"/>
        <v>0.25</v>
      </c>
      <c r="Z168" s="2018">
        <f t="shared" si="140"/>
        <v>0.25</v>
      </c>
      <c r="AA168" s="2018">
        <f t="shared" si="141"/>
        <v>0.25</v>
      </c>
      <c r="AB168" s="2018">
        <f t="shared" si="142"/>
        <v>0.25</v>
      </c>
      <c r="AC168" s="2072">
        <f t="shared" si="130"/>
        <v>0</v>
      </c>
      <c r="AD168" s="2071">
        <f t="shared" si="131"/>
        <v>0</v>
      </c>
      <c r="AE168" s="2071">
        <f t="shared" si="132"/>
        <v>0</v>
      </c>
      <c r="AG168" s="2104" t="s">
        <v>1383</v>
      </c>
      <c r="AH168" s="2015" t="s">
        <v>2111</v>
      </c>
      <c r="AI168" s="874" t="s">
        <v>813</v>
      </c>
      <c r="AJ168" s="2018">
        <v>0.25</v>
      </c>
      <c r="AK168" s="2018">
        <v>0.25</v>
      </c>
      <c r="AL168" s="2018">
        <v>0.25</v>
      </c>
      <c r="AM168" s="2018">
        <v>0.25</v>
      </c>
      <c r="AN168" s="2018">
        <v>0.25</v>
      </c>
      <c r="AO168" s="2018">
        <v>0.25</v>
      </c>
      <c r="AP168" s="2018">
        <v>0.25</v>
      </c>
      <c r="AQ168" s="2018">
        <v>0.25</v>
      </c>
      <c r="AR168" s="2018">
        <v>0.25</v>
      </c>
      <c r="AS168" s="2018">
        <v>0.25</v>
      </c>
      <c r="AT168" s="2074"/>
      <c r="AU168" s="2073"/>
      <c r="AV168" s="2073"/>
      <c r="AX168" s="2104" t="s">
        <v>1384</v>
      </c>
      <c r="AY168" s="2015" t="s">
        <v>2111</v>
      </c>
      <c r="AZ168" s="874" t="s">
        <v>813</v>
      </c>
      <c r="BA168" s="2018">
        <v>0.25</v>
      </c>
      <c r="BB168" s="2018">
        <v>0.25</v>
      </c>
      <c r="BC168" s="2018">
        <v>0.25</v>
      </c>
      <c r="BD168" s="2018">
        <v>0.25</v>
      </c>
      <c r="BE168" s="2018">
        <v>0.25</v>
      </c>
      <c r="BF168" s="2018">
        <v>0.25</v>
      </c>
      <c r="BG168" s="2018">
        <v>0.25</v>
      </c>
      <c r="BH168" s="2018">
        <v>0.25</v>
      </c>
      <c r="BI168" s="2018">
        <v>0.25</v>
      </c>
      <c r="BJ168" s="2018">
        <v>0.25</v>
      </c>
      <c r="BK168" s="2074"/>
      <c r="BL168" s="2073"/>
      <c r="BM168" s="2073"/>
      <c r="BO168" s="2104" t="s">
        <v>1384</v>
      </c>
      <c r="BP168" s="2015" t="s">
        <v>2111</v>
      </c>
      <c r="BQ168" s="874" t="s">
        <v>813</v>
      </c>
      <c r="BR168" s="2018">
        <v>0.25</v>
      </c>
      <c r="BS168" s="2018">
        <v>0.25</v>
      </c>
      <c r="BT168" s="2018">
        <v>0.25</v>
      </c>
      <c r="BU168" s="2018">
        <v>0.25</v>
      </c>
      <c r="BV168" s="2018">
        <v>0.25</v>
      </c>
      <c r="BW168" s="2018">
        <v>0.25</v>
      </c>
      <c r="BX168" s="2018">
        <v>0.25</v>
      </c>
      <c r="BY168" s="2018">
        <v>0.25</v>
      </c>
      <c r="BZ168" s="2018">
        <v>0.25</v>
      </c>
      <c r="CA168" s="2018">
        <v>0.25</v>
      </c>
      <c r="CB168" s="2074"/>
      <c r="CC168" s="2073"/>
      <c r="CD168" s="2073"/>
      <c r="CE168" s="2450"/>
    </row>
    <row r="169" spans="1:84" s="1406" customFormat="1">
      <c r="A169"/>
      <c r="B169" s="1985">
        <f t="shared" si="125"/>
        <v>3</v>
      </c>
      <c r="C169" s="2000" t="str">
        <f t="shared" si="121"/>
        <v>周辺環境への配慮</v>
      </c>
      <c r="D169" s="1996" t="e">
        <f>IF(I$159=0,0,G169/I$159)</f>
        <v>#DIV/0!</v>
      </c>
      <c r="E169" s="1996" t="e">
        <f>IF(J$159=0,0,H169/J$159)</f>
        <v>#DIV/0!</v>
      </c>
      <c r="F169"/>
      <c r="G169" s="1997" t="e">
        <f t="shared" si="122"/>
        <v>#DIV/0!</v>
      </c>
      <c r="H169" s="1997" t="e">
        <f t="shared" si="123"/>
        <v>#DIV/0!</v>
      </c>
      <c r="I169" s="1997" t="e">
        <f>G170+G174+G178</f>
        <v>#DIV/0!</v>
      </c>
      <c r="J169" s="1997" t="e">
        <f>H170+H174+H178</f>
        <v>#DIV/0!</v>
      </c>
      <c r="K169" s="1997" t="e">
        <f>IF(スコア!O169=0,0,1)</f>
        <v>#DIV/0!</v>
      </c>
      <c r="L169" s="1997" t="e">
        <f>IF(スコア!Q169=0,0,1)</f>
        <v>#DIV/0!</v>
      </c>
      <c r="M169" s="1997" t="e">
        <f t="shared" si="124"/>
        <v>#DIV/0!</v>
      </c>
      <c r="N169" s="1997" t="e">
        <f t="shared" si="127"/>
        <v>#DIV/0!</v>
      </c>
      <c r="O169"/>
      <c r="P169" s="2102">
        <f t="shared" si="119"/>
        <v>3</v>
      </c>
      <c r="Q169" s="2004" t="str">
        <f t="shared" si="120"/>
        <v>LR3</v>
      </c>
      <c r="R169" s="2000" t="str">
        <f t="shared" si="129"/>
        <v>周辺環境への配慮</v>
      </c>
      <c r="S169" s="2005">
        <f t="shared" si="133"/>
        <v>0.33333333333333331</v>
      </c>
      <c r="T169" s="2005">
        <f t="shared" si="134"/>
        <v>0.33333333333333331</v>
      </c>
      <c r="U169" s="2005">
        <f t="shared" si="135"/>
        <v>0.33333333333333331</v>
      </c>
      <c r="V169" s="2005">
        <f t="shared" si="136"/>
        <v>0.33333333333333331</v>
      </c>
      <c r="W169" s="2005">
        <f t="shared" si="137"/>
        <v>0.33333333333333331</v>
      </c>
      <c r="X169" s="2005">
        <f t="shared" si="138"/>
        <v>0.33333333333333331</v>
      </c>
      <c r="Y169" s="2005">
        <f t="shared" si="139"/>
        <v>0.33333333333333331</v>
      </c>
      <c r="Z169" s="2005">
        <f t="shared" si="140"/>
        <v>0.33333333333333331</v>
      </c>
      <c r="AA169" s="2005">
        <f t="shared" si="141"/>
        <v>0.33333333333333331</v>
      </c>
      <c r="AB169" s="2005">
        <f t="shared" si="142"/>
        <v>0.33333333333333331</v>
      </c>
      <c r="AC169" s="2003">
        <f t="shared" si="130"/>
        <v>0</v>
      </c>
      <c r="AD169" s="2001">
        <f t="shared" si="131"/>
        <v>0</v>
      </c>
      <c r="AE169" s="2001">
        <f t="shared" si="132"/>
        <v>0</v>
      </c>
      <c r="AF169"/>
      <c r="AG169" s="1999">
        <v>3</v>
      </c>
      <c r="AH169" s="2004" t="s">
        <v>1308</v>
      </c>
      <c r="AI169" s="2000" t="s">
        <v>814</v>
      </c>
      <c r="AJ169" s="2005">
        <v>0.33333333333333331</v>
      </c>
      <c r="AK169" s="2005">
        <v>0.33333333333333331</v>
      </c>
      <c r="AL169" s="2005">
        <v>0.33333333333333331</v>
      </c>
      <c r="AM169" s="2005">
        <v>0.33333333333333331</v>
      </c>
      <c r="AN169" s="2005">
        <v>0.33333333333333331</v>
      </c>
      <c r="AO169" s="2005">
        <v>0.33333333333333331</v>
      </c>
      <c r="AP169" s="2005">
        <v>0.33333333333333331</v>
      </c>
      <c r="AQ169" s="2005">
        <v>0.33333333333333331</v>
      </c>
      <c r="AR169" s="2005">
        <v>0.33333333333333331</v>
      </c>
      <c r="AS169" s="2005">
        <v>0.33333333333333331</v>
      </c>
      <c r="AT169" s="2006">
        <v>0</v>
      </c>
      <c r="AU169" s="2005">
        <v>0</v>
      </c>
      <c r="AV169" s="2005">
        <v>0</v>
      </c>
      <c r="AW169"/>
      <c r="AX169" s="1999">
        <v>3</v>
      </c>
      <c r="AY169" s="2004" t="s">
        <v>1308</v>
      </c>
      <c r="AZ169" s="2000" t="s">
        <v>814</v>
      </c>
      <c r="BA169" s="2005">
        <f t="shared" ref="BA169:BJ169" si="147">1/3</f>
        <v>0.33333333333333331</v>
      </c>
      <c r="BB169" s="2005">
        <f t="shared" si="147"/>
        <v>0.33333333333333331</v>
      </c>
      <c r="BC169" s="2005">
        <f t="shared" si="147"/>
        <v>0.33333333333333331</v>
      </c>
      <c r="BD169" s="2005">
        <f t="shared" si="147"/>
        <v>0.33333333333333331</v>
      </c>
      <c r="BE169" s="2005">
        <f t="shared" si="147"/>
        <v>0.33333333333333331</v>
      </c>
      <c r="BF169" s="2005">
        <f t="shared" si="147"/>
        <v>0.33333333333333331</v>
      </c>
      <c r="BG169" s="2005">
        <f t="shared" si="147"/>
        <v>0.33333333333333331</v>
      </c>
      <c r="BH169" s="2005">
        <f t="shared" si="147"/>
        <v>0.33333333333333331</v>
      </c>
      <c r="BI169" s="2005">
        <f t="shared" si="147"/>
        <v>0.33333333333333331</v>
      </c>
      <c r="BJ169" s="2005">
        <f t="shared" si="147"/>
        <v>0.33333333333333331</v>
      </c>
      <c r="BK169" s="2006"/>
      <c r="BL169" s="2005"/>
      <c r="BM169" s="2005"/>
      <c r="BN169"/>
      <c r="BO169" s="1999">
        <v>3</v>
      </c>
      <c r="BP169" s="2004" t="s">
        <v>1308</v>
      </c>
      <c r="BQ169" s="2000" t="s">
        <v>814</v>
      </c>
      <c r="BR169" s="2005">
        <f t="shared" ref="BR169:CA169" si="148">1/3</f>
        <v>0.33333333333333331</v>
      </c>
      <c r="BS169" s="2005">
        <f t="shared" si="148"/>
        <v>0.33333333333333331</v>
      </c>
      <c r="BT169" s="2005">
        <f t="shared" si="148"/>
        <v>0.33333333333333331</v>
      </c>
      <c r="BU169" s="2005">
        <f t="shared" si="148"/>
        <v>0.33333333333333331</v>
      </c>
      <c r="BV169" s="2005">
        <f t="shared" si="148"/>
        <v>0.33333333333333331</v>
      </c>
      <c r="BW169" s="2005">
        <f t="shared" si="148"/>
        <v>0.33333333333333331</v>
      </c>
      <c r="BX169" s="2005">
        <f t="shared" si="148"/>
        <v>0.33333333333333331</v>
      </c>
      <c r="BY169" s="2005">
        <f t="shared" si="148"/>
        <v>0.33333333333333331</v>
      </c>
      <c r="BZ169" s="2005">
        <f t="shared" si="148"/>
        <v>0.33333333333333331</v>
      </c>
      <c r="CA169" s="2005">
        <f t="shared" si="148"/>
        <v>0.33333333333333331</v>
      </c>
      <c r="CB169" s="2006"/>
      <c r="CC169" s="2005"/>
      <c r="CD169" s="2005"/>
      <c r="CE169" s="2446"/>
      <c r="CF169"/>
    </row>
    <row r="170" spans="1:84">
      <c r="B170" s="1985" t="str">
        <f t="shared" si="125"/>
        <v>3.1</v>
      </c>
      <c r="C170" s="2012" t="str">
        <f t="shared" si="121"/>
        <v>騒音・振動・悪臭の防止</v>
      </c>
      <c r="D170" s="2009" t="e">
        <f>IF(I$169=0,0,G170/I$169)</f>
        <v>#DIV/0!</v>
      </c>
      <c r="E170" s="2009" t="e">
        <f>IF(J$169=0,0,H170/J$169)</f>
        <v>#DIV/0!</v>
      </c>
      <c r="G170" s="2010" t="e">
        <f t="shared" si="122"/>
        <v>#DIV/0!</v>
      </c>
      <c r="H170" s="2010" t="e">
        <f t="shared" si="123"/>
        <v>#DIV/0!</v>
      </c>
      <c r="I170" s="2010" t="e">
        <f>SUM(G171:G173)</f>
        <v>#DIV/0!</v>
      </c>
      <c r="J170" s="2010" t="e">
        <f>SUM(H171:H173)</f>
        <v>#DIV/0!</v>
      </c>
      <c r="K170" s="2010" t="e">
        <f>IF(スコア!O170=0,0,1)</f>
        <v>#DIV/0!</v>
      </c>
      <c r="L170" s="2010" t="e">
        <f>IF(スコア!Q170=0,0,1)</f>
        <v>#DIV/0!</v>
      </c>
      <c r="M170" s="2010" t="e">
        <f t="shared" si="124"/>
        <v>#DIV/0!</v>
      </c>
      <c r="N170" s="2010" t="e">
        <f t="shared" si="127"/>
        <v>#DIV/0!</v>
      </c>
      <c r="P170" s="2103" t="str">
        <f t="shared" si="119"/>
        <v>3.1</v>
      </c>
      <c r="Q170" s="2015" t="str">
        <f t="shared" si="120"/>
        <v>LR3 3</v>
      </c>
      <c r="R170" s="2012" t="str">
        <f t="shared" si="129"/>
        <v>騒音・振動・悪臭の防止</v>
      </c>
      <c r="S170" s="2073">
        <f t="shared" si="133"/>
        <v>0.4</v>
      </c>
      <c r="T170" s="2073">
        <f t="shared" si="134"/>
        <v>0.4</v>
      </c>
      <c r="U170" s="2073">
        <f t="shared" si="135"/>
        <v>0.4</v>
      </c>
      <c r="V170" s="2073">
        <f t="shared" si="136"/>
        <v>0.4</v>
      </c>
      <c r="W170" s="2073">
        <f t="shared" si="137"/>
        <v>0.4</v>
      </c>
      <c r="X170" s="2073">
        <f t="shared" si="138"/>
        <v>0.4</v>
      </c>
      <c r="Y170" s="2073">
        <f t="shared" si="139"/>
        <v>0.4</v>
      </c>
      <c r="Z170" s="2073">
        <f t="shared" si="140"/>
        <v>0.4</v>
      </c>
      <c r="AA170" s="2073">
        <f t="shared" si="141"/>
        <v>0.4</v>
      </c>
      <c r="AB170" s="2073">
        <f t="shared" si="142"/>
        <v>0.4</v>
      </c>
      <c r="AC170" s="2072">
        <f t="shared" si="130"/>
        <v>0</v>
      </c>
      <c r="AD170" s="2071">
        <f t="shared" si="131"/>
        <v>0</v>
      </c>
      <c r="AE170" s="2071">
        <f t="shared" si="132"/>
        <v>0</v>
      </c>
      <c r="AG170" s="2104" t="s">
        <v>1385</v>
      </c>
      <c r="AH170" s="2015" t="s">
        <v>2112</v>
      </c>
      <c r="AI170" s="2012" t="s">
        <v>815</v>
      </c>
      <c r="AJ170" s="2073">
        <v>0.4</v>
      </c>
      <c r="AK170" s="2073">
        <v>0.4</v>
      </c>
      <c r="AL170" s="2073">
        <v>0.4</v>
      </c>
      <c r="AM170" s="2073">
        <v>0.4</v>
      </c>
      <c r="AN170" s="2073">
        <v>0.4</v>
      </c>
      <c r="AO170" s="2073">
        <v>0.4</v>
      </c>
      <c r="AP170" s="2073">
        <v>0.4</v>
      </c>
      <c r="AQ170" s="2073">
        <v>0.4</v>
      </c>
      <c r="AR170" s="2073">
        <v>0.4</v>
      </c>
      <c r="AS170" s="2073">
        <v>0.4</v>
      </c>
      <c r="AT170" s="2074"/>
      <c r="AU170" s="2073"/>
      <c r="AV170" s="2073"/>
      <c r="AX170" s="2104" t="s">
        <v>1386</v>
      </c>
      <c r="AY170" s="2015" t="s">
        <v>2112</v>
      </c>
      <c r="AZ170" s="2012" t="s">
        <v>815</v>
      </c>
      <c r="BA170" s="2073">
        <v>0.4</v>
      </c>
      <c r="BB170" s="2073">
        <v>0.4</v>
      </c>
      <c r="BC170" s="2073">
        <v>0.4</v>
      </c>
      <c r="BD170" s="2073">
        <v>0.4</v>
      </c>
      <c r="BE170" s="2073">
        <v>0.4</v>
      </c>
      <c r="BF170" s="2073">
        <v>0.4</v>
      </c>
      <c r="BG170" s="2073">
        <v>0.4</v>
      </c>
      <c r="BH170" s="2073">
        <v>0.4</v>
      </c>
      <c r="BI170" s="2073">
        <v>0.4</v>
      </c>
      <c r="BJ170" s="2073">
        <v>0.4</v>
      </c>
      <c r="BK170" s="2074"/>
      <c r="BL170" s="2073"/>
      <c r="BM170" s="2073"/>
      <c r="BO170" s="2104" t="s">
        <v>1386</v>
      </c>
      <c r="BP170" s="2015" t="s">
        <v>2112</v>
      </c>
      <c r="BQ170" s="2012" t="s">
        <v>815</v>
      </c>
      <c r="BR170" s="2073">
        <v>0.4</v>
      </c>
      <c r="BS170" s="2073">
        <v>0.4</v>
      </c>
      <c r="BT170" s="2073">
        <v>0.4</v>
      </c>
      <c r="BU170" s="2073">
        <v>0.4</v>
      </c>
      <c r="BV170" s="2073">
        <v>0.4</v>
      </c>
      <c r="BW170" s="2073">
        <v>0.4</v>
      </c>
      <c r="BX170" s="2073">
        <v>0.4</v>
      </c>
      <c r="BY170" s="2073">
        <v>0.4</v>
      </c>
      <c r="BZ170" s="2073">
        <v>0.4</v>
      </c>
      <c r="CA170" s="2073">
        <v>0.4</v>
      </c>
      <c r="CB170" s="2074"/>
      <c r="CC170" s="2073"/>
      <c r="CD170" s="2073"/>
      <c r="CE170" s="2450"/>
    </row>
    <row r="171" spans="1:84">
      <c r="B171" s="1985" t="str">
        <f t="shared" si="125"/>
        <v>3.1.1</v>
      </c>
      <c r="C171" s="2012" t="str">
        <f t="shared" si="121"/>
        <v>騒音</v>
      </c>
      <c r="D171" s="2009" t="e">
        <f t="shared" ref="D171:E173" si="149">IF(I$170=0,0,G171/I$170)</f>
        <v>#DIV/0!</v>
      </c>
      <c r="E171" s="2009" t="e">
        <f t="shared" si="149"/>
        <v>#DIV/0!</v>
      </c>
      <c r="G171" s="2010" t="e">
        <f t="shared" si="122"/>
        <v>#DIV/0!</v>
      </c>
      <c r="H171" s="2010" t="e">
        <f t="shared" si="123"/>
        <v>#DIV/0!</v>
      </c>
      <c r="I171" s="2010"/>
      <c r="J171" s="2010"/>
      <c r="K171" s="2010">
        <f>IF(スコア!O171=0,0,1)</f>
        <v>1</v>
      </c>
      <c r="L171" s="2010">
        <f>IF(スコア!Q171=0,0,1)</f>
        <v>0</v>
      </c>
      <c r="M171" s="2010" t="e">
        <f t="shared" si="124"/>
        <v>#DIV/0!</v>
      </c>
      <c r="N171" s="2010" t="e">
        <f t="shared" si="127"/>
        <v>#DIV/0!</v>
      </c>
      <c r="P171" s="2104" t="str">
        <f t="shared" si="119"/>
        <v>3.1.1</v>
      </c>
      <c r="Q171" s="2011" t="str">
        <f t="shared" si="120"/>
        <v>LR3 3.1</v>
      </c>
      <c r="R171" s="2012" t="str">
        <f t="shared" si="129"/>
        <v>騒音</v>
      </c>
      <c r="S171" s="2018">
        <f t="shared" si="133"/>
        <v>0.33333333333333331</v>
      </c>
      <c r="T171" s="2018">
        <f t="shared" si="134"/>
        <v>0.33333333333333331</v>
      </c>
      <c r="U171" s="2018">
        <f t="shared" si="135"/>
        <v>0.33333333333333331</v>
      </c>
      <c r="V171" s="2018">
        <f t="shared" si="136"/>
        <v>0.33333333333333331</v>
      </c>
      <c r="W171" s="2018">
        <f t="shared" si="137"/>
        <v>0.33333333333333331</v>
      </c>
      <c r="X171" s="2018">
        <f t="shared" si="138"/>
        <v>0.33333333333333331</v>
      </c>
      <c r="Y171" s="2018">
        <f t="shared" si="139"/>
        <v>0.33333333333333331</v>
      </c>
      <c r="Z171" s="2018">
        <f t="shared" si="140"/>
        <v>0.33333333333333331</v>
      </c>
      <c r="AA171" s="2018">
        <f t="shared" si="141"/>
        <v>0.33333333333333331</v>
      </c>
      <c r="AB171" s="2018">
        <f t="shared" si="142"/>
        <v>0.33333333333333331</v>
      </c>
      <c r="AC171" s="2014">
        <f t="shared" si="130"/>
        <v>0</v>
      </c>
      <c r="AD171" s="2013">
        <f t="shared" si="131"/>
        <v>0</v>
      </c>
      <c r="AE171" s="2013">
        <f t="shared" si="132"/>
        <v>0</v>
      </c>
      <c r="AG171" s="2104" t="s">
        <v>1387</v>
      </c>
      <c r="AH171" s="2011" t="s">
        <v>2113</v>
      </c>
      <c r="AI171" s="2012" t="s">
        <v>816</v>
      </c>
      <c r="AJ171" s="2018">
        <v>0.33333333333333331</v>
      </c>
      <c r="AK171" s="2018">
        <v>0.33333333333333331</v>
      </c>
      <c r="AL171" s="2018">
        <v>0.33333333333333331</v>
      </c>
      <c r="AM171" s="2018">
        <v>0.33333333333333331</v>
      </c>
      <c r="AN171" s="2018">
        <v>0.33333333333333331</v>
      </c>
      <c r="AO171" s="2018">
        <v>0.33333333333333331</v>
      </c>
      <c r="AP171" s="2018">
        <v>0.33333333333333331</v>
      </c>
      <c r="AQ171" s="2018">
        <v>0.33333333333333331</v>
      </c>
      <c r="AR171" s="2018">
        <v>0.33333333333333331</v>
      </c>
      <c r="AS171" s="2018">
        <v>0.33333333333333331</v>
      </c>
      <c r="AT171" s="2019"/>
      <c r="AU171" s="2018"/>
      <c r="AV171" s="2018"/>
      <c r="AX171" s="2104" t="s">
        <v>1388</v>
      </c>
      <c r="AY171" s="2011" t="s">
        <v>2113</v>
      </c>
      <c r="AZ171" s="2012" t="s">
        <v>816</v>
      </c>
      <c r="BA171" s="2018">
        <v>0.33333333333333331</v>
      </c>
      <c r="BB171" s="2018">
        <v>0.33333333333333331</v>
      </c>
      <c r="BC171" s="2018">
        <v>0.33333333333333331</v>
      </c>
      <c r="BD171" s="2018">
        <v>0.33333333333333331</v>
      </c>
      <c r="BE171" s="2018">
        <v>0.33333333333333331</v>
      </c>
      <c r="BF171" s="2018">
        <v>0.33333333333333331</v>
      </c>
      <c r="BG171" s="2018">
        <v>0.33333333333333331</v>
      </c>
      <c r="BH171" s="2018">
        <v>0.33333333333333331</v>
      </c>
      <c r="BI171" s="2018">
        <v>0.33333333333333331</v>
      </c>
      <c r="BJ171" s="2018">
        <v>0.33333333333333331</v>
      </c>
      <c r="BK171" s="2019"/>
      <c r="BL171" s="2018"/>
      <c r="BM171" s="2018"/>
      <c r="BO171" s="2104" t="s">
        <v>1388</v>
      </c>
      <c r="BP171" s="2011" t="s">
        <v>2113</v>
      </c>
      <c r="BQ171" s="2012" t="s">
        <v>816</v>
      </c>
      <c r="BR171" s="2018">
        <v>0.33333333333333331</v>
      </c>
      <c r="BS171" s="2018">
        <v>0.33333333333333331</v>
      </c>
      <c r="BT171" s="2018">
        <v>0.33333333333333331</v>
      </c>
      <c r="BU171" s="2018">
        <v>0.33333333333333331</v>
      </c>
      <c r="BV171" s="2018">
        <v>0.33333333333333331</v>
      </c>
      <c r="BW171" s="2018">
        <v>0.33333333333333331</v>
      </c>
      <c r="BX171" s="2018">
        <v>0.33333333333333331</v>
      </c>
      <c r="BY171" s="2018">
        <v>0.33333333333333331</v>
      </c>
      <c r="BZ171" s="2018">
        <v>0.33333333333333331</v>
      </c>
      <c r="CA171" s="2018">
        <v>0.33333333333333331</v>
      </c>
      <c r="CB171" s="2018"/>
      <c r="CC171" s="2018"/>
      <c r="CD171" s="2018"/>
      <c r="CE171" s="2447"/>
    </row>
    <row r="172" spans="1:84">
      <c r="B172" s="1985" t="str">
        <f t="shared" si="125"/>
        <v>3.1.2</v>
      </c>
      <c r="C172" s="2012" t="str">
        <f t="shared" si="121"/>
        <v>振動</v>
      </c>
      <c r="D172" s="2009" t="e">
        <f t="shared" si="149"/>
        <v>#DIV/0!</v>
      </c>
      <c r="E172" s="2009" t="e">
        <f t="shared" si="149"/>
        <v>#DIV/0!</v>
      </c>
      <c r="G172" s="2010" t="e">
        <f t="shared" si="122"/>
        <v>#DIV/0!</v>
      </c>
      <c r="H172" s="2010" t="e">
        <f t="shared" si="123"/>
        <v>#DIV/0!</v>
      </c>
      <c r="I172" s="2010"/>
      <c r="J172" s="2010"/>
      <c r="K172" s="2010">
        <f>IF(スコア!O172=0,0,1)</f>
        <v>1</v>
      </c>
      <c r="L172" s="2010">
        <f>IF(スコア!Q172=0,0,1)</f>
        <v>0</v>
      </c>
      <c r="M172" s="2010" t="e">
        <f t="shared" si="124"/>
        <v>#DIV/0!</v>
      </c>
      <c r="N172" s="2010" t="e">
        <f t="shared" si="127"/>
        <v>#DIV/0!</v>
      </c>
      <c r="P172" s="2104" t="str">
        <f t="shared" si="119"/>
        <v>3.1.2</v>
      </c>
      <c r="Q172" s="2011" t="str">
        <f t="shared" si="120"/>
        <v>LR3 3.1</v>
      </c>
      <c r="R172" s="2012" t="str">
        <f t="shared" si="129"/>
        <v>振動</v>
      </c>
      <c r="S172" s="2018">
        <f t="shared" si="133"/>
        <v>0.33333333333333331</v>
      </c>
      <c r="T172" s="2018">
        <f t="shared" si="134"/>
        <v>0.33333333333333331</v>
      </c>
      <c r="U172" s="2018">
        <f t="shared" si="135"/>
        <v>0.33333333333333331</v>
      </c>
      <c r="V172" s="2018">
        <f t="shared" si="136"/>
        <v>0.33333333333333331</v>
      </c>
      <c r="W172" s="2018">
        <f t="shared" si="137"/>
        <v>0.33333333333333331</v>
      </c>
      <c r="X172" s="2018">
        <f t="shared" si="138"/>
        <v>0.33333333333333331</v>
      </c>
      <c r="Y172" s="2018">
        <f t="shared" si="139"/>
        <v>0.33333333333333331</v>
      </c>
      <c r="Z172" s="2018">
        <f t="shared" si="140"/>
        <v>0.33333333333333331</v>
      </c>
      <c r="AA172" s="2018">
        <f t="shared" si="141"/>
        <v>0.33333333333333331</v>
      </c>
      <c r="AB172" s="2018">
        <f t="shared" si="142"/>
        <v>0.33333333333333331</v>
      </c>
      <c r="AC172" s="2014">
        <f t="shared" si="130"/>
        <v>0</v>
      </c>
      <c r="AD172" s="2013">
        <f t="shared" si="131"/>
        <v>0</v>
      </c>
      <c r="AE172" s="2013">
        <f t="shared" si="132"/>
        <v>0</v>
      </c>
      <c r="AG172" s="2104" t="s">
        <v>1389</v>
      </c>
      <c r="AH172" s="2011" t="s">
        <v>2113</v>
      </c>
      <c r="AI172" s="2012" t="s">
        <v>2114</v>
      </c>
      <c r="AJ172" s="2018">
        <v>0.33333333333333331</v>
      </c>
      <c r="AK172" s="2018">
        <v>0.33333333333333331</v>
      </c>
      <c r="AL172" s="2018">
        <v>0.33333333333333331</v>
      </c>
      <c r="AM172" s="2018">
        <v>0.33333333333333331</v>
      </c>
      <c r="AN172" s="2018">
        <v>0.33333333333333331</v>
      </c>
      <c r="AO172" s="2018">
        <v>0.33333333333333331</v>
      </c>
      <c r="AP172" s="2018">
        <v>0.33333333333333331</v>
      </c>
      <c r="AQ172" s="2018">
        <v>0.33333333333333331</v>
      </c>
      <c r="AR172" s="2018">
        <v>0.33333333333333331</v>
      </c>
      <c r="AS172" s="2018">
        <v>0.33333333333333331</v>
      </c>
      <c r="AT172" s="2019"/>
      <c r="AU172" s="2018"/>
      <c r="AV172" s="2018"/>
      <c r="AX172" s="2104" t="s">
        <v>1389</v>
      </c>
      <c r="AY172" s="2011" t="s">
        <v>2113</v>
      </c>
      <c r="AZ172" s="2012" t="s">
        <v>2114</v>
      </c>
      <c r="BA172" s="2018">
        <v>0.33333333333333331</v>
      </c>
      <c r="BB172" s="2018">
        <v>0.33333333333333331</v>
      </c>
      <c r="BC172" s="2018">
        <v>0.33333333333333331</v>
      </c>
      <c r="BD172" s="2018">
        <v>0.33333333333333331</v>
      </c>
      <c r="BE172" s="2018">
        <v>0.33333333333333331</v>
      </c>
      <c r="BF172" s="2018">
        <v>0.33333333333333331</v>
      </c>
      <c r="BG172" s="2018">
        <v>0.33333333333333331</v>
      </c>
      <c r="BH172" s="2018">
        <v>0.33333333333333331</v>
      </c>
      <c r="BI172" s="2018">
        <v>0.33333333333333331</v>
      </c>
      <c r="BJ172" s="2018">
        <v>0.33333333333333331</v>
      </c>
      <c r="BK172" s="2019"/>
      <c r="BL172" s="2018"/>
      <c r="BM172" s="2018"/>
      <c r="BO172" s="2104" t="s">
        <v>1389</v>
      </c>
      <c r="BP172" s="2011" t="s">
        <v>2113</v>
      </c>
      <c r="BQ172" s="2012" t="s">
        <v>2114</v>
      </c>
      <c r="BR172" s="2018">
        <v>0.33333333333333331</v>
      </c>
      <c r="BS172" s="2018">
        <v>0.33333333333333331</v>
      </c>
      <c r="BT172" s="2018">
        <v>0.33333333333333331</v>
      </c>
      <c r="BU172" s="2018">
        <v>0.33333333333333331</v>
      </c>
      <c r="BV172" s="2018">
        <v>0.33333333333333331</v>
      </c>
      <c r="BW172" s="2018">
        <v>0.33333333333333331</v>
      </c>
      <c r="BX172" s="2018">
        <v>0.33333333333333331</v>
      </c>
      <c r="BY172" s="2018">
        <v>0.33333333333333331</v>
      </c>
      <c r="BZ172" s="2018">
        <v>0.33333333333333331</v>
      </c>
      <c r="CA172" s="2018">
        <v>0.33333333333333331</v>
      </c>
      <c r="CB172" s="2018"/>
      <c r="CC172" s="2018"/>
      <c r="CD172" s="2018"/>
      <c r="CE172" s="2447"/>
    </row>
    <row r="173" spans="1:84">
      <c r="B173" s="1985" t="str">
        <f t="shared" si="125"/>
        <v>3.1.3</v>
      </c>
      <c r="C173" s="2012" t="str">
        <f t="shared" ref="C173:C180" si="150">R173</f>
        <v>悪臭</v>
      </c>
      <c r="D173" s="2009" t="e">
        <f t="shared" si="149"/>
        <v>#DIV/0!</v>
      </c>
      <c r="E173" s="2009" t="e">
        <f t="shared" si="149"/>
        <v>#DIV/0!</v>
      </c>
      <c r="G173" s="2010" t="e">
        <f t="shared" ref="G173:G180" si="151">K173*M173</f>
        <v>#DIV/0!</v>
      </c>
      <c r="H173" s="2010" t="e">
        <f t="shared" ref="H173:H180" si="152">L173*N173</f>
        <v>#DIV/0!</v>
      </c>
      <c r="I173" s="2010"/>
      <c r="J173" s="2010"/>
      <c r="K173" s="2010">
        <f>IF(スコア!O173=0,0,1)</f>
        <v>1</v>
      </c>
      <c r="L173" s="2010">
        <f>IF(スコア!Q173=0,0,1)</f>
        <v>0</v>
      </c>
      <c r="M173" s="2010" t="e">
        <f t="shared" ref="M173:M180" si="153">SUMPRODUCT($S$7:$AB$7,S173:AB173)</f>
        <v>#DIV/0!</v>
      </c>
      <c r="N173" s="2010" t="e">
        <f t="shared" si="127"/>
        <v>#DIV/0!</v>
      </c>
      <c r="P173" s="2104" t="str">
        <f t="shared" si="119"/>
        <v>3.1.3</v>
      </c>
      <c r="Q173" s="2011" t="str">
        <f t="shared" si="120"/>
        <v>LR3 3.1</v>
      </c>
      <c r="R173" s="2012" t="str">
        <f t="shared" si="129"/>
        <v>悪臭</v>
      </c>
      <c r="S173" s="2018">
        <f t="shared" si="133"/>
        <v>0.33333333333333331</v>
      </c>
      <c r="T173" s="2018">
        <f t="shared" si="134"/>
        <v>0.33333333333333331</v>
      </c>
      <c r="U173" s="2018">
        <f t="shared" si="135"/>
        <v>0.33333333333333331</v>
      </c>
      <c r="V173" s="2018">
        <f t="shared" si="136"/>
        <v>0.33333333333333331</v>
      </c>
      <c r="W173" s="2018">
        <f t="shared" si="137"/>
        <v>0.33333333333333331</v>
      </c>
      <c r="X173" s="2018">
        <f t="shared" si="138"/>
        <v>0.33333333333333331</v>
      </c>
      <c r="Y173" s="2018">
        <f t="shared" si="139"/>
        <v>0.33333333333333331</v>
      </c>
      <c r="Z173" s="2018">
        <f t="shared" si="140"/>
        <v>0.33333333333333331</v>
      </c>
      <c r="AA173" s="2018">
        <f t="shared" si="141"/>
        <v>0.33333333333333331</v>
      </c>
      <c r="AB173" s="2018">
        <f t="shared" si="142"/>
        <v>0.33333333333333331</v>
      </c>
      <c r="AC173" s="2014">
        <f t="shared" si="130"/>
        <v>0</v>
      </c>
      <c r="AD173" s="2013">
        <f t="shared" si="131"/>
        <v>0</v>
      </c>
      <c r="AE173" s="2013">
        <f t="shared" si="132"/>
        <v>0</v>
      </c>
      <c r="AG173" s="2104" t="s">
        <v>1390</v>
      </c>
      <c r="AH173" s="2011" t="s">
        <v>2113</v>
      </c>
      <c r="AI173" s="2012" t="s">
        <v>1830</v>
      </c>
      <c r="AJ173" s="2018">
        <v>0.33333333333333331</v>
      </c>
      <c r="AK173" s="2018">
        <v>0.33333333333333331</v>
      </c>
      <c r="AL173" s="2018">
        <v>0.33333333333333331</v>
      </c>
      <c r="AM173" s="2018">
        <v>0.33333333333333331</v>
      </c>
      <c r="AN173" s="2018">
        <v>0.33333333333333331</v>
      </c>
      <c r="AO173" s="2018">
        <v>0.33333333333333331</v>
      </c>
      <c r="AP173" s="2018">
        <v>0.33333333333333331</v>
      </c>
      <c r="AQ173" s="2018">
        <v>0.33333333333333331</v>
      </c>
      <c r="AR173" s="2018">
        <v>0.33333333333333331</v>
      </c>
      <c r="AS173" s="2018">
        <v>0.33333333333333331</v>
      </c>
      <c r="AT173" s="2019"/>
      <c r="AU173" s="2018"/>
      <c r="AV173" s="2018"/>
      <c r="AX173" s="2104" t="s">
        <v>1390</v>
      </c>
      <c r="AY173" s="2011" t="s">
        <v>2113</v>
      </c>
      <c r="AZ173" s="2012" t="s">
        <v>1830</v>
      </c>
      <c r="BA173" s="2018">
        <v>0.33333333333333331</v>
      </c>
      <c r="BB173" s="2018">
        <v>0.33333333333333331</v>
      </c>
      <c r="BC173" s="2018">
        <v>0.33333333333333331</v>
      </c>
      <c r="BD173" s="2018">
        <v>0.33333333333333331</v>
      </c>
      <c r="BE173" s="2018">
        <v>0.33333333333333331</v>
      </c>
      <c r="BF173" s="2018">
        <v>0.33333333333333331</v>
      </c>
      <c r="BG173" s="2018">
        <v>0.33333333333333331</v>
      </c>
      <c r="BH173" s="2018">
        <v>0.33333333333333331</v>
      </c>
      <c r="BI173" s="2018">
        <v>0.33333333333333331</v>
      </c>
      <c r="BJ173" s="2018">
        <v>0.33333333333333331</v>
      </c>
      <c r="BK173" s="2019"/>
      <c r="BL173" s="2018"/>
      <c r="BM173" s="2018"/>
      <c r="BO173" s="2104" t="s">
        <v>1390</v>
      </c>
      <c r="BP173" s="2011" t="s">
        <v>2113</v>
      </c>
      <c r="BQ173" s="2012" t="s">
        <v>1830</v>
      </c>
      <c r="BR173" s="2018">
        <v>0.33333333333333331</v>
      </c>
      <c r="BS173" s="2018">
        <v>0.33333333333333331</v>
      </c>
      <c r="BT173" s="2018">
        <v>0.33333333333333331</v>
      </c>
      <c r="BU173" s="2018">
        <v>0.33333333333333331</v>
      </c>
      <c r="BV173" s="2018">
        <v>0.33333333333333331</v>
      </c>
      <c r="BW173" s="2018">
        <v>0.33333333333333331</v>
      </c>
      <c r="BX173" s="2018">
        <v>0.33333333333333331</v>
      </c>
      <c r="BY173" s="2018">
        <v>0.33333333333333331</v>
      </c>
      <c r="BZ173" s="2018">
        <v>0.33333333333333331</v>
      </c>
      <c r="CA173" s="2018">
        <v>0.33333333333333331</v>
      </c>
      <c r="CB173" s="2018"/>
      <c r="CC173" s="2018"/>
      <c r="CD173" s="2018"/>
      <c r="CE173" s="2447"/>
    </row>
    <row r="174" spans="1:84">
      <c r="B174" s="1985" t="str">
        <f t="shared" si="125"/>
        <v>3.2</v>
      </c>
      <c r="C174" s="2012" t="str">
        <f>R174</f>
        <v>風害，日照阻害の抑制</v>
      </c>
      <c r="D174" s="2009" t="e">
        <f>IF(I$169=0,0,G174/I$169)</f>
        <v>#DIV/0!</v>
      </c>
      <c r="E174" s="2009" t="e">
        <f>IF(J$169=0,0,H174/J$169)</f>
        <v>#DIV/0!</v>
      </c>
      <c r="G174" s="2010" t="e">
        <f t="shared" si="151"/>
        <v>#DIV/0!</v>
      </c>
      <c r="H174" s="2010" t="e">
        <f t="shared" si="152"/>
        <v>#DIV/0!</v>
      </c>
      <c r="I174" s="2010" t="e">
        <f>SUM(G175:G177)</f>
        <v>#DIV/0!</v>
      </c>
      <c r="J174" s="2010" t="e">
        <f>SUM(H175:H177)</f>
        <v>#DIV/0!</v>
      </c>
      <c r="K174" s="2010" t="e">
        <f>IF(スコア!O174=0,0,1)</f>
        <v>#DIV/0!</v>
      </c>
      <c r="L174" s="2010" t="e">
        <f>IF(スコア!Q174=0,0,1)</f>
        <v>#DIV/0!</v>
      </c>
      <c r="M174" s="2010" t="e">
        <f t="shared" si="153"/>
        <v>#DIV/0!</v>
      </c>
      <c r="N174" s="2010" t="e">
        <f t="shared" si="127"/>
        <v>#DIV/0!</v>
      </c>
      <c r="P174" s="2103" t="str">
        <f t="shared" si="119"/>
        <v>3.2</v>
      </c>
      <c r="Q174" s="2015" t="str">
        <f t="shared" si="120"/>
        <v>LR3 3</v>
      </c>
      <c r="R174" s="2012" t="str">
        <f t="shared" si="129"/>
        <v>風害，日照阻害の抑制</v>
      </c>
      <c r="S174" s="2073">
        <f t="shared" si="133"/>
        <v>0.4</v>
      </c>
      <c r="T174" s="2073">
        <f t="shared" si="134"/>
        <v>0.4</v>
      </c>
      <c r="U174" s="2073">
        <f t="shared" si="135"/>
        <v>0.4</v>
      </c>
      <c r="V174" s="2073">
        <f t="shared" si="136"/>
        <v>0.4</v>
      </c>
      <c r="W174" s="2073">
        <f t="shared" si="137"/>
        <v>0.4</v>
      </c>
      <c r="X174" s="2073">
        <f t="shared" si="138"/>
        <v>0.4</v>
      </c>
      <c r="Y174" s="2073">
        <f t="shared" si="139"/>
        <v>0.4</v>
      </c>
      <c r="Z174" s="2073">
        <f t="shared" si="140"/>
        <v>0.4</v>
      </c>
      <c r="AA174" s="2073">
        <f t="shared" si="141"/>
        <v>0.4</v>
      </c>
      <c r="AB174" s="2073">
        <f t="shared" si="142"/>
        <v>0.4</v>
      </c>
      <c r="AC174" s="2072">
        <f t="shared" si="130"/>
        <v>0</v>
      </c>
      <c r="AD174" s="2071">
        <f t="shared" si="131"/>
        <v>0</v>
      </c>
      <c r="AE174" s="2071">
        <f t="shared" si="132"/>
        <v>0</v>
      </c>
      <c r="AG174" s="2104" t="s">
        <v>1391</v>
      </c>
      <c r="AH174" s="2015" t="s">
        <v>2112</v>
      </c>
      <c r="AI174" s="2012" t="s">
        <v>3260</v>
      </c>
      <c r="AJ174" s="2073">
        <v>0.4</v>
      </c>
      <c r="AK174" s="2073">
        <v>0.4</v>
      </c>
      <c r="AL174" s="2073">
        <v>0.4</v>
      </c>
      <c r="AM174" s="2073">
        <v>0.4</v>
      </c>
      <c r="AN174" s="2073">
        <v>0.4</v>
      </c>
      <c r="AO174" s="2073">
        <v>0.4</v>
      </c>
      <c r="AP174" s="2073">
        <v>0.4</v>
      </c>
      <c r="AQ174" s="2073">
        <v>0.4</v>
      </c>
      <c r="AR174" s="2073">
        <v>0.4</v>
      </c>
      <c r="AS174" s="2073">
        <v>0.4</v>
      </c>
      <c r="AT174" s="2074"/>
      <c r="AU174" s="2073"/>
      <c r="AV174" s="2073"/>
      <c r="AX174" s="2104" t="s">
        <v>1391</v>
      </c>
      <c r="AY174" s="2015" t="s">
        <v>2112</v>
      </c>
      <c r="AZ174" s="2012" t="s">
        <v>3248</v>
      </c>
      <c r="BA174" s="2073">
        <v>0.4</v>
      </c>
      <c r="BB174" s="2073">
        <v>0.4</v>
      </c>
      <c r="BC174" s="2073">
        <v>0.4</v>
      </c>
      <c r="BD174" s="2073">
        <v>0.4</v>
      </c>
      <c r="BE174" s="2073">
        <v>0.4</v>
      </c>
      <c r="BF174" s="2073">
        <v>0.4</v>
      </c>
      <c r="BG174" s="2073">
        <v>0.4</v>
      </c>
      <c r="BH174" s="2073">
        <v>0.4</v>
      </c>
      <c r="BI174" s="2073">
        <v>0.4</v>
      </c>
      <c r="BJ174" s="2073">
        <v>0.4</v>
      </c>
      <c r="BK174" s="2074"/>
      <c r="BL174" s="2073"/>
      <c r="BM174" s="2073"/>
      <c r="BO174" s="2104" t="s">
        <v>1391</v>
      </c>
      <c r="BP174" s="2015" t="s">
        <v>2112</v>
      </c>
      <c r="BQ174" s="2012" t="s">
        <v>3248</v>
      </c>
      <c r="BR174" s="2073">
        <v>0.4</v>
      </c>
      <c r="BS174" s="2073">
        <v>0.4</v>
      </c>
      <c r="BT174" s="2073">
        <v>0.4</v>
      </c>
      <c r="BU174" s="2073">
        <v>0.4</v>
      </c>
      <c r="BV174" s="2073">
        <v>0.4</v>
      </c>
      <c r="BW174" s="2073">
        <v>0.4</v>
      </c>
      <c r="BX174" s="2073">
        <v>0.4</v>
      </c>
      <c r="BY174" s="2073">
        <v>0.4</v>
      </c>
      <c r="BZ174" s="2073">
        <v>0.4</v>
      </c>
      <c r="CA174" s="2073">
        <v>0.4</v>
      </c>
      <c r="CB174" s="2074"/>
      <c r="CC174" s="2073"/>
      <c r="CD174" s="2073"/>
      <c r="CE174" s="2450"/>
    </row>
    <row r="175" spans="1:84">
      <c r="B175" s="1985" t="str">
        <f t="shared" ref="B175:B180" si="154">P175</f>
        <v>3.2.1</v>
      </c>
      <c r="C175" s="2105" t="str">
        <f t="shared" si="150"/>
        <v>風害の抑制</v>
      </c>
      <c r="D175" s="2009" t="e">
        <f t="shared" ref="D175:E177" si="155">IF(I$174=0,0,G175/I$174)</f>
        <v>#DIV/0!</v>
      </c>
      <c r="E175" s="2009" t="e">
        <f t="shared" si="155"/>
        <v>#DIV/0!</v>
      </c>
      <c r="G175" s="2010" t="e">
        <f t="shared" si="151"/>
        <v>#DIV/0!</v>
      </c>
      <c r="H175" s="2010" t="e">
        <f t="shared" si="152"/>
        <v>#DIV/0!</v>
      </c>
      <c r="I175" s="2010"/>
      <c r="J175" s="2010"/>
      <c r="K175" s="2010">
        <f>IF(スコア!O175=0,0,1)</f>
        <v>1</v>
      </c>
      <c r="L175" s="2010">
        <f>IF(スコア!Q175=0,0,1)</f>
        <v>0</v>
      </c>
      <c r="M175" s="2010" t="e">
        <f t="shared" si="153"/>
        <v>#DIV/0!</v>
      </c>
      <c r="N175" s="2010" t="e">
        <f t="shared" si="127"/>
        <v>#DIV/0!</v>
      </c>
      <c r="P175" s="2104" t="str">
        <f t="shared" si="119"/>
        <v>3.2.1</v>
      </c>
      <c r="Q175" s="2015" t="str">
        <f t="shared" si="120"/>
        <v>LR3 3.2</v>
      </c>
      <c r="R175" s="2105" t="str">
        <f t="shared" si="129"/>
        <v>風害の抑制</v>
      </c>
      <c r="S175" s="2018">
        <f t="shared" si="133"/>
        <v>0.7</v>
      </c>
      <c r="T175" s="2018">
        <f t="shared" si="134"/>
        <v>0.7</v>
      </c>
      <c r="U175" s="2018">
        <f t="shared" si="135"/>
        <v>0.7</v>
      </c>
      <c r="V175" s="2018">
        <f t="shared" si="136"/>
        <v>0.7</v>
      </c>
      <c r="W175" s="2018">
        <f t="shared" si="137"/>
        <v>0.7</v>
      </c>
      <c r="X175" s="2018">
        <f t="shared" si="138"/>
        <v>0.7</v>
      </c>
      <c r="Y175" s="2018">
        <f t="shared" si="139"/>
        <v>0.7</v>
      </c>
      <c r="Z175" s="2018">
        <f t="shared" si="140"/>
        <v>0.7</v>
      </c>
      <c r="AA175" s="2018">
        <f t="shared" si="141"/>
        <v>0.7</v>
      </c>
      <c r="AB175" s="2018">
        <f t="shared" si="142"/>
        <v>0.6</v>
      </c>
      <c r="AC175" s="2072">
        <f t="shared" si="130"/>
        <v>0</v>
      </c>
      <c r="AD175" s="2071">
        <f t="shared" si="131"/>
        <v>0</v>
      </c>
      <c r="AE175" s="2071">
        <f t="shared" si="132"/>
        <v>0</v>
      </c>
      <c r="AG175" s="2104" t="s">
        <v>1392</v>
      </c>
      <c r="AH175" s="2015" t="s">
        <v>1831</v>
      </c>
      <c r="AI175" s="2105" t="s">
        <v>1393</v>
      </c>
      <c r="AJ175" s="2018">
        <v>0.7</v>
      </c>
      <c r="AK175" s="2018">
        <v>0.7</v>
      </c>
      <c r="AL175" s="2018">
        <v>0.7</v>
      </c>
      <c r="AM175" s="2018">
        <v>0.7</v>
      </c>
      <c r="AN175" s="2018">
        <v>0.7</v>
      </c>
      <c r="AO175" s="2018">
        <v>0.7</v>
      </c>
      <c r="AP175" s="2018">
        <v>0.7</v>
      </c>
      <c r="AQ175" s="2018">
        <v>0.7</v>
      </c>
      <c r="AR175" s="2018">
        <v>0.7</v>
      </c>
      <c r="AS175" s="2035">
        <v>0.6</v>
      </c>
      <c r="AT175" s="2074"/>
      <c r="AU175" s="2073"/>
      <c r="AV175" s="2073"/>
      <c r="AX175" s="2104" t="s">
        <v>1392</v>
      </c>
      <c r="AY175" s="2015" t="s">
        <v>1831</v>
      </c>
      <c r="AZ175" s="2105" t="s">
        <v>1393</v>
      </c>
      <c r="BA175" s="2018">
        <v>0.7</v>
      </c>
      <c r="BB175" s="2018">
        <v>0.7</v>
      </c>
      <c r="BC175" s="2018">
        <v>0.7</v>
      </c>
      <c r="BD175" s="2018">
        <v>0.7</v>
      </c>
      <c r="BE175" s="2018">
        <v>0.7</v>
      </c>
      <c r="BF175" s="2018">
        <v>0.7</v>
      </c>
      <c r="BG175" s="2018">
        <v>0.7</v>
      </c>
      <c r="BH175" s="2018">
        <v>0.7</v>
      </c>
      <c r="BI175" s="2018">
        <v>0.7</v>
      </c>
      <c r="BJ175" s="2073">
        <v>0.6</v>
      </c>
      <c r="BK175" s="2074"/>
      <c r="BL175" s="2073"/>
      <c r="BM175" s="2073"/>
      <c r="BO175" s="2104" t="s">
        <v>1392</v>
      </c>
      <c r="BP175" s="2015" t="s">
        <v>1831</v>
      </c>
      <c r="BQ175" s="2105" t="s">
        <v>1393</v>
      </c>
      <c r="BR175" s="2018">
        <v>0.7</v>
      </c>
      <c r="BS175" s="2018">
        <v>0.7</v>
      </c>
      <c r="BT175" s="2018">
        <v>0.7</v>
      </c>
      <c r="BU175" s="2018">
        <v>0.7</v>
      </c>
      <c r="BV175" s="2018">
        <v>0.7</v>
      </c>
      <c r="BW175" s="2018">
        <v>0.7</v>
      </c>
      <c r="BX175" s="2018">
        <v>0.7</v>
      </c>
      <c r="BY175" s="2018">
        <v>0.7</v>
      </c>
      <c r="BZ175" s="2018">
        <v>0.7</v>
      </c>
      <c r="CA175" s="2073">
        <v>0.6</v>
      </c>
      <c r="CB175" s="2074"/>
      <c r="CC175" s="2073"/>
      <c r="CD175" s="2073"/>
      <c r="CE175" s="2450"/>
    </row>
    <row r="176" spans="1:84">
      <c r="B176" s="1985" t="str">
        <f t="shared" si="154"/>
        <v>3.2.3</v>
      </c>
      <c r="C176" s="2105" t="str">
        <f t="shared" si="150"/>
        <v>砂塵の抑制</v>
      </c>
      <c r="D176" s="2009" t="e">
        <f t="shared" si="155"/>
        <v>#DIV/0!</v>
      </c>
      <c r="E176" s="2009" t="e">
        <f t="shared" si="155"/>
        <v>#DIV/0!</v>
      </c>
      <c r="G176" s="2010" t="e">
        <f t="shared" si="151"/>
        <v>#DIV/0!</v>
      </c>
      <c r="H176" s="2010" t="e">
        <f t="shared" si="152"/>
        <v>#DIV/0!</v>
      </c>
      <c r="I176" s="2010"/>
      <c r="J176" s="2010"/>
      <c r="K176" s="2010">
        <f>IF(スコア!O176=0,0,1)</f>
        <v>1</v>
      </c>
      <c r="L176" s="2010">
        <f>IF(スコア!Q176=0,0,1)</f>
        <v>0</v>
      </c>
      <c r="M176" s="2010" t="e">
        <f t="shared" si="153"/>
        <v>#DIV/0!</v>
      </c>
      <c r="N176" s="2010" t="e">
        <f t="shared" si="127"/>
        <v>#DIV/0!</v>
      </c>
      <c r="P176" s="2104" t="str">
        <f t="shared" si="119"/>
        <v>3.2.3</v>
      </c>
      <c r="Q176" s="2015" t="str">
        <f t="shared" si="120"/>
        <v>LR3 3.3</v>
      </c>
      <c r="R176" s="2105" t="str">
        <f t="shared" si="129"/>
        <v>砂塵の抑制</v>
      </c>
      <c r="S176" s="2018">
        <f t="shared" si="133"/>
        <v>0</v>
      </c>
      <c r="T176" s="2018">
        <f t="shared" si="134"/>
        <v>0</v>
      </c>
      <c r="U176" s="2018">
        <f t="shared" si="135"/>
        <v>0</v>
      </c>
      <c r="V176" s="2018">
        <f t="shared" si="136"/>
        <v>0</v>
      </c>
      <c r="W176" s="2018">
        <f t="shared" si="137"/>
        <v>0</v>
      </c>
      <c r="X176" s="2018">
        <f t="shared" si="138"/>
        <v>0</v>
      </c>
      <c r="Y176" s="2018">
        <f t="shared" si="139"/>
        <v>0</v>
      </c>
      <c r="Z176" s="2018">
        <f t="shared" si="140"/>
        <v>0</v>
      </c>
      <c r="AA176" s="2018">
        <f t="shared" si="141"/>
        <v>0</v>
      </c>
      <c r="AB176" s="2018">
        <f t="shared" si="142"/>
        <v>0.2</v>
      </c>
      <c r="AC176" s="2072">
        <f t="shared" si="130"/>
        <v>0</v>
      </c>
      <c r="AD176" s="2071">
        <f t="shared" si="131"/>
        <v>0</v>
      </c>
      <c r="AE176" s="2071">
        <f t="shared" si="132"/>
        <v>0</v>
      </c>
      <c r="AG176" s="2104" t="s">
        <v>2141</v>
      </c>
      <c r="AH176" s="2015" t="s">
        <v>1832</v>
      </c>
      <c r="AI176" s="2105" t="s">
        <v>817</v>
      </c>
      <c r="AJ176" s="2018"/>
      <c r="AK176" s="2018"/>
      <c r="AL176" s="2018"/>
      <c r="AM176" s="2018"/>
      <c r="AN176" s="2018"/>
      <c r="AO176" s="2018"/>
      <c r="AP176" s="2018"/>
      <c r="AQ176" s="2018"/>
      <c r="AR176" s="2018"/>
      <c r="AS176" s="2035">
        <v>0.2</v>
      </c>
      <c r="AT176" s="2074"/>
      <c r="AU176" s="2073"/>
      <c r="AV176" s="2073"/>
      <c r="AX176" s="2104" t="s">
        <v>1394</v>
      </c>
      <c r="AY176" s="2015" t="s">
        <v>1395</v>
      </c>
      <c r="AZ176" s="2105" t="s">
        <v>817</v>
      </c>
      <c r="BA176" s="2018"/>
      <c r="BB176" s="2018"/>
      <c r="BC176" s="2018"/>
      <c r="BD176" s="2018"/>
      <c r="BE176" s="2018"/>
      <c r="BF176" s="2018"/>
      <c r="BG176" s="2018"/>
      <c r="BH176" s="2018"/>
      <c r="BI176" s="2018"/>
      <c r="BJ176" s="2073">
        <v>0.2</v>
      </c>
      <c r="BK176" s="2074"/>
      <c r="BL176" s="2073"/>
      <c r="BM176" s="2073"/>
      <c r="BO176" s="2104" t="s">
        <v>1394</v>
      </c>
      <c r="BP176" s="2015" t="s">
        <v>1395</v>
      </c>
      <c r="BQ176" s="2105" t="s">
        <v>817</v>
      </c>
      <c r="BR176" s="2018"/>
      <c r="BS176" s="2018"/>
      <c r="BT176" s="2018"/>
      <c r="BU176" s="2018"/>
      <c r="BV176" s="2018"/>
      <c r="BW176" s="2018"/>
      <c r="BX176" s="2018"/>
      <c r="BY176" s="2018"/>
      <c r="BZ176" s="2018"/>
      <c r="CA176" s="2073">
        <v>0.2</v>
      </c>
      <c r="CB176" s="2074"/>
      <c r="CC176" s="2073"/>
      <c r="CD176" s="2073"/>
      <c r="CE176" s="2450"/>
    </row>
    <row r="177" spans="2:83">
      <c r="B177" s="1985" t="str">
        <f t="shared" si="154"/>
        <v>3.2.2</v>
      </c>
      <c r="C177" s="2105" t="str">
        <f t="shared" si="150"/>
        <v>日照阻害の抑制</v>
      </c>
      <c r="D177" s="2009" t="e">
        <f t="shared" si="155"/>
        <v>#DIV/0!</v>
      </c>
      <c r="E177" s="2009" t="e">
        <f t="shared" si="155"/>
        <v>#DIV/0!</v>
      </c>
      <c r="G177" s="2010" t="e">
        <f t="shared" si="151"/>
        <v>#DIV/0!</v>
      </c>
      <c r="H177" s="2010" t="e">
        <f t="shared" si="152"/>
        <v>#DIV/0!</v>
      </c>
      <c r="I177" s="2010"/>
      <c r="J177" s="2010"/>
      <c r="K177" s="2010">
        <f>IF(スコア!O177=0,0,1)</f>
        <v>1</v>
      </c>
      <c r="L177" s="2010">
        <f>IF(スコア!Q177=0,0,1)</f>
        <v>0</v>
      </c>
      <c r="M177" s="2010" t="e">
        <f t="shared" si="153"/>
        <v>#DIV/0!</v>
      </c>
      <c r="N177" s="2010" t="e">
        <f t="shared" si="127"/>
        <v>#DIV/0!</v>
      </c>
      <c r="P177" s="2104" t="str">
        <f t="shared" si="119"/>
        <v>3.2.2</v>
      </c>
      <c r="Q177" s="2015" t="str">
        <f t="shared" si="120"/>
        <v>LR3 3.2</v>
      </c>
      <c r="R177" s="2105" t="str">
        <f t="shared" si="129"/>
        <v>日照阻害の抑制</v>
      </c>
      <c r="S177" s="2018">
        <f t="shared" si="133"/>
        <v>0.3</v>
      </c>
      <c r="T177" s="2018">
        <f t="shared" si="134"/>
        <v>0.3</v>
      </c>
      <c r="U177" s="2018">
        <f t="shared" si="135"/>
        <v>0.3</v>
      </c>
      <c r="V177" s="2018">
        <f t="shared" si="136"/>
        <v>0.3</v>
      </c>
      <c r="W177" s="2018">
        <f t="shared" si="137"/>
        <v>0.3</v>
      </c>
      <c r="X177" s="2018">
        <f t="shared" si="138"/>
        <v>0.3</v>
      </c>
      <c r="Y177" s="2018">
        <f t="shared" si="139"/>
        <v>0.3</v>
      </c>
      <c r="Z177" s="2018">
        <f t="shared" si="140"/>
        <v>0.3</v>
      </c>
      <c r="AA177" s="2018">
        <f t="shared" si="141"/>
        <v>0.3</v>
      </c>
      <c r="AB177" s="2018">
        <f t="shared" si="142"/>
        <v>0.2</v>
      </c>
      <c r="AC177" s="2072">
        <f t="shared" si="130"/>
        <v>0</v>
      </c>
      <c r="AD177" s="2071">
        <f t="shared" si="131"/>
        <v>0</v>
      </c>
      <c r="AE177" s="2071">
        <f t="shared" si="132"/>
        <v>0</v>
      </c>
      <c r="AG177" s="2104" t="s">
        <v>1394</v>
      </c>
      <c r="AH177" s="2015" t="s">
        <v>1831</v>
      </c>
      <c r="AI177" s="2105" t="s">
        <v>1589</v>
      </c>
      <c r="AJ177" s="2018">
        <v>0.3</v>
      </c>
      <c r="AK177" s="2018">
        <v>0.3</v>
      </c>
      <c r="AL177" s="2018">
        <v>0.3</v>
      </c>
      <c r="AM177" s="2018">
        <v>0.3</v>
      </c>
      <c r="AN177" s="2018">
        <v>0.3</v>
      </c>
      <c r="AO177" s="2018">
        <v>0.3</v>
      </c>
      <c r="AP177" s="2018">
        <v>0.3</v>
      </c>
      <c r="AQ177" s="2018">
        <v>0.3</v>
      </c>
      <c r="AR177" s="2018">
        <v>0.3</v>
      </c>
      <c r="AS177" s="2035">
        <v>0.2</v>
      </c>
      <c r="AT177" s="2074"/>
      <c r="AU177" s="2073"/>
      <c r="AV177" s="2073"/>
      <c r="AX177" s="2104" t="s">
        <v>1396</v>
      </c>
      <c r="AY177" s="2015" t="s">
        <v>1831</v>
      </c>
      <c r="AZ177" s="2105" t="s">
        <v>1589</v>
      </c>
      <c r="BA177" s="2018">
        <v>0.3</v>
      </c>
      <c r="BB177" s="2018">
        <v>0.3</v>
      </c>
      <c r="BC177" s="2018">
        <v>0.3</v>
      </c>
      <c r="BD177" s="2018">
        <v>0.3</v>
      </c>
      <c r="BE177" s="2018">
        <v>0.3</v>
      </c>
      <c r="BF177" s="2018">
        <v>0.3</v>
      </c>
      <c r="BG177" s="2018">
        <v>0.3</v>
      </c>
      <c r="BH177" s="2018">
        <v>0.3</v>
      </c>
      <c r="BI177" s="2018">
        <v>0.3</v>
      </c>
      <c r="BJ177" s="2073">
        <v>0.2</v>
      </c>
      <c r="BK177" s="2074"/>
      <c r="BL177" s="2073"/>
      <c r="BM177" s="2073"/>
      <c r="BO177" s="2104" t="s">
        <v>1396</v>
      </c>
      <c r="BP177" s="2015" t="s">
        <v>1831</v>
      </c>
      <c r="BQ177" s="2105" t="s">
        <v>1589</v>
      </c>
      <c r="BR177" s="2018">
        <v>0.3</v>
      </c>
      <c r="BS177" s="2018">
        <v>0.3</v>
      </c>
      <c r="BT177" s="2018">
        <v>0.3</v>
      </c>
      <c r="BU177" s="2018">
        <v>0.3</v>
      </c>
      <c r="BV177" s="2018">
        <v>0.3</v>
      </c>
      <c r="BW177" s="2018">
        <v>0.3</v>
      </c>
      <c r="BX177" s="2018">
        <v>0.3</v>
      </c>
      <c r="BY177" s="2018">
        <v>0.3</v>
      </c>
      <c r="BZ177" s="2018">
        <v>0.3</v>
      </c>
      <c r="CA177" s="2073">
        <v>0.2</v>
      </c>
      <c r="CB177" s="2074"/>
      <c r="CC177" s="2073"/>
      <c r="CD177" s="2073"/>
      <c r="CE177" s="2450"/>
    </row>
    <row r="178" spans="2:83">
      <c r="B178" s="1985" t="str">
        <f t="shared" si="154"/>
        <v>3.3</v>
      </c>
      <c r="C178" s="2012" t="str">
        <f t="shared" si="150"/>
        <v>光害の抑制</v>
      </c>
      <c r="D178" s="2009" t="e">
        <f>IF(I$169=0,0,G178/I$169)</f>
        <v>#DIV/0!</v>
      </c>
      <c r="E178" s="2009" t="e">
        <f>IF(J$169=0,0,H178/J$169)</f>
        <v>#DIV/0!</v>
      </c>
      <c r="G178" s="2010" t="e">
        <f t="shared" si="151"/>
        <v>#DIV/0!</v>
      </c>
      <c r="H178" s="2010" t="e">
        <f t="shared" si="152"/>
        <v>#DIV/0!</v>
      </c>
      <c r="I178" s="2010" t="e">
        <f>SUM(G179:G180)</f>
        <v>#DIV/0!</v>
      </c>
      <c r="J178" s="2010" t="e">
        <f>SUM(H179:H180)</f>
        <v>#DIV/0!</v>
      </c>
      <c r="K178" s="2010" t="e">
        <f>IF(スコア!O178=0,0,1)</f>
        <v>#DIV/0!</v>
      </c>
      <c r="L178" s="2010" t="e">
        <f>IF(スコア!Q178=0,0,1)</f>
        <v>#DIV/0!</v>
      </c>
      <c r="M178" s="2010" t="e">
        <f t="shared" si="153"/>
        <v>#DIV/0!</v>
      </c>
      <c r="N178" s="2010" t="e">
        <f t="shared" si="127"/>
        <v>#DIV/0!</v>
      </c>
      <c r="P178" s="2103" t="str">
        <f t="shared" si="119"/>
        <v>3.3</v>
      </c>
      <c r="Q178" s="2015" t="str">
        <f t="shared" si="120"/>
        <v>LR3 3</v>
      </c>
      <c r="R178" s="2012" t="str">
        <f t="shared" si="129"/>
        <v>光害の抑制</v>
      </c>
      <c r="S178" s="2073">
        <f t="shared" si="133"/>
        <v>0.2</v>
      </c>
      <c r="T178" s="2073">
        <f t="shared" si="134"/>
        <v>0.2</v>
      </c>
      <c r="U178" s="2073">
        <f t="shared" si="135"/>
        <v>0.2</v>
      </c>
      <c r="V178" s="2073">
        <f t="shared" si="136"/>
        <v>0.2</v>
      </c>
      <c r="W178" s="2073">
        <f t="shared" si="137"/>
        <v>0.2</v>
      </c>
      <c r="X178" s="2073">
        <f t="shared" si="138"/>
        <v>0.2</v>
      </c>
      <c r="Y178" s="2073">
        <f t="shared" si="139"/>
        <v>0.2</v>
      </c>
      <c r="Z178" s="2073">
        <f t="shared" si="140"/>
        <v>0.2</v>
      </c>
      <c r="AA178" s="2073">
        <f t="shared" si="141"/>
        <v>0.2</v>
      </c>
      <c r="AB178" s="2073">
        <f t="shared" si="142"/>
        <v>0.2</v>
      </c>
      <c r="AC178" s="2072">
        <f t="shared" si="130"/>
        <v>0</v>
      </c>
      <c r="AD178" s="2071">
        <f t="shared" si="131"/>
        <v>0</v>
      </c>
      <c r="AE178" s="2071">
        <f t="shared" si="132"/>
        <v>0</v>
      </c>
      <c r="AG178" s="2104" t="s">
        <v>1397</v>
      </c>
      <c r="AH178" s="2015" t="s">
        <v>2112</v>
      </c>
      <c r="AI178" s="2105" t="s">
        <v>1833</v>
      </c>
      <c r="AJ178" s="2018">
        <v>0.2</v>
      </c>
      <c r="AK178" s="2018">
        <v>0.2</v>
      </c>
      <c r="AL178" s="2018">
        <v>0.2</v>
      </c>
      <c r="AM178" s="2018">
        <v>0.2</v>
      </c>
      <c r="AN178" s="2018">
        <v>0.2</v>
      </c>
      <c r="AO178" s="2018">
        <v>0.2</v>
      </c>
      <c r="AP178" s="2018">
        <v>0.2</v>
      </c>
      <c r="AQ178" s="2018">
        <v>0.2</v>
      </c>
      <c r="AR178" s="2018">
        <v>0.2</v>
      </c>
      <c r="AS178" s="2073">
        <v>0.2</v>
      </c>
      <c r="AT178" s="2074"/>
      <c r="AU178" s="2073"/>
      <c r="AV178" s="2073"/>
      <c r="AX178" s="2104" t="s">
        <v>1397</v>
      </c>
      <c r="AY178" s="2015" t="s">
        <v>2112</v>
      </c>
      <c r="AZ178" s="2105" t="s">
        <v>1833</v>
      </c>
      <c r="BA178" s="2073">
        <v>0.2</v>
      </c>
      <c r="BB178" s="2073">
        <v>0.2</v>
      </c>
      <c r="BC178" s="2073">
        <v>0.2</v>
      </c>
      <c r="BD178" s="2073">
        <v>0.2</v>
      </c>
      <c r="BE178" s="2073">
        <v>0.2</v>
      </c>
      <c r="BF178" s="2073">
        <v>0.2</v>
      </c>
      <c r="BG178" s="2073">
        <v>0.2</v>
      </c>
      <c r="BH178" s="2073">
        <v>0.2</v>
      </c>
      <c r="BI178" s="2073">
        <v>0.2</v>
      </c>
      <c r="BJ178" s="2073">
        <v>0.2</v>
      </c>
      <c r="BK178" s="2074"/>
      <c r="BL178" s="2073"/>
      <c r="BM178" s="2073"/>
      <c r="BO178" s="2104" t="s">
        <v>1397</v>
      </c>
      <c r="BP178" s="2015" t="s">
        <v>2112</v>
      </c>
      <c r="BQ178" s="2105" t="s">
        <v>1833</v>
      </c>
      <c r="BR178" s="2073">
        <v>0.2</v>
      </c>
      <c r="BS178" s="2073">
        <v>0.2</v>
      </c>
      <c r="BT178" s="2073">
        <v>0.2</v>
      </c>
      <c r="BU178" s="2073">
        <v>0.2</v>
      </c>
      <c r="BV178" s="2073">
        <v>0.2</v>
      </c>
      <c r="BW178" s="2073">
        <v>0.2</v>
      </c>
      <c r="BX178" s="2073">
        <v>0.2</v>
      </c>
      <c r="BY178" s="2073">
        <v>0.2</v>
      </c>
      <c r="BZ178" s="2073">
        <v>0.2</v>
      </c>
      <c r="CA178" s="2073">
        <v>0.2</v>
      </c>
      <c r="CB178" s="2074"/>
      <c r="CC178" s="2073"/>
      <c r="CD178" s="2073"/>
      <c r="CE178" s="2450"/>
    </row>
    <row r="179" spans="2:83">
      <c r="B179" s="1985" t="str">
        <f t="shared" si="154"/>
        <v>3.3.1</v>
      </c>
      <c r="C179" s="2105" t="str">
        <f t="shared" si="150"/>
        <v>屋外照明及び屋内照明のうち外に漏れる光への対策</v>
      </c>
      <c r="D179" s="2009" t="e">
        <f>IF(I$178=0,0,G179/I$178)</f>
        <v>#DIV/0!</v>
      </c>
      <c r="E179" s="2009" t="e">
        <f>IF(J$178=0,0,H179/J$178)</f>
        <v>#DIV/0!</v>
      </c>
      <c r="G179" s="2010" t="e">
        <f t="shared" si="151"/>
        <v>#DIV/0!</v>
      </c>
      <c r="H179" s="2010" t="e">
        <f t="shared" si="152"/>
        <v>#DIV/0!</v>
      </c>
      <c r="I179" s="2010"/>
      <c r="J179" s="2010"/>
      <c r="K179" s="2010">
        <f>IF(スコア!O179=0,0,1)</f>
        <v>1</v>
      </c>
      <c r="L179" s="2010">
        <f>IF(スコア!Q179=0,0,1)</f>
        <v>0</v>
      </c>
      <c r="M179" s="2010" t="e">
        <f t="shared" si="153"/>
        <v>#DIV/0!</v>
      </c>
      <c r="N179" s="2010" t="e">
        <f t="shared" si="127"/>
        <v>#DIV/0!</v>
      </c>
      <c r="P179" s="2104" t="str">
        <f t="shared" si="119"/>
        <v>3.3.1</v>
      </c>
      <c r="Q179" s="2015" t="str">
        <f t="shared" si="120"/>
        <v>LR3 3.3</v>
      </c>
      <c r="R179" s="2105" t="str">
        <f t="shared" si="129"/>
        <v>屋外照明及び屋内照明のうち外に漏れる光への対策</v>
      </c>
      <c r="S179" s="2018">
        <f t="shared" si="133"/>
        <v>0.7</v>
      </c>
      <c r="T179" s="2018">
        <f t="shared" si="134"/>
        <v>0.7</v>
      </c>
      <c r="U179" s="2018">
        <f t="shared" si="135"/>
        <v>0.7</v>
      </c>
      <c r="V179" s="2018">
        <f t="shared" si="136"/>
        <v>0.7</v>
      </c>
      <c r="W179" s="2018">
        <f t="shared" si="137"/>
        <v>0.7</v>
      </c>
      <c r="X179" s="2018">
        <f t="shared" si="138"/>
        <v>0.7</v>
      </c>
      <c r="Y179" s="2018">
        <f t="shared" si="139"/>
        <v>0.7</v>
      </c>
      <c r="Z179" s="2018">
        <f t="shared" si="140"/>
        <v>0.7</v>
      </c>
      <c r="AA179" s="2018">
        <f t="shared" si="141"/>
        <v>0.7</v>
      </c>
      <c r="AB179" s="2018">
        <f t="shared" si="142"/>
        <v>0.7</v>
      </c>
      <c r="AC179" s="2072">
        <f t="shared" si="130"/>
        <v>0</v>
      </c>
      <c r="AD179" s="2071">
        <f t="shared" si="131"/>
        <v>0</v>
      </c>
      <c r="AE179" s="2071">
        <f t="shared" si="132"/>
        <v>0</v>
      </c>
      <c r="AG179" s="2104" t="s">
        <v>1398</v>
      </c>
      <c r="AH179" s="2015" t="s">
        <v>1832</v>
      </c>
      <c r="AI179" s="2105" t="s">
        <v>1399</v>
      </c>
      <c r="AJ179" s="2073">
        <v>0.7</v>
      </c>
      <c r="AK179" s="2073">
        <v>0.7</v>
      </c>
      <c r="AL179" s="2073">
        <v>0.7</v>
      </c>
      <c r="AM179" s="2073">
        <v>0.7</v>
      </c>
      <c r="AN179" s="2073">
        <v>0.7</v>
      </c>
      <c r="AO179" s="2073">
        <v>0.7</v>
      </c>
      <c r="AP179" s="2073">
        <v>0.7</v>
      </c>
      <c r="AQ179" s="2073">
        <v>0.7</v>
      </c>
      <c r="AR179" s="2073">
        <v>0.7</v>
      </c>
      <c r="AS179" s="2018">
        <v>0.7</v>
      </c>
      <c r="AT179" s="2074"/>
      <c r="AU179" s="2073"/>
      <c r="AV179" s="2073"/>
      <c r="AX179" s="2104" t="s">
        <v>1398</v>
      </c>
      <c r="AY179" s="2015" t="s">
        <v>1832</v>
      </c>
      <c r="AZ179" s="2105" t="s">
        <v>1399</v>
      </c>
      <c r="BA179" s="2018">
        <v>0.7</v>
      </c>
      <c r="BB179" s="2018">
        <v>0.7</v>
      </c>
      <c r="BC179" s="2018">
        <v>0.7</v>
      </c>
      <c r="BD179" s="2018">
        <v>0.7</v>
      </c>
      <c r="BE179" s="2018">
        <v>0.7</v>
      </c>
      <c r="BF179" s="2018">
        <v>0.7</v>
      </c>
      <c r="BG179" s="2018">
        <v>0.7</v>
      </c>
      <c r="BH179" s="2018">
        <v>0.7</v>
      </c>
      <c r="BI179" s="2018">
        <v>0.7</v>
      </c>
      <c r="BJ179" s="2018">
        <v>0.7</v>
      </c>
      <c r="BK179" s="2074"/>
      <c r="BL179" s="2073"/>
      <c r="BM179" s="2073"/>
      <c r="BO179" s="2104" t="s">
        <v>1398</v>
      </c>
      <c r="BP179" s="2015" t="s">
        <v>1832</v>
      </c>
      <c r="BQ179" s="2105" t="s">
        <v>1399</v>
      </c>
      <c r="BR179" s="2018">
        <v>0.7</v>
      </c>
      <c r="BS179" s="2018">
        <v>0.7</v>
      </c>
      <c r="BT179" s="2018">
        <v>0.7</v>
      </c>
      <c r="BU179" s="2018">
        <v>0.7</v>
      </c>
      <c r="BV179" s="2018">
        <v>0.7</v>
      </c>
      <c r="BW179" s="2018">
        <v>0.7</v>
      </c>
      <c r="BX179" s="2018">
        <v>0.7</v>
      </c>
      <c r="BY179" s="2018">
        <v>0.7</v>
      </c>
      <c r="BZ179" s="2018">
        <v>0.7</v>
      </c>
      <c r="CA179" s="2018">
        <v>0.7</v>
      </c>
      <c r="CB179" s="2074"/>
      <c r="CC179" s="2073"/>
      <c r="CD179" s="2073"/>
      <c r="CE179" s="2450"/>
    </row>
    <row r="180" spans="2:83">
      <c r="B180" s="1985" t="str">
        <f t="shared" si="154"/>
        <v>3.3.2</v>
      </c>
      <c r="C180" s="2105" t="str">
        <f t="shared" si="150"/>
        <v>昼光の建物外壁による反射光（グレア）への対策</v>
      </c>
      <c r="D180" s="2009" t="e">
        <f>IF(I$178=0,0,G180/I$178)</f>
        <v>#DIV/0!</v>
      </c>
      <c r="E180" s="2009" t="e">
        <f>IF(J$178=0,0,H180/J$178)</f>
        <v>#DIV/0!</v>
      </c>
      <c r="G180" s="2010" t="e">
        <f t="shared" si="151"/>
        <v>#DIV/0!</v>
      </c>
      <c r="H180" s="2010" t="e">
        <f t="shared" si="152"/>
        <v>#DIV/0!</v>
      </c>
      <c r="I180" s="2010"/>
      <c r="J180" s="2010"/>
      <c r="K180" s="2010">
        <f>IF(スコア!O180=0,0,1)</f>
        <v>1</v>
      </c>
      <c r="L180" s="2010">
        <f>IF(スコア!Q180=0,0,1)</f>
        <v>0</v>
      </c>
      <c r="M180" s="2010" t="e">
        <f t="shared" si="153"/>
        <v>#DIV/0!</v>
      </c>
      <c r="N180" s="2010" t="e">
        <f t="shared" si="127"/>
        <v>#DIV/0!</v>
      </c>
      <c r="P180" s="2104" t="str">
        <f t="shared" si="119"/>
        <v>3.3.2</v>
      </c>
      <c r="Q180" s="2015" t="str">
        <f t="shared" si="120"/>
        <v>LR3 3.3</v>
      </c>
      <c r="R180" s="2105" t="str">
        <f t="shared" si="129"/>
        <v>昼光の建物外壁による反射光（グレア）への対策</v>
      </c>
      <c r="S180" s="2018">
        <f t="shared" si="133"/>
        <v>0.3</v>
      </c>
      <c r="T180" s="2018">
        <f t="shared" si="134"/>
        <v>0.3</v>
      </c>
      <c r="U180" s="2018">
        <f t="shared" si="135"/>
        <v>0.3</v>
      </c>
      <c r="V180" s="2018">
        <f t="shared" si="136"/>
        <v>0.3</v>
      </c>
      <c r="W180" s="2018">
        <f t="shared" si="137"/>
        <v>0.3</v>
      </c>
      <c r="X180" s="2018">
        <f t="shared" si="138"/>
        <v>0.3</v>
      </c>
      <c r="Y180" s="2018">
        <f t="shared" si="139"/>
        <v>0.3</v>
      </c>
      <c r="Z180" s="2018">
        <f t="shared" si="140"/>
        <v>0.3</v>
      </c>
      <c r="AA180" s="2018">
        <f t="shared" si="141"/>
        <v>0.3</v>
      </c>
      <c r="AB180" s="2018">
        <f t="shared" si="142"/>
        <v>0.3</v>
      </c>
      <c r="AC180" s="2072">
        <f t="shared" si="130"/>
        <v>0</v>
      </c>
      <c r="AD180" s="2071">
        <f t="shared" si="131"/>
        <v>0</v>
      </c>
      <c r="AE180" s="2071">
        <f t="shared" si="132"/>
        <v>0</v>
      </c>
      <c r="AG180" s="2104" t="s">
        <v>2426</v>
      </c>
      <c r="AH180" s="2015" t="s">
        <v>1832</v>
      </c>
      <c r="AI180" s="2105" t="s">
        <v>2427</v>
      </c>
      <c r="AJ180" s="2018">
        <v>0.3</v>
      </c>
      <c r="AK180" s="2018">
        <v>0.3</v>
      </c>
      <c r="AL180" s="2018">
        <v>0.3</v>
      </c>
      <c r="AM180" s="2018">
        <v>0.3</v>
      </c>
      <c r="AN180" s="2018">
        <v>0.3</v>
      </c>
      <c r="AO180" s="2018">
        <v>0.3</v>
      </c>
      <c r="AP180" s="2018">
        <v>0.3</v>
      </c>
      <c r="AQ180" s="2018">
        <v>0.3</v>
      </c>
      <c r="AR180" s="2018">
        <v>0.3</v>
      </c>
      <c r="AS180" s="2018">
        <v>0.3</v>
      </c>
      <c r="AT180" s="2074"/>
      <c r="AU180" s="2073"/>
      <c r="AV180" s="2073"/>
      <c r="AX180" s="2104" t="s">
        <v>2426</v>
      </c>
      <c r="AY180" s="2015" t="s">
        <v>1832</v>
      </c>
      <c r="AZ180" s="2105" t="s">
        <v>2427</v>
      </c>
      <c r="BA180" s="2018">
        <v>0.3</v>
      </c>
      <c r="BB180" s="2018">
        <v>0.3</v>
      </c>
      <c r="BC180" s="2018">
        <v>0.3</v>
      </c>
      <c r="BD180" s="2018">
        <v>0.3</v>
      </c>
      <c r="BE180" s="2018">
        <v>0.3</v>
      </c>
      <c r="BF180" s="2018">
        <v>0.3</v>
      </c>
      <c r="BG180" s="2018">
        <v>0.3</v>
      </c>
      <c r="BH180" s="2018">
        <v>0.3</v>
      </c>
      <c r="BI180" s="2018">
        <v>0.3</v>
      </c>
      <c r="BJ180" s="2018">
        <v>0.3</v>
      </c>
      <c r="BK180" s="2074"/>
      <c r="BL180" s="2073"/>
      <c r="BM180" s="2073"/>
      <c r="BO180" s="2104" t="s">
        <v>2426</v>
      </c>
      <c r="BP180" s="2015" t="s">
        <v>1832</v>
      </c>
      <c r="BQ180" s="2105" t="s">
        <v>2427</v>
      </c>
      <c r="BR180" s="2018">
        <v>0.3</v>
      </c>
      <c r="BS180" s="2018">
        <v>0.3</v>
      </c>
      <c r="BT180" s="2018">
        <v>0.3</v>
      </c>
      <c r="BU180" s="2018">
        <v>0.3</v>
      </c>
      <c r="BV180" s="2018">
        <v>0.3</v>
      </c>
      <c r="BW180" s="2018">
        <v>0.3</v>
      </c>
      <c r="BX180" s="2018">
        <v>0.3</v>
      </c>
      <c r="BY180" s="2018">
        <v>0.3</v>
      </c>
      <c r="BZ180" s="2018">
        <v>0.3</v>
      </c>
      <c r="CA180" s="2018">
        <v>0.3</v>
      </c>
      <c r="CB180" s="2074"/>
      <c r="CC180" s="2073"/>
      <c r="CD180" s="2073"/>
      <c r="CE180" s="2450"/>
    </row>
    <row r="181" spans="2:83"/>
    <row r="182" spans="2:83" hidden="1"/>
    <row r="183" spans="2:83" hidden="1"/>
    <row r="184" spans="2:83" hidden="1"/>
    <row r="185" spans="2:83" hidden="1"/>
    <row r="186" spans="2:83" hidden="1"/>
    <row r="187" spans="2:83" hidden="1"/>
    <row r="188" spans="2:83" hidden="1"/>
    <row r="189" spans="2:83" hidden="1"/>
    <row r="190" spans="2:83" hidden="1"/>
    <row r="191" spans="2:83" hidden="1"/>
    <row r="192" spans="2:83"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password="CC47" sheet="1" objects="1" scenarios="1"/>
  <mergeCells count="8">
    <mergeCell ref="BR5:BZ5"/>
    <mergeCell ref="CB5:CD5"/>
    <mergeCell ref="S5:AA5"/>
    <mergeCell ref="AC5:AE5"/>
    <mergeCell ref="BA5:BI5"/>
    <mergeCell ref="BK5:BM5"/>
    <mergeCell ref="AJ5:AR5"/>
    <mergeCell ref="AT5:AV5"/>
  </mergeCells>
  <phoneticPr fontId="21"/>
  <printOptions horizontalCentered="1"/>
  <pageMargins left="0.59055118110236227" right="0.59055118110236227" top="0.78740157480314965" bottom="0.59055118110236227" header="0.51181102362204722" footer="0.51181102362204722"/>
  <pageSetup paperSize="9" scale="62" fitToWidth="3" fitToHeight="0" orientation="portrait" verticalDpi="4294967293" r:id="rId1"/>
  <headerFooter alignWithMargins="0">
    <oddHeader>&amp;L&amp;F&amp;R&amp;A</oddHeader>
    <oddFooter>&amp;C&amp;P/&amp;N</oddFooter>
  </headerFooter>
  <rowBreaks count="1" manualBreakCount="1">
    <brk id="108" max="81" man="1"/>
  </rowBreaks>
  <colBreaks count="2" manualBreakCount="2">
    <brk id="15" max="179" man="1"/>
    <brk id="32" max="179" man="1"/>
  </colBreaks>
</worksheet>
</file>

<file path=xl/worksheets/sheet18.xml><?xml version="1.0" encoding="utf-8"?>
<worksheet xmlns="http://schemas.openxmlformats.org/spreadsheetml/2006/main" xmlns:r="http://schemas.openxmlformats.org/officeDocument/2006/relationships">
  <sheetPr codeName="Sheet17">
    <pageSetUpPr fitToPage="1"/>
  </sheetPr>
  <dimension ref="B1:F167"/>
  <sheetViews>
    <sheetView showGridLines="0" zoomScaleNormal="100" workbookViewId="0">
      <selection activeCell="F2" sqref="F2"/>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763" t="s">
        <v>409</v>
      </c>
      <c r="C2" s="1764"/>
      <c r="D2" s="1764"/>
      <c r="E2" s="1442" t="s">
        <v>2253</v>
      </c>
      <c r="F2" s="2949" t="str">
        <f>メイン!C11</f>
        <v>○○ビル</v>
      </c>
    </row>
    <row r="3" spans="2:6" ht="16.5" customHeight="1">
      <c r="F3" s="1765" t="str">
        <f>メイン!C5</f>
        <v>CASBEE京都-既存2015(v.1.0)</v>
      </c>
    </row>
    <row r="4" spans="2:6">
      <c r="B4" s="4012" t="s">
        <v>1781</v>
      </c>
      <c r="C4" s="4013"/>
      <c r="D4" s="1766" t="s">
        <v>2206</v>
      </c>
      <c r="E4" s="1767" t="s">
        <v>2007</v>
      </c>
      <c r="F4" s="1767" t="s">
        <v>1087</v>
      </c>
    </row>
    <row r="5" spans="2:6" ht="35.25" customHeight="1">
      <c r="B5" s="4014" t="s">
        <v>2207</v>
      </c>
      <c r="C5" s="1767" t="s">
        <v>1464</v>
      </c>
      <c r="D5" s="1766" t="str">
        <f>メイン!C21</f>
        <v/>
      </c>
      <c r="E5" s="1766" t="str">
        <f>D5</f>
        <v/>
      </c>
      <c r="F5" s="1767"/>
    </row>
    <row r="6" spans="2:6">
      <c r="B6" s="4015"/>
      <c r="C6" s="1767" t="s">
        <v>2208</v>
      </c>
      <c r="D6" s="1769">
        <f>メイン!C19</f>
        <v>0</v>
      </c>
      <c r="E6" s="1769">
        <f>D6</f>
        <v>0</v>
      </c>
      <c r="F6" s="1760"/>
    </row>
    <row r="7" spans="2:6">
      <c r="B7" s="4016"/>
      <c r="C7" s="1767" t="s">
        <v>2209</v>
      </c>
      <c r="D7" s="1767" t="str">
        <f>メイン!C23</f>
        <v>RC造</v>
      </c>
      <c r="E7" s="1767" t="str">
        <f>D7</f>
        <v>RC造</v>
      </c>
      <c r="F7" s="1760"/>
    </row>
    <row r="8" spans="2:6" ht="31.5" customHeight="1">
      <c r="B8" s="1766" t="s">
        <v>2210</v>
      </c>
      <c r="C8" s="1771" t="s">
        <v>2211</v>
      </c>
      <c r="D8" s="1772" t="str">
        <f>CO2計算!O35</f>
        <v/>
      </c>
      <c r="E8" s="1772" t="str">
        <f>CO2計算!L35</f>
        <v/>
      </c>
      <c r="F8" s="1773"/>
    </row>
    <row r="9" spans="2:6" ht="19.5" customHeight="1">
      <c r="B9" s="1774"/>
      <c r="C9" s="1771" t="s">
        <v>248</v>
      </c>
      <c r="D9" s="1775" t="e">
        <f>CO2計算!O133</f>
        <v>#DIV/0!</v>
      </c>
      <c r="E9" s="1775" t="e">
        <f>CO2計算!L133</f>
        <v>#DIV/0!</v>
      </c>
      <c r="F9" s="1776" t="s">
        <v>2212</v>
      </c>
    </row>
    <row r="10" spans="2:6" ht="29.25" customHeight="1">
      <c r="B10" s="4017" t="s">
        <v>1311</v>
      </c>
      <c r="C10" s="1766" t="s">
        <v>1312</v>
      </c>
      <c r="D10" s="1777" t="s">
        <v>1119</v>
      </c>
      <c r="E10" s="1778" t="s">
        <v>3261</v>
      </c>
      <c r="F10" s="1760"/>
    </row>
    <row r="11" spans="2:6" ht="29.25" customHeight="1">
      <c r="B11" s="4017"/>
      <c r="C11" s="1766" t="s">
        <v>1313</v>
      </c>
      <c r="D11" s="1777" t="s">
        <v>1120</v>
      </c>
      <c r="E11" s="1779" t="s">
        <v>2191</v>
      </c>
      <c r="F11" s="1760"/>
    </row>
    <row r="12" spans="2:6">
      <c r="B12" s="4017"/>
      <c r="C12" s="1768" t="s">
        <v>410</v>
      </c>
      <c r="D12" s="1780" t="s">
        <v>2192</v>
      </c>
      <c r="E12" s="1781" t="s">
        <v>2191</v>
      </c>
      <c r="F12" s="1782"/>
    </row>
    <row r="13" spans="2:6">
      <c r="B13" s="4018"/>
      <c r="C13" s="1784" t="s">
        <v>2012</v>
      </c>
      <c r="D13" s="1785"/>
      <c r="E13" s="1786"/>
      <c r="F13" s="1787"/>
    </row>
    <row r="14" spans="2:6" ht="19.5" customHeight="1">
      <c r="B14" s="4017"/>
      <c r="C14" s="1788" t="s">
        <v>2015</v>
      </c>
      <c r="D14" s="1789" t="e">
        <f>CO2計算!O93</f>
        <v>#DIV/0!</v>
      </c>
      <c r="E14" s="1790" t="e">
        <f>CO2計算!L93</f>
        <v>#DIV/0!</v>
      </c>
      <c r="F14" s="1791" t="s">
        <v>411</v>
      </c>
    </row>
    <row r="15" spans="2:6" ht="14.25">
      <c r="B15" s="4017"/>
      <c r="C15" s="1792" t="s">
        <v>2017</v>
      </c>
      <c r="D15" s="1793" t="e">
        <f>CO2計算!O94</f>
        <v>#DIV/0!</v>
      </c>
      <c r="E15" s="1794" t="e">
        <f>CO2計算!L94</f>
        <v>#DIV/0!</v>
      </c>
      <c r="F15" s="1795" t="s">
        <v>411</v>
      </c>
    </row>
    <row r="16" spans="2:6">
      <c r="B16" s="4017"/>
      <c r="C16" s="1792" t="s">
        <v>2018</v>
      </c>
      <c r="D16" s="1793" t="e">
        <f>CO2計算!O95</f>
        <v>#DIV/0!</v>
      </c>
      <c r="E16" s="1794" t="e">
        <f>CO2計算!L95</f>
        <v>#DIV/0!</v>
      </c>
      <c r="F16" s="1796" t="s">
        <v>2019</v>
      </c>
    </row>
    <row r="17" spans="2:6" hidden="1">
      <c r="B17" s="4017"/>
      <c r="C17" s="1792" t="s">
        <v>2020</v>
      </c>
      <c r="D17" s="1793" t="e">
        <f>CO2計算!O96</f>
        <v>#DIV/0!</v>
      </c>
      <c r="E17" s="1794" t="e">
        <f>CO2計算!L96</f>
        <v>#DIV/0!</v>
      </c>
      <c r="F17" s="1796" t="s">
        <v>2019</v>
      </c>
    </row>
    <row r="18" spans="2:6">
      <c r="B18" s="4017"/>
      <c r="C18" s="1792" t="s">
        <v>2021</v>
      </c>
      <c r="D18" s="1793" t="e">
        <f>CO2計算!O97</f>
        <v>#DIV/0!</v>
      </c>
      <c r="E18" s="1794" t="e">
        <f>CO2計算!L97</f>
        <v>#DIV/0!</v>
      </c>
      <c r="F18" s="1796" t="s">
        <v>2019</v>
      </c>
    </row>
    <row r="19" spans="2:6">
      <c r="B19" s="4017"/>
      <c r="C19" s="1792" t="s">
        <v>1722</v>
      </c>
      <c r="D19" s="1793" t="e">
        <f>CO2計算!O98</f>
        <v>#DIV/0!</v>
      </c>
      <c r="E19" s="1794" t="e">
        <f>CO2計算!L98</f>
        <v>#DIV/0!</v>
      </c>
      <c r="F19" s="1796" t="s">
        <v>2019</v>
      </c>
    </row>
    <row r="20" spans="2:6">
      <c r="B20" s="4017"/>
      <c r="C20" s="1797" t="s">
        <v>412</v>
      </c>
      <c r="D20" s="1797" t="s">
        <v>413</v>
      </c>
      <c r="E20" s="1798" t="s">
        <v>1309</v>
      </c>
      <c r="F20" s="1799" t="s">
        <v>414</v>
      </c>
    </row>
    <row r="21" spans="2:6">
      <c r="B21" s="4018"/>
      <c r="C21" s="1784" t="s">
        <v>1310</v>
      </c>
      <c r="D21" s="1785"/>
      <c r="E21" s="1786"/>
      <c r="F21" s="1800"/>
    </row>
    <row r="22" spans="2:6" ht="15">
      <c r="B22" s="4017"/>
      <c r="C22" s="1788" t="s">
        <v>2015</v>
      </c>
      <c r="D22" s="1789">
        <v>266.70999999999998</v>
      </c>
      <c r="E22" s="1790" t="s">
        <v>1309</v>
      </c>
      <c r="F22" s="1795" t="s">
        <v>2785</v>
      </c>
    </row>
    <row r="23" spans="2:6" ht="15">
      <c r="B23" s="4017"/>
      <c r="C23" s="1792" t="s">
        <v>2017</v>
      </c>
      <c r="D23" s="1793">
        <v>216.57</v>
      </c>
      <c r="E23" s="1794" t="s">
        <v>1309</v>
      </c>
      <c r="F23" s="1796" t="s">
        <v>2785</v>
      </c>
    </row>
    <row r="24" spans="2:6">
      <c r="B24" s="4017"/>
      <c r="C24" s="1792" t="s">
        <v>2018</v>
      </c>
      <c r="D24" s="1793">
        <v>1.28</v>
      </c>
      <c r="E24" s="1794" t="s">
        <v>1309</v>
      </c>
      <c r="F24" s="1796" t="s">
        <v>2786</v>
      </c>
    </row>
    <row r="25" spans="2:6" hidden="1">
      <c r="B25" s="4017"/>
      <c r="C25" s="1792" t="s">
        <v>2020</v>
      </c>
      <c r="D25" s="1793"/>
      <c r="E25" s="1794" t="s">
        <v>1309</v>
      </c>
      <c r="F25" s="1796" t="s">
        <v>2787</v>
      </c>
    </row>
    <row r="26" spans="2:6">
      <c r="B26" s="4017"/>
      <c r="C26" s="1792" t="s">
        <v>2021</v>
      </c>
      <c r="D26" s="1793">
        <v>0.51</v>
      </c>
      <c r="E26" s="1794" t="s">
        <v>1309</v>
      </c>
      <c r="F26" s="1796" t="s">
        <v>2786</v>
      </c>
    </row>
    <row r="27" spans="2:6">
      <c r="B27" s="4017"/>
      <c r="C27" s="1792" t="s">
        <v>220</v>
      </c>
      <c r="D27" s="1793">
        <v>4.75</v>
      </c>
      <c r="E27" s="1794" t="s">
        <v>1309</v>
      </c>
      <c r="F27" s="1796" t="s">
        <v>2788</v>
      </c>
    </row>
    <row r="28" spans="2:6">
      <c r="B28" s="4017"/>
      <c r="C28" s="1797" t="s">
        <v>412</v>
      </c>
      <c r="D28" s="1797" t="s">
        <v>2789</v>
      </c>
      <c r="E28" s="1798" t="s">
        <v>140</v>
      </c>
      <c r="F28" s="1796" t="s">
        <v>2790</v>
      </c>
    </row>
    <row r="29" spans="2:6" ht="14.25" thickBot="1">
      <c r="B29" s="4018"/>
      <c r="C29" s="1784" t="s">
        <v>221</v>
      </c>
      <c r="D29" s="1785"/>
      <c r="E29" s="1801"/>
      <c r="F29" s="1802"/>
    </row>
    <row r="30" spans="2:6" ht="29.25" customHeight="1">
      <c r="B30" s="4017"/>
      <c r="C30" s="1788" t="s">
        <v>222</v>
      </c>
      <c r="D30" s="1803">
        <v>0</v>
      </c>
      <c r="E30" s="1804">
        <v>0</v>
      </c>
      <c r="F30" s="1805"/>
    </row>
    <row r="31" spans="2:6" ht="29.25" customHeight="1" thickBot="1">
      <c r="B31" s="4017"/>
      <c r="C31" s="1788" t="s">
        <v>223</v>
      </c>
      <c r="D31" s="1803">
        <v>0</v>
      </c>
      <c r="E31" s="1806">
        <v>0</v>
      </c>
      <c r="F31" s="1807"/>
    </row>
    <row r="32" spans="2:6" ht="24" customHeight="1">
      <c r="B32" s="4017"/>
      <c r="C32" s="1792" t="s">
        <v>224</v>
      </c>
      <c r="D32" s="1803">
        <v>0</v>
      </c>
      <c r="E32" s="1803">
        <v>0</v>
      </c>
      <c r="F32" s="1808"/>
    </row>
    <row r="33" spans="2:6" ht="24" customHeight="1">
      <c r="B33" s="4017"/>
      <c r="C33" s="1809" t="s">
        <v>225</v>
      </c>
      <c r="D33" s="1810">
        <v>0</v>
      </c>
      <c r="E33" s="1810">
        <v>0</v>
      </c>
      <c r="F33" s="1811"/>
    </row>
    <row r="34" spans="2:6" ht="19.5" customHeight="1">
      <c r="B34" s="1768"/>
      <c r="C34" s="1812" t="s">
        <v>248</v>
      </c>
      <c r="D34" s="1813" t="e">
        <f>CO2計算!O134</f>
        <v>#DIV/0!</v>
      </c>
      <c r="E34" s="1814" t="e">
        <f>CO2計算!L134</f>
        <v>#DIV/0!</v>
      </c>
      <c r="F34" s="1776" t="s">
        <v>2212</v>
      </c>
    </row>
    <row r="35" spans="2:6">
      <c r="B35" s="1783" t="s">
        <v>416</v>
      </c>
      <c r="C35" s="1815" t="s">
        <v>226</v>
      </c>
      <c r="D35" s="1816"/>
      <c r="E35" s="1816"/>
      <c r="F35" s="1787"/>
    </row>
    <row r="36" spans="2:6">
      <c r="B36" s="1774" t="s">
        <v>417</v>
      </c>
      <c r="C36" s="1817" t="s">
        <v>2199</v>
      </c>
      <c r="D36" s="1818">
        <f>CO2データ!I269</f>
        <v>25</v>
      </c>
      <c r="E36" s="1818">
        <f>CO2データ!I269</f>
        <v>25</v>
      </c>
      <c r="F36" s="1811"/>
    </row>
    <row r="37" spans="2:6" ht="13.5" hidden="1" customHeight="1">
      <c r="B37" s="1774"/>
      <c r="C37" s="1817" t="s">
        <v>2201</v>
      </c>
      <c r="D37" s="1819"/>
      <c r="E37" s="1819"/>
      <c r="F37" s="1820"/>
    </row>
    <row r="38" spans="2:6">
      <c r="B38" s="1774"/>
      <c r="C38" s="1771" t="s">
        <v>2202</v>
      </c>
      <c r="D38" s="1819">
        <f>CO2データ!I271</f>
        <v>18</v>
      </c>
      <c r="E38" s="1819">
        <f>CO2データ!I271</f>
        <v>18</v>
      </c>
      <c r="F38" s="1820"/>
    </row>
    <row r="39" spans="2:6">
      <c r="B39" s="1774"/>
      <c r="C39" s="1812" t="s">
        <v>2203</v>
      </c>
      <c r="D39" s="1818">
        <f>CO2データ!I272</f>
        <v>15</v>
      </c>
      <c r="E39" s="1818">
        <f>CO2データ!I272</f>
        <v>15</v>
      </c>
      <c r="F39" s="1811"/>
    </row>
    <row r="40" spans="2:6">
      <c r="B40" s="1783"/>
      <c r="C40" s="1815" t="s">
        <v>227</v>
      </c>
      <c r="D40" s="1816"/>
      <c r="E40" s="1816"/>
      <c r="F40" s="1787"/>
    </row>
    <row r="41" spans="2:6">
      <c r="B41" s="1774"/>
      <c r="C41" s="1817" t="s">
        <v>2199</v>
      </c>
      <c r="D41" s="1821">
        <f>CO2データ!I275</f>
        <v>0.01</v>
      </c>
      <c r="E41" s="1821">
        <f>CO2データ!I275</f>
        <v>0.01</v>
      </c>
      <c r="F41" s="1822"/>
    </row>
    <row r="42" spans="2:6">
      <c r="B42" s="1774"/>
      <c r="C42" s="1771" t="s">
        <v>2202</v>
      </c>
      <c r="D42" s="1823">
        <f>CO2データ!I276</f>
        <v>0.01</v>
      </c>
      <c r="E42" s="1823">
        <f>CO2データ!I276</f>
        <v>0.01</v>
      </c>
      <c r="F42" s="1824"/>
    </row>
    <row r="43" spans="2:6">
      <c r="B43" s="1774"/>
      <c r="C43" s="1771" t="s">
        <v>2203</v>
      </c>
      <c r="D43" s="1825">
        <f>CO2データ!I277</f>
        <v>0.02</v>
      </c>
      <c r="E43" s="1825">
        <f>CO2データ!I277</f>
        <v>0.02</v>
      </c>
      <c r="F43" s="1826"/>
    </row>
    <row r="44" spans="2:6" ht="29.25" customHeight="1">
      <c r="B44" s="1827"/>
      <c r="C44" s="1771" t="s">
        <v>506</v>
      </c>
      <c r="D44" s="1777" t="s">
        <v>3262</v>
      </c>
      <c r="E44" s="1766" t="s">
        <v>507</v>
      </c>
      <c r="F44" s="1760"/>
    </row>
    <row r="45" spans="2:6">
      <c r="B45" s="1768"/>
      <c r="C45" s="1815" t="s">
        <v>248</v>
      </c>
      <c r="D45" s="1785"/>
      <c r="E45" s="1828"/>
      <c r="F45" s="1829"/>
    </row>
    <row r="46" spans="2:6" ht="24" customHeight="1">
      <c r="B46" s="1774"/>
      <c r="C46" s="1766" t="s">
        <v>3348</v>
      </c>
      <c r="D46" s="1775">
        <f>CO2計算!O135</f>
        <v>0</v>
      </c>
      <c r="E46" s="1775">
        <f>CO2計算!L116</f>
        <v>0</v>
      </c>
      <c r="F46" s="1776" t="s">
        <v>2212</v>
      </c>
    </row>
    <row r="47" spans="2:6" ht="24" customHeight="1">
      <c r="B47" s="1774"/>
      <c r="C47" s="1788" t="s">
        <v>418</v>
      </c>
      <c r="D47" s="1830" t="s">
        <v>419</v>
      </c>
      <c r="E47" s="1831">
        <f>CO2計算!L123</f>
        <v>0</v>
      </c>
      <c r="F47" s="1795" t="s">
        <v>420</v>
      </c>
    </row>
    <row r="48" spans="2:6" ht="24" hidden="1" customHeight="1">
      <c r="B48" s="4017" t="s">
        <v>508</v>
      </c>
      <c r="C48" s="1797"/>
      <c r="D48" s="1832"/>
      <c r="E48" s="1833"/>
      <c r="F48" s="1834" t="s">
        <v>2212</v>
      </c>
    </row>
    <row r="49" spans="2:6" ht="24" hidden="1" customHeight="1">
      <c r="B49" s="4017"/>
      <c r="C49" s="1774"/>
      <c r="D49" s="1835"/>
      <c r="E49" s="1833"/>
      <c r="F49" s="1834" t="s">
        <v>421</v>
      </c>
    </row>
    <row r="50" spans="2:6" ht="24" hidden="1" customHeight="1">
      <c r="B50" s="4017"/>
      <c r="C50" s="1774"/>
      <c r="D50" s="1836"/>
      <c r="E50" s="1837" t="e">
        <f>'条件(個別)'!E80</f>
        <v>#VALUE!</v>
      </c>
      <c r="F50" s="1838" t="s">
        <v>422</v>
      </c>
    </row>
    <row r="51" spans="2:6" ht="24" hidden="1" customHeight="1">
      <c r="B51" s="4017"/>
      <c r="C51" s="1827"/>
      <c r="D51" s="1839" t="s">
        <v>921</v>
      </c>
      <c r="E51" s="1840" t="s">
        <v>423</v>
      </c>
      <c r="F51" s="1841"/>
    </row>
    <row r="52" spans="2:6" ht="29.25" customHeight="1">
      <c r="B52" s="4018"/>
      <c r="C52" s="1842" t="s">
        <v>424</v>
      </c>
      <c r="D52" s="2394" t="s">
        <v>423</v>
      </c>
      <c r="E52" s="2395">
        <f>E47</f>
        <v>0</v>
      </c>
      <c r="F52" s="1791" t="s">
        <v>425</v>
      </c>
    </row>
    <row r="53" spans="2:6" ht="30" customHeight="1">
      <c r="B53" s="4017"/>
      <c r="C53" s="1797" t="s">
        <v>509</v>
      </c>
      <c r="D53" s="1845" t="s">
        <v>426</v>
      </c>
      <c r="E53" s="1846" t="s">
        <v>419</v>
      </c>
      <c r="F53" s="1796"/>
    </row>
    <row r="54" spans="2:6" ht="27.75" customHeight="1">
      <c r="B54" s="4017"/>
      <c r="C54" s="1774"/>
      <c r="D54" s="1845" t="s">
        <v>427</v>
      </c>
      <c r="E54" s="1846" t="s">
        <v>419</v>
      </c>
      <c r="F54" s="1796"/>
    </row>
    <row r="55" spans="2:6" ht="24" customHeight="1">
      <c r="B55" s="4017"/>
      <c r="C55" s="1774"/>
      <c r="D55" s="1845" t="s">
        <v>428</v>
      </c>
      <c r="E55" s="1846" t="s">
        <v>419</v>
      </c>
      <c r="F55" s="1796"/>
    </row>
    <row r="56" spans="2:6" ht="29.25" customHeight="1">
      <c r="B56" s="1774"/>
      <c r="C56" s="1774"/>
      <c r="D56" s="1845" t="s">
        <v>429</v>
      </c>
      <c r="E56" s="1846" t="s">
        <v>419</v>
      </c>
      <c r="F56" s="1844"/>
    </row>
    <row r="57" spans="2:6" ht="24" hidden="1" customHeight="1">
      <c r="B57" s="1774"/>
      <c r="C57" s="1827"/>
      <c r="D57" s="1847"/>
      <c r="E57" s="1840" t="s">
        <v>419</v>
      </c>
      <c r="F57" s="1841"/>
    </row>
    <row r="58" spans="2:6" ht="29.25" customHeight="1">
      <c r="B58" s="4017"/>
      <c r="C58" s="1771" t="s">
        <v>922</v>
      </c>
      <c r="D58" s="1777" t="s">
        <v>3375</v>
      </c>
      <c r="E58" s="1777" t="s">
        <v>2784</v>
      </c>
      <c r="F58" s="1760"/>
    </row>
    <row r="59" spans="2:6" ht="18.75" customHeight="1">
      <c r="B59" s="4017"/>
      <c r="C59" s="1812" t="s">
        <v>329</v>
      </c>
      <c r="D59" s="1848" t="e">
        <f>CO2計算!H118+CO2計算!H121+CO2計算!H120</f>
        <v>#DIV/0!</v>
      </c>
      <c r="E59" s="1848">
        <f>CO2計算!I125+CO2計算!I127+CO2計算!I126</f>
        <v>0</v>
      </c>
      <c r="F59" s="1849" t="s">
        <v>517</v>
      </c>
    </row>
    <row r="60" spans="2:6">
      <c r="B60" s="4018"/>
      <c r="C60" s="1850" t="s">
        <v>834</v>
      </c>
      <c r="D60" s="1816"/>
      <c r="E60" s="1816"/>
      <c r="F60" s="1829"/>
    </row>
    <row r="61" spans="2:6">
      <c r="B61" s="4017"/>
      <c r="C61" s="1851" t="s">
        <v>2305</v>
      </c>
      <c r="D61" s="1852" t="e">
        <f>CO2計算!J118</f>
        <v>#VALUE!</v>
      </c>
      <c r="E61" s="1853" t="s">
        <v>507</v>
      </c>
      <c r="F61" s="1838" t="s">
        <v>133</v>
      </c>
    </row>
    <row r="62" spans="2:6">
      <c r="B62" s="4017"/>
      <c r="C62" s="1851" t="s">
        <v>2306</v>
      </c>
      <c r="D62" s="1852" t="e">
        <f>CO2計算!J120</f>
        <v>#VALUE!</v>
      </c>
      <c r="E62" s="1855" t="s">
        <v>507</v>
      </c>
      <c r="F62" s="1838" t="s">
        <v>133</v>
      </c>
    </row>
    <row r="63" spans="2:6">
      <c r="B63" s="4017"/>
      <c r="C63" s="1854" t="s">
        <v>2247</v>
      </c>
      <c r="D63" s="1855" t="e">
        <f>CO2データ!I95</f>
        <v>#VALUE!</v>
      </c>
      <c r="E63" s="1855" t="s">
        <v>507</v>
      </c>
      <c r="F63" s="1834" t="s">
        <v>134</v>
      </c>
    </row>
    <row r="64" spans="2:6">
      <c r="B64" s="4017"/>
      <c r="C64" s="1854" t="s">
        <v>135</v>
      </c>
      <c r="D64" s="1855">
        <f>CO2データ!I97</f>
        <v>4.9799999999999997E-2</v>
      </c>
      <c r="E64" s="1855" t="s">
        <v>507</v>
      </c>
      <c r="F64" s="1838" t="s">
        <v>133</v>
      </c>
    </row>
    <row r="65" spans="2:6" ht="24">
      <c r="B65" s="4017"/>
      <c r="C65" s="1856" t="s">
        <v>2244</v>
      </c>
      <c r="D65" s="1857" t="s">
        <v>238</v>
      </c>
      <c r="E65" s="1857" t="s">
        <v>507</v>
      </c>
      <c r="F65" s="1858" t="s">
        <v>133</v>
      </c>
    </row>
    <row r="66" spans="2:6">
      <c r="B66" s="1774"/>
      <c r="C66" s="1859" t="s">
        <v>2245</v>
      </c>
      <c r="D66" s="1860"/>
      <c r="E66" s="1860"/>
      <c r="F66" s="1861"/>
    </row>
    <row r="67" spans="2:6">
      <c r="B67" s="1774"/>
      <c r="C67" s="1817"/>
      <c r="D67" s="1770"/>
      <c r="E67" s="1770"/>
      <c r="F67" s="1826"/>
    </row>
    <row r="68" spans="2:6">
      <c r="B68" s="4022" t="s">
        <v>274</v>
      </c>
      <c r="C68" s="4019"/>
      <c r="D68" s="4019"/>
      <c r="E68" s="4019"/>
      <c r="F68" s="4019"/>
    </row>
    <row r="69" spans="2:6">
      <c r="B69" s="4022"/>
      <c r="C69" s="4020"/>
      <c r="D69" s="4020"/>
      <c r="E69" s="4020"/>
      <c r="F69" s="4020"/>
    </row>
    <row r="70" spans="2:6">
      <c r="B70" s="4022"/>
      <c r="C70" s="4020"/>
      <c r="D70" s="4020"/>
      <c r="E70" s="4020"/>
      <c r="F70" s="4020"/>
    </row>
    <row r="71" spans="2:6">
      <c r="B71" s="4022"/>
      <c r="C71" s="4021"/>
      <c r="D71" s="4021"/>
      <c r="E71" s="4021"/>
      <c r="F71" s="4021"/>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CC47" sheet="1" objects="1" scenarios="1"/>
  <mergeCells count="10">
    <mergeCell ref="F68:F71"/>
    <mergeCell ref="B58:B65"/>
    <mergeCell ref="B68:B71"/>
    <mergeCell ref="C68:C71"/>
    <mergeCell ref="D68:D71"/>
    <mergeCell ref="B4:C4"/>
    <mergeCell ref="B5:B7"/>
    <mergeCell ref="B10:B33"/>
    <mergeCell ref="B48:B55"/>
    <mergeCell ref="E68:E71"/>
  </mergeCells>
  <phoneticPr fontId="21"/>
  <printOptions horizontalCentered="1"/>
  <pageMargins left="0.59055118110236227" right="0.59055118110236227" top="0.78740157480314965" bottom="0.7" header="0.51181102362204722" footer="0.51181102362204722"/>
  <pageSetup paperSize="9" scale="71"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sheetPr codeName="Sheet18"/>
  <dimension ref="B1:F175"/>
  <sheetViews>
    <sheetView showGridLines="0" zoomScaleNormal="100" workbookViewId="0">
      <selection activeCell="F2" sqref="F2"/>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763" t="s">
        <v>137</v>
      </c>
      <c r="C2" s="1764"/>
      <c r="D2" s="1764"/>
      <c r="E2" s="1442" t="s">
        <v>2253</v>
      </c>
      <c r="F2" s="2949" t="str">
        <f>メイン!C11</f>
        <v>○○ビル</v>
      </c>
    </row>
    <row r="3" spans="2:6" ht="15.75" customHeight="1">
      <c r="F3" s="1765" t="str">
        <f>メイン!C5</f>
        <v>CASBEE京都-既存2015(v.1.0)</v>
      </c>
    </row>
    <row r="4" spans="2:6">
      <c r="B4" s="4012" t="s">
        <v>1781</v>
      </c>
      <c r="C4" s="4013"/>
      <c r="D4" s="1766" t="s">
        <v>2206</v>
      </c>
      <c r="E4" s="1767" t="s">
        <v>2007</v>
      </c>
      <c r="F4" s="1767" t="s">
        <v>1087</v>
      </c>
    </row>
    <row r="5" spans="2:6" ht="27" customHeight="1">
      <c r="B5" s="1768" t="s">
        <v>2207</v>
      </c>
      <c r="C5" s="1767" t="s">
        <v>1464</v>
      </c>
      <c r="D5" s="1766" t="str">
        <f>メイン!C21</f>
        <v/>
      </c>
      <c r="E5" s="1766" t="str">
        <f>D5</f>
        <v/>
      </c>
      <c r="F5" s="1862"/>
    </row>
    <row r="6" spans="2:6">
      <c r="B6" s="1822"/>
      <c r="C6" s="1767" t="s">
        <v>2208</v>
      </c>
      <c r="D6" s="1769">
        <f>メイン!C19</f>
        <v>0</v>
      </c>
      <c r="E6" s="1769">
        <f>D6</f>
        <v>0</v>
      </c>
      <c r="F6" s="1863"/>
    </row>
    <row r="7" spans="2:6">
      <c r="B7" s="1826"/>
      <c r="C7" s="1767" t="s">
        <v>2209</v>
      </c>
      <c r="D7" s="1767" t="str">
        <f>メイン!C23</f>
        <v>RC造</v>
      </c>
      <c r="E7" s="1767" t="str">
        <f>D7</f>
        <v>RC造</v>
      </c>
      <c r="F7" s="1863"/>
    </row>
    <row r="8" spans="2:6" ht="31.5" customHeight="1">
      <c r="B8" s="1766" t="s">
        <v>2210</v>
      </c>
      <c r="C8" s="1771" t="s">
        <v>2211</v>
      </c>
      <c r="D8" s="1864"/>
      <c r="E8" s="1864"/>
      <c r="F8" s="1865"/>
    </row>
    <row r="9" spans="2:6" ht="19.5" customHeight="1">
      <c r="B9" s="1774"/>
      <c r="C9" s="1771" t="s">
        <v>248</v>
      </c>
      <c r="D9" s="1866">
        <v>30</v>
      </c>
      <c r="E9" s="1866">
        <v>30</v>
      </c>
      <c r="F9" s="1865" t="s">
        <v>2212</v>
      </c>
    </row>
    <row r="10" spans="2:6" ht="29.25" customHeight="1">
      <c r="B10" s="4017" t="s">
        <v>1311</v>
      </c>
      <c r="C10" s="1766" t="s">
        <v>1312</v>
      </c>
      <c r="D10" s="1867"/>
      <c r="E10" s="1868"/>
      <c r="F10" s="1863"/>
    </row>
    <row r="11" spans="2:6" ht="29.25" customHeight="1">
      <c r="B11" s="4017"/>
      <c r="C11" s="1766" t="s">
        <v>1313</v>
      </c>
      <c r="D11" s="1867"/>
      <c r="E11" s="1869"/>
      <c r="F11" s="1863"/>
    </row>
    <row r="12" spans="2:6" ht="29.25" customHeight="1">
      <c r="B12" s="4017"/>
      <c r="C12" s="1766" t="s">
        <v>138</v>
      </c>
      <c r="D12" s="1867"/>
      <c r="E12" s="1869"/>
      <c r="F12" s="1865"/>
    </row>
    <row r="13" spans="2:6">
      <c r="B13" s="4017"/>
      <c r="C13" s="1784" t="s">
        <v>2012</v>
      </c>
      <c r="D13" s="1785"/>
      <c r="E13" s="1786"/>
      <c r="F13" s="1787"/>
    </row>
    <row r="14" spans="2:6" ht="14.25">
      <c r="B14" s="4017"/>
      <c r="C14" s="1842" t="s">
        <v>2015</v>
      </c>
      <c r="D14" s="1870" t="s">
        <v>139</v>
      </c>
      <c r="E14" s="1871" t="s">
        <v>140</v>
      </c>
      <c r="F14" s="1872" t="s">
        <v>411</v>
      </c>
    </row>
    <row r="15" spans="2:6" ht="14.25">
      <c r="B15" s="4017"/>
      <c r="C15" s="1873" t="s">
        <v>2017</v>
      </c>
      <c r="D15" s="1874" t="s">
        <v>141</v>
      </c>
      <c r="E15" s="1875" t="s">
        <v>1309</v>
      </c>
      <c r="F15" s="1876" t="s">
        <v>411</v>
      </c>
    </row>
    <row r="16" spans="2:6">
      <c r="B16" s="4017"/>
      <c r="C16" s="1792" t="s">
        <v>2018</v>
      </c>
      <c r="D16" s="1874" t="s">
        <v>413</v>
      </c>
      <c r="E16" s="1875" t="s">
        <v>1309</v>
      </c>
      <c r="F16" s="1877" t="s">
        <v>2019</v>
      </c>
    </row>
    <row r="17" spans="2:6">
      <c r="B17" s="4017"/>
      <c r="C17" s="1792" t="s">
        <v>2020</v>
      </c>
      <c r="D17" s="1874" t="s">
        <v>142</v>
      </c>
      <c r="E17" s="1875" t="s">
        <v>1309</v>
      </c>
      <c r="F17" s="1877" t="s">
        <v>2019</v>
      </c>
    </row>
    <row r="18" spans="2:6">
      <c r="B18" s="4017"/>
      <c r="C18" s="1792" t="s">
        <v>2021</v>
      </c>
      <c r="D18" s="1874" t="s">
        <v>413</v>
      </c>
      <c r="E18" s="1875" t="s">
        <v>1309</v>
      </c>
      <c r="F18" s="1877" t="s">
        <v>2019</v>
      </c>
    </row>
    <row r="19" spans="2:6">
      <c r="B19" s="4017"/>
      <c r="C19" s="1874" t="s">
        <v>412</v>
      </c>
      <c r="D19" s="1874" t="s">
        <v>413</v>
      </c>
      <c r="E19" s="1875" t="s">
        <v>415</v>
      </c>
      <c r="F19" s="1877" t="s">
        <v>2019</v>
      </c>
    </row>
    <row r="20" spans="2:6">
      <c r="B20" s="4017"/>
      <c r="C20" s="1878" t="s">
        <v>412</v>
      </c>
      <c r="D20" s="1878" t="s">
        <v>413</v>
      </c>
      <c r="E20" s="1879" t="s">
        <v>1309</v>
      </c>
      <c r="F20" s="1880" t="s">
        <v>2246</v>
      </c>
    </row>
    <row r="21" spans="2:6">
      <c r="B21" s="4018"/>
      <c r="C21" s="1784" t="s">
        <v>1310</v>
      </c>
      <c r="D21" s="1785"/>
      <c r="E21" s="1786"/>
      <c r="F21" s="1787"/>
    </row>
    <row r="22" spans="2:6" ht="15">
      <c r="B22" s="4017"/>
      <c r="C22" s="1788" t="s">
        <v>2015</v>
      </c>
      <c r="D22" s="1881" t="s">
        <v>139</v>
      </c>
      <c r="E22" s="1882" t="s">
        <v>140</v>
      </c>
      <c r="F22" s="1876" t="s">
        <v>2791</v>
      </c>
    </row>
    <row r="23" spans="2:6" ht="15">
      <c r="B23" s="4017"/>
      <c r="C23" s="1873" t="s">
        <v>2017</v>
      </c>
      <c r="D23" s="1874" t="s">
        <v>141</v>
      </c>
      <c r="E23" s="1875" t="s">
        <v>1309</v>
      </c>
      <c r="F23" s="1877" t="s">
        <v>2791</v>
      </c>
    </row>
    <row r="24" spans="2:6">
      <c r="B24" s="4017"/>
      <c r="C24" s="1792" t="s">
        <v>2018</v>
      </c>
      <c r="D24" s="1874" t="s">
        <v>413</v>
      </c>
      <c r="E24" s="1875" t="s">
        <v>1309</v>
      </c>
      <c r="F24" s="1877" t="s">
        <v>2792</v>
      </c>
    </row>
    <row r="25" spans="2:6">
      <c r="B25" s="4017"/>
      <c r="C25" s="1792" t="s">
        <v>2020</v>
      </c>
      <c r="D25" s="1874" t="s">
        <v>142</v>
      </c>
      <c r="E25" s="1875" t="s">
        <v>1309</v>
      </c>
      <c r="F25" s="1877" t="s">
        <v>2792</v>
      </c>
    </row>
    <row r="26" spans="2:6">
      <c r="B26" s="4017"/>
      <c r="C26" s="1792" t="s">
        <v>2021</v>
      </c>
      <c r="D26" s="1874" t="s">
        <v>413</v>
      </c>
      <c r="E26" s="1875" t="s">
        <v>1309</v>
      </c>
      <c r="F26" s="1877" t="s">
        <v>2792</v>
      </c>
    </row>
    <row r="27" spans="2:6">
      <c r="B27" s="4017"/>
      <c r="C27" s="1883" t="s">
        <v>552</v>
      </c>
      <c r="D27" s="1874" t="s">
        <v>413</v>
      </c>
      <c r="E27" s="1875" t="s">
        <v>415</v>
      </c>
      <c r="F27" s="1877" t="s">
        <v>2792</v>
      </c>
    </row>
    <row r="28" spans="2:6">
      <c r="B28" s="4017"/>
      <c r="C28" s="1878" t="s">
        <v>412</v>
      </c>
      <c r="D28" s="1878" t="s">
        <v>413</v>
      </c>
      <c r="E28" s="1879" t="s">
        <v>1309</v>
      </c>
      <c r="F28" s="1877" t="s">
        <v>2792</v>
      </c>
    </row>
    <row r="29" spans="2:6">
      <c r="B29" s="4018"/>
      <c r="C29" s="1784" t="s">
        <v>221</v>
      </c>
      <c r="D29" s="1785"/>
      <c r="E29" s="1786"/>
      <c r="F29" s="1829"/>
    </row>
    <row r="30" spans="2:6" ht="29.25" customHeight="1">
      <c r="B30" s="4017"/>
      <c r="C30" s="1788" t="s">
        <v>222</v>
      </c>
      <c r="D30" s="1884" t="s">
        <v>143</v>
      </c>
      <c r="E30" s="1884" t="s">
        <v>143</v>
      </c>
      <c r="F30" s="1885"/>
    </row>
    <row r="31" spans="2:6" ht="29.25" customHeight="1">
      <c r="B31" s="4017"/>
      <c r="C31" s="1788" t="s">
        <v>223</v>
      </c>
      <c r="D31" s="1884" t="s">
        <v>144</v>
      </c>
      <c r="E31" s="1884" t="s">
        <v>144</v>
      </c>
      <c r="F31" s="1885"/>
    </row>
    <row r="32" spans="2:6" ht="24" customHeight="1">
      <c r="B32" s="4017"/>
      <c r="C32" s="1792" t="s">
        <v>224</v>
      </c>
      <c r="D32" s="1884" t="s">
        <v>145</v>
      </c>
      <c r="E32" s="1884" t="s">
        <v>145</v>
      </c>
      <c r="F32" s="1886"/>
    </row>
    <row r="33" spans="2:6" ht="24" customHeight="1">
      <c r="B33" s="4017"/>
      <c r="C33" s="1809" t="s">
        <v>225</v>
      </c>
      <c r="D33" s="1887" t="s">
        <v>145</v>
      </c>
      <c r="E33" s="1887" t="s">
        <v>145</v>
      </c>
      <c r="F33" s="1888"/>
    </row>
    <row r="34" spans="2:6" ht="19.5" customHeight="1">
      <c r="B34" s="1768"/>
      <c r="C34" s="1812" t="s">
        <v>248</v>
      </c>
      <c r="D34" s="1889">
        <v>10</v>
      </c>
      <c r="E34" s="1889">
        <v>10</v>
      </c>
      <c r="F34" s="1865" t="s">
        <v>2212</v>
      </c>
    </row>
    <row r="35" spans="2:6">
      <c r="B35" s="1783" t="s">
        <v>146</v>
      </c>
      <c r="C35" s="1815" t="s">
        <v>226</v>
      </c>
      <c r="D35" s="1816"/>
      <c r="E35" s="1816"/>
      <c r="F35" s="1787"/>
    </row>
    <row r="36" spans="2:6">
      <c r="B36" s="1774" t="s">
        <v>417</v>
      </c>
      <c r="C36" s="1817" t="s">
        <v>2199</v>
      </c>
      <c r="D36" s="1890"/>
      <c r="E36" s="1890"/>
      <c r="F36" s="1891"/>
    </row>
    <row r="37" spans="2:6" hidden="1">
      <c r="B37" s="1774"/>
      <c r="C37" s="1817" t="s">
        <v>2201</v>
      </c>
      <c r="D37" s="1890"/>
      <c r="E37" s="1890"/>
      <c r="F37" s="1865"/>
    </row>
    <row r="38" spans="2:6">
      <c r="B38" s="1774"/>
      <c r="C38" s="1771" t="s">
        <v>2202</v>
      </c>
      <c r="D38" s="1864"/>
      <c r="E38" s="1864"/>
      <c r="F38" s="1865"/>
    </row>
    <row r="39" spans="2:6">
      <c r="B39" s="1774"/>
      <c r="C39" s="1812" t="s">
        <v>2203</v>
      </c>
      <c r="D39" s="1892"/>
      <c r="E39" s="1892"/>
      <c r="F39" s="1893"/>
    </row>
    <row r="40" spans="2:6">
      <c r="B40" s="1783"/>
      <c r="C40" s="1815" t="s">
        <v>227</v>
      </c>
      <c r="D40" s="1816"/>
      <c r="E40" s="1816"/>
      <c r="F40" s="1787"/>
    </row>
    <row r="41" spans="2:6">
      <c r="B41" s="1774"/>
      <c r="C41" s="1817" t="s">
        <v>2199</v>
      </c>
      <c r="D41" s="1894"/>
      <c r="E41" s="1894"/>
      <c r="F41" s="1861"/>
    </row>
    <row r="42" spans="2:6">
      <c r="B42" s="1774"/>
      <c r="C42" s="1771" t="s">
        <v>2202</v>
      </c>
      <c r="D42" s="1895"/>
      <c r="E42" s="1895"/>
      <c r="F42" s="1863"/>
    </row>
    <row r="43" spans="2:6">
      <c r="B43" s="1774"/>
      <c r="C43" s="1771" t="s">
        <v>2203</v>
      </c>
      <c r="D43" s="1895"/>
      <c r="E43" s="1895"/>
      <c r="F43" s="1863"/>
    </row>
    <row r="44" spans="2:6" ht="29.25" customHeight="1">
      <c r="B44" s="1827"/>
      <c r="C44" s="1771" t="s">
        <v>506</v>
      </c>
      <c r="D44" s="1867"/>
      <c r="E44" s="1896"/>
      <c r="F44" s="1863"/>
    </row>
    <row r="45" spans="2:6">
      <c r="B45" s="1768"/>
      <c r="C45" s="1815" t="s">
        <v>248</v>
      </c>
      <c r="D45" s="1785"/>
      <c r="E45" s="1828"/>
      <c r="F45" s="1829"/>
    </row>
    <row r="46" spans="2:6" ht="29.25" customHeight="1">
      <c r="B46" s="1774"/>
      <c r="C46" s="1788" t="s">
        <v>3348</v>
      </c>
      <c r="D46" s="1866">
        <v>30</v>
      </c>
      <c r="E46" s="1866">
        <v>20</v>
      </c>
      <c r="F46" s="1799" t="s">
        <v>2212</v>
      </c>
    </row>
    <row r="47" spans="2:6" ht="29.25" customHeight="1">
      <c r="B47" s="1774"/>
      <c r="C47" s="1788" t="s">
        <v>147</v>
      </c>
      <c r="D47" s="1830" t="s">
        <v>148</v>
      </c>
      <c r="E47" s="1897">
        <v>-15</v>
      </c>
      <c r="F47" s="1799" t="s">
        <v>2212</v>
      </c>
    </row>
    <row r="48" spans="2:6" ht="18.75" customHeight="1">
      <c r="B48" s="1774" t="s">
        <v>508</v>
      </c>
      <c r="C48" s="1898" t="s">
        <v>509</v>
      </c>
      <c r="D48" s="1832" t="s">
        <v>918</v>
      </c>
      <c r="E48" s="1899"/>
      <c r="F48" s="1877"/>
    </row>
    <row r="49" spans="2:6" ht="18.75" customHeight="1">
      <c r="B49" s="1774"/>
      <c r="C49" s="1898"/>
      <c r="D49" s="1835" t="s">
        <v>919</v>
      </c>
      <c r="E49" s="1900"/>
      <c r="F49" s="1877"/>
    </row>
    <row r="50" spans="2:6" ht="18.75" customHeight="1">
      <c r="B50" s="1774"/>
      <c r="C50" s="1898"/>
      <c r="D50" s="1836" t="s">
        <v>920</v>
      </c>
      <c r="E50" s="1899"/>
      <c r="F50" s="1877"/>
    </row>
    <row r="51" spans="2:6" ht="18.75" customHeight="1">
      <c r="B51" s="1774"/>
      <c r="C51" s="1827"/>
      <c r="D51" s="1839" t="s">
        <v>921</v>
      </c>
      <c r="E51" s="1901"/>
      <c r="F51" s="1902"/>
    </row>
    <row r="52" spans="2:6" ht="30.75" customHeight="1">
      <c r="B52" s="1774"/>
      <c r="C52" s="1898" t="s">
        <v>424</v>
      </c>
      <c r="D52" s="1843" t="s">
        <v>423</v>
      </c>
      <c r="E52" s="1900">
        <v>-25</v>
      </c>
      <c r="F52" s="1844" t="s">
        <v>2212</v>
      </c>
    </row>
    <row r="53" spans="2:6" ht="29.25" customHeight="1">
      <c r="B53" s="1774"/>
      <c r="C53" s="1797" t="s">
        <v>509</v>
      </c>
      <c r="D53" s="1845" t="s">
        <v>1841</v>
      </c>
      <c r="E53" s="1899"/>
      <c r="F53" s="1877"/>
    </row>
    <row r="54" spans="2:6" ht="29.25" customHeight="1">
      <c r="B54" s="1774"/>
      <c r="C54" s="1774"/>
      <c r="D54" s="1845" t="s">
        <v>635</v>
      </c>
      <c r="E54" s="1899"/>
      <c r="F54" s="1877"/>
    </row>
    <row r="55" spans="2:6" ht="24" customHeight="1">
      <c r="B55" s="1774"/>
      <c r="C55" s="1774"/>
      <c r="D55" s="1845" t="s">
        <v>636</v>
      </c>
      <c r="E55" s="1899"/>
      <c r="F55" s="1877"/>
    </row>
    <row r="56" spans="2:6" ht="29.25" customHeight="1">
      <c r="B56" s="1774"/>
      <c r="C56" s="1774"/>
      <c r="D56" s="1845" t="s">
        <v>637</v>
      </c>
      <c r="E56" s="1899"/>
      <c r="F56" s="1877"/>
    </row>
    <row r="57" spans="2:6" ht="30" hidden="1" customHeight="1">
      <c r="B57" s="1774"/>
      <c r="C57" s="1827"/>
      <c r="D57" s="1847"/>
      <c r="E57" s="1899" t="e">
        <f>E80</f>
        <v>#VALUE!</v>
      </c>
      <c r="F57" s="1877" t="s">
        <v>2212</v>
      </c>
    </row>
    <row r="58" spans="2:6" ht="42.75" customHeight="1">
      <c r="B58" s="1811"/>
      <c r="C58" s="1771" t="s">
        <v>922</v>
      </c>
      <c r="D58" s="1867" t="s">
        <v>638</v>
      </c>
      <c r="E58" s="1867" t="s">
        <v>638</v>
      </c>
      <c r="F58" s="1863"/>
    </row>
    <row r="59" spans="2:6" ht="18.75" customHeight="1">
      <c r="B59" s="1811"/>
      <c r="C59" s="1812" t="s">
        <v>329</v>
      </c>
      <c r="D59" s="1903" t="s">
        <v>639</v>
      </c>
      <c r="E59" s="1903" t="s">
        <v>639</v>
      </c>
      <c r="F59" s="1904" t="s">
        <v>2405</v>
      </c>
    </row>
    <row r="60" spans="2:6">
      <c r="B60" s="1811"/>
      <c r="C60" s="1850" t="s">
        <v>834</v>
      </c>
      <c r="D60" s="1816"/>
      <c r="E60" s="1816"/>
      <c r="F60" s="1829"/>
    </row>
    <row r="61" spans="2:6">
      <c r="B61" s="1811"/>
      <c r="C61" s="1851" t="s">
        <v>2305</v>
      </c>
      <c r="D61" s="1905" t="s">
        <v>640</v>
      </c>
      <c r="E61" s="1905" t="s">
        <v>507</v>
      </c>
      <c r="F61" s="1876" t="s">
        <v>133</v>
      </c>
    </row>
    <row r="62" spans="2:6" ht="14.25">
      <c r="B62" s="1811"/>
      <c r="C62" s="1851" t="s">
        <v>2306</v>
      </c>
      <c r="D62" s="1906" t="s">
        <v>640</v>
      </c>
      <c r="E62" s="1906" t="s">
        <v>507</v>
      </c>
      <c r="F62" s="1877" t="s">
        <v>136</v>
      </c>
    </row>
    <row r="63" spans="2:6">
      <c r="B63" s="1811"/>
      <c r="C63" s="1854" t="s">
        <v>2247</v>
      </c>
      <c r="D63" s="1906" t="s">
        <v>640</v>
      </c>
      <c r="E63" s="1906" t="s">
        <v>507</v>
      </c>
      <c r="F63" s="1877" t="s">
        <v>134</v>
      </c>
    </row>
    <row r="64" spans="2:6" ht="14.25">
      <c r="B64" s="1811"/>
      <c r="C64" s="1854" t="s">
        <v>135</v>
      </c>
      <c r="D64" s="1906" t="s">
        <v>641</v>
      </c>
      <c r="E64" s="1906" t="s">
        <v>507</v>
      </c>
      <c r="F64" s="1877" t="s">
        <v>136</v>
      </c>
    </row>
    <row r="65" spans="2:6" ht="24">
      <c r="B65" s="1811"/>
      <c r="C65" s="1907" t="s">
        <v>2244</v>
      </c>
      <c r="D65" s="1908" t="s">
        <v>238</v>
      </c>
      <c r="E65" s="1908" t="s">
        <v>507</v>
      </c>
      <c r="F65" s="1902" t="s">
        <v>136</v>
      </c>
    </row>
    <row r="66" spans="2:6">
      <c r="B66" s="1774"/>
      <c r="C66" s="1859" t="s">
        <v>2245</v>
      </c>
      <c r="D66" s="1860"/>
      <c r="E66" s="1860"/>
      <c r="F66" s="1861"/>
    </row>
    <row r="67" spans="2:6">
      <c r="B67" s="1774"/>
      <c r="C67" s="1817"/>
      <c r="D67" s="1860"/>
      <c r="E67" s="1860"/>
      <c r="F67" s="1861"/>
    </row>
    <row r="68" spans="2:6">
      <c r="B68" s="4022" t="s">
        <v>274</v>
      </c>
      <c r="C68" s="4019"/>
      <c r="D68" s="4019"/>
      <c r="E68" s="4019"/>
      <c r="F68" s="4019"/>
    </row>
    <row r="69" spans="2:6">
      <c r="B69" s="4022"/>
      <c r="C69" s="4020"/>
      <c r="D69" s="4020"/>
      <c r="E69" s="4020"/>
      <c r="F69" s="4020"/>
    </row>
    <row r="70" spans="2:6">
      <c r="B70" s="4022"/>
      <c r="C70" s="4020"/>
      <c r="D70" s="4020"/>
      <c r="E70" s="4020"/>
      <c r="F70" s="4020"/>
    </row>
    <row r="71" spans="2:6">
      <c r="B71" s="4022"/>
      <c r="C71" s="4021"/>
      <c r="D71" s="4021"/>
      <c r="E71" s="4021"/>
      <c r="F71" s="4021"/>
    </row>
    <row r="72" spans="2:6"/>
    <row r="73" spans="2:6">
      <c r="B73" t="s">
        <v>3263</v>
      </c>
    </row>
    <row r="74" spans="2:6">
      <c r="B74" s="1768"/>
      <c r="C74" s="1784" t="s">
        <v>3264</v>
      </c>
      <c r="D74" s="1785"/>
      <c r="E74" s="1786"/>
      <c r="F74" s="1800"/>
    </row>
    <row r="75" spans="2:6">
      <c r="B75" s="1774"/>
      <c r="C75" s="1797" t="s">
        <v>570</v>
      </c>
      <c r="D75" s="1793" t="s">
        <v>642</v>
      </c>
      <c r="E75" s="1909">
        <f>(計画書!I43+計画書!M43+計画書!N43)/CO2データ!J96*1000</f>
        <v>0</v>
      </c>
      <c r="F75" s="1796" t="s">
        <v>643</v>
      </c>
    </row>
    <row r="76" spans="2:6">
      <c r="B76" s="1774" t="s">
        <v>573</v>
      </c>
      <c r="C76" s="1774"/>
      <c r="D76" s="1793" t="s">
        <v>644</v>
      </c>
      <c r="E76" s="1909">
        <f>-((計画書!I41-計画書!I42)+(計画書!M41-計画書!M42)+(計画書!N41-計画書!N42))/CO2データ!J96*1000</f>
        <v>30737.704918032785</v>
      </c>
      <c r="F76" s="1796" t="s">
        <v>645</v>
      </c>
    </row>
    <row r="77" spans="2:6">
      <c r="B77" s="1774" t="s">
        <v>646</v>
      </c>
      <c r="C77" s="1788"/>
      <c r="D77" s="1793" t="s">
        <v>647</v>
      </c>
      <c r="E77" s="1909">
        <f>E75-E76</f>
        <v>-30737.704918032785</v>
      </c>
      <c r="F77" s="1796" t="s">
        <v>645</v>
      </c>
    </row>
    <row r="78" spans="2:6">
      <c r="B78" s="1774"/>
      <c r="C78" s="1797" t="s">
        <v>1914</v>
      </c>
      <c r="D78" s="1793" t="s">
        <v>1730</v>
      </c>
      <c r="E78" s="1794" t="e">
        <f>E75*E81/E$6</f>
        <v>#VALUE!</v>
      </c>
      <c r="F78" s="1910" t="s">
        <v>2212</v>
      </c>
    </row>
    <row r="79" spans="2:6">
      <c r="B79" s="1774"/>
      <c r="C79" s="1774"/>
      <c r="D79" s="1793" t="s">
        <v>644</v>
      </c>
      <c r="E79" s="1794" t="e">
        <f>E78-E80</f>
        <v>#VALUE!</v>
      </c>
      <c r="F79" s="1910" t="s">
        <v>2212</v>
      </c>
    </row>
    <row r="80" spans="2:6">
      <c r="B80" s="1774"/>
      <c r="C80" s="1788"/>
      <c r="D80" s="1793" t="s">
        <v>647</v>
      </c>
      <c r="E80" s="1794" t="e">
        <f>E77*E82/E$6</f>
        <v>#VALUE!</v>
      </c>
      <c r="F80" s="1910" t="s">
        <v>2212</v>
      </c>
    </row>
    <row r="81" spans="2:6" hidden="1">
      <c r="B81" s="1774"/>
      <c r="C81" s="1797" t="s">
        <v>1915</v>
      </c>
      <c r="D81" s="1793" t="s">
        <v>1731</v>
      </c>
      <c r="E81" s="1911" t="e">
        <f>CO2データ!I95</f>
        <v>#VALUE!</v>
      </c>
      <c r="F81" s="1910" t="s">
        <v>868</v>
      </c>
    </row>
    <row r="82" spans="2:6" hidden="1">
      <c r="B82" s="1774"/>
      <c r="C82" s="1774"/>
      <c r="D82" s="1793" t="s">
        <v>869</v>
      </c>
      <c r="E82" s="1911" t="e">
        <f>CO2データ!I95</f>
        <v>#VALUE!</v>
      </c>
      <c r="F82" s="1910" t="s">
        <v>868</v>
      </c>
    </row>
    <row r="83" spans="2:6" hidden="1">
      <c r="B83" s="1774"/>
      <c r="C83" s="1788"/>
      <c r="D83" s="1793" t="s">
        <v>1087</v>
      </c>
      <c r="E83" s="1794" t="s">
        <v>969</v>
      </c>
      <c r="F83" s="1796"/>
    </row>
    <row r="84" spans="2:6">
      <c r="B84" s="1774"/>
      <c r="C84" s="1784" t="s">
        <v>970</v>
      </c>
      <c r="D84" s="1785"/>
      <c r="E84" s="1786"/>
      <c r="F84" s="1800"/>
    </row>
    <row r="85" spans="2:6">
      <c r="B85" s="1774"/>
      <c r="C85" s="1912" t="s">
        <v>1754</v>
      </c>
      <c r="D85" s="1789"/>
      <c r="E85" s="1913">
        <f>(CO2計算!I125*計画書!T75+CO2計算!I127*CO2データ!N169+CO2計算!I126*CO2データ!N168)/CO2データ!J96*1000</f>
        <v>0</v>
      </c>
      <c r="F85" s="1795" t="s">
        <v>643</v>
      </c>
    </row>
    <row r="86" spans="2:6">
      <c r="B86" s="1774"/>
      <c r="C86" s="1797" t="s">
        <v>1425</v>
      </c>
      <c r="D86" s="1793" t="s">
        <v>971</v>
      </c>
      <c r="E86" s="1911" t="e">
        <f>係数!D5*1000</f>
        <v>#VALUE!</v>
      </c>
      <c r="F86" s="1910" t="s">
        <v>1755</v>
      </c>
    </row>
    <row r="87" spans="2:6">
      <c r="B87" s="1774"/>
      <c r="C87" s="1788"/>
      <c r="D87" s="1793" t="s">
        <v>886</v>
      </c>
      <c r="E87" s="1911" t="e">
        <f>係数!J50*1000</f>
        <v>#VALUE!</v>
      </c>
      <c r="F87" s="1910" t="s">
        <v>868</v>
      </c>
    </row>
    <row r="88" spans="2:6">
      <c r="B88" s="1774"/>
      <c r="C88" s="1797" t="s">
        <v>1756</v>
      </c>
      <c r="D88" s="1914" t="s">
        <v>2177</v>
      </c>
      <c r="E88" s="1915" t="e">
        <f>E85*(E86-E87)</f>
        <v>#VALUE!</v>
      </c>
      <c r="F88" s="1910" t="s">
        <v>330</v>
      </c>
    </row>
    <row r="89" spans="2:6">
      <c r="B89" s="1827"/>
      <c r="C89" s="1827"/>
      <c r="D89" s="1916" t="s">
        <v>972</v>
      </c>
      <c r="E89" s="1917" t="e">
        <f>E88/E6</f>
        <v>#VALUE!</v>
      </c>
      <c r="F89" s="1858" t="s">
        <v>2212</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CC47" sheet="1" objects="1" scenarios="1"/>
  <mergeCells count="7">
    <mergeCell ref="D68:D71"/>
    <mergeCell ref="E68:E71"/>
    <mergeCell ref="F68:F71"/>
    <mergeCell ref="B4:C4"/>
    <mergeCell ref="B10:B33"/>
    <mergeCell ref="B68:B71"/>
    <mergeCell ref="C68:C71"/>
  </mergeCells>
  <phoneticPr fontId="21"/>
  <printOptions horizontalCentered="1"/>
  <pageMargins left="0.59055118110236227" right="0.59055118110236227" top="0.78740157480314965" bottom="0.59055118110236227" header="0.51181102362204722" footer="0.51181102362204722"/>
  <pageSetup paperSize="9" scale="64" fitToHeight="2" orientation="portrait" verticalDpi="300" r:id="rId1"/>
  <headerFooter alignWithMargins="0">
    <oddHeader>&amp;L&amp;F&amp;R&amp;A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sheetPr codeName="Sheet3">
    <pageSetUpPr fitToPage="1"/>
  </sheetPr>
  <dimension ref="A1:AU214"/>
  <sheetViews>
    <sheetView showGridLines="0" workbookViewId="0">
      <selection activeCell="Q1" sqref="Q1:Q1048576"/>
    </sheetView>
  </sheetViews>
  <sheetFormatPr defaultColWidth="0" defaultRowHeight="0" customHeight="1" zeroHeight="1"/>
  <cols>
    <col min="1" max="1" width="0.75" style="148" customWidth="1"/>
    <col min="2" max="2" width="2.125" style="166" customWidth="1"/>
    <col min="3" max="3" width="13.375" style="166" customWidth="1"/>
    <col min="4" max="4" width="5.375" style="167" customWidth="1"/>
    <col min="5" max="5" width="9.75" style="538" customWidth="1"/>
    <col min="6" max="6" width="6.25" style="512" customWidth="1"/>
    <col min="7" max="7" width="6.5" style="512" customWidth="1"/>
    <col min="8" max="8" width="13.125" style="512" customWidth="1"/>
    <col min="9" max="9" width="6.875" style="513" customWidth="1"/>
    <col min="10" max="10" width="12.125" style="513" customWidth="1"/>
    <col min="11" max="12" width="11.875" style="512" customWidth="1"/>
    <col min="13" max="13" width="11.75" style="515" customWidth="1"/>
    <col min="14" max="14" width="8.625" style="515" customWidth="1"/>
    <col min="15" max="15" width="11.5" style="515" customWidth="1"/>
    <col min="16" max="16" width="0.75" style="148" customWidth="1"/>
    <col min="17" max="17" width="3.875" style="148" hidden="1" customWidth="1"/>
    <col min="18" max="18" width="9.875" style="158" hidden="1" customWidth="1"/>
    <col min="19" max="19" width="9.875" style="524" hidden="1" customWidth="1"/>
    <col min="20" max="20" width="9.875" style="158" hidden="1" customWidth="1"/>
    <col min="21" max="21" width="9.125" style="158" hidden="1" customWidth="1"/>
    <col min="22" max="22" width="14.5" style="158" hidden="1" customWidth="1"/>
    <col min="23" max="23" width="11.125" style="158" hidden="1" customWidth="1"/>
    <col min="24" max="24" width="20.5" style="158" hidden="1" customWidth="1"/>
    <col min="25" max="25" width="18.625" style="158" hidden="1" customWidth="1"/>
    <col min="26" max="26" width="23" style="158" hidden="1" customWidth="1"/>
    <col min="27" max="27" width="4.5" style="158" hidden="1" customWidth="1"/>
    <col min="28" max="28" width="6.375" style="158" hidden="1" customWidth="1"/>
    <col min="29" max="29" width="6.375" style="498" hidden="1" customWidth="1"/>
    <col min="30" max="31" width="5" style="498" hidden="1" customWidth="1"/>
    <col min="32" max="32" width="5.125" style="498" hidden="1" customWidth="1"/>
    <col min="33" max="16384" width="9" style="498" hidden="1"/>
  </cols>
  <sheetData>
    <row r="1" spans="1:28" s="146" customFormat="1" ht="6" customHeight="1" thickBot="1">
      <c r="A1" s="138"/>
      <c r="B1" s="139"/>
      <c r="C1" s="140"/>
      <c r="D1" s="141"/>
      <c r="E1" s="142"/>
      <c r="F1" s="143"/>
      <c r="G1" s="143"/>
      <c r="H1" s="143"/>
      <c r="I1" s="144"/>
      <c r="J1" s="144"/>
      <c r="K1" s="143"/>
      <c r="L1" s="145"/>
      <c r="M1" s="142"/>
      <c r="N1" s="142"/>
      <c r="O1" s="138"/>
      <c r="P1" s="138"/>
      <c r="Q1" s="138"/>
      <c r="S1" s="147"/>
    </row>
    <row r="2" spans="1:28" s="158" customFormat="1" ht="18.75" customHeight="1" thickTop="1">
      <c r="A2" s="148"/>
      <c r="B2" s="149"/>
      <c r="C2" s="150"/>
      <c r="D2" s="151"/>
      <c r="E2" s="152"/>
      <c r="F2" s="153"/>
      <c r="G2" s="153"/>
      <c r="H2" s="153"/>
      <c r="I2" s="154"/>
      <c r="J2" s="155"/>
      <c r="K2" s="155"/>
      <c r="L2" s="155"/>
      <c r="M2" s="155"/>
      <c r="N2" s="153"/>
      <c r="O2" s="156"/>
      <c r="P2" s="148"/>
      <c r="Q2" s="3288" t="s">
        <v>1878</v>
      </c>
      <c r="R2" s="157"/>
      <c r="S2" s="157"/>
      <c r="T2" s="157"/>
      <c r="U2" s="157"/>
      <c r="V2" s="157"/>
      <c r="W2" s="157"/>
      <c r="X2" s="157"/>
      <c r="Y2" s="157"/>
      <c r="Z2" s="157"/>
      <c r="AA2" s="157"/>
      <c r="AB2" s="157"/>
    </row>
    <row r="3" spans="1:28" s="158" customFormat="1" ht="18.75" customHeight="1">
      <c r="A3" s="148"/>
      <c r="B3" s="149"/>
      <c r="C3" s="150"/>
      <c r="D3" s="151"/>
      <c r="E3" s="152"/>
      <c r="F3" s="153"/>
      <c r="G3" s="153"/>
      <c r="H3" s="153"/>
      <c r="I3" s="154"/>
      <c r="J3" s="155"/>
      <c r="K3" s="155"/>
      <c r="L3" s="155"/>
      <c r="M3" s="155"/>
      <c r="N3" s="153"/>
      <c r="O3" s="159"/>
      <c r="P3" s="148"/>
      <c r="Q3" s="3289"/>
      <c r="R3" s="157"/>
      <c r="S3" s="157"/>
      <c r="T3" s="157"/>
      <c r="U3" s="157"/>
      <c r="V3" s="157"/>
      <c r="W3" s="157"/>
      <c r="X3" s="157"/>
      <c r="Y3" s="157"/>
      <c r="Z3" s="157"/>
      <c r="AA3" s="157"/>
      <c r="AB3" s="157"/>
    </row>
    <row r="4" spans="1:28" s="158" customFormat="1" ht="29.25" customHeight="1">
      <c r="A4" s="148"/>
      <c r="B4" s="149"/>
      <c r="C4" s="150"/>
      <c r="D4" s="151"/>
      <c r="E4" s="152"/>
      <c r="F4" s="153"/>
      <c r="G4" s="153"/>
      <c r="H4" s="153"/>
      <c r="I4" s="160"/>
      <c r="J4" s="155"/>
      <c r="K4" s="155"/>
      <c r="L4" s="155"/>
      <c r="M4" s="155"/>
      <c r="N4" s="153"/>
      <c r="O4" s="156"/>
      <c r="P4" s="148"/>
      <c r="Q4" s="3289"/>
      <c r="R4" s="157"/>
      <c r="S4" s="157"/>
      <c r="T4" s="157"/>
      <c r="U4" s="157"/>
      <c r="V4" s="157"/>
      <c r="W4" s="157"/>
      <c r="X4" s="157"/>
      <c r="Y4" s="157"/>
      <c r="Z4" s="157"/>
      <c r="AA4" s="157"/>
      <c r="AB4" s="157"/>
    </row>
    <row r="5" spans="1:28" s="158" customFormat="1" ht="13.5" customHeight="1" thickBot="1">
      <c r="A5" s="148"/>
      <c r="B5" s="161"/>
      <c r="C5" s="162"/>
      <c r="D5" s="151"/>
      <c r="E5" s="152"/>
      <c r="F5" s="153"/>
      <c r="G5" s="153"/>
      <c r="H5" s="153"/>
      <c r="I5" s="163"/>
      <c r="J5" s="164" t="s">
        <v>1779</v>
      </c>
      <c r="K5" s="3291" t="str">
        <f>メイン!C6</f>
        <v>CASBEE京都-既存(2015年版)</v>
      </c>
      <c r="L5" s="3292"/>
      <c r="M5" s="164" t="s">
        <v>1879</v>
      </c>
      <c r="N5" s="3291" t="str">
        <f>メイン!C5</f>
        <v>CASBEE京都-既存2015(v.1.0)</v>
      </c>
      <c r="O5" s="3293"/>
      <c r="P5" s="148"/>
      <c r="Q5" s="3290"/>
      <c r="R5" s="157"/>
      <c r="S5" s="157"/>
      <c r="T5" s="157"/>
      <c r="U5" s="157"/>
      <c r="V5" s="157"/>
      <c r="W5" s="157"/>
      <c r="X5" s="157"/>
      <c r="Y5" s="157"/>
      <c r="Z5" s="157"/>
      <c r="AA5" s="157"/>
      <c r="AB5" s="157"/>
    </row>
    <row r="6" spans="1:28" s="158" customFormat="1" ht="6" customHeight="1" thickTop="1" thickBot="1">
      <c r="A6" s="148"/>
      <c r="B6" s="165"/>
      <c r="C6" s="166"/>
      <c r="D6" s="167"/>
      <c r="E6" s="168"/>
      <c r="F6" s="169"/>
      <c r="G6" s="169"/>
      <c r="H6" s="169"/>
      <c r="I6" s="170"/>
      <c r="J6" s="171"/>
      <c r="K6" s="171"/>
      <c r="L6" s="172"/>
      <c r="M6" s="168"/>
      <c r="N6" s="168"/>
      <c r="O6" s="168"/>
      <c r="P6" s="148"/>
      <c r="Q6" s="148"/>
      <c r="R6" s="157"/>
      <c r="S6" s="157"/>
      <c r="T6" s="157"/>
      <c r="U6" s="157"/>
      <c r="V6" s="157"/>
      <c r="W6" s="157"/>
      <c r="X6" s="157"/>
      <c r="Y6" s="157"/>
      <c r="Z6" s="157"/>
      <c r="AA6" s="157"/>
      <c r="AB6" s="157"/>
    </row>
    <row r="7" spans="1:28" s="158" customFormat="1" ht="19.5" customHeight="1" thickBot="1">
      <c r="A7" s="148"/>
      <c r="B7" s="173" t="s">
        <v>1880</v>
      </c>
      <c r="C7" s="174"/>
      <c r="D7" s="175"/>
      <c r="E7" s="174"/>
      <c r="F7" s="174"/>
      <c r="G7" s="174"/>
      <c r="H7" s="176"/>
      <c r="I7" s="177"/>
      <c r="J7" s="177"/>
      <c r="K7" s="177"/>
      <c r="L7" s="178" t="s">
        <v>1881</v>
      </c>
      <c r="M7" s="174"/>
      <c r="N7" s="174"/>
      <c r="O7" s="179"/>
      <c r="P7" s="148"/>
      <c r="Q7" s="148"/>
      <c r="R7" s="180" t="s">
        <v>1882</v>
      </c>
      <c r="S7" s="157"/>
      <c r="T7" s="157"/>
      <c r="U7" s="180" t="s">
        <v>1883</v>
      </c>
      <c r="V7" s="157"/>
      <c r="W7" s="157"/>
      <c r="X7" s="157"/>
      <c r="Y7" s="157"/>
      <c r="Z7" s="157"/>
      <c r="AA7" s="157"/>
      <c r="AB7" s="157"/>
    </row>
    <row r="8" spans="1:28" s="158" customFormat="1" ht="19.5" customHeight="1">
      <c r="A8" s="148"/>
      <c r="B8" s="181" t="s">
        <v>1884</v>
      </c>
      <c r="C8" s="182"/>
      <c r="D8" s="3328" t="str">
        <f>メイン!C11</f>
        <v>○○ビル</v>
      </c>
      <c r="E8" s="3329"/>
      <c r="F8" s="3329"/>
      <c r="G8" s="3330"/>
      <c r="H8" s="183" t="s">
        <v>1885</v>
      </c>
      <c r="I8" s="184"/>
      <c r="J8" s="3335" t="str">
        <f>メイン!C22</f>
        <v>地上○○F</v>
      </c>
      <c r="K8" s="3336"/>
      <c r="L8" s="185"/>
      <c r="M8" s="186"/>
      <c r="N8" s="186"/>
      <c r="O8" s="187"/>
      <c r="P8" s="148"/>
      <c r="Q8" s="148"/>
      <c r="R8" s="188" t="s">
        <v>2039</v>
      </c>
      <c r="S8" s="188" t="e">
        <f>スコア!AB8</f>
        <v>#DIV/0!</v>
      </c>
      <c r="T8" s="157"/>
      <c r="U8" s="189"/>
      <c r="V8" s="189" t="s">
        <v>1886</v>
      </c>
      <c r="W8" s="190" t="s">
        <v>2040</v>
      </c>
      <c r="X8" s="190">
        <v>4</v>
      </c>
      <c r="Y8" s="190">
        <v>2</v>
      </c>
      <c r="Z8" s="191" t="s">
        <v>2041</v>
      </c>
      <c r="AA8" s="192" t="s">
        <v>2042</v>
      </c>
      <c r="AB8" s="157"/>
    </row>
    <row r="9" spans="1:28" s="158" customFormat="1" ht="19.5" customHeight="1">
      <c r="A9" s="148"/>
      <c r="B9" s="193" t="s">
        <v>1888</v>
      </c>
      <c r="C9" s="194"/>
      <c r="D9" s="3325" t="str">
        <f>メイン!C12</f>
        <v>京都市○○区○○</v>
      </c>
      <c r="E9" s="3326"/>
      <c r="F9" s="3326"/>
      <c r="G9" s="3327"/>
      <c r="H9" s="196" t="s">
        <v>1889</v>
      </c>
      <c r="I9" s="197"/>
      <c r="J9" s="3333" t="str">
        <f>メイン!C23</f>
        <v>RC造</v>
      </c>
      <c r="K9" s="3334"/>
      <c r="L9" s="198"/>
      <c r="O9" s="199"/>
      <c r="P9" s="148"/>
      <c r="Q9" s="148"/>
      <c r="R9" s="188" t="s">
        <v>2043</v>
      </c>
      <c r="S9" s="188" t="e">
        <f>スコア!AB116</f>
        <v>#DIV/0!</v>
      </c>
      <c r="U9" s="200" t="s">
        <v>2044</v>
      </c>
      <c r="V9" s="189" t="s">
        <v>592</v>
      </c>
      <c r="W9" s="190">
        <v>5</v>
      </c>
      <c r="X9" s="190">
        <v>4</v>
      </c>
      <c r="Y9" s="190">
        <v>2</v>
      </c>
      <c r="Z9" s="201" t="e">
        <f>V45</f>
        <v>#DIV/0!</v>
      </c>
      <c r="AA9" s="192">
        <v>3</v>
      </c>
    </row>
    <row r="10" spans="1:28" s="158" customFormat="1" ht="18.75" customHeight="1">
      <c r="A10" s="148"/>
      <c r="B10" s="193" t="s">
        <v>253</v>
      </c>
      <c r="C10" s="202"/>
      <c r="D10" s="3322" t="str">
        <f>メイン!C14</f>
        <v>商業地域，防火地域</v>
      </c>
      <c r="E10" s="3323"/>
      <c r="F10" s="3323"/>
      <c r="G10" s="3324"/>
      <c r="H10" s="183" t="s">
        <v>1894</v>
      </c>
      <c r="I10" s="184"/>
      <c r="J10" s="2946" t="str">
        <f>メイン!C24</f>
        <v>XX</v>
      </c>
      <c r="K10" s="195" t="s">
        <v>1895</v>
      </c>
      <c r="L10" s="203"/>
      <c r="M10" s="204"/>
      <c r="N10" s="204"/>
      <c r="O10" s="205"/>
      <c r="P10" s="148"/>
      <c r="Q10" s="148"/>
      <c r="R10" s="191" t="s">
        <v>593</v>
      </c>
      <c r="S10" s="191" t="e">
        <f>25*(S8-1)</f>
        <v>#DIV/0!</v>
      </c>
      <c r="U10" s="200" t="s">
        <v>594</v>
      </c>
      <c r="V10" s="206" t="s">
        <v>1896</v>
      </c>
      <c r="W10" s="190">
        <v>5</v>
      </c>
      <c r="X10" s="190">
        <v>4</v>
      </c>
      <c r="Y10" s="190">
        <v>2</v>
      </c>
      <c r="Z10" s="201" t="e">
        <f>Y45</f>
        <v>#DIV/0!</v>
      </c>
      <c r="AA10" s="192">
        <v>3</v>
      </c>
    </row>
    <row r="11" spans="1:28" s="158" customFormat="1" ht="18.75" customHeight="1">
      <c r="A11" s="148"/>
      <c r="B11" s="207" t="s">
        <v>595</v>
      </c>
      <c r="C11" s="208"/>
      <c r="D11" s="3319" t="str">
        <f>IF(メイン!F12="","",メイン!F12)</f>
        <v>６地域</v>
      </c>
      <c r="E11" s="3320"/>
      <c r="F11" s="3320"/>
      <c r="G11" s="3321"/>
      <c r="H11" s="196" t="s">
        <v>1897</v>
      </c>
      <c r="I11" s="197"/>
      <c r="J11" s="2947" t="str">
        <f>メイン!C25</f>
        <v>XXX</v>
      </c>
      <c r="K11" s="209" t="s">
        <v>1898</v>
      </c>
      <c r="L11" s="203"/>
      <c r="M11" s="204"/>
      <c r="N11" s="204"/>
      <c r="O11" s="205"/>
      <c r="P11" s="148"/>
      <c r="Q11" s="148"/>
      <c r="R11" s="191" t="s">
        <v>1899</v>
      </c>
      <c r="S11" s="191" t="e">
        <f>25*(5-S9)</f>
        <v>#DIV/0!</v>
      </c>
      <c r="U11" s="200" t="s">
        <v>1484</v>
      </c>
      <c r="V11" s="210" t="s">
        <v>1900</v>
      </c>
      <c r="W11" s="190">
        <v>5</v>
      </c>
      <c r="X11" s="190">
        <v>4</v>
      </c>
      <c r="Y11" s="190">
        <v>2</v>
      </c>
      <c r="Z11" s="201" t="e">
        <f>Y56</f>
        <v>#DIV/0!</v>
      </c>
      <c r="AA11" s="192">
        <v>3</v>
      </c>
    </row>
    <row r="12" spans="1:28" s="158" customFormat="1" ht="18.75" customHeight="1">
      <c r="A12" s="148"/>
      <c r="B12" s="211" t="s">
        <v>1901</v>
      </c>
      <c r="C12" s="212"/>
      <c r="D12" s="3316" t="str">
        <f>メイン!C21</f>
        <v/>
      </c>
      <c r="E12" s="3317"/>
      <c r="F12" s="3317"/>
      <c r="G12" s="3318"/>
      <c r="H12" s="196" t="s">
        <v>1902</v>
      </c>
      <c r="I12" s="214"/>
      <c r="J12" s="3343" t="str">
        <f>IF(メイン!E39=0,"",メイン!E39&amp;"評価")</f>
        <v/>
      </c>
      <c r="K12" s="3344"/>
      <c r="L12" s="203"/>
      <c r="M12" s="215" t="s">
        <v>1903</v>
      </c>
      <c r="N12" s="204"/>
      <c r="O12" s="205"/>
      <c r="P12" s="148"/>
      <c r="Q12" s="148"/>
      <c r="R12" s="191" t="s">
        <v>1904</v>
      </c>
      <c r="S12" s="191" t="e">
        <f>S10/S11</f>
        <v>#DIV/0!</v>
      </c>
      <c r="U12" s="200" t="s">
        <v>2004</v>
      </c>
      <c r="V12" s="210" t="s">
        <v>1905</v>
      </c>
      <c r="W12" s="190">
        <v>5</v>
      </c>
      <c r="X12" s="190">
        <v>4</v>
      </c>
      <c r="Y12" s="190">
        <v>2</v>
      </c>
      <c r="Z12" s="201" t="e">
        <f>V56</f>
        <v>#DIV/0!</v>
      </c>
      <c r="AA12" s="192">
        <v>3</v>
      </c>
    </row>
    <row r="13" spans="1:28" s="158" customFormat="1" ht="18.75" customHeight="1">
      <c r="A13" s="148"/>
      <c r="B13" s="216" t="s">
        <v>476</v>
      </c>
      <c r="C13" s="217"/>
      <c r="D13" s="3299">
        <f>メイン!C15</f>
        <v>37773</v>
      </c>
      <c r="E13" s="3300"/>
      <c r="F13" s="218" t="str">
        <f>メイン!F15</f>
        <v>竣工</v>
      </c>
      <c r="G13" s="213"/>
      <c r="H13" s="183" t="s">
        <v>477</v>
      </c>
      <c r="I13" s="219"/>
      <c r="J13" s="3341">
        <f>IF(メイン!C39=0,"",メイン!C39)</f>
        <v>42193</v>
      </c>
      <c r="K13" s="3342"/>
      <c r="L13" s="203"/>
      <c r="M13" s="220" t="s">
        <v>2494</v>
      </c>
      <c r="N13" s="204"/>
      <c r="O13" s="205"/>
      <c r="P13" s="148"/>
      <c r="Q13" s="148"/>
      <c r="R13" s="200" t="s">
        <v>596</v>
      </c>
      <c r="S13" s="221" t="e">
        <f>ROUNDDOWN(S12,1)</f>
        <v>#DIV/0!</v>
      </c>
      <c r="U13" s="200" t="s">
        <v>597</v>
      </c>
      <c r="V13" s="210" t="s">
        <v>598</v>
      </c>
      <c r="W13" s="190">
        <v>5</v>
      </c>
      <c r="X13" s="190">
        <v>4</v>
      </c>
      <c r="Y13" s="190">
        <v>2</v>
      </c>
      <c r="Z13" s="201" t="e">
        <f>S56</f>
        <v>#DIV/0!</v>
      </c>
      <c r="AA13" s="192">
        <v>3</v>
      </c>
    </row>
    <row r="14" spans="1:28" s="158" customFormat="1" ht="18.75" customHeight="1">
      <c r="A14" s="148"/>
      <c r="B14" s="183" t="s">
        <v>478</v>
      </c>
      <c r="C14" s="222"/>
      <c r="D14" s="3325" t="str">
        <f>メイン!C17</f>
        <v>XXX</v>
      </c>
      <c r="E14" s="3326"/>
      <c r="F14" s="223" t="s">
        <v>599</v>
      </c>
      <c r="H14" s="183" t="s">
        <v>479</v>
      </c>
      <c r="I14" s="219"/>
      <c r="J14" s="3337" t="str">
        <f>IF(メイン!C40=0,"",メイン!C40)</f>
        <v>○○○</v>
      </c>
      <c r="K14" s="3338"/>
      <c r="L14" s="203"/>
      <c r="M14" s="220" t="s">
        <v>2495</v>
      </c>
      <c r="N14" s="204"/>
      <c r="O14" s="205"/>
      <c r="P14" s="148"/>
      <c r="Q14" s="148"/>
      <c r="S14" s="224"/>
      <c r="U14" s="200" t="s">
        <v>600</v>
      </c>
      <c r="V14" s="206" t="s">
        <v>480</v>
      </c>
      <c r="W14" s="190">
        <v>5</v>
      </c>
      <c r="X14" s="190">
        <v>4</v>
      </c>
      <c r="Y14" s="190">
        <v>2</v>
      </c>
      <c r="Z14" s="201" t="e">
        <f>IF(S45=0,1,S45)</f>
        <v>#DIV/0!</v>
      </c>
      <c r="AA14" s="192">
        <v>3</v>
      </c>
    </row>
    <row r="15" spans="1:28" s="158" customFormat="1" ht="18.75" customHeight="1">
      <c r="A15" s="148"/>
      <c r="B15" s="183" t="s">
        <v>481</v>
      </c>
      <c r="C15" s="222"/>
      <c r="D15" s="3322" t="str">
        <f>メイン!C18</f>
        <v>XXX</v>
      </c>
      <c r="E15" s="3323"/>
      <c r="F15" s="223" t="s">
        <v>601</v>
      </c>
      <c r="H15" s="183" t="s">
        <v>482</v>
      </c>
      <c r="I15" s="219"/>
      <c r="J15" s="3339">
        <f>IF(メイン!C41=0,"",メイン!C41)</f>
        <v>42195</v>
      </c>
      <c r="K15" s="3340"/>
      <c r="L15" s="203"/>
      <c r="M15" s="204"/>
      <c r="N15" s="204"/>
      <c r="O15" s="205"/>
      <c r="P15" s="148"/>
      <c r="Q15" s="148"/>
      <c r="R15" s="191" t="s">
        <v>483</v>
      </c>
      <c r="S15" s="225" t="e">
        <f>IF(AND($S$10&gt;=50,$S$12&gt;=3),1,IF(S13&lt;0.5,1,IF(S13&lt;1,2,IF(S13&lt;1.5,3,IF(S13&lt;3,4,4))))/5)</f>
        <v>#DIV/0!</v>
      </c>
      <c r="V15" s="226"/>
      <c r="Z15" s="226"/>
    </row>
    <row r="16" spans="1:28" s="158" customFormat="1" ht="18" customHeight="1" thickBot="1">
      <c r="A16" s="148"/>
      <c r="B16" s="183" t="s">
        <v>484</v>
      </c>
      <c r="C16" s="222"/>
      <c r="D16" s="3331">
        <f>メイン!J66</f>
        <v>0</v>
      </c>
      <c r="E16" s="3332"/>
      <c r="F16" s="227" t="s">
        <v>599</v>
      </c>
      <c r="H16" s="183" t="s">
        <v>485</v>
      </c>
      <c r="I16" s="219"/>
      <c r="J16" s="3337" t="str">
        <f>IF(メイン!C42=0,"",メイン!C42)</f>
        <v>○○○</v>
      </c>
      <c r="K16" s="3338"/>
      <c r="L16" s="228"/>
      <c r="M16" s="229"/>
      <c r="N16" s="229"/>
      <c r="O16" s="230"/>
      <c r="P16" s="148"/>
      <c r="Q16" s="148"/>
      <c r="R16" s="191" t="s">
        <v>486</v>
      </c>
      <c r="S16" s="231" t="e">
        <f>1-S15</f>
        <v>#DIV/0!</v>
      </c>
      <c r="T16" s="226"/>
      <c r="U16" s="232"/>
      <c r="V16" s="226"/>
      <c r="W16" s="226"/>
      <c r="X16" s="226"/>
      <c r="Y16" s="226"/>
      <c r="Z16" s="226"/>
      <c r="AA16" s="226"/>
      <c r="AB16" s="226"/>
    </row>
    <row r="17" spans="1:28" s="158" customFormat="1" ht="15" hidden="1" thickBot="1">
      <c r="A17" s="148"/>
      <c r="B17" s="233" t="s">
        <v>487</v>
      </c>
      <c r="L17" s="234" t="s">
        <v>488</v>
      </c>
      <c r="M17" s="235" t="s">
        <v>489</v>
      </c>
      <c r="O17" s="199"/>
      <c r="P17" s="148"/>
      <c r="Q17" s="148"/>
      <c r="R17" s="226"/>
      <c r="S17" s="226"/>
      <c r="T17" s="226"/>
      <c r="U17" s="226"/>
      <c r="V17" s="226"/>
      <c r="W17" s="226"/>
      <c r="X17" s="226"/>
      <c r="Y17" s="226"/>
      <c r="Z17" s="226"/>
      <c r="AA17" s="226"/>
      <c r="AB17" s="226"/>
    </row>
    <row r="18" spans="1:28" s="158" customFormat="1" ht="15" hidden="1" thickBot="1">
      <c r="A18" s="148"/>
      <c r="B18" s="233" t="s">
        <v>490</v>
      </c>
      <c r="C18" s="236"/>
      <c r="F18" s="237"/>
      <c r="G18" s="237"/>
      <c r="L18" s="238"/>
      <c r="M18" s="235" t="s">
        <v>491</v>
      </c>
      <c r="N18" s="237"/>
      <c r="O18" s="239"/>
      <c r="P18" s="148"/>
      <c r="Q18" s="148"/>
      <c r="R18" s="240"/>
      <c r="S18" s="241"/>
      <c r="T18" s="226"/>
      <c r="U18" s="226"/>
      <c r="V18" s="241"/>
      <c r="W18" s="242"/>
      <c r="X18" s="226"/>
      <c r="Y18" s="226"/>
      <c r="Z18" s="226"/>
      <c r="AA18" s="226"/>
      <c r="AB18" s="226"/>
    </row>
    <row r="19" spans="1:28" s="158" customFormat="1" ht="15" hidden="1" thickBot="1">
      <c r="A19" s="148"/>
      <c r="B19" s="243" t="s">
        <v>492</v>
      </c>
      <c r="C19" s="184"/>
      <c r="F19" s="237"/>
      <c r="G19" s="237"/>
      <c r="L19" s="238"/>
      <c r="M19" s="235" t="s">
        <v>493</v>
      </c>
      <c r="N19" s="237"/>
      <c r="O19" s="239"/>
      <c r="P19" s="148"/>
      <c r="Q19" s="148"/>
      <c r="R19" s="240"/>
      <c r="S19" s="241"/>
      <c r="T19" s="226"/>
      <c r="U19" s="226"/>
      <c r="V19" s="241"/>
      <c r="W19" s="242"/>
      <c r="X19" s="226"/>
      <c r="Y19" s="226"/>
      <c r="Z19" s="226"/>
      <c r="AA19" s="226"/>
      <c r="AB19" s="226"/>
    </row>
    <row r="20" spans="1:28" s="158" customFormat="1" ht="15" hidden="1" thickBot="1">
      <c r="A20" s="148"/>
      <c r="B20" s="243" t="s">
        <v>494</v>
      </c>
      <c r="C20" s="202"/>
      <c r="D20" s="244"/>
      <c r="E20" s="244"/>
      <c r="F20" s="245"/>
      <c r="G20" s="245"/>
      <c r="L20" s="246"/>
      <c r="M20" s="247" t="s">
        <v>495</v>
      </c>
      <c r="N20" s="245"/>
      <c r="O20" s="248"/>
      <c r="P20" s="148"/>
      <c r="Q20" s="148"/>
      <c r="R20" s="240"/>
      <c r="S20" s="241"/>
      <c r="T20" s="226"/>
      <c r="U20" s="226"/>
      <c r="V20" s="241"/>
      <c r="W20" s="242"/>
      <c r="X20" s="226"/>
      <c r="Y20" s="226"/>
      <c r="Z20" s="226"/>
      <c r="AA20" s="226"/>
      <c r="AB20" s="226"/>
    </row>
    <row r="21" spans="1:28" s="158" customFormat="1" ht="6.75" customHeight="1" thickBot="1">
      <c r="A21" s="148"/>
      <c r="B21" s="249"/>
      <c r="C21" s="250"/>
      <c r="D21" s="249"/>
      <c r="E21" s="251"/>
      <c r="F21" s="251"/>
      <c r="G21" s="251"/>
      <c r="H21" s="251"/>
      <c r="I21" s="252"/>
      <c r="J21" s="253"/>
      <c r="K21" s="254"/>
      <c r="L21" s="251"/>
      <c r="M21" s="251"/>
      <c r="N21" s="251"/>
      <c r="O21" s="251"/>
      <c r="P21" s="148"/>
      <c r="Q21" s="148"/>
      <c r="R21" s="240"/>
      <c r="S21" s="241"/>
      <c r="T21" s="226"/>
      <c r="U21" s="226"/>
      <c r="V21" s="241"/>
      <c r="W21" s="242"/>
      <c r="X21" s="226"/>
      <c r="Y21" s="226"/>
      <c r="Z21" s="226"/>
      <c r="AA21" s="226"/>
      <c r="AB21" s="226"/>
    </row>
    <row r="22" spans="1:28" s="158" customFormat="1" ht="19.5" thickBot="1">
      <c r="A22" s="148"/>
      <c r="B22" s="255" t="s">
        <v>496</v>
      </c>
      <c r="C22" s="256"/>
      <c r="D22" s="257"/>
      <c r="E22" s="258"/>
      <c r="F22" s="258"/>
      <c r="G22" s="258"/>
      <c r="H22" s="259" t="s">
        <v>497</v>
      </c>
      <c r="I22" s="260"/>
      <c r="J22" s="261"/>
      <c r="K22" s="261"/>
      <c r="L22" s="262" t="s">
        <v>498</v>
      </c>
      <c r="M22" s="256"/>
      <c r="N22" s="257"/>
      <c r="O22" s="258"/>
      <c r="P22" s="148"/>
      <c r="Q22" s="148"/>
      <c r="R22" s="191" t="s">
        <v>602</v>
      </c>
      <c r="S22" s="189" t="s">
        <v>499</v>
      </c>
      <c r="T22" s="189" t="s">
        <v>500</v>
      </c>
      <c r="U22" s="189" t="s">
        <v>501</v>
      </c>
      <c r="AB22" s="226"/>
    </row>
    <row r="23" spans="1:28" s="158" customFormat="1" ht="15" customHeight="1">
      <c r="A23" s="148"/>
      <c r="B23" s="198"/>
      <c r="H23" s="263"/>
      <c r="I23" s="264"/>
      <c r="J23" s="251"/>
      <c r="K23" s="265"/>
      <c r="L23" s="266"/>
      <c r="M23" s="267"/>
      <c r="N23" s="267"/>
      <c r="O23" s="268"/>
      <c r="R23" s="191" t="s">
        <v>502</v>
      </c>
      <c r="S23" s="201"/>
      <c r="T23" s="269" t="e">
        <f>S11</f>
        <v>#DIV/0!</v>
      </c>
      <c r="U23" s="201">
        <v>0</v>
      </c>
      <c r="V23" s="226"/>
      <c r="W23" s="189" t="s">
        <v>503</v>
      </c>
      <c r="X23" s="189"/>
      <c r="Y23" s="226"/>
      <c r="Z23" s="189" t="s">
        <v>504</v>
      </c>
      <c r="AA23" s="189"/>
      <c r="AB23" s="226"/>
    </row>
    <row r="24" spans="1:28" s="158" customFormat="1" ht="15" customHeight="1">
      <c r="A24" s="148"/>
      <c r="B24" s="270"/>
      <c r="C24" s="271" t="e">
        <f>S13</f>
        <v>#DIV/0!</v>
      </c>
      <c r="H24" s="272"/>
      <c r="I24" s="273"/>
      <c r="J24" s="274"/>
      <c r="K24" s="275"/>
      <c r="L24" s="276"/>
      <c r="M24" s="267"/>
      <c r="N24" s="267"/>
      <c r="O24" s="268"/>
      <c r="R24" s="191" t="s">
        <v>505</v>
      </c>
      <c r="S24" s="201"/>
      <c r="T24" s="269" t="e">
        <f>S10</f>
        <v>#DIV/0!</v>
      </c>
      <c r="U24" s="201">
        <v>0</v>
      </c>
      <c r="V24" s="226"/>
      <c r="W24" s="201">
        <v>50</v>
      </c>
      <c r="X24" s="201">
        <v>50</v>
      </c>
      <c r="Y24" s="226"/>
      <c r="Z24" s="201">
        <v>0</v>
      </c>
      <c r="AA24" s="201">
        <v>100</v>
      </c>
      <c r="AB24" s="226"/>
    </row>
    <row r="25" spans="1:28" s="158" customFormat="1" ht="15" customHeight="1">
      <c r="A25" s="148"/>
      <c r="B25" s="198"/>
      <c r="H25" s="272"/>
      <c r="J25" s="274"/>
      <c r="K25" s="275"/>
      <c r="L25" s="276"/>
      <c r="M25" s="267"/>
      <c r="N25" s="267"/>
      <c r="O25" s="268"/>
      <c r="R25" s="201">
        <v>0</v>
      </c>
      <c r="S25" s="189" t="e">
        <f>T23</f>
        <v>#DIV/0!</v>
      </c>
      <c r="T25" s="277" t="e">
        <f>T23</f>
        <v>#DIV/0!</v>
      </c>
      <c r="U25" s="189">
        <v>0.1</v>
      </c>
      <c r="V25" s="226"/>
      <c r="W25" s="201">
        <v>0</v>
      </c>
      <c r="X25" s="201">
        <v>100</v>
      </c>
      <c r="Y25" s="226"/>
      <c r="Z25" s="201">
        <v>50</v>
      </c>
      <c r="AA25" s="201">
        <v>50</v>
      </c>
      <c r="AB25" s="226"/>
    </row>
    <row r="26" spans="1:28" s="158" customFormat="1" ht="15" customHeight="1">
      <c r="A26" s="148"/>
      <c r="B26" s="278"/>
      <c r="C26" s="279"/>
      <c r="D26" s="279"/>
      <c r="E26" s="279"/>
      <c r="F26" s="279"/>
      <c r="G26" s="279"/>
      <c r="H26" s="280"/>
      <c r="I26" s="281"/>
      <c r="J26" s="282"/>
      <c r="K26" s="283"/>
      <c r="L26" s="284"/>
      <c r="M26" s="267"/>
      <c r="N26" s="186"/>
      <c r="O26" s="268"/>
      <c r="R26" s="201">
        <v>0</v>
      </c>
      <c r="S26" s="189">
        <v>0</v>
      </c>
      <c r="T26" s="189" t="e">
        <f>T24</f>
        <v>#DIV/0!</v>
      </c>
      <c r="U26" s="285" t="e">
        <f>T24</f>
        <v>#DIV/0!</v>
      </c>
      <c r="V26" s="226"/>
      <c r="W26" s="226"/>
      <c r="X26" s="226"/>
      <c r="Y26" s="226"/>
      <c r="Z26" s="226"/>
      <c r="AA26" s="226"/>
      <c r="AB26" s="226"/>
    </row>
    <row r="27" spans="1:28" s="158" customFormat="1" ht="15" customHeight="1">
      <c r="A27" s="148"/>
      <c r="B27" s="198"/>
      <c r="H27" s="286" t="str">
        <f>U35</f>
        <v>標準計算</v>
      </c>
      <c r="J27" s="274"/>
      <c r="K27" s="274"/>
      <c r="L27" s="198"/>
      <c r="O27" s="199"/>
      <c r="V27" s="226"/>
      <c r="W27" s="226"/>
      <c r="X27" s="226"/>
      <c r="Y27" s="226"/>
      <c r="Z27" s="226"/>
      <c r="AA27" s="226"/>
      <c r="AB27" s="226"/>
    </row>
    <row r="28" spans="1:28" s="158" customFormat="1" ht="15" customHeight="1">
      <c r="A28" s="148"/>
      <c r="B28" s="198"/>
      <c r="H28" s="198"/>
      <c r="J28" s="274"/>
      <c r="K28" s="275"/>
      <c r="L28" s="287"/>
      <c r="M28" s="288"/>
      <c r="N28" s="289"/>
      <c r="O28" s="290"/>
      <c r="R28" s="291" t="s">
        <v>603</v>
      </c>
      <c r="S28" s="189" t="s">
        <v>604</v>
      </c>
      <c r="T28" s="292">
        <v>0</v>
      </c>
      <c r="U28" s="292">
        <f>100/6</f>
        <v>16.666666666666668</v>
      </c>
      <c r="V28" s="293">
        <f>U28*2</f>
        <v>33.333333333333336</v>
      </c>
      <c r="W28" s="292">
        <f>U28*3</f>
        <v>50</v>
      </c>
      <c r="X28" s="292">
        <f>U28*4</f>
        <v>66.666666666666671</v>
      </c>
      <c r="Y28" s="292">
        <f>U28*5</f>
        <v>83.333333333333343</v>
      </c>
      <c r="Z28" s="292">
        <v>100</v>
      </c>
      <c r="AA28" s="226"/>
      <c r="AB28" s="226"/>
    </row>
    <row r="29" spans="1:28" s="158" customFormat="1" ht="15" customHeight="1">
      <c r="A29" s="148"/>
      <c r="B29" s="198"/>
      <c r="H29" s="198"/>
      <c r="J29" s="274"/>
      <c r="K29" s="275"/>
      <c r="L29" s="287"/>
      <c r="M29" s="288"/>
      <c r="N29" s="289"/>
      <c r="O29" s="290"/>
      <c r="R29" s="291"/>
      <c r="S29" s="189" t="s">
        <v>605</v>
      </c>
      <c r="T29" s="292">
        <v>100</v>
      </c>
      <c r="U29" s="292">
        <v>100</v>
      </c>
      <c r="V29" s="292">
        <v>100</v>
      </c>
      <c r="W29" s="292">
        <v>100</v>
      </c>
      <c r="X29" s="292">
        <v>100</v>
      </c>
      <c r="Y29" s="292">
        <v>100</v>
      </c>
      <c r="Z29" s="292">
        <v>100</v>
      </c>
      <c r="AA29" s="226"/>
      <c r="AB29" s="226"/>
    </row>
    <row r="30" spans="1:28" s="158" customFormat="1" ht="15" customHeight="1">
      <c r="A30" s="148"/>
      <c r="B30" s="198"/>
      <c r="H30" s="198"/>
      <c r="J30" s="274"/>
      <c r="K30" s="275"/>
      <c r="L30" s="294"/>
      <c r="M30" s="295"/>
      <c r="N30" s="296"/>
      <c r="O30" s="297"/>
      <c r="R30" s="291">
        <v>3</v>
      </c>
      <c r="S30" s="189" t="s">
        <v>606</v>
      </c>
      <c r="T30" s="292">
        <v>50</v>
      </c>
      <c r="U30" s="292">
        <f t="shared" ref="U30:V33" si="0">U$28*$R30</f>
        <v>50</v>
      </c>
      <c r="V30" s="292">
        <f t="shared" si="0"/>
        <v>100</v>
      </c>
      <c r="W30" s="292">
        <v>100</v>
      </c>
      <c r="X30" s="292">
        <v>100</v>
      </c>
      <c r="Y30" s="292">
        <v>100</v>
      </c>
      <c r="Z30" s="292">
        <v>100</v>
      </c>
      <c r="AA30" s="226"/>
      <c r="AB30" s="226"/>
    </row>
    <row r="31" spans="1:28" s="158" customFormat="1" ht="15" customHeight="1">
      <c r="A31" s="148"/>
      <c r="B31" s="198"/>
      <c r="H31" s="198"/>
      <c r="J31" s="274"/>
      <c r="K31" s="275"/>
      <c r="L31" s="287"/>
      <c r="M31" s="288"/>
      <c r="N31" s="289"/>
      <c r="O31" s="290"/>
      <c r="R31" s="291">
        <v>1.5</v>
      </c>
      <c r="S31" s="189" t="s">
        <v>607</v>
      </c>
      <c r="T31" s="292">
        <v>0</v>
      </c>
      <c r="U31" s="292">
        <f t="shared" si="0"/>
        <v>25</v>
      </c>
      <c r="V31" s="292">
        <f t="shared" si="0"/>
        <v>50</v>
      </c>
      <c r="W31" s="292">
        <f t="shared" ref="W31:X33" si="1">W$28*$R31</f>
        <v>75</v>
      </c>
      <c r="X31" s="292">
        <f t="shared" si="1"/>
        <v>100</v>
      </c>
      <c r="Y31" s="292">
        <v>100</v>
      </c>
      <c r="Z31" s="292">
        <v>100</v>
      </c>
      <c r="AA31" s="226"/>
      <c r="AB31" s="226"/>
    </row>
    <row r="32" spans="1:28" s="158" customFormat="1" ht="15" customHeight="1">
      <c r="A32" s="148"/>
      <c r="B32" s="198"/>
      <c r="H32" s="198"/>
      <c r="J32" s="274"/>
      <c r="K32" s="275"/>
      <c r="L32" s="287"/>
      <c r="M32" s="288"/>
      <c r="N32" s="289"/>
      <c r="O32" s="290"/>
      <c r="R32" s="291">
        <v>1</v>
      </c>
      <c r="S32" s="189" t="s">
        <v>608</v>
      </c>
      <c r="T32" s="292">
        <v>0</v>
      </c>
      <c r="U32" s="292">
        <f t="shared" si="0"/>
        <v>16.666666666666668</v>
      </c>
      <c r="V32" s="292">
        <f t="shared" si="0"/>
        <v>33.333333333333336</v>
      </c>
      <c r="W32" s="292">
        <f t="shared" si="1"/>
        <v>50</v>
      </c>
      <c r="X32" s="292">
        <f t="shared" si="1"/>
        <v>66.666666666666671</v>
      </c>
      <c r="Y32" s="292">
        <f>Y$28*$R32</f>
        <v>83.333333333333343</v>
      </c>
      <c r="Z32" s="292">
        <f>Z$28*$R32</f>
        <v>100</v>
      </c>
      <c r="AA32" s="226"/>
      <c r="AB32" s="226"/>
    </row>
    <row r="33" spans="1:35" s="158" customFormat="1" ht="15" customHeight="1">
      <c r="A33" s="148"/>
      <c r="B33" s="198"/>
      <c r="H33" s="198"/>
      <c r="J33" s="274"/>
      <c r="K33" s="275"/>
      <c r="L33" s="287"/>
      <c r="M33" s="288"/>
      <c r="N33" s="289"/>
      <c r="O33" s="290"/>
      <c r="R33" s="291">
        <v>0.5</v>
      </c>
      <c r="S33" s="189" t="s">
        <v>609</v>
      </c>
      <c r="T33" s="292">
        <v>0</v>
      </c>
      <c r="U33" s="292">
        <f t="shared" si="0"/>
        <v>8.3333333333333339</v>
      </c>
      <c r="V33" s="292">
        <f t="shared" si="0"/>
        <v>16.666666666666668</v>
      </c>
      <c r="W33" s="292">
        <f t="shared" si="1"/>
        <v>25</v>
      </c>
      <c r="X33" s="292">
        <f t="shared" si="1"/>
        <v>33.333333333333336</v>
      </c>
      <c r="Y33" s="292">
        <f>Y$28*$R33</f>
        <v>41.666666666666671</v>
      </c>
      <c r="Z33" s="292">
        <f>Z$28*$R33</f>
        <v>50</v>
      </c>
      <c r="AA33" s="226"/>
      <c r="AB33" s="226"/>
    </row>
    <row r="34" spans="1:35" s="158" customFormat="1" ht="15" customHeight="1">
      <c r="A34" s="148"/>
      <c r="B34" s="198"/>
      <c r="H34" s="272"/>
      <c r="I34" s="273"/>
      <c r="J34" s="274"/>
      <c r="K34" s="275"/>
      <c r="L34" s="287"/>
      <c r="M34" s="267"/>
      <c r="N34" s="267"/>
      <c r="O34" s="268"/>
      <c r="R34" s="298"/>
      <c r="S34" s="232"/>
      <c r="T34" s="299"/>
      <c r="U34" s="299"/>
      <c r="V34" s="299"/>
      <c r="W34" s="299"/>
      <c r="X34" s="299"/>
      <c r="Y34" s="299"/>
      <c r="Z34" s="299"/>
      <c r="AA34" s="226"/>
      <c r="AB34" s="226"/>
    </row>
    <row r="35" spans="1:35" s="158" customFormat="1" ht="15" customHeight="1">
      <c r="A35" s="237"/>
      <c r="B35" s="198"/>
      <c r="H35" s="300"/>
      <c r="I35" s="301"/>
      <c r="J35" s="301"/>
      <c r="K35" s="302"/>
      <c r="L35" s="287"/>
      <c r="M35" s="267"/>
      <c r="N35" s="303"/>
      <c r="O35" s="268"/>
      <c r="R35" s="191" t="s">
        <v>610</v>
      </c>
      <c r="S35" s="225" t="e">
        <f>IF(T35&lt;=0.3,1,IF(T35&lt;=0.6,0.8,IF(T35&lt;=0.8,0.6,IF(T35&lt;=1,0.4,0.2))))</f>
        <v>#DIV/0!</v>
      </c>
      <c r="T35" s="299" t="e">
        <f>IF(U35=W35,X41,X42)</f>
        <v>#DIV/0!</v>
      </c>
      <c r="U35" s="304" t="str">
        <f>メイン!C43</f>
        <v>標準計算</v>
      </c>
      <c r="V35" s="305" t="s">
        <v>611</v>
      </c>
      <c r="W35" s="304" t="s">
        <v>342</v>
      </c>
      <c r="X35" s="304" t="s">
        <v>2807</v>
      </c>
      <c r="Y35" s="299"/>
      <c r="Z35" s="299"/>
      <c r="AA35" s="226"/>
      <c r="AB35" s="226"/>
    </row>
    <row r="36" spans="1:35" s="158" customFormat="1" ht="15" customHeight="1">
      <c r="A36" s="237"/>
      <c r="B36" s="198"/>
      <c r="H36" s="3309" t="str">
        <f>IF(U35=W35,X35,X36)</f>
        <v>このグラフは，LR3中の「地球温暖化への配慮」の内容を，一般的な建物（参照値）と比べたライフサイクルCO2 排出量の目安で示したものです</v>
      </c>
      <c r="I36" s="3310"/>
      <c r="J36" s="3310"/>
      <c r="K36" s="3311"/>
      <c r="L36" s="287"/>
      <c r="M36" s="267"/>
      <c r="N36" s="306"/>
      <c r="O36" s="268"/>
      <c r="R36" s="191" t="s">
        <v>1185</v>
      </c>
      <c r="S36" s="231" t="e">
        <f>1-S35</f>
        <v>#DIV/0!</v>
      </c>
      <c r="T36" s="299"/>
      <c r="U36" s="304" t="s">
        <v>1743</v>
      </c>
      <c r="V36" s="299" t="str">
        <f>IF(U35=W36,V35,"")</f>
        <v/>
      </c>
      <c r="W36" s="304" t="s">
        <v>344</v>
      </c>
      <c r="X36" s="304" t="s">
        <v>2808</v>
      </c>
      <c r="Y36" s="299"/>
      <c r="Z36" s="299"/>
      <c r="AA36" s="226"/>
      <c r="AB36" s="226"/>
    </row>
    <row r="37" spans="1:35" s="158" customFormat="1" ht="15" customHeight="1">
      <c r="A37" s="237"/>
      <c r="B37" s="198"/>
      <c r="C37" s="307"/>
      <c r="H37" s="3309"/>
      <c r="I37" s="3310"/>
      <c r="J37" s="3310"/>
      <c r="K37" s="3311"/>
      <c r="L37" s="284"/>
      <c r="M37" s="308"/>
      <c r="N37" s="267"/>
      <c r="O37" s="268"/>
      <c r="AA37" s="226"/>
      <c r="AB37" s="226"/>
    </row>
    <row r="38" spans="1:35" s="158" customFormat="1" ht="15" customHeight="1" thickBot="1">
      <c r="A38" s="237"/>
      <c r="B38" s="309"/>
      <c r="C38" s="244"/>
      <c r="D38" s="244"/>
      <c r="E38" s="244"/>
      <c r="F38" s="244"/>
      <c r="G38" s="244"/>
      <c r="H38" s="3312"/>
      <c r="I38" s="3313"/>
      <c r="J38" s="3313"/>
      <c r="K38" s="3314"/>
      <c r="L38" s="310"/>
      <c r="M38" s="311"/>
      <c r="N38" s="312"/>
      <c r="O38" s="313"/>
      <c r="R38" s="314" t="s">
        <v>1186</v>
      </c>
      <c r="S38" s="315" t="s">
        <v>571</v>
      </c>
      <c r="T38" s="315" t="s">
        <v>572</v>
      </c>
      <c r="U38" s="315" t="s">
        <v>573</v>
      </c>
      <c r="V38" s="315" t="s">
        <v>1187</v>
      </c>
      <c r="W38" s="315" t="s">
        <v>1188</v>
      </c>
      <c r="X38" s="315" t="s">
        <v>1189</v>
      </c>
      <c r="Y38" s="188" t="s">
        <v>1190</v>
      </c>
      <c r="AA38" s="304"/>
    </row>
    <row r="39" spans="1:35" s="158" customFormat="1" ht="18" customHeight="1" thickBot="1">
      <c r="A39" s="148"/>
      <c r="B39" s="316" t="s">
        <v>1191</v>
      </c>
      <c r="C39" s="317"/>
      <c r="D39" s="318"/>
      <c r="E39" s="317"/>
      <c r="F39" s="317"/>
      <c r="G39" s="317"/>
      <c r="H39" s="319"/>
      <c r="I39" s="320"/>
      <c r="J39" s="317"/>
      <c r="K39" s="317"/>
      <c r="L39" s="317"/>
      <c r="M39" s="321"/>
      <c r="N39" s="321"/>
      <c r="O39" s="322"/>
      <c r="P39" s="148"/>
      <c r="Q39" s="148"/>
      <c r="R39" s="188" t="s">
        <v>574</v>
      </c>
      <c r="S39" s="323" t="e">
        <f>IF($U$35=$W$35,'条件(標準)'!$D9,'条件(個別)'!$D9)</f>
        <v>#DIV/0!</v>
      </c>
      <c r="T39" s="323" t="e">
        <f>IF($U$35=$W$35,'条件(標準)'!$D34,'条件(個別)'!$D34)</f>
        <v>#DIV/0!</v>
      </c>
      <c r="U39" s="323">
        <f>IF($U$35=$W$35,'条件(標準)'!$D46,'条件(個別)'!$D46)</f>
        <v>0</v>
      </c>
      <c r="V39" s="324"/>
      <c r="W39" s="324"/>
      <c r="X39" s="325">
        <v>1</v>
      </c>
      <c r="Y39" s="188" t="e">
        <f>IF(COUNTIF(S39:W39,Z40)&gt;0,Z40,SUM(S39:W39))</f>
        <v>#DIV/0!</v>
      </c>
      <c r="AA39" s="326"/>
    </row>
    <row r="40" spans="1:35" s="158" customFormat="1" ht="18.75">
      <c r="A40" s="148"/>
      <c r="B40" s="327" t="s">
        <v>575</v>
      </c>
      <c r="C40" s="328"/>
      <c r="D40" s="328"/>
      <c r="E40" s="329"/>
      <c r="F40" s="328"/>
      <c r="G40" s="328"/>
      <c r="H40" s="328"/>
      <c r="I40" s="328"/>
      <c r="J40" s="328"/>
      <c r="K40" s="330"/>
      <c r="L40" s="331"/>
      <c r="M40" s="332" t="s">
        <v>576</v>
      </c>
      <c r="N40" s="333" t="e">
        <f>スコア!S8</f>
        <v>#DIV/0!</v>
      </c>
      <c r="O40" s="334"/>
      <c r="P40" s="148"/>
      <c r="Q40" s="148"/>
      <c r="R40" s="188" t="s">
        <v>577</v>
      </c>
      <c r="S40" s="323" t="e">
        <f>IF($U$35=$W$35,'条件(標準)'!$E9,'条件(個別)'!$E9)</f>
        <v>#DIV/0!</v>
      </c>
      <c r="T40" s="323" t="e">
        <f>IF($U$35=$W$35,'条件(標準)'!$E34,'条件(個別)'!$E34)</f>
        <v>#DIV/0!</v>
      </c>
      <c r="U40" s="323">
        <f>IF($U$35=$W$35,'条件(標準)'!$E46,'条件(個別)'!$E46)</f>
        <v>0</v>
      </c>
      <c r="V40" s="324"/>
      <c r="W40" s="324"/>
      <c r="X40" s="325" t="e">
        <f>IF(OR(Y39=Z40,Y40=Z40),Z40,Y40/Y39)</f>
        <v>#DIV/0!</v>
      </c>
      <c r="Y40" s="188" t="e">
        <f>IF(COUNTIF(S40:W40,Z40)&gt;0,Z40,SUM(S40:W40))</f>
        <v>#DIV/0!</v>
      </c>
      <c r="Z40" s="158" t="str">
        <f>CO2計算!R115</f>
        <v>N.A.</v>
      </c>
      <c r="AA40" s="326"/>
    </row>
    <row r="41" spans="1:35" s="158" customFormat="1" ht="15">
      <c r="A41" s="148"/>
      <c r="B41" s="198"/>
      <c r="C41" s="335" t="str">
        <f>スコア!B9&amp;" "&amp;スコア!C9</f>
        <v>Q1 室内環境</v>
      </c>
      <c r="D41" s="336"/>
      <c r="E41" s="336"/>
      <c r="F41" s="336"/>
      <c r="G41" s="336"/>
      <c r="H41" s="336" t="str">
        <f>"     "&amp;スコア!B61&amp;" "&amp;スコア!C61</f>
        <v xml:space="preserve">     Q2 サービス性能</v>
      </c>
      <c r="I41" s="336"/>
      <c r="J41" s="237"/>
      <c r="K41" s="237"/>
      <c r="L41" s="337" t="str">
        <f>スコア!B109&amp;" "&amp;スコア!C109</f>
        <v>Q3 室外環境（敷地内）</v>
      </c>
      <c r="M41" s="337"/>
      <c r="N41" s="237"/>
      <c r="O41" s="239"/>
      <c r="P41" s="148"/>
      <c r="Q41" s="148"/>
      <c r="R41" s="188" t="s">
        <v>578</v>
      </c>
      <c r="S41" s="323"/>
      <c r="T41" s="323"/>
      <c r="U41" s="323"/>
      <c r="V41" s="338" t="e">
        <f>IF($U$35=$W$35,'条件(標準)'!E9+'条件(標準)'!E34+'条件(標準)'!E47,'条件(個別)'!E9+'条件(個別)'!E34+'条件(個別)'!E47)</f>
        <v>#DIV/0!</v>
      </c>
      <c r="W41" s="324"/>
      <c r="X41" s="325" t="e">
        <f>IF(OR(Y39=Z41,Y41=Z41),Z41,Y41/Y39)</f>
        <v>#DIV/0!</v>
      </c>
      <c r="Y41" s="188" t="e">
        <f>IF(COUNTIF(S41:W41,Z41)&gt;0,Z41,SUM(S41:W41))</f>
        <v>#DIV/0!</v>
      </c>
      <c r="Z41" s="158" t="str">
        <f>CO2計算!R115</f>
        <v>N.A.</v>
      </c>
      <c r="AA41" s="326"/>
    </row>
    <row r="42" spans="1:35" s="158" customFormat="1" ht="15" customHeight="1">
      <c r="A42" s="148"/>
      <c r="B42" s="198"/>
      <c r="C42" s="339"/>
      <c r="D42" s="340"/>
      <c r="E42" s="341"/>
      <c r="G42" s="336" t="e">
        <f>S45</f>
        <v>#DIV/0!</v>
      </c>
      <c r="I42" s="341"/>
      <c r="K42" s="336" t="e">
        <f>V45</f>
        <v>#DIV/0!</v>
      </c>
      <c r="M42" s="342"/>
      <c r="N42" s="341"/>
      <c r="O42" s="343" t="e">
        <f>Y45</f>
        <v>#DIV/0!</v>
      </c>
      <c r="P42" s="148"/>
      <c r="Q42" s="148"/>
      <c r="R42" s="188" t="s">
        <v>579</v>
      </c>
      <c r="S42" s="323"/>
      <c r="T42" s="323"/>
      <c r="U42" s="323"/>
      <c r="V42" s="338"/>
      <c r="W42" s="344" t="e">
        <f>IF($U$35=$W$35,'条件(標準)'!E9+'条件(標準)'!E34+'条件(標準)'!E52,'条件(個別)'!E9+'条件(個別)'!E34+'条件(個別)'!E52)</f>
        <v>#DIV/0!</v>
      </c>
      <c r="X42" s="325" t="e">
        <f>IF(OR(Y39=Z42,Y42=Z42),Z42,Y42/Y39)</f>
        <v>#DIV/0!</v>
      </c>
      <c r="Y42" s="188" t="e">
        <f>IF(COUNTIF(S42:W42,Z42)&gt;0,Z42,SUM(S42:W42))</f>
        <v>#DIV/0!</v>
      </c>
      <c r="Z42" s="158" t="str">
        <f>CO2計算!R115</f>
        <v>N.A.</v>
      </c>
      <c r="AA42" s="326"/>
    </row>
    <row r="43" spans="1:35" s="158" customFormat="1" ht="15" customHeight="1">
      <c r="A43" s="148"/>
      <c r="B43" s="198"/>
      <c r="G43" s="169"/>
      <c r="H43" s="169"/>
      <c r="I43" s="170"/>
      <c r="J43" s="170"/>
      <c r="K43" s="169"/>
      <c r="L43" s="237"/>
      <c r="M43" s="237"/>
      <c r="N43" s="237"/>
      <c r="O43" s="239"/>
      <c r="P43" s="148"/>
      <c r="Q43" s="148"/>
      <c r="AA43" s="226"/>
      <c r="AB43" s="226"/>
      <c r="AC43" s="345"/>
      <c r="AF43" s="345"/>
      <c r="AG43" s="345"/>
      <c r="AI43" s="345"/>
    </row>
    <row r="44" spans="1:35" s="158" customFormat="1" ht="15" customHeight="1">
      <c r="A44" s="148"/>
      <c r="B44" s="198"/>
      <c r="G44" s="169"/>
      <c r="H44" s="169"/>
      <c r="I44" s="170"/>
      <c r="J44" s="170"/>
      <c r="K44" s="169"/>
      <c r="L44" s="237"/>
      <c r="M44" s="237"/>
      <c r="N44" s="237"/>
      <c r="O44" s="239"/>
      <c r="P44" s="148"/>
      <c r="Q44" s="148"/>
      <c r="R44" s="191"/>
      <c r="S44" s="191" t="s">
        <v>1887</v>
      </c>
      <c r="T44" s="191" t="s">
        <v>580</v>
      </c>
      <c r="U44" s="191"/>
      <c r="V44" s="191" t="s">
        <v>1887</v>
      </c>
      <c r="W44" s="191" t="s">
        <v>580</v>
      </c>
      <c r="X44" s="191"/>
      <c r="Y44" s="191" t="s">
        <v>1887</v>
      </c>
      <c r="Z44" s="191" t="s">
        <v>580</v>
      </c>
      <c r="AA44" s="226"/>
      <c r="AB44" s="226"/>
    </row>
    <row r="45" spans="1:35" s="158" customFormat="1" ht="15" customHeight="1">
      <c r="A45" s="148"/>
      <c r="B45" s="198"/>
      <c r="G45" s="169"/>
      <c r="H45" s="169"/>
      <c r="I45" s="170"/>
      <c r="J45" s="170"/>
      <c r="K45" s="169"/>
      <c r="L45" s="237"/>
      <c r="M45" s="237"/>
      <c r="N45" s="237"/>
      <c r="O45" s="239"/>
      <c r="P45" s="148"/>
      <c r="Q45" s="148"/>
      <c r="R45" s="346" t="s">
        <v>753</v>
      </c>
      <c r="S45" s="347" t="e">
        <f>スコア!S9</f>
        <v>#DIV/0!</v>
      </c>
      <c r="T45" s="191" t="e">
        <f>スコア!AB9</f>
        <v>#DIV/0!</v>
      </c>
      <c r="U45" s="189" t="s">
        <v>1192</v>
      </c>
      <c r="V45" s="348" t="e">
        <f>スコア!S61</f>
        <v>#DIV/0!</v>
      </c>
      <c r="W45" s="191" t="e">
        <f>スコア!AB61</f>
        <v>#DIV/0!</v>
      </c>
      <c r="X45" s="346" t="s">
        <v>754</v>
      </c>
      <c r="Y45" s="348" t="e">
        <f>スコア!S109</f>
        <v>#DIV/0!</v>
      </c>
      <c r="Z45" s="191" t="e">
        <f>スコア!AB109</f>
        <v>#DIV/0!</v>
      </c>
      <c r="AA45" s="226"/>
      <c r="AB45" s="226"/>
    </row>
    <row r="46" spans="1:35" s="158" customFormat="1" ht="15" customHeight="1">
      <c r="A46" s="148"/>
      <c r="B46" s="198"/>
      <c r="G46" s="169"/>
      <c r="H46" s="169"/>
      <c r="I46" s="170"/>
      <c r="J46" s="170"/>
      <c r="K46" s="169"/>
      <c r="L46" s="237"/>
      <c r="M46" s="237"/>
      <c r="N46" s="237"/>
      <c r="O46" s="239"/>
      <c r="P46" s="148"/>
      <c r="Q46" s="148"/>
      <c r="AA46" s="226"/>
      <c r="AB46" s="226"/>
    </row>
    <row r="47" spans="1:35" s="158" customFormat="1" ht="15" customHeight="1">
      <c r="A47" s="148"/>
      <c r="B47" s="198"/>
      <c r="G47" s="169"/>
      <c r="H47" s="169"/>
      <c r="I47" s="170"/>
      <c r="J47" s="170"/>
      <c r="K47" s="169"/>
      <c r="L47" s="237"/>
      <c r="M47" s="237"/>
      <c r="N47" s="237"/>
      <c r="O47" s="239"/>
      <c r="P47" s="148"/>
      <c r="Q47" s="148"/>
      <c r="R47" s="191"/>
      <c r="S47" s="191" t="s">
        <v>1193</v>
      </c>
      <c r="T47" s="191" t="s">
        <v>1194</v>
      </c>
      <c r="U47" s="191"/>
      <c r="V47" s="191" t="s">
        <v>1193</v>
      </c>
      <c r="W47" s="191" t="s">
        <v>1194</v>
      </c>
      <c r="X47" s="191"/>
      <c r="Y47" s="349" t="s">
        <v>1193</v>
      </c>
      <c r="Z47" s="191" t="s">
        <v>1194</v>
      </c>
      <c r="AA47" s="226"/>
      <c r="AB47" s="226"/>
    </row>
    <row r="48" spans="1:35" s="158" customFormat="1" ht="15" customHeight="1">
      <c r="A48" s="148"/>
      <c r="B48" s="198"/>
      <c r="G48" s="350"/>
      <c r="H48" s="350"/>
      <c r="I48" s="170"/>
      <c r="J48" s="170"/>
      <c r="K48" s="169"/>
      <c r="L48" s="237"/>
      <c r="M48" s="237"/>
      <c r="N48" s="237"/>
      <c r="O48" s="239"/>
      <c r="P48" s="148"/>
      <c r="Q48" s="148"/>
      <c r="R48" s="351" t="s">
        <v>755</v>
      </c>
      <c r="S48" s="347" t="e">
        <f>スコア!S10</f>
        <v>#DIV/0!</v>
      </c>
      <c r="T48" s="191" t="e">
        <f>IF(S48=0,"N.A.","")</f>
        <v>#DIV/0!</v>
      </c>
      <c r="U48" s="189" t="s">
        <v>756</v>
      </c>
      <c r="V48" s="348" t="e">
        <f>スコア!S62</f>
        <v>#DIV/0!</v>
      </c>
      <c r="W48" s="191" t="e">
        <f t="shared" ref="W48:W50" si="2">IF(V48=0,"N.A.","")</f>
        <v>#DIV/0!</v>
      </c>
      <c r="X48" s="351" t="s">
        <v>757</v>
      </c>
      <c r="Y48" s="348">
        <f>スコア!S110</f>
        <v>3</v>
      </c>
      <c r="Z48" s="191" t="str">
        <f t="shared" ref="Z48:Z50" si="3">IF(Y48=0,"N.A.","")</f>
        <v/>
      </c>
      <c r="AA48" s="226"/>
      <c r="AB48" s="226"/>
    </row>
    <row r="49" spans="1:28" s="158" customFormat="1" ht="15" customHeight="1">
      <c r="A49" s="237"/>
      <c r="B49" s="198"/>
      <c r="G49" s="350"/>
      <c r="H49" s="350"/>
      <c r="I49" s="170"/>
      <c r="J49" s="170"/>
      <c r="K49" s="169"/>
      <c r="L49" s="237"/>
      <c r="M49" s="237"/>
      <c r="N49" s="237"/>
      <c r="O49" s="239"/>
      <c r="P49" s="237"/>
      <c r="Q49" s="148"/>
      <c r="R49" s="351" t="s">
        <v>758</v>
      </c>
      <c r="S49" s="347" t="e">
        <f>スコア!S20</f>
        <v>#DIV/0!</v>
      </c>
      <c r="T49" s="191" t="e">
        <f t="shared" ref="T49:T51" si="4">IF(S49=0,"N.A.","")</f>
        <v>#DIV/0!</v>
      </c>
      <c r="U49" s="189" t="s">
        <v>759</v>
      </c>
      <c r="V49" s="348" t="e">
        <f>スコア!S75</f>
        <v>#DIV/0!</v>
      </c>
      <c r="W49" s="191" t="e">
        <f t="shared" si="2"/>
        <v>#DIV/0!</v>
      </c>
      <c r="X49" s="351" t="s">
        <v>1195</v>
      </c>
      <c r="Y49" s="348">
        <f>スコア!S111</f>
        <v>3</v>
      </c>
      <c r="Z49" s="191" t="str">
        <f t="shared" si="3"/>
        <v/>
      </c>
      <c r="AA49" s="226"/>
      <c r="AB49" s="226"/>
    </row>
    <row r="50" spans="1:28" s="158" customFormat="1" ht="15" customHeight="1">
      <c r="A50" s="237"/>
      <c r="B50" s="198"/>
      <c r="G50" s="352"/>
      <c r="H50" s="353"/>
      <c r="I50" s="354"/>
      <c r="J50" s="354"/>
      <c r="K50" s="355"/>
      <c r="L50" s="356"/>
      <c r="M50" s="356"/>
      <c r="N50" s="356"/>
      <c r="O50" s="357"/>
      <c r="P50" s="237"/>
      <c r="Q50" s="148"/>
      <c r="R50" s="351" t="s">
        <v>760</v>
      </c>
      <c r="S50" s="347" t="e">
        <f>スコア!S34</f>
        <v>#DIV/0!</v>
      </c>
      <c r="T50" s="191" t="e">
        <f t="shared" si="4"/>
        <v>#DIV/0!</v>
      </c>
      <c r="U50" s="189" t="s">
        <v>761</v>
      </c>
      <c r="V50" s="348" t="e">
        <f>スコア!S97</f>
        <v>#DIV/0!</v>
      </c>
      <c r="W50" s="191" t="e">
        <f t="shared" si="2"/>
        <v>#DIV/0!</v>
      </c>
      <c r="X50" s="351" t="s">
        <v>57</v>
      </c>
      <c r="Y50" s="348" t="e">
        <f>スコア!S112</f>
        <v>#DIV/0!</v>
      </c>
      <c r="Z50" s="191" t="e">
        <f t="shared" si="3"/>
        <v>#DIV/0!</v>
      </c>
      <c r="AA50" s="226"/>
      <c r="AB50" s="226"/>
    </row>
    <row r="51" spans="1:28" s="158" customFormat="1" ht="18" customHeight="1">
      <c r="A51" s="358"/>
      <c r="B51" s="359" t="s">
        <v>1196</v>
      </c>
      <c r="C51" s="360"/>
      <c r="D51" s="361"/>
      <c r="E51" s="360"/>
      <c r="F51" s="360"/>
      <c r="G51" s="360"/>
      <c r="H51" s="328"/>
      <c r="I51" s="328"/>
      <c r="J51" s="328"/>
      <c r="K51" s="330"/>
      <c r="L51" s="331"/>
      <c r="M51" s="332" t="s">
        <v>1197</v>
      </c>
      <c r="N51" s="362" t="e">
        <f>スコア!S116</f>
        <v>#DIV/0!</v>
      </c>
      <c r="O51" s="334"/>
      <c r="P51" s="148"/>
      <c r="Q51" s="148"/>
      <c r="R51" s="351" t="s">
        <v>58</v>
      </c>
      <c r="S51" s="347" t="e">
        <f>スコア!S47</f>
        <v>#DIV/0!</v>
      </c>
      <c r="T51" s="191" t="e">
        <f t="shared" si="4"/>
        <v>#DIV/0!</v>
      </c>
      <c r="U51" s="226"/>
      <c r="V51" s="226"/>
      <c r="W51" s="226"/>
      <c r="X51" s="226"/>
      <c r="Y51" s="226"/>
      <c r="Z51" s="226"/>
      <c r="AA51" s="226"/>
      <c r="AB51" s="226"/>
    </row>
    <row r="52" spans="1:28" s="158" customFormat="1" ht="15">
      <c r="A52" s="148"/>
      <c r="B52" s="363"/>
      <c r="C52" s="337" t="str">
        <f>スコア!B117&amp;" "&amp;スコア!C117</f>
        <v>LR1 エネルギー</v>
      </c>
      <c r="D52" s="337"/>
      <c r="E52" s="364"/>
      <c r="F52" s="337"/>
      <c r="G52" s="337"/>
      <c r="H52" s="337" t="str">
        <f>"     "&amp;スコア!B140&amp;" "&amp;スコア!C140</f>
        <v xml:space="preserve">     LR2 資源・マテリアル</v>
      </c>
      <c r="I52" s="337"/>
      <c r="J52" s="337"/>
      <c r="K52" s="337"/>
      <c r="L52" s="335" t="str">
        <f>スコア!B159&amp;" "&amp;スコア!C159</f>
        <v>LR3 敷地外環境</v>
      </c>
      <c r="M52" s="337"/>
      <c r="N52" s="337"/>
      <c r="O52" s="365"/>
      <c r="P52" s="148"/>
      <c r="Q52" s="148"/>
      <c r="R52" s="226"/>
      <c r="S52" s="226"/>
      <c r="T52" s="191"/>
      <c r="U52" s="226"/>
      <c r="V52" s="226"/>
      <c r="W52" s="226"/>
      <c r="X52" s="226"/>
      <c r="Y52" s="226"/>
      <c r="Z52" s="226"/>
      <c r="AA52" s="226"/>
      <c r="AB52" s="226"/>
    </row>
    <row r="53" spans="1:28" s="158" customFormat="1" ht="15">
      <c r="A53" s="237"/>
      <c r="B53" s="366"/>
      <c r="C53" s="339"/>
      <c r="D53" s="340"/>
      <c r="E53" s="341"/>
      <c r="G53" s="336" t="e">
        <f>S56</f>
        <v>#DIV/0!</v>
      </c>
      <c r="I53" s="341"/>
      <c r="K53" s="336" t="e">
        <f>V56</f>
        <v>#DIV/0!</v>
      </c>
      <c r="L53" s="341"/>
      <c r="N53" s="367"/>
      <c r="O53" s="343" t="e">
        <f>Y56</f>
        <v>#DIV/0!</v>
      </c>
      <c r="P53" s="237"/>
      <c r="Q53" s="148"/>
      <c r="R53" s="226" t="e">
        <f>IF(S48=0,"N.A.","")</f>
        <v>#DIV/0!</v>
      </c>
      <c r="S53" s="226"/>
      <c r="T53" s="226"/>
      <c r="U53" s="226"/>
      <c r="V53" s="226"/>
      <c r="W53" s="226"/>
      <c r="X53" s="226"/>
      <c r="Y53" s="226"/>
      <c r="Z53" s="226"/>
      <c r="AA53" s="226"/>
      <c r="AB53" s="226"/>
    </row>
    <row r="54" spans="1:28" s="158" customFormat="1" ht="14.25">
      <c r="A54" s="237"/>
      <c r="B54" s="366"/>
      <c r="C54" s="368"/>
      <c r="D54" s="368"/>
      <c r="E54" s="369"/>
      <c r="F54" s="352"/>
      <c r="G54" s="352"/>
      <c r="H54" s="352"/>
      <c r="I54" s="170"/>
      <c r="J54" s="170"/>
      <c r="K54" s="169"/>
      <c r="L54" s="169"/>
      <c r="M54" s="186"/>
      <c r="N54" s="186"/>
      <c r="O54" s="187"/>
      <c r="P54" s="237"/>
      <c r="Q54" s="148"/>
      <c r="AA54" s="226"/>
      <c r="AB54" s="226"/>
    </row>
    <row r="55" spans="1:28" s="158" customFormat="1" ht="15.75" customHeight="1">
      <c r="A55" s="148"/>
      <c r="B55" s="366"/>
      <c r="C55" s="186"/>
      <c r="D55" s="370"/>
      <c r="E55" s="168"/>
      <c r="F55" s="169"/>
      <c r="G55" s="169"/>
      <c r="H55" s="169"/>
      <c r="I55" s="371"/>
      <c r="J55" s="170"/>
      <c r="K55" s="169"/>
      <c r="L55" s="169"/>
      <c r="M55" s="186"/>
      <c r="N55" s="186"/>
      <c r="O55" s="187"/>
      <c r="P55" s="148"/>
      <c r="Q55" s="148"/>
      <c r="R55" s="191"/>
      <c r="S55" s="191" t="s">
        <v>1198</v>
      </c>
      <c r="T55" s="191" t="s">
        <v>1199</v>
      </c>
      <c r="U55" s="191"/>
      <c r="V55" s="191" t="s">
        <v>1198</v>
      </c>
      <c r="W55" s="191" t="s">
        <v>1199</v>
      </c>
      <c r="X55" s="191"/>
      <c r="Y55" s="191" t="s">
        <v>1198</v>
      </c>
      <c r="Z55" s="191" t="s">
        <v>1199</v>
      </c>
      <c r="AA55" s="226"/>
      <c r="AB55" s="226"/>
    </row>
    <row r="56" spans="1:28" s="158" customFormat="1" ht="15.75" customHeight="1">
      <c r="A56" s="148"/>
      <c r="B56" s="366"/>
      <c r="C56" s="166"/>
      <c r="D56" s="167"/>
      <c r="E56" s="168"/>
      <c r="F56" s="169"/>
      <c r="G56" s="169"/>
      <c r="H56" s="169"/>
      <c r="I56" s="371"/>
      <c r="J56" s="170"/>
      <c r="K56" s="169"/>
      <c r="L56" s="169"/>
      <c r="M56" s="186"/>
      <c r="N56" s="186"/>
      <c r="O56" s="187"/>
      <c r="P56" s="148"/>
      <c r="Q56" s="148"/>
      <c r="R56" s="189" t="s">
        <v>1200</v>
      </c>
      <c r="S56" s="348" t="e">
        <f>スコア!S117</f>
        <v>#DIV/0!</v>
      </c>
      <c r="T56" s="191" t="e">
        <f>スコア!AB117</f>
        <v>#DIV/0!</v>
      </c>
      <c r="U56" s="189" t="s">
        <v>59</v>
      </c>
      <c r="V56" s="372" t="e">
        <f>スコア!S140</f>
        <v>#DIV/0!</v>
      </c>
      <c r="W56" s="191" t="e">
        <f>スコア!AB140</f>
        <v>#DIV/0!</v>
      </c>
      <c r="X56" s="189" t="s">
        <v>2001</v>
      </c>
      <c r="Y56" s="348" t="e">
        <f>スコア!S159</f>
        <v>#DIV/0!</v>
      </c>
      <c r="Z56" s="191" t="e">
        <f>スコア!AB159</f>
        <v>#DIV/0!</v>
      </c>
      <c r="AA56" s="226"/>
      <c r="AB56" s="226"/>
    </row>
    <row r="57" spans="1:28" s="158" customFormat="1" ht="15.75" customHeight="1">
      <c r="A57" s="148"/>
      <c r="B57" s="373"/>
      <c r="C57" s="166"/>
      <c r="D57" s="167"/>
      <c r="E57" s="168"/>
      <c r="F57" s="169"/>
      <c r="G57" s="169"/>
      <c r="H57" s="169"/>
      <c r="I57" s="371"/>
      <c r="J57" s="170"/>
      <c r="K57" s="169"/>
      <c r="L57" s="169"/>
      <c r="M57" s="186"/>
      <c r="N57" s="186"/>
      <c r="O57" s="187"/>
      <c r="P57" s="148"/>
      <c r="Q57" s="148"/>
      <c r="Y57" s="374"/>
      <c r="AA57" s="226"/>
      <c r="AB57" s="226"/>
    </row>
    <row r="58" spans="1:28" s="158" customFormat="1" ht="15.75" customHeight="1">
      <c r="A58" s="148"/>
      <c r="B58" s="373"/>
      <c r="C58" s="166"/>
      <c r="D58" s="167"/>
      <c r="E58" s="168"/>
      <c r="F58" s="169"/>
      <c r="G58" s="169"/>
      <c r="H58" s="169"/>
      <c r="I58" s="371"/>
      <c r="J58" s="170"/>
      <c r="K58" s="169"/>
      <c r="L58" s="169"/>
      <c r="M58" s="186"/>
      <c r="N58" s="186"/>
      <c r="O58" s="187"/>
      <c r="P58" s="148"/>
      <c r="Q58" s="148"/>
      <c r="R58" s="191"/>
      <c r="S58" s="191" t="s">
        <v>1201</v>
      </c>
      <c r="T58" s="191" t="s">
        <v>1202</v>
      </c>
      <c r="U58" s="191"/>
      <c r="V58" s="191" t="s">
        <v>1201</v>
      </c>
      <c r="W58" s="191" t="s">
        <v>1202</v>
      </c>
      <c r="X58" s="191"/>
      <c r="Y58" s="349" t="s">
        <v>1201</v>
      </c>
      <c r="Z58" s="191" t="s">
        <v>1202</v>
      </c>
      <c r="AA58" s="226"/>
      <c r="AB58" s="226"/>
    </row>
    <row r="59" spans="1:28" s="158" customFormat="1" ht="15.75" customHeight="1">
      <c r="A59" s="148"/>
      <c r="B59" s="373"/>
      <c r="C59" s="166"/>
      <c r="D59" s="167"/>
      <c r="E59" s="168"/>
      <c r="F59" s="169"/>
      <c r="G59" s="169"/>
      <c r="H59" s="169"/>
      <c r="I59" s="371"/>
      <c r="J59" s="170"/>
      <c r="K59" s="169"/>
      <c r="L59" s="169"/>
      <c r="M59" s="186"/>
      <c r="N59" s="186"/>
      <c r="O59" s="187"/>
      <c r="P59" s="148"/>
      <c r="Q59" s="148"/>
      <c r="R59" s="189" t="s">
        <v>2002</v>
      </c>
      <c r="S59" s="375">
        <f>スコア!S118</f>
        <v>0</v>
      </c>
      <c r="T59" s="191" t="str">
        <f t="shared" ref="T59:T62" si="5">IF(S59=0,"N.A.","")</f>
        <v>N.A.</v>
      </c>
      <c r="U59" s="376" t="s">
        <v>2003</v>
      </c>
      <c r="V59" s="348" t="e">
        <f>スコア!S141</f>
        <v>#DIV/0!</v>
      </c>
      <c r="W59" s="191" t="e">
        <f t="shared" ref="W59:W61" si="6">IF(V59=0,"N.A.","")</f>
        <v>#DIV/0!</v>
      </c>
      <c r="X59" s="189" t="s">
        <v>2213</v>
      </c>
      <c r="Y59" s="348" t="e">
        <f>スコア!S160</f>
        <v>#DIV/0!</v>
      </c>
      <c r="Z59" s="191" t="e">
        <f>IF(Y59=0,"N.A.","")</f>
        <v>#DIV/0!</v>
      </c>
      <c r="AA59" s="226"/>
      <c r="AB59" s="226"/>
    </row>
    <row r="60" spans="1:28" s="158" customFormat="1" ht="15.75" customHeight="1">
      <c r="A60" s="148"/>
      <c r="B60" s="373"/>
      <c r="C60" s="166"/>
      <c r="D60" s="167"/>
      <c r="E60" s="168"/>
      <c r="F60" s="169"/>
      <c r="G60" s="169"/>
      <c r="H60" s="169"/>
      <c r="I60" s="371"/>
      <c r="J60" s="170"/>
      <c r="K60" s="169"/>
      <c r="L60" s="169"/>
      <c r="M60" s="186"/>
      <c r="N60" s="186"/>
      <c r="O60" s="187"/>
      <c r="P60" s="148"/>
      <c r="Q60" s="148"/>
      <c r="R60" s="189" t="s">
        <v>2214</v>
      </c>
      <c r="S60" s="375" t="e">
        <f>スコア!S119</f>
        <v>#DIV/0!</v>
      </c>
      <c r="T60" s="191" t="e">
        <f t="shared" si="5"/>
        <v>#DIV/0!</v>
      </c>
      <c r="U60" s="376" t="s">
        <v>2215</v>
      </c>
      <c r="V60" s="348" t="e">
        <f>スコア!S146</f>
        <v>#DIV/0!</v>
      </c>
      <c r="W60" s="191" t="e">
        <f t="shared" si="6"/>
        <v>#DIV/0!</v>
      </c>
      <c r="X60" s="189" t="s">
        <v>2216</v>
      </c>
      <c r="Y60" s="348" t="e">
        <f>スコア!S161</f>
        <v>#DIV/0!</v>
      </c>
      <c r="Z60" s="191" t="e">
        <f t="shared" ref="Z60:Z61" si="7">IF(Y60=0,"N.A.","")</f>
        <v>#DIV/0!</v>
      </c>
      <c r="AA60" s="226"/>
      <c r="AB60" s="226"/>
    </row>
    <row r="61" spans="1:28" s="158" customFormat="1" ht="15.75" customHeight="1" thickBot="1">
      <c r="A61" s="148"/>
      <c r="B61" s="377"/>
      <c r="C61" s="378"/>
      <c r="D61" s="379"/>
      <c r="E61" s="378"/>
      <c r="F61" s="380"/>
      <c r="G61" s="380"/>
      <c r="H61" s="380"/>
      <c r="I61" s="381"/>
      <c r="J61" s="245"/>
      <c r="K61" s="245"/>
      <c r="L61" s="245"/>
      <c r="M61" s="382"/>
      <c r="N61" s="382"/>
      <c r="O61" s="383"/>
      <c r="P61" s="148"/>
      <c r="Q61" s="148"/>
      <c r="R61" s="189" t="s">
        <v>2217</v>
      </c>
      <c r="S61" s="375" t="e">
        <f>スコア!S124</f>
        <v>#DIV/0!</v>
      </c>
      <c r="T61" s="191" t="e">
        <f t="shared" si="5"/>
        <v>#DIV/0!</v>
      </c>
      <c r="U61" s="384" t="s">
        <v>2218</v>
      </c>
      <c r="V61" s="385" t="e">
        <f>スコア!S153</f>
        <v>#DIV/0!</v>
      </c>
      <c r="W61" s="191" t="e">
        <f t="shared" si="6"/>
        <v>#DIV/0!</v>
      </c>
      <c r="X61" s="189" t="s">
        <v>2219</v>
      </c>
      <c r="Y61" s="348" t="e">
        <f>スコア!S169</f>
        <v>#DIV/0!</v>
      </c>
      <c r="Z61" s="191" t="e">
        <f t="shared" si="7"/>
        <v>#DIV/0!</v>
      </c>
      <c r="AA61" s="226"/>
      <c r="AB61" s="226"/>
    </row>
    <row r="62" spans="1:28" s="158" customFormat="1" ht="6" customHeight="1" thickBot="1">
      <c r="A62" s="148"/>
      <c r="B62" s="386"/>
      <c r="C62" s="371"/>
      <c r="D62" s="387"/>
      <c r="E62" s="168"/>
      <c r="F62" s="169"/>
      <c r="G62" s="169"/>
      <c r="H62" s="169"/>
      <c r="I62" s="170"/>
      <c r="J62" s="170"/>
      <c r="K62" s="169"/>
      <c r="L62" s="169"/>
      <c r="M62" s="186"/>
      <c r="N62" s="186"/>
      <c r="O62" s="186"/>
      <c r="P62" s="148"/>
      <c r="Q62" s="237"/>
      <c r="R62" s="189" t="s">
        <v>2220</v>
      </c>
      <c r="S62" s="375" t="e">
        <f>スコア!S133</f>
        <v>#DIV/0!</v>
      </c>
      <c r="T62" s="191" t="e">
        <f t="shared" si="5"/>
        <v>#DIV/0!</v>
      </c>
      <c r="U62" s="226"/>
      <c r="V62" s="388"/>
      <c r="W62" s="388"/>
      <c r="X62" s="388"/>
      <c r="Y62" s="388"/>
      <c r="Z62" s="388"/>
      <c r="AA62" s="226"/>
      <c r="AB62" s="226"/>
    </row>
    <row r="63" spans="1:28" s="158" customFormat="1" ht="15.75">
      <c r="A63" s="148"/>
      <c r="B63" s="255" t="s">
        <v>2221</v>
      </c>
      <c r="C63" s="389"/>
      <c r="D63" s="390"/>
      <c r="E63" s="389"/>
      <c r="F63" s="389"/>
      <c r="G63" s="389"/>
      <c r="H63" s="391"/>
      <c r="I63" s="392"/>
      <c r="J63" s="389"/>
      <c r="K63" s="389"/>
      <c r="L63" s="389"/>
      <c r="M63" s="393"/>
      <c r="N63" s="393"/>
      <c r="O63" s="394"/>
      <c r="P63" s="148"/>
      <c r="Q63" s="237"/>
      <c r="R63" s="226"/>
      <c r="S63" s="226"/>
      <c r="T63" s="226"/>
      <c r="U63" s="226"/>
      <c r="V63" s="388"/>
      <c r="W63" s="388"/>
      <c r="X63" s="388"/>
      <c r="Y63" s="388"/>
      <c r="Z63" s="388"/>
      <c r="AA63" s="226"/>
      <c r="AB63" s="226"/>
    </row>
    <row r="64" spans="1:28" s="158" customFormat="1" ht="14.25">
      <c r="A64" s="148"/>
      <c r="B64" s="395" t="s">
        <v>2222</v>
      </c>
      <c r="C64" s="396"/>
      <c r="D64" s="397"/>
      <c r="E64" s="396"/>
      <c r="F64" s="396"/>
      <c r="G64" s="396"/>
      <c r="H64" s="396"/>
      <c r="I64" s="396"/>
      <c r="J64" s="396"/>
      <c r="K64" s="398"/>
      <c r="L64" s="399" t="s">
        <v>2223</v>
      </c>
      <c r="M64" s="400"/>
      <c r="N64" s="400"/>
      <c r="O64" s="401"/>
      <c r="P64" s="148"/>
      <c r="Q64" s="237"/>
      <c r="R64" s="402"/>
      <c r="S64" s="226"/>
      <c r="T64" s="226"/>
      <c r="U64" s="226"/>
      <c r="V64" s="388"/>
      <c r="W64" s="388"/>
      <c r="X64" s="388"/>
      <c r="Y64" s="388"/>
      <c r="Z64" s="388"/>
      <c r="AA64" s="226"/>
      <c r="AB64" s="226"/>
    </row>
    <row r="65" spans="1:28" s="158" customFormat="1" ht="52.5" customHeight="1">
      <c r="A65" s="148"/>
      <c r="B65" s="3301" t="str">
        <f>SUBSTITUTE(配慮!C4,"注）　設計における総合的なコンセプトを簡潔に記載してください。"&amp; CHAR(10),"")</f>
        <v/>
      </c>
      <c r="C65" s="3302"/>
      <c r="D65" s="3302"/>
      <c r="E65" s="3302"/>
      <c r="F65" s="3302"/>
      <c r="G65" s="3302"/>
      <c r="H65" s="3302"/>
      <c r="I65" s="3302"/>
      <c r="J65" s="3302"/>
      <c r="K65" s="3303"/>
      <c r="L65" s="3304" t="str">
        <f>SUBSTITUTE(配慮!C11,"注）　上記の６つのカテゴリー以外に，建設工事における廃棄物削減・リサイクル，歴史的建造物の保存など，建物自体の環境性能としてＣＡＳＢＥＥで評価し難い環境配慮の取組があれば，ここに記載してください。" &amp; CHAR(10),"")</f>
        <v/>
      </c>
      <c r="M65" s="3305"/>
      <c r="N65" s="3305"/>
      <c r="O65" s="3306"/>
      <c r="P65" s="148"/>
      <c r="Q65" s="237"/>
      <c r="R65" s="226"/>
      <c r="S65" s="226"/>
      <c r="T65" s="226"/>
      <c r="U65" s="226"/>
      <c r="V65" s="388"/>
      <c r="W65" s="388"/>
      <c r="X65" s="388"/>
      <c r="Y65" s="388"/>
      <c r="Z65" s="388"/>
      <c r="AA65" s="226"/>
      <c r="AB65" s="226"/>
    </row>
    <row r="66" spans="1:28" s="158" customFormat="1" ht="15">
      <c r="A66" s="148"/>
      <c r="B66" s="403" t="str">
        <f>配慮!B5</f>
        <v>Q1 
室内環境</v>
      </c>
      <c r="C66" s="400"/>
      <c r="D66" s="400"/>
      <c r="E66" s="400"/>
      <c r="F66" s="400"/>
      <c r="G66" s="404"/>
      <c r="H66" s="405" t="str">
        <f>配慮!B6</f>
        <v>Q2 
サービス性能</v>
      </c>
      <c r="I66" s="406"/>
      <c r="J66" s="406"/>
      <c r="K66" s="407"/>
      <c r="L66" s="408" t="str">
        <f>配慮!B7</f>
        <v>Q3 
室外環境（敷地内）</v>
      </c>
      <c r="M66" s="409"/>
      <c r="N66" s="410"/>
      <c r="O66" s="411"/>
      <c r="P66" s="148"/>
      <c r="Q66" s="237"/>
      <c r="R66" s="226"/>
      <c r="S66" s="226"/>
      <c r="T66" s="226"/>
      <c r="U66" s="226"/>
      <c r="V66" s="226"/>
      <c r="W66" s="226"/>
      <c r="X66" s="226"/>
      <c r="Y66" s="226"/>
      <c r="Z66" s="226"/>
      <c r="AA66" s="226"/>
      <c r="AB66" s="226"/>
    </row>
    <row r="67" spans="1:28" s="158" customFormat="1" ht="50.25" customHeight="1">
      <c r="A67" s="148"/>
      <c r="B67" s="3307" t="str">
        <f>SUBSTITUTE(配慮!C5,"注）　「Q1　室内環境」に対する配慮事項を簡潔に記載してください。" &amp; CHAR(10),"")</f>
        <v/>
      </c>
      <c r="C67" s="3305"/>
      <c r="D67" s="3305"/>
      <c r="E67" s="3305"/>
      <c r="F67" s="3305"/>
      <c r="G67" s="3308"/>
      <c r="H67" s="3315" t="str">
        <f>SUBSTITUTE(配慮!C6,"注）　「Q2　サービス性能」に対する配慮事項を簡潔に記載してください。" &amp; CHAR(10),"")</f>
        <v/>
      </c>
      <c r="I67" s="3305"/>
      <c r="J67" s="3305"/>
      <c r="K67" s="3308"/>
      <c r="L67" s="3315" t="str">
        <f>SUBSTITUTE(配慮!C7,"注）　「Q3　室外環境（敷地内）」に対する配慮事項を簡潔に記載してください。" &amp; CHAR(10),"")</f>
        <v/>
      </c>
      <c r="M67" s="3305"/>
      <c r="N67" s="3305"/>
      <c r="O67" s="3306"/>
      <c r="P67" s="148"/>
      <c r="Q67" s="237"/>
      <c r="R67" s="226"/>
      <c r="S67" s="226"/>
      <c r="T67" s="226"/>
      <c r="U67" s="226"/>
      <c r="V67" s="226"/>
      <c r="W67" s="226"/>
      <c r="X67" s="226"/>
      <c r="Y67" s="226"/>
      <c r="Z67" s="226"/>
      <c r="AA67" s="226"/>
      <c r="AB67" s="226"/>
    </row>
    <row r="68" spans="1:28" s="158" customFormat="1" ht="15">
      <c r="A68" s="148"/>
      <c r="B68" s="412" t="str">
        <f>配慮!B8</f>
        <v>LR1 
エネルギー</v>
      </c>
      <c r="C68" s="413"/>
      <c r="D68" s="397"/>
      <c r="E68" s="397"/>
      <c r="F68" s="397"/>
      <c r="G68" s="414"/>
      <c r="H68" s="415" t="str">
        <f>配慮!B9</f>
        <v>LR2 
資源・マテリアル</v>
      </c>
      <c r="I68" s="400"/>
      <c r="J68" s="400"/>
      <c r="K68" s="404"/>
      <c r="L68" s="416" t="str">
        <f>配慮!B10</f>
        <v>LR3 
敷地外環境</v>
      </c>
      <c r="M68" s="413"/>
      <c r="N68" s="397"/>
      <c r="O68" s="417"/>
      <c r="P68" s="148"/>
      <c r="Q68" s="237"/>
      <c r="R68" s="226"/>
      <c r="S68" s="226"/>
      <c r="T68" s="226"/>
      <c r="U68" s="226"/>
      <c r="V68" s="226"/>
      <c r="W68" s="226"/>
      <c r="X68" s="226"/>
      <c r="Y68" s="226"/>
      <c r="Z68" s="226"/>
      <c r="AA68" s="226"/>
      <c r="AB68" s="226"/>
    </row>
    <row r="69" spans="1:28" s="158" customFormat="1" ht="61.5" customHeight="1" thickBot="1">
      <c r="A69" s="148"/>
      <c r="B69" s="3294" t="str">
        <f>SUBSTITUTE(配慮!C8,"注）　「LR1　エネルギー」に対する配慮事項を簡潔に記載してください。" &amp; CHAR(10),"")</f>
        <v/>
      </c>
      <c r="C69" s="3295"/>
      <c r="D69" s="3295"/>
      <c r="E69" s="3295"/>
      <c r="F69" s="3295"/>
      <c r="G69" s="3296"/>
      <c r="H69" s="3297" t="str">
        <f>SUBSTITUTE(配慮!C9,"注）　「LR2　資源・マテリアル」に対する配慮事項を簡潔に記載してください。" &amp; CHAR(10),"")</f>
        <v/>
      </c>
      <c r="I69" s="3295"/>
      <c r="J69" s="3295"/>
      <c r="K69" s="3296"/>
      <c r="L69" s="3297" t="str">
        <f>SUBSTITUTE(配慮!C10,"注）　「LR3　敷地外環境」に対する配慮事項を簡潔に記載してください。" &amp; CHAR(10),"")</f>
        <v/>
      </c>
      <c r="M69" s="3295"/>
      <c r="N69" s="3295"/>
      <c r="O69" s="3298"/>
      <c r="P69" s="148"/>
      <c r="Q69" s="237"/>
      <c r="R69" s="226"/>
      <c r="S69" s="226"/>
      <c r="T69" s="226"/>
      <c r="U69" s="226"/>
      <c r="V69" s="226"/>
      <c r="W69" s="226"/>
      <c r="X69" s="226"/>
      <c r="Y69" s="226"/>
      <c r="Z69" s="226"/>
      <c r="AA69" s="226"/>
      <c r="AB69" s="226"/>
    </row>
    <row r="70" spans="1:28" s="158" customFormat="1" ht="8.25" customHeight="1">
      <c r="A70" s="148"/>
      <c r="B70" s="148"/>
      <c r="C70" s="148"/>
      <c r="D70" s="148"/>
      <c r="E70" s="148"/>
      <c r="F70" s="148"/>
      <c r="G70" s="148"/>
      <c r="H70" s="148"/>
      <c r="I70" s="148"/>
      <c r="J70" s="148"/>
      <c r="K70" s="148"/>
      <c r="L70" s="148"/>
      <c r="M70" s="148"/>
      <c r="N70" s="148"/>
      <c r="O70" s="148"/>
      <c r="P70" s="148"/>
      <c r="Q70" s="148"/>
      <c r="R70" s="226"/>
      <c r="S70" s="226"/>
      <c r="T70" s="226"/>
      <c r="U70" s="226"/>
      <c r="V70" s="226"/>
      <c r="W70" s="226"/>
      <c r="X70" s="226"/>
      <c r="Y70" s="226"/>
      <c r="Z70" s="226"/>
      <c r="AA70" s="226"/>
      <c r="AB70" s="226"/>
    </row>
    <row r="71" spans="1:28" s="158" customFormat="1" ht="16.5" hidden="1" thickBot="1">
      <c r="A71" s="148"/>
      <c r="B71" s="418" t="s">
        <v>2224</v>
      </c>
      <c r="C71" s="419"/>
      <c r="D71" s="420"/>
      <c r="E71" s="419"/>
      <c r="F71" s="419"/>
      <c r="G71" s="419"/>
      <c r="H71" s="419"/>
      <c r="I71" s="419"/>
      <c r="J71" s="421"/>
      <c r="K71" s="422"/>
      <c r="L71" s="422"/>
      <c r="M71" s="422"/>
      <c r="N71" s="423"/>
      <c r="O71" s="424" t="s">
        <v>2225</v>
      </c>
      <c r="P71" s="148"/>
      <c r="Q71" s="148"/>
      <c r="R71" s="226"/>
      <c r="S71" s="226"/>
      <c r="T71" s="226"/>
      <c r="U71" s="226"/>
      <c r="V71" s="226"/>
      <c r="W71" s="226"/>
      <c r="X71" s="226"/>
      <c r="Y71" s="226"/>
      <c r="Z71" s="226"/>
      <c r="AA71" s="226"/>
      <c r="AB71" s="226"/>
    </row>
    <row r="72" spans="1:28" s="158" customFormat="1" ht="15.75" hidden="1">
      <c r="A72" s="148"/>
      <c r="B72" s="425" t="s">
        <v>1092</v>
      </c>
      <c r="C72" s="426"/>
      <c r="D72" s="427"/>
      <c r="E72" s="426"/>
      <c r="F72" s="426"/>
      <c r="G72" s="426"/>
      <c r="H72" s="426"/>
      <c r="I72" s="426"/>
      <c r="J72" s="428"/>
      <c r="K72" s="429"/>
      <c r="L72" s="430"/>
      <c r="M72" s="430"/>
      <c r="N72" s="428"/>
      <c r="O72" s="431" t="s">
        <v>2809</v>
      </c>
      <c r="P72" s="148"/>
      <c r="Q72" s="148"/>
      <c r="R72" s="226"/>
      <c r="S72" s="226"/>
      <c r="T72" s="226"/>
      <c r="U72" s="226"/>
      <c r="V72" s="226"/>
      <c r="W72" s="226"/>
      <c r="X72" s="226"/>
      <c r="Y72" s="226"/>
      <c r="Z72" s="226"/>
      <c r="AA72" s="226"/>
      <c r="AB72" s="226"/>
    </row>
    <row r="73" spans="1:28" s="158" customFormat="1" ht="14.25" hidden="1">
      <c r="A73" s="148"/>
      <c r="B73" s="432"/>
      <c r="C73" s="433"/>
      <c r="D73" s="434"/>
      <c r="E73" s="435" t="s">
        <v>1093</v>
      </c>
      <c r="F73" s="436"/>
      <c r="G73" s="436"/>
      <c r="H73" s="435" t="s">
        <v>404</v>
      </c>
      <c r="I73" s="436"/>
      <c r="J73" s="435" t="s">
        <v>774</v>
      </c>
      <c r="K73" s="437"/>
      <c r="L73" s="435" t="s">
        <v>775</v>
      </c>
      <c r="M73" s="436"/>
      <c r="N73" s="436"/>
      <c r="O73" s="438" t="s">
        <v>776</v>
      </c>
      <c r="P73" s="148"/>
      <c r="Q73" s="148"/>
      <c r="R73" s="226"/>
      <c r="S73" s="226"/>
      <c r="T73" s="226"/>
      <c r="U73" s="226"/>
      <c r="V73" s="226"/>
      <c r="W73" s="226"/>
      <c r="X73" s="226"/>
      <c r="Y73" s="226"/>
      <c r="Z73" s="226"/>
      <c r="AA73" s="226"/>
      <c r="AB73" s="226"/>
    </row>
    <row r="74" spans="1:28" s="158" customFormat="1" ht="14.25" hidden="1">
      <c r="A74" s="148"/>
      <c r="B74" s="439"/>
      <c r="C74" s="440" t="s">
        <v>777</v>
      </c>
      <c r="D74" s="441"/>
      <c r="E74" s="442"/>
      <c r="F74" s="443" t="s">
        <v>778</v>
      </c>
      <c r="G74" s="444"/>
      <c r="H74" s="442"/>
      <c r="I74" s="443" t="s">
        <v>779</v>
      </c>
      <c r="J74" s="445"/>
      <c r="K74" s="443" t="s">
        <v>778</v>
      </c>
      <c r="L74" s="446"/>
      <c r="M74" s="447"/>
      <c r="N74" s="448"/>
      <c r="O74" s="449"/>
      <c r="P74" s="148"/>
      <c r="Q74" s="148"/>
      <c r="R74" s="226"/>
      <c r="S74" s="226"/>
      <c r="T74" s="226"/>
      <c r="U74" s="226"/>
      <c r="V74" s="226"/>
      <c r="W74" s="226"/>
      <c r="X74" s="226"/>
      <c r="Y74" s="226"/>
      <c r="Z74" s="226"/>
      <c r="AA74" s="226"/>
      <c r="AB74" s="226"/>
    </row>
    <row r="75" spans="1:28" s="158" customFormat="1" ht="15.75" hidden="1">
      <c r="A75" s="148"/>
      <c r="B75" s="439"/>
      <c r="C75" s="450" t="s">
        <v>780</v>
      </c>
      <c r="D75" s="451"/>
      <c r="E75" s="452"/>
      <c r="F75" s="352" t="s">
        <v>781</v>
      </c>
      <c r="G75" s="352"/>
      <c r="H75" s="452"/>
      <c r="I75" s="352" t="s">
        <v>782</v>
      </c>
      <c r="J75" s="453"/>
      <c r="K75" s="352" t="s">
        <v>781</v>
      </c>
      <c r="L75" s="454"/>
      <c r="N75" s="455"/>
      <c r="O75" s="456"/>
      <c r="P75" s="148"/>
      <c r="Q75" s="148"/>
      <c r="W75" s="226"/>
      <c r="X75" s="226"/>
      <c r="Y75" s="226"/>
      <c r="Z75" s="226"/>
      <c r="AA75" s="226"/>
      <c r="AB75" s="226"/>
    </row>
    <row r="76" spans="1:28" s="158" customFormat="1" ht="14.25" hidden="1">
      <c r="A76" s="457"/>
      <c r="B76" s="458"/>
      <c r="C76" s="459" t="s">
        <v>783</v>
      </c>
      <c r="D76" s="451"/>
      <c r="E76" s="452"/>
      <c r="F76" s="444" t="s">
        <v>784</v>
      </c>
      <c r="G76" s="444"/>
      <c r="H76" s="452"/>
      <c r="I76" s="444" t="s">
        <v>785</v>
      </c>
      <c r="J76" s="453"/>
      <c r="K76" s="444" t="s">
        <v>784</v>
      </c>
      <c r="L76" s="454"/>
      <c r="N76" s="460"/>
      <c r="O76" s="456"/>
      <c r="P76" s="457"/>
      <c r="Q76" s="148"/>
      <c r="W76" s="226"/>
      <c r="X76" s="226"/>
      <c r="Y76" s="226"/>
      <c r="Z76" s="226"/>
      <c r="AA76" s="226"/>
      <c r="AB76" s="226"/>
    </row>
    <row r="77" spans="1:28" s="158" customFormat="1" ht="15.75" hidden="1">
      <c r="A77" s="148"/>
      <c r="B77" s="439"/>
      <c r="C77" s="461" t="s">
        <v>786</v>
      </c>
      <c r="D77" s="451"/>
      <c r="E77" s="452"/>
      <c r="F77" s="352" t="s">
        <v>781</v>
      </c>
      <c r="G77" s="352"/>
      <c r="H77" s="452"/>
      <c r="I77" s="352" t="s">
        <v>782</v>
      </c>
      <c r="J77" s="453"/>
      <c r="K77" s="352" t="s">
        <v>781</v>
      </c>
      <c r="L77" s="454"/>
      <c r="N77" s="455"/>
      <c r="O77" s="462"/>
      <c r="P77" s="148"/>
      <c r="Q77" s="148"/>
      <c r="W77" s="226"/>
      <c r="X77" s="226"/>
      <c r="Y77" s="226"/>
      <c r="Z77" s="226"/>
      <c r="AA77" s="226"/>
      <c r="AB77" s="226"/>
    </row>
    <row r="78" spans="1:28" s="158" customFormat="1" ht="14.25" hidden="1">
      <c r="A78" s="148"/>
      <c r="B78" s="439"/>
      <c r="C78" s="461" t="s">
        <v>787</v>
      </c>
      <c r="D78" s="451"/>
      <c r="E78" s="452"/>
      <c r="F78" s="463" t="s">
        <v>788</v>
      </c>
      <c r="G78" s="352"/>
      <c r="H78" s="452"/>
      <c r="I78" s="463" t="s">
        <v>789</v>
      </c>
      <c r="J78" s="453"/>
      <c r="K78" s="463" t="s">
        <v>788</v>
      </c>
      <c r="L78" s="454"/>
      <c r="N78" s="455"/>
      <c r="O78" s="187"/>
      <c r="P78" s="148"/>
      <c r="Q78" s="148"/>
      <c r="W78" s="226"/>
      <c r="X78" s="226"/>
      <c r="Y78" s="226"/>
      <c r="Z78" s="226"/>
      <c r="AA78" s="226"/>
      <c r="AB78" s="226"/>
    </row>
    <row r="79" spans="1:28" s="158" customFormat="1" ht="14.25" hidden="1">
      <c r="A79" s="148"/>
      <c r="B79" s="439"/>
      <c r="C79" s="461" t="s">
        <v>790</v>
      </c>
      <c r="D79" s="451"/>
      <c r="E79" s="452"/>
      <c r="F79" s="463" t="s">
        <v>788</v>
      </c>
      <c r="G79" s="352"/>
      <c r="H79" s="452"/>
      <c r="I79" s="463" t="s">
        <v>789</v>
      </c>
      <c r="J79" s="453"/>
      <c r="K79" s="463" t="s">
        <v>788</v>
      </c>
      <c r="L79" s="454"/>
      <c r="N79" s="455"/>
      <c r="O79" s="456"/>
      <c r="P79" s="148"/>
      <c r="Q79" s="148"/>
      <c r="W79" s="226"/>
      <c r="X79" s="226"/>
      <c r="Y79" s="226"/>
      <c r="Z79" s="226"/>
      <c r="AA79" s="226"/>
      <c r="AB79" s="226"/>
    </row>
    <row r="80" spans="1:28" s="158" customFormat="1" ht="15" hidden="1" thickBot="1">
      <c r="A80" s="148"/>
      <c r="B80" s="464"/>
      <c r="C80" s="465"/>
      <c r="D80" s="466"/>
      <c r="E80" s="467"/>
      <c r="F80" s="468"/>
      <c r="G80" s="378"/>
      <c r="H80" s="467"/>
      <c r="I80" s="468"/>
      <c r="J80" s="469"/>
      <c r="K80" s="468"/>
      <c r="L80" s="454"/>
      <c r="N80" s="470"/>
      <c r="O80" s="471"/>
      <c r="P80" s="148"/>
      <c r="Q80" s="148"/>
      <c r="W80" s="226"/>
      <c r="X80" s="226"/>
      <c r="Y80" s="226"/>
      <c r="Z80" s="226"/>
      <c r="AA80" s="226"/>
      <c r="AB80" s="226"/>
    </row>
    <row r="81" spans="1:47" s="158" customFormat="1" ht="16.5" hidden="1" thickBot="1">
      <c r="A81" s="148"/>
      <c r="B81" s="472" t="s">
        <v>791</v>
      </c>
      <c r="C81" s="473"/>
      <c r="D81" s="474"/>
      <c r="E81" s="475"/>
      <c r="F81" s="476"/>
      <c r="G81" s="476"/>
      <c r="H81" s="476"/>
      <c r="I81" s="476"/>
      <c r="J81" s="476"/>
      <c r="K81" s="476"/>
      <c r="L81" s="476"/>
      <c r="M81" s="476"/>
      <c r="N81" s="476"/>
      <c r="O81" s="477"/>
      <c r="P81" s="148"/>
      <c r="Q81" s="148"/>
      <c r="W81" s="226"/>
      <c r="X81" s="226"/>
      <c r="Y81" s="226"/>
      <c r="Z81" s="226"/>
      <c r="AA81" s="226"/>
      <c r="AB81" s="226"/>
    </row>
    <row r="82" spans="1:47" s="158" customFormat="1" ht="15.75" hidden="1">
      <c r="A82" s="148"/>
      <c r="B82" s="478" t="s">
        <v>792</v>
      </c>
      <c r="C82" s="479"/>
      <c r="D82" s="480"/>
      <c r="E82" s="481"/>
      <c r="F82" s="482"/>
      <c r="G82" s="482"/>
      <c r="H82" s="482"/>
      <c r="I82" s="480"/>
      <c r="J82" s="483" t="s">
        <v>793</v>
      </c>
      <c r="K82" s="484"/>
      <c r="L82" s="485"/>
      <c r="M82" s="479"/>
      <c r="N82" s="479"/>
      <c r="O82" s="486"/>
      <c r="P82" s="148"/>
      <c r="Q82" s="148"/>
      <c r="W82" s="226"/>
      <c r="X82" s="226"/>
      <c r="Y82" s="226"/>
      <c r="Z82" s="226"/>
      <c r="AA82" s="226"/>
      <c r="AB82" s="226"/>
    </row>
    <row r="83" spans="1:47" s="158" customFormat="1" ht="15" hidden="1">
      <c r="A83" s="148"/>
      <c r="B83" s="487"/>
      <c r="C83" s="488" t="s">
        <v>794</v>
      </c>
      <c r="D83" s="489"/>
      <c r="E83" s="489"/>
      <c r="F83" s="489"/>
      <c r="G83" s="489"/>
      <c r="H83" s="489"/>
      <c r="I83" s="489"/>
      <c r="J83" s="490" t="s">
        <v>795</v>
      </c>
      <c r="L83" s="491"/>
      <c r="M83" s="267"/>
      <c r="N83" s="267"/>
      <c r="O83" s="268"/>
      <c r="P83" s="148"/>
      <c r="Q83" s="148"/>
      <c r="W83" s="226"/>
      <c r="X83" s="226"/>
      <c r="Y83" s="226"/>
      <c r="Z83" s="226"/>
      <c r="AA83" s="226"/>
      <c r="AB83" s="226"/>
    </row>
    <row r="84" spans="1:47" s="158" customFormat="1" ht="15" hidden="1">
      <c r="A84" s="148"/>
      <c r="B84" s="487"/>
      <c r="C84" s="488"/>
      <c r="D84" s="489"/>
      <c r="E84" s="489"/>
      <c r="F84" s="489"/>
      <c r="G84" s="489"/>
      <c r="H84" s="489"/>
      <c r="I84" s="489"/>
      <c r="J84" s="490"/>
      <c r="L84" s="491"/>
      <c r="M84" s="267"/>
      <c r="N84" s="267"/>
      <c r="O84" s="268"/>
      <c r="P84" s="148"/>
      <c r="Q84" s="148"/>
      <c r="W84" s="226"/>
      <c r="X84" s="226"/>
      <c r="Y84" s="226"/>
      <c r="Z84" s="226"/>
      <c r="AA84" s="226"/>
      <c r="AB84" s="226"/>
    </row>
    <row r="85" spans="1:47" s="158" customFormat="1" ht="15" hidden="1" thickBot="1">
      <c r="A85" s="148"/>
      <c r="B85" s="492"/>
      <c r="C85" s="493"/>
      <c r="D85" s="494"/>
      <c r="E85" s="494"/>
      <c r="F85" s="494"/>
      <c r="G85" s="494"/>
      <c r="H85" s="494"/>
      <c r="I85" s="494"/>
      <c r="J85" s="495"/>
      <c r="K85" s="244"/>
      <c r="L85" s="496"/>
      <c r="M85" s="496"/>
      <c r="N85" s="496"/>
      <c r="O85" s="497"/>
      <c r="P85" s="148"/>
      <c r="Q85" s="148"/>
      <c r="W85" s="157"/>
      <c r="X85" s="157"/>
      <c r="Y85" s="157"/>
      <c r="Z85" s="157"/>
      <c r="AA85" s="157"/>
      <c r="AB85" s="157"/>
    </row>
    <row r="86" spans="1:47" ht="14.25" hidden="1">
      <c r="B86" s="352"/>
      <c r="C86" s="352"/>
      <c r="D86" s="368"/>
      <c r="E86" s="352"/>
      <c r="F86" s="169"/>
      <c r="G86" s="169"/>
      <c r="H86" s="169"/>
      <c r="I86" s="170"/>
      <c r="J86" s="170"/>
      <c r="K86" s="169"/>
      <c r="L86" s="169"/>
      <c r="M86" s="186"/>
      <c r="N86" s="186"/>
      <c r="O86" s="186"/>
      <c r="S86" s="158"/>
      <c r="W86" s="157"/>
      <c r="X86" s="157"/>
      <c r="Y86" s="157"/>
      <c r="Z86" s="157"/>
      <c r="AA86" s="157"/>
      <c r="AB86" s="157"/>
      <c r="AC86" s="158"/>
      <c r="AD86" s="158"/>
      <c r="AE86" s="158"/>
      <c r="AF86" s="158"/>
      <c r="AG86" s="158"/>
      <c r="AH86" s="158"/>
      <c r="AI86" s="158"/>
      <c r="AJ86" s="158"/>
      <c r="AK86" s="158"/>
      <c r="AL86" s="158"/>
      <c r="AM86" s="158"/>
      <c r="AN86" s="158"/>
      <c r="AO86" s="158"/>
      <c r="AP86" s="158"/>
      <c r="AQ86" s="158"/>
      <c r="AR86" s="158"/>
      <c r="AS86" s="158"/>
      <c r="AT86" s="158"/>
      <c r="AU86" s="158"/>
    </row>
    <row r="87" spans="1:47" ht="14.25" hidden="1">
      <c r="B87" s="499"/>
      <c r="C87" s="500"/>
      <c r="D87" s="501"/>
      <c r="E87" s="502"/>
      <c r="F87" s="502"/>
      <c r="G87" s="502"/>
      <c r="H87" s="502"/>
      <c r="I87" s="503"/>
      <c r="J87" s="504"/>
      <c r="K87" s="503"/>
      <c r="L87" s="505"/>
      <c r="M87" s="503"/>
      <c r="N87" s="506"/>
      <c r="O87" s="507"/>
      <c r="R87" s="157"/>
      <c r="S87" s="157"/>
      <c r="T87" s="157"/>
      <c r="U87" s="157"/>
      <c r="V87" s="157"/>
      <c r="W87" s="157"/>
      <c r="X87" s="157"/>
      <c r="Y87" s="157"/>
      <c r="Z87" s="157"/>
      <c r="AA87" s="157"/>
      <c r="AB87" s="157"/>
      <c r="AC87" s="158"/>
      <c r="AD87" s="158"/>
      <c r="AE87" s="158"/>
      <c r="AF87" s="158"/>
      <c r="AG87" s="158"/>
      <c r="AH87" s="158"/>
      <c r="AI87" s="158"/>
      <c r="AJ87" s="158"/>
      <c r="AK87" s="158"/>
      <c r="AL87" s="158"/>
      <c r="AM87" s="158"/>
      <c r="AN87" s="158"/>
      <c r="AO87" s="158"/>
      <c r="AP87" s="158"/>
      <c r="AQ87" s="158"/>
      <c r="AR87" s="158"/>
      <c r="AS87" s="158"/>
      <c r="AT87" s="158"/>
      <c r="AU87" s="158"/>
    </row>
    <row r="88" spans="1:47" ht="14.25" hidden="1">
      <c r="B88" s="508"/>
      <c r="C88" s="509" t="s">
        <v>796</v>
      </c>
      <c r="D88" s="510" t="s">
        <v>1558</v>
      </c>
      <c r="E88" s="511" t="s">
        <v>1559</v>
      </c>
      <c r="G88" s="158"/>
      <c r="H88" s="511" t="s">
        <v>1560</v>
      </c>
      <c r="J88" s="514" t="s">
        <v>1561</v>
      </c>
      <c r="L88" s="514" t="s">
        <v>1562</v>
      </c>
      <c r="N88" s="516" t="s">
        <v>1563</v>
      </c>
      <c r="O88" s="517"/>
      <c r="R88" s="157"/>
      <c r="S88" s="157"/>
      <c r="T88" s="157"/>
      <c r="U88" s="157"/>
      <c r="V88" s="157"/>
      <c r="W88" s="157"/>
      <c r="X88" s="157"/>
      <c r="Y88" s="157"/>
      <c r="Z88" s="157"/>
      <c r="AA88" s="157"/>
      <c r="AB88" s="157"/>
      <c r="AC88" s="158"/>
      <c r="AD88" s="158"/>
      <c r="AE88" s="158"/>
      <c r="AF88" s="158"/>
      <c r="AG88" s="158"/>
      <c r="AH88" s="158"/>
      <c r="AI88" s="158"/>
      <c r="AJ88" s="158"/>
      <c r="AK88" s="158"/>
      <c r="AL88" s="158"/>
      <c r="AM88" s="158"/>
      <c r="AN88" s="158"/>
      <c r="AO88" s="158"/>
      <c r="AP88" s="158"/>
      <c r="AQ88" s="158"/>
      <c r="AR88" s="158"/>
      <c r="AS88" s="158"/>
      <c r="AT88" s="158"/>
      <c r="AU88" s="158"/>
    </row>
    <row r="89" spans="1:47" ht="14.25" hidden="1">
      <c r="A89" s="237"/>
      <c r="B89" s="508"/>
      <c r="C89" s="509" t="s">
        <v>2316</v>
      </c>
      <c r="D89" s="518" t="s">
        <v>2168</v>
      </c>
      <c r="E89" s="519"/>
      <c r="F89" s="520"/>
      <c r="G89" s="520"/>
      <c r="H89" s="520"/>
      <c r="I89" s="521"/>
      <c r="J89" s="521"/>
      <c r="K89" s="522"/>
      <c r="L89" s="522"/>
      <c r="M89" s="186"/>
      <c r="N89" s="186"/>
      <c r="O89" s="523"/>
      <c r="P89" s="237"/>
      <c r="Q89" s="237"/>
    </row>
    <row r="90" spans="1:47" ht="14.25" hidden="1">
      <c r="B90" s="525"/>
      <c r="C90" s="509" t="s">
        <v>2169</v>
      </c>
      <c r="D90" s="526" t="s">
        <v>2810</v>
      </c>
      <c r="E90" s="527"/>
      <c r="G90" s="528"/>
      <c r="O90" s="523"/>
    </row>
    <row r="91" spans="1:47" ht="14.25" hidden="1">
      <c r="B91" s="525"/>
      <c r="C91" s="509"/>
      <c r="D91" s="526" t="s">
        <v>2811</v>
      </c>
      <c r="E91" s="527"/>
      <c r="G91" s="528"/>
      <c r="O91" s="523"/>
    </row>
    <row r="92" spans="1:47" ht="14.25" hidden="1">
      <c r="B92" s="529"/>
      <c r="C92" s="530" t="s">
        <v>2170</v>
      </c>
      <c r="D92" s="531" t="s">
        <v>2812</v>
      </c>
      <c r="E92" s="532"/>
      <c r="F92" s="533"/>
      <c r="G92" s="534"/>
      <c r="H92" s="533"/>
      <c r="I92" s="535"/>
      <c r="J92" s="535"/>
      <c r="K92" s="533"/>
      <c r="L92" s="533"/>
      <c r="M92" s="536"/>
      <c r="N92" s="536"/>
      <c r="O92" s="537"/>
    </row>
    <row r="93" spans="1:47" ht="14.25">
      <c r="G93" s="528"/>
      <c r="O93" s="186"/>
    </row>
    <row r="94" spans="1:47" ht="14.25">
      <c r="G94" s="528"/>
      <c r="L94" s="528"/>
      <c r="M94" s="186"/>
      <c r="O94" s="186"/>
    </row>
    <row r="95" spans="1:47" ht="14.25">
      <c r="E95" s="515"/>
      <c r="F95" s="539"/>
      <c r="G95" s="528"/>
      <c r="H95" s="528"/>
      <c r="I95" s="522"/>
      <c r="L95" s="528"/>
      <c r="M95" s="186"/>
      <c r="O95" s="186"/>
    </row>
    <row r="96" spans="1:47" ht="14.25">
      <c r="C96" s="540"/>
      <c r="D96" s="370"/>
      <c r="E96" s="515"/>
      <c r="F96" s="539"/>
      <c r="G96" s="528"/>
      <c r="H96" s="528"/>
      <c r="I96" s="522"/>
      <c r="J96" s="522"/>
      <c r="K96" s="528"/>
      <c r="L96" s="528"/>
      <c r="M96" s="186"/>
      <c r="O96" s="186"/>
    </row>
    <row r="97" spans="2:15" ht="14.25">
      <c r="B97" s="541"/>
      <c r="C97" s="542"/>
      <c r="D97" s="543"/>
      <c r="E97" s="515"/>
      <c r="F97" s="539"/>
      <c r="G97" s="520"/>
      <c r="H97" s="520"/>
      <c r="I97" s="521"/>
      <c r="J97" s="521"/>
      <c r="K97" s="522"/>
      <c r="L97" s="522"/>
      <c r="M97" s="186"/>
      <c r="O97" s="186"/>
    </row>
    <row r="98" spans="2:15" ht="14.25" hidden="1">
      <c r="B98" s="541"/>
      <c r="C98" s="541"/>
      <c r="D98" s="544"/>
      <c r="G98" s="520"/>
      <c r="H98" s="520"/>
      <c r="I98" s="521"/>
      <c r="J98" s="521"/>
      <c r="K98" s="522"/>
      <c r="L98" s="522"/>
      <c r="M98" s="186"/>
      <c r="N98" s="186"/>
      <c r="O98" s="186"/>
    </row>
    <row r="99" spans="2:15" ht="14.25" hidden="1">
      <c r="E99" s="168"/>
      <c r="F99" s="169"/>
      <c r="G99" s="169"/>
      <c r="H99" s="169"/>
      <c r="I99" s="170"/>
      <c r="J99" s="170"/>
      <c r="K99" s="169"/>
      <c r="L99" s="169"/>
      <c r="M99" s="186"/>
      <c r="N99" s="186"/>
      <c r="O99" s="186"/>
    </row>
    <row r="100" spans="2:15" ht="14.25" hidden="1">
      <c r="E100" s="168"/>
      <c r="F100" s="169"/>
      <c r="G100" s="169"/>
      <c r="H100" s="169"/>
      <c r="I100" s="170"/>
      <c r="J100" s="170"/>
      <c r="K100" s="169"/>
      <c r="L100" s="169"/>
      <c r="M100" s="186"/>
      <c r="N100" s="186"/>
      <c r="O100" s="186"/>
    </row>
    <row r="101" spans="2:15" ht="14.25" hidden="1">
      <c r="E101" s="168"/>
      <c r="F101" s="169"/>
      <c r="G101" s="169"/>
      <c r="H101" s="169"/>
      <c r="I101" s="170"/>
      <c r="J101" s="170"/>
      <c r="K101" s="169"/>
      <c r="L101" s="169"/>
      <c r="M101" s="186"/>
      <c r="N101" s="186"/>
      <c r="O101" s="186"/>
    </row>
    <row r="102" spans="2:15" ht="14.25" hidden="1">
      <c r="E102" s="168"/>
      <c r="F102" s="169"/>
      <c r="G102" s="169"/>
      <c r="H102" s="169"/>
      <c r="I102" s="170"/>
      <c r="J102" s="170"/>
      <c r="K102" s="169"/>
      <c r="L102" s="169"/>
      <c r="M102" s="186"/>
      <c r="N102" s="186"/>
      <c r="O102" s="186"/>
    </row>
    <row r="103" spans="2:15" ht="14.25" hidden="1">
      <c r="E103" s="168"/>
      <c r="F103" s="169"/>
      <c r="G103" s="169"/>
      <c r="H103" s="169"/>
      <c r="I103" s="170"/>
      <c r="J103" s="170"/>
      <c r="K103" s="169"/>
      <c r="L103" s="169"/>
      <c r="M103" s="186"/>
      <c r="N103" s="186"/>
      <c r="O103" s="186"/>
    </row>
    <row r="104" spans="2:15" ht="14.25" hidden="1">
      <c r="E104" s="168"/>
      <c r="F104" s="169"/>
      <c r="G104" s="169"/>
      <c r="H104" s="169"/>
      <c r="I104" s="170"/>
      <c r="J104" s="170"/>
      <c r="K104" s="169"/>
      <c r="L104" s="169"/>
      <c r="M104" s="186"/>
      <c r="N104" s="186"/>
      <c r="O104" s="186"/>
    </row>
    <row r="105" spans="2:15" ht="14.25" hidden="1">
      <c r="E105" s="168"/>
      <c r="F105" s="169"/>
      <c r="G105" s="169"/>
      <c r="H105" s="169"/>
      <c r="I105" s="170"/>
      <c r="J105" s="170"/>
      <c r="K105" s="169"/>
      <c r="L105" s="169"/>
      <c r="M105" s="186"/>
      <c r="N105" s="186"/>
      <c r="O105" s="186"/>
    </row>
    <row r="106" spans="2:15" ht="14.25" hidden="1">
      <c r="E106" s="168"/>
      <c r="F106" s="169"/>
      <c r="G106" s="169"/>
      <c r="H106" s="169"/>
      <c r="I106" s="170"/>
      <c r="J106" s="170"/>
      <c r="K106" s="169"/>
      <c r="L106" s="169"/>
      <c r="M106" s="186"/>
      <c r="N106" s="186"/>
      <c r="O106" s="186"/>
    </row>
    <row r="107" spans="2:15" ht="14.25" hidden="1">
      <c r="E107" s="168"/>
      <c r="F107" s="169"/>
      <c r="G107" s="169"/>
      <c r="H107" s="169"/>
      <c r="I107" s="170"/>
      <c r="J107" s="170"/>
      <c r="K107" s="169"/>
      <c r="L107" s="169"/>
      <c r="M107" s="186"/>
      <c r="N107" s="186"/>
      <c r="O107" s="186"/>
    </row>
    <row r="108" spans="2:15" ht="14.25" hidden="1">
      <c r="E108" s="168"/>
      <c r="F108" s="169"/>
      <c r="G108" s="169"/>
      <c r="H108" s="169"/>
      <c r="I108" s="170"/>
      <c r="J108" s="170"/>
      <c r="K108" s="169"/>
      <c r="L108" s="169"/>
      <c r="M108" s="186"/>
      <c r="N108" s="186"/>
      <c r="O108" s="186"/>
    </row>
    <row r="109" spans="2:15" ht="14.25" hidden="1">
      <c r="E109" s="168"/>
      <c r="F109" s="169"/>
      <c r="G109" s="169"/>
      <c r="H109" s="169"/>
      <c r="I109" s="170"/>
      <c r="J109" s="170"/>
      <c r="K109" s="169"/>
      <c r="L109" s="169"/>
      <c r="M109" s="186"/>
      <c r="N109" s="186"/>
      <c r="O109" s="186"/>
    </row>
    <row r="110" spans="2:15" ht="14.25" hidden="1">
      <c r="E110" s="168"/>
      <c r="F110" s="169"/>
      <c r="G110" s="169"/>
      <c r="H110" s="169"/>
      <c r="I110" s="170"/>
      <c r="J110" s="170"/>
      <c r="K110" s="169"/>
      <c r="L110" s="169"/>
      <c r="M110" s="186"/>
      <c r="N110" s="186"/>
      <c r="O110" s="186"/>
    </row>
    <row r="111" spans="2:15" ht="14.25" hidden="1">
      <c r="E111" s="168"/>
      <c r="F111" s="169"/>
      <c r="G111" s="169"/>
      <c r="H111" s="169"/>
      <c r="I111" s="170"/>
      <c r="J111" s="170"/>
      <c r="K111" s="169"/>
      <c r="L111" s="169"/>
      <c r="M111" s="186"/>
      <c r="N111" s="186"/>
      <c r="O111" s="186"/>
    </row>
    <row r="112" spans="2:15" ht="14.25" hidden="1">
      <c r="E112" s="168"/>
      <c r="F112" s="169"/>
      <c r="G112" s="169"/>
      <c r="H112" s="169"/>
      <c r="I112" s="170"/>
      <c r="J112" s="170"/>
      <c r="K112" s="169"/>
      <c r="L112" s="169"/>
      <c r="M112" s="186"/>
      <c r="N112" s="186"/>
      <c r="O112" s="186"/>
    </row>
    <row r="113" spans="5:15" ht="14.25" hidden="1">
      <c r="E113" s="168"/>
      <c r="F113" s="169"/>
      <c r="G113" s="169"/>
      <c r="H113" s="169"/>
      <c r="I113" s="170"/>
      <c r="J113" s="170"/>
      <c r="K113" s="169"/>
      <c r="L113" s="169"/>
      <c r="M113" s="186"/>
      <c r="N113" s="186"/>
      <c r="O113" s="186"/>
    </row>
    <row r="114" spans="5:15" ht="14.25" hidden="1">
      <c r="E114" s="168"/>
      <c r="F114" s="169"/>
      <c r="G114" s="169"/>
      <c r="H114" s="169"/>
      <c r="I114" s="170"/>
      <c r="J114" s="170"/>
      <c r="K114" s="169"/>
      <c r="L114" s="169"/>
      <c r="M114" s="186"/>
      <c r="N114" s="186"/>
      <c r="O114" s="186"/>
    </row>
    <row r="115" spans="5:15" ht="14.25" hidden="1">
      <c r="E115" s="168"/>
      <c r="F115" s="169"/>
      <c r="G115" s="169"/>
      <c r="H115" s="169"/>
      <c r="I115" s="170"/>
      <c r="J115" s="170"/>
      <c r="K115" s="169"/>
      <c r="L115" s="169"/>
      <c r="M115" s="186"/>
      <c r="N115" s="186"/>
      <c r="O115" s="186"/>
    </row>
    <row r="116" spans="5:15" ht="14.25" hidden="1">
      <c r="E116" s="168"/>
      <c r="F116" s="169"/>
      <c r="G116" s="169"/>
      <c r="H116" s="169"/>
      <c r="I116" s="170"/>
      <c r="J116" s="170"/>
      <c r="K116" s="169"/>
      <c r="L116" s="169"/>
      <c r="M116" s="186"/>
      <c r="N116" s="186"/>
      <c r="O116" s="186"/>
    </row>
    <row r="117" spans="5:15" ht="14.25" hidden="1">
      <c r="E117" s="168"/>
      <c r="F117" s="169"/>
      <c r="G117" s="169"/>
      <c r="H117" s="169"/>
      <c r="I117" s="170"/>
      <c r="J117" s="170"/>
      <c r="K117" s="169"/>
      <c r="L117" s="169"/>
      <c r="M117" s="186"/>
      <c r="N117" s="186"/>
      <c r="O117" s="186"/>
    </row>
    <row r="118" spans="5:15" ht="14.25" hidden="1">
      <c r="E118" s="168"/>
      <c r="F118" s="169"/>
      <c r="G118" s="169"/>
      <c r="H118" s="169"/>
      <c r="I118" s="170"/>
      <c r="J118" s="170"/>
      <c r="K118" s="169"/>
      <c r="L118" s="169"/>
      <c r="M118" s="186"/>
      <c r="N118" s="186"/>
      <c r="O118" s="186"/>
    </row>
    <row r="119" spans="5:15" ht="14.25" hidden="1">
      <c r="E119" s="168"/>
      <c r="F119" s="169"/>
      <c r="G119" s="169"/>
      <c r="H119" s="169"/>
      <c r="I119" s="170"/>
      <c r="J119" s="170"/>
      <c r="K119" s="169"/>
      <c r="L119" s="169"/>
      <c r="M119" s="186"/>
      <c r="N119" s="186"/>
      <c r="O119" s="186"/>
    </row>
    <row r="120" spans="5:15" ht="14.25" hidden="1">
      <c r="E120" s="168"/>
      <c r="F120" s="169"/>
      <c r="G120" s="169"/>
      <c r="H120" s="169"/>
      <c r="I120" s="170"/>
      <c r="J120" s="170"/>
      <c r="K120" s="169"/>
      <c r="L120" s="169"/>
      <c r="M120" s="186"/>
      <c r="N120" s="186"/>
      <c r="O120" s="186"/>
    </row>
    <row r="121" spans="5:15" ht="14.25" hidden="1">
      <c r="E121" s="168"/>
      <c r="F121" s="169"/>
      <c r="G121" s="169"/>
      <c r="H121" s="169"/>
      <c r="I121" s="170"/>
      <c r="J121" s="170"/>
      <c r="K121" s="169"/>
      <c r="L121" s="169"/>
      <c r="M121" s="186"/>
      <c r="N121" s="186"/>
      <c r="O121" s="186"/>
    </row>
    <row r="122" spans="5:15" ht="14.25" hidden="1">
      <c r="E122" s="168"/>
      <c r="F122" s="169"/>
      <c r="G122" s="169"/>
      <c r="H122" s="169"/>
      <c r="I122" s="170"/>
      <c r="J122" s="170"/>
      <c r="K122" s="169"/>
      <c r="L122" s="169"/>
      <c r="M122" s="186"/>
      <c r="N122" s="186"/>
      <c r="O122" s="186"/>
    </row>
    <row r="123" spans="5:15" ht="14.25" hidden="1">
      <c r="E123" s="168"/>
      <c r="F123" s="169"/>
      <c r="G123" s="169"/>
      <c r="H123" s="169"/>
      <c r="I123" s="170"/>
      <c r="J123" s="170"/>
      <c r="K123" s="169"/>
      <c r="L123" s="169"/>
      <c r="M123" s="186"/>
      <c r="N123" s="186"/>
      <c r="O123" s="186"/>
    </row>
    <row r="124" spans="5:15" ht="14.25" hidden="1">
      <c r="E124" s="168"/>
      <c r="F124" s="169"/>
      <c r="G124" s="169"/>
      <c r="H124" s="169"/>
      <c r="I124" s="170"/>
      <c r="J124" s="170"/>
      <c r="K124" s="169"/>
      <c r="L124" s="169"/>
      <c r="M124" s="186"/>
      <c r="N124" s="186"/>
      <c r="O124" s="186"/>
    </row>
    <row r="125" spans="5:15" ht="14.25" hidden="1">
      <c r="E125" s="168"/>
      <c r="F125" s="169"/>
      <c r="G125" s="169"/>
      <c r="H125" s="169"/>
      <c r="I125" s="170"/>
      <c r="J125" s="170"/>
      <c r="K125" s="169"/>
      <c r="L125" s="169"/>
      <c r="M125" s="186"/>
      <c r="N125" s="186"/>
      <c r="O125" s="186"/>
    </row>
    <row r="126" spans="5:15" ht="14.25" hidden="1">
      <c r="E126" s="168"/>
      <c r="F126" s="169"/>
      <c r="G126" s="169"/>
      <c r="H126" s="169"/>
      <c r="I126" s="170"/>
      <c r="J126" s="170"/>
      <c r="K126" s="169"/>
      <c r="L126" s="169"/>
      <c r="M126" s="186"/>
      <c r="N126" s="186"/>
      <c r="O126" s="186"/>
    </row>
    <row r="127" spans="5:15" ht="14.25" hidden="1">
      <c r="E127" s="168"/>
      <c r="F127" s="169"/>
      <c r="G127" s="169"/>
      <c r="H127" s="169"/>
      <c r="I127" s="170"/>
      <c r="J127" s="170"/>
      <c r="K127" s="169"/>
      <c r="L127" s="169"/>
      <c r="M127" s="186"/>
      <c r="N127" s="186"/>
      <c r="O127" s="186"/>
    </row>
    <row r="128" spans="5:15" ht="14.25" hidden="1">
      <c r="E128" s="168"/>
      <c r="F128" s="169"/>
      <c r="G128" s="169"/>
      <c r="H128" s="169"/>
      <c r="I128" s="170"/>
      <c r="J128" s="170"/>
      <c r="K128" s="169"/>
      <c r="L128" s="169"/>
      <c r="M128" s="186"/>
      <c r="N128" s="186"/>
      <c r="O128" s="186"/>
    </row>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sheetProtection sheet="1" objects="1" scenarios="1"/>
  <mergeCells count="28">
    <mergeCell ref="J9:K9"/>
    <mergeCell ref="J8:K8"/>
    <mergeCell ref="J16:K16"/>
    <mergeCell ref="J15:K15"/>
    <mergeCell ref="J14:K14"/>
    <mergeCell ref="J13:K13"/>
    <mergeCell ref="J12:K12"/>
    <mergeCell ref="D9:G9"/>
    <mergeCell ref="D8:G8"/>
    <mergeCell ref="D16:E16"/>
    <mergeCell ref="D15:E15"/>
    <mergeCell ref="D14:E14"/>
    <mergeCell ref="Q2:Q5"/>
    <mergeCell ref="K5:L5"/>
    <mergeCell ref="N5:O5"/>
    <mergeCell ref="B69:G69"/>
    <mergeCell ref="H69:K69"/>
    <mergeCell ref="L69:O69"/>
    <mergeCell ref="D13:E13"/>
    <mergeCell ref="B65:K65"/>
    <mergeCell ref="L65:O65"/>
    <mergeCell ref="B67:G67"/>
    <mergeCell ref="H36:K38"/>
    <mergeCell ref="H67:K67"/>
    <mergeCell ref="L67:O67"/>
    <mergeCell ref="D12:G12"/>
    <mergeCell ref="D11:G11"/>
    <mergeCell ref="D10:G10"/>
  </mergeCells>
  <phoneticPr fontId="21"/>
  <conditionalFormatting sqref="I27:K34 H28:H34">
    <cfRule type="expression" dxfId="165" priority="1" stopIfTrue="1">
      <formula>$U$35=$W$36</formula>
    </cfRule>
  </conditionalFormatting>
  <conditionalFormatting sqref="H35:K35">
    <cfRule type="expression" dxfId="164" priority="2" stopIfTrue="1">
      <formula>$U$35=$W$36</formula>
    </cfRule>
  </conditionalFormatting>
  <conditionalFormatting sqref="H27">
    <cfRule type="expression" dxfId="163" priority="3" stopIfTrue="1">
      <formula>$U$35=$W$36</formula>
    </cfRule>
    <cfRule type="cellIs" dxfId="162" priority="4" stopIfTrue="1" operator="equal">
      <formula>$U$35</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20.xml><?xml version="1.0" encoding="utf-8"?>
<worksheet xmlns="http://schemas.openxmlformats.org/spreadsheetml/2006/main" xmlns:r="http://schemas.openxmlformats.org/officeDocument/2006/relationships">
  <sheetPr codeName="Sheet19">
    <pageSetUpPr fitToPage="1"/>
  </sheetPr>
  <dimension ref="A1:AA310"/>
  <sheetViews>
    <sheetView showGridLines="0" zoomScaleNormal="100" zoomScaleSheetLayoutView="100" workbookViewId="0">
      <selection activeCell="E3" sqref="E3"/>
    </sheetView>
  </sheetViews>
  <sheetFormatPr defaultColWidth="0" defaultRowHeight="13.5" zeroHeight="1"/>
  <cols>
    <col min="1" max="2" width="1.5" customWidth="1"/>
    <col min="3" max="3" width="5.375" customWidth="1"/>
    <col min="4" max="4" width="11" customWidth="1"/>
    <col min="5" max="5" width="12.875" customWidth="1"/>
    <col min="6" max="6" width="8.375" customWidth="1"/>
    <col min="7" max="7" width="11.25" hidden="1" customWidth="1"/>
    <col min="8" max="8" width="8" hidden="1" customWidth="1"/>
    <col min="9" max="17" width="11.25" customWidth="1"/>
    <col min="18" max="18" width="11.375" customWidth="1"/>
    <col min="19" max="19" width="2.5" customWidth="1"/>
    <col min="20" max="20" width="9.25" hidden="1" customWidth="1"/>
    <col min="21" max="21" width="12.75" hidden="1" customWidth="1"/>
    <col min="22" max="27" width="5.875" hidden="1" customWidth="1"/>
    <col min="28" max="16384" width="9" hidden="1"/>
  </cols>
  <sheetData>
    <row r="1" spans="2:17" ht="14.25">
      <c r="B1" s="1691" t="s">
        <v>398</v>
      </c>
    </row>
    <row r="2" spans="2:17" ht="4.5" customHeight="1"/>
    <row r="3" spans="2:17">
      <c r="C3" s="1692" t="s">
        <v>2352</v>
      </c>
      <c r="D3" s="1693"/>
      <c r="E3" s="1694"/>
      <c r="F3" s="1694"/>
      <c r="G3" s="1694"/>
      <c r="H3" s="1694"/>
      <c r="I3" s="1695" t="s">
        <v>249</v>
      </c>
      <c r="J3" s="1696"/>
      <c r="K3" s="1696"/>
      <c r="L3" s="1697"/>
      <c r="M3" s="1697"/>
      <c r="N3" s="1697"/>
      <c r="O3" s="1697"/>
      <c r="P3" s="1697"/>
      <c r="Q3" s="1698"/>
    </row>
    <row r="4" spans="2:17">
      <c r="C4" s="1699"/>
      <c r="D4" s="1700" t="s">
        <v>2353</v>
      </c>
      <c r="E4" s="1699"/>
      <c r="F4" s="1699"/>
      <c r="G4" s="1699"/>
      <c r="H4" s="1699"/>
      <c r="I4" s="1701" t="s">
        <v>3265</v>
      </c>
      <c r="J4" s="1697" t="s">
        <v>616</v>
      </c>
      <c r="K4" s="1702"/>
      <c r="L4" s="1701" t="s">
        <v>613</v>
      </c>
      <c r="M4" s="1697"/>
      <c r="N4" s="1702"/>
      <c r="O4" s="1701" t="s">
        <v>615</v>
      </c>
      <c r="P4" s="1697"/>
      <c r="Q4" s="1702"/>
    </row>
    <row r="5" spans="2:17">
      <c r="C5" s="1703" t="s">
        <v>316</v>
      </c>
      <c r="D5" s="1704"/>
      <c r="E5" s="1705"/>
      <c r="F5" s="1706"/>
      <c r="G5" s="1707"/>
      <c r="H5" s="1707"/>
      <c r="I5" s="1708" t="s">
        <v>1918</v>
      </c>
      <c r="J5" s="1708" t="s">
        <v>1919</v>
      </c>
      <c r="K5" s="1708" t="s">
        <v>1920</v>
      </c>
      <c r="L5" s="1708" t="s">
        <v>1918</v>
      </c>
      <c r="M5" s="1708" t="s">
        <v>1919</v>
      </c>
      <c r="N5" s="1708" t="s">
        <v>1920</v>
      </c>
      <c r="O5" s="1708" t="s">
        <v>1918</v>
      </c>
      <c r="P5" s="1708" t="s">
        <v>1919</v>
      </c>
      <c r="Q5" s="1708" t="s">
        <v>1920</v>
      </c>
    </row>
    <row r="6" spans="2:17" hidden="1">
      <c r="C6" s="1709"/>
      <c r="D6" s="1710"/>
      <c r="E6" s="1709"/>
      <c r="F6" s="1709"/>
      <c r="G6" s="1711">
        <v>1</v>
      </c>
      <c r="H6" s="1711"/>
      <c r="I6" s="1707">
        <v>3</v>
      </c>
      <c r="J6" s="1707">
        <v>4</v>
      </c>
      <c r="K6" s="1707">
        <v>5</v>
      </c>
      <c r="L6" s="1707">
        <v>6</v>
      </c>
      <c r="M6" s="1707">
        <v>7</v>
      </c>
      <c r="N6" s="1707">
        <v>8</v>
      </c>
      <c r="O6" s="1707">
        <v>9</v>
      </c>
      <c r="P6" s="1707">
        <v>10</v>
      </c>
      <c r="Q6" s="1707">
        <v>11</v>
      </c>
    </row>
    <row r="7" spans="2:17">
      <c r="C7" s="1712" t="s">
        <v>348</v>
      </c>
      <c r="D7" s="1713"/>
      <c r="E7" s="1705"/>
      <c r="F7" s="1706"/>
      <c r="G7" s="1711">
        <v>10</v>
      </c>
      <c r="H7" s="1711"/>
      <c r="I7" s="1714">
        <v>14.004999999999999</v>
      </c>
      <c r="J7" s="1714">
        <v>14.004999999999999</v>
      </c>
      <c r="K7" s="1714">
        <v>14.004999999999999</v>
      </c>
      <c r="L7" s="1714">
        <v>13.23</v>
      </c>
      <c r="M7" s="1714">
        <v>13.23</v>
      </c>
      <c r="N7" s="1714">
        <v>13.23</v>
      </c>
      <c r="O7" s="1714">
        <v>13.998000000000001</v>
      </c>
      <c r="P7" s="1714">
        <v>13.998000000000001</v>
      </c>
      <c r="Q7" s="1714">
        <v>13.998000000000001</v>
      </c>
    </row>
    <row r="8" spans="2:17">
      <c r="C8" s="1715"/>
      <c r="D8" s="910" t="s">
        <v>2013</v>
      </c>
      <c r="E8" s="910"/>
      <c r="F8" s="1716">
        <v>1</v>
      </c>
      <c r="G8" s="1711">
        <v>11</v>
      </c>
      <c r="H8" s="1711"/>
      <c r="I8" s="1717">
        <v>6.4519999999999991</v>
      </c>
      <c r="J8" s="1717">
        <v>6.4519999999999991</v>
      </c>
      <c r="K8" s="1717">
        <v>6.4519999999999991</v>
      </c>
      <c r="L8" s="1717">
        <v>6.6009999999999991</v>
      </c>
      <c r="M8" s="1717">
        <v>6.6009999999999991</v>
      </c>
      <c r="N8" s="1717">
        <v>6.6009999999999991</v>
      </c>
      <c r="O8" s="1717">
        <v>6.5150000000000006</v>
      </c>
      <c r="P8" s="1717">
        <v>6.5150000000000006</v>
      </c>
      <c r="Q8" s="1717">
        <v>6.5150000000000006</v>
      </c>
    </row>
    <row r="9" spans="2:17">
      <c r="C9" s="1715"/>
      <c r="D9" s="910" t="s">
        <v>2014</v>
      </c>
      <c r="E9" s="910"/>
      <c r="F9" s="1716">
        <v>1</v>
      </c>
      <c r="G9" s="1718">
        <v>12</v>
      </c>
      <c r="H9" s="1718"/>
      <c r="I9" s="1717">
        <v>13.42</v>
      </c>
      <c r="J9" s="1717">
        <v>13.42</v>
      </c>
      <c r="K9" s="1717">
        <v>13.42</v>
      </c>
      <c r="L9" s="1717">
        <v>12.416</v>
      </c>
      <c r="M9" s="1717">
        <v>12.416</v>
      </c>
      <c r="N9" s="1717">
        <v>12.416</v>
      </c>
      <c r="O9" s="1717">
        <v>13.272</v>
      </c>
      <c r="P9" s="1717">
        <v>13.272</v>
      </c>
      <c r="Q9" s="1717">
        <v>13.272</v>
      </c>
    </row>
    <row r="10" spans="2:17" hidden="1">
      <c r="C10" s="1719"/>
      <c r="D10" s="1721" t="s">
        <v>2354</v>
      </c>
      <c r="E10" s="1721"/>
      <c r="F10" s="1722"/>
      <c r="G10" s="1723">
        <v>13</v>
      </c>
      <c r="H10" s="1723">
        <f>CO2計算!$F$21</f>
        <v>0</v>
      </c>
      <c r="I10" s="1717">
        <f>(I7-I8)*$H10</f>
        <v>0</v>
      </c>
      <c r="J10" s="1717">
        <f t="shared" ref="J10:Q10" si="0">(J7-J8)*$H10</f>
        <v>0</v>
      </c>
      <c r="K10" s="1717">
        <f t="shared" si="0"/>
        <v>0</v>
      </c>
      <c r="L10" s="1717">
        <f t="shared" si="0"/>
        <v>0</v>
      </c>
      <c r="M10" s="1717">
        <f t="shared" si="0"/>
        <v>0</v>
      </c>
      <c r="N10" s="1717">
        <f t="shared" si="0"/>
        <v>0</v>
      </c>
      <c r="O10" s="1717">
        <f t="shared" si="0"/>
        <v>0</v>
      </c>
      <c r="P10" s="1717">
        <f t="shared" si="0"/>
        <v>0</v>
      </c>
      <c r="Q10" s="1717">
        <f t="shared" si="0"/>
        <v>0</v>
      </c>
    </row>
    <row r="11" spans="2:17" hidden="1">
      <c r="C11" s="1719"/>
      <c r="D11" s="1721" t="s">
        <v>2355</v>
      </c>
      <c r="E11" s="1721"/>
      <c r="F11" s="1722"/>
      <c r="G11" s="1724">
        <v>14</v>
      </c>
      <c r="H11" s="1723">
        <f>CO2計算!$F$22</f>
        <v>0</v>
      </c>
      <c r="I11" s="1717">
        <f t="shared" ref="I11:Q11" si="1">(I7-I9)*$H11</f>
        <v>0</v>
      </c>
      <c r="J11" s="1717">
        <f t="shared" si="1"/>
        <v>0</v>
      </c>
      <c r="K11" s="1717">
        <f t="shared" si="1"/>
        <v>0</v>
      </c>
      <c r="L11" s="1717">
        <f t="shared" si="1"/>
        <v>0</v>
      </c>
      <c r="M11" s="1717">
        <f t="shared" si="1"/>
        <v>0</v>
      </c>
      <c r="N11" s="1717">
        <f t="shared" si="1"/>
        <v>0</v>
      </c>
      <c r="O11" s="1717">
        <f t="shared" si="1"/>
        <v>0</v>
      </c>
      <c r="P11" s="1717">
        <f t="shared" si="1"/>
        <v>0</v>
      </c>
      <c r="Q11" s="1717">
        <f t="shared" si="1"/>
        <v>0</v>
      </c>
    </row>
    <row r="12" spans="2:17" hidden="1">
      <c r="C12" s="1725"/>
      <c r="D12" s="1721" t="s">
        <v>366</v>
      </c>
      <c r="E12" s="1721"/>
      <c r="F12" s="1722"/>
      <c r="G12" s="1727">
        <v>15</v>
      </c>
      <c r="H12" s="1727"/>
      <c r="I12" s="1717">
        <f t="shared" ref="I12:Q12" si="2">I7-I10-I11</f>
        <v>14.004999999999999</v>
      </c>
      <c r="J12" s="1717">
        <f t="shared" si="2"/>
        <v>14.004999999999999</v>
      </c>
      <c r="K12" s="1717">
        <f t="shared" si="2"/>
        <v>14.004999999999999</v>
      </c>
      <c r="L12" s="1717">
        <f t="shared" si="2"/>
        <v>13.23</v>
      </c>
      <c r="M12" s="1717">
        <f t="shared" si="2"/>
        <v>13.23</v>
      </c>
      <c r="N12" s="1717">
        <f t="shared" si="2"/>
        <v>13.23</v>
      </c>
      <c r="O12" s="1717">
        <f t="shared" si="2"/>
        <v>13.998000000000001</v>
      </c>
      <c r="P12" s="1717">
        <f t="shared" si="2"/>
        <v>13.998000000000001</v>
      </c>
      <c r="Q12" s="1717">
        <f t="shared" si="2"/>
        <v>13.998000000000001</v>
      </c>
    </row>
    <row r="13" spans="2:17">
      <c r="C13" s="1712" t="s">
        <v>1444</v>
      </c>
      <c r="D13" s="1705"/>
      <c r="E13" s="1705"/>
      <c r="F13" s="1706"/>
      <c r="G13" s="1711">
        <f t="shared" ref="G13:G60" si="3">G7+10</f>
        <v>20</v>
      </c>
      <c r="H13" s="1711"/>
      <c r="I13" s="1714">
        <v>10.473000000000001</v>
      </c>
      <c r="J13" s="1714">
        <v>10.473000000000001</v>
      </c>
      <c r="K13" s="1714">
        <v>10.473000000000001</v>
      </c>
      <c r="L13" s="1714">
        <v>11.762999999999998</v>
      </c>
      <c r="M13" s="1714">
        <v>11.762999999999998</v>
      </c>
      <c r="N13" s="1714">
        <v>11.762999999999998</v>
      </c>
      <c r="O13" s="1714">
        <v>14.002000000000002</v>
      </c>
      <c r="P13" s="1714">
        <v>14.002000000000002</v>
      </c>
      <c r="Q13" s="1714">
        <v>14.002000000000002</v>
      </c>
    </row>
    <row r="14" spans="2:17">
      <c r="C14" s="1715"/>
      <c r="D14" s="910" t="s">
        <v>2013</v>
      </c>
      <c r="E14" s="910"/>
      <c r="F14" s="1716">
        <v>1</v>
      </c>
      <c r="G14" s="1711">
        <f t="shared" si="3"/>
        <v>21</v>
      </c>
      <c r="H14" s="1711"/>
      <c r="I14" s="1717">
        <v>5.2279999999999998</v>
      </c>
      <c r="J14" s="1717">
        <v>5.2279999999999998</v>
      </c>
      <c r="K14" s="1717">
        <v>5.2279999999999998</v>
      </c>
      <c r="L14" s="1717">
        <v>5.3689999999999998</v>
      </c>
      <c r="M14" s="1717">
        <v>5.3689999999999998</v>
      </c>
      <c r="N14" s="1717">
        <v>5.3689999999999998</v>
      </c>
      <c r="O14" s="1717">
        <v>5.2780000000000005</v>
      </c>
      <c r="P14" s="1717">
        <v>5.2780000000000005</v>
      </c>
      <c r="Q14" s="1717">
        <v>5.2780000000000005</v>
      </c>
    </row>
    <row r="15" spans="2:17">
      <c r="C15" s="1715"/>
      <c r="D15" s="910" t="s">
        <v>2014</v>
      </c>
      <c r="E15" s="910"/>
      <c r="F15" s="1716">
        <v>1</v>
      </c>
      <c r="G15" s="1711">
        <f t="shared" si="3"/>
        <v>22</v>
      </c>
      <c r="H15" s="1718"/>
      <c r="I15" s="1717">
        <v>10.11</v>
      </c>
      <c r="J15" s="1717">
        <v>10.11</v>
      </c>
      <c r="K15" s="1717">
        <v>10.11</v>
      </c>
      <c r="L15" s="1717">
        <v>10.846</v>
      </c>
      <c r="M15" s="1717">
        <v>10.846</v>
      </c>
      <c r="N15" s="1717">
        <v>10.846</v>
      </c>
      <c r="O15" s="1717">
        <v>13.005000000000001</v>
      </c>
      <c r="P15" s="1717">
        <v>13.005000000000001</v>
      </c>
      <c r="Q15" s="1717">
        <v>13.005000000000001</v>
      </c>
    </row>
    <row r="16" spans="2:17" hidden="1">
      <c r="C16" s="1719"/>
      <c r="D16" s="1721" t="s">
        <v>2354</v>
      </c>
      <c r="E16" s="1721"/>
      <c r="F16" s="1722"/>
      <c r="G16" s="1711">
        <f t="shared" si="3"/>
        <v>23</v>
      </c>
      <c r="H16" s="1723">
        <f>CO2計算!$F$21</f>
        <v>0</v>
      </c>
      <c r="I16" s="1717">
        <f>(I13-I14)*$H16</f>
        <v>0</v>
      </c>
      <c r="J16" s="1717">
        <f t="shared" ref="J16:Q16" si="4">(J13-J14)*$H16</f>
        <v>0</v>
      </c>
      <c r="K16" s="1717">
        <f t="shared" si="4"/>
        <v>0</v>
      </c>
      <c r="L16" s="1717">
        <f t="shared" si="4"/>
        <v>0</v>
      </c>
      <c r="M16" s="1717">
        <f t="shared" si="4"/>
        <v>0</v>
      </c>
      <c r="N16" s="1717">
        <f t="shared" si="4"/>
        <v>0</v>
      </c>
      <c r="O16" s="1717">
        <f t="shared" si="4"/>
        <v>0</v>
      </c>
      <c r="P16" s="1717">
        <f t="shared" si="4"/>
        <v>0</v>
      </c>
      <c r="Q16" s="1717">
        <f t="shared" si="4"/>
        <v>0</v>
      </c>
    </row>
    <row r="17" spans="3:17" hidden="1">
      <c r="C17" s="1719"/>
      <c r="D17" s="1721" t="s">
        <v>2355</v>
      </c>
      <c r="E17" s="1721"/>
      <c r="F17" s="1722"/>
      <c r="G17" s="1711">
        <f t="shared" si="3"/>
        <v>24</v>
      </c>
      <c r="H17" s="1723">
        <f>CO2計算!$F$22</f>
        <v>0</v>
      </c>
      <c r="I17" s="1717">
        <f t="shared" ref="I17:Q17" si="5">(I13-I15)*$H17</f>
        <v>0</v>
      </c>
      <c r="J17" s="1717">
        <f t="shared" si="5"/>
        <v>0</v>
      </c>
      <c r="K17" s="1717">
        <f t="shared" si="5"/>
        <v>0</v>
      </c>
      <c r="L17" s="1717">
        <f t="shared" si="5"/>
        <v>0</v>
      </c>
      <c r="M17" s="1717">
        <f t="shared" si="5"/>
        <v>0</v>
      </c>
      <c r="N17" s="1717">
        <f t="shared" si="5"/>
        <v>0</v>
      </c>
      <c r="O17" s="1717">
        <f t="shared" si="5"/>
        <v>0</v>
      </c>
      <c r="P17" s="1717">
        <f t="shared" si="5"/>
        <v>0</v>
      </c>
      <c r="Q17" s="1717">
        <f t="shared" si="5"/>
        <v>0</v>
      </c>
    </row>
    <row r="18" spans="3:17" hidden="1">
      <c r="C18" s="1725"/>
      <c r="D18" s="1721" t="s">
        <v>366</v>
      </c>
      <c r="E18" s="1721"/>
      <c r="F18" s="1722"/>
      <c r="G18" s="1711">
        <f t="shared" si="3"/>
        <v>25</v>
      </c>
      <c r="H18" s="1727"/>
      <c r="I18" s="1717">
        <f t="shared" ref="I18:Q18" si="6">I13-I16-I17</f>
        <v>10.473000000000001</v>
      </c>
      <c r="J18" s="1717">
        <f t="shared" si="6"/>
        <v>10.473000000000001</v>
      </c>
      <c r="K18" s="1717">
        <f t="shared" si="6"/>
        <v>10.473000000000001</v>
      </c>
      <c r="L18" s="1717">
        <f t="shared" si="6"/>
        <v>11.762999999999998</v>
      </c>
      <c r="M18" s="1717">
        <f t="shared" si="6"/>
        <v>11.762999999999998</v>
      </c>
      <c r="N18" s="1717">
        <f t="shared" si="6"/>
        <v>11.762999999999998</v>
      </c>
      <c r="O18" s="1717">
        <f t="shared" si="6"/>
        <v>14.002000000000002</v>
      </c>
      <c r="P18" s="1717">
        <f t="shared" si="6"/>
        <v>14.002000000000002</v>
      </c>
      <c r="Q18" s="1717">
        <f t="shared" si="6"/>
        <v>14.002000000000002</v>
      </c>
    </row>
    <row r="19" spans="3:17">
      <c r="C19" s="1712" t="s">
        <v>1611</v>
      </c>
      <c r="D19" s="1705"/>
      <c r="E19" s="1705"/>
      <c r="F19" s="1706"/>
      <c r="G19" s="1711">
        <f t="shared" si="3"/>
        <v>30</v>
      </c>
      <c r="H19" s="1711"/>
      <c r="I19" s="1714">
        <v>16.572000000000003</v>
      </c>
      <c r="J19" s="1714">
        <v>16.572000000000003</v>
      </c>
      <c r="K19" s="1714">
        <v>16.572000000000003</v>
      </c>
      <c r="L19" s="1714">
        <v>22.385999999999999</v>
      </c>
      <c r="M19" s="1714">
        <v>22.385999999999999</v>
      </c>
      <c r="N19" s="1714">
        <v>22.385999999999999</v>
      </c>
      <c r="O19" s="1714">
        <v>16.960999999999999</v>
      </c>
      <c r="P19" s="1714">
        <v>16.960999999999999</v>
      </c>
      <c r="Q19" s="1714">
        <v>16.960999999999999</v>
      </c>
    </row>
    <row r="20" spans="3:17">
      <c r="C20" s="1715"/>
      <c r="D20" s="910" t="s">
        <v>2013</v>
      </c>
      <c r="E20" s="910"/>
      <c r="F20" s="1716">
        <v>1</v>
      </c>
      <c r="G20" s="1711">
        <f t="shared" si="3"/>
        <v>31</v>
      </c>
      <c r="H20" s="1711"/>
      <c r="I20" s="1717">
        <v>8.4039999999999999</v>
      </c>
      <c r="J20" s="1717">
        <v>8.4039999999999999</v>
      </c>
      <c r="K20" s="1717">
        <v>8.4039999999999999</v>
      </c>
      <c r="L20" s="1717">
        <v>8.5990000000000002</v>
      </c>
      <c r="M20" s="1717">
        <v>8.5990000000000002</v>
      </c>
      <c r="N20" s="1717">
        <v>8.5990000000000002</v>
      </c>
      <c r="O20" s="1717">
        <v>8.4849999999999994</v>
      </c>
      <c r="P20" s="1717">
        <v>8.4849999999999994</v>
      </c>
      <c r="Q20" s="1717">
        <v>8.4849999999999994</v>
      </c>
    </row>
    <row r="21" spans="3:17">
      <c r="C21" s="1715"/>
      <c r="D21" s="910" t="s">
        <v>2014</v>
      </c>
      <c r="E21" s="910"/>
      <c r="F21" s="1716">
        <v>1</v>
      </c>
      <c r="G21" s="1711">
        <f t="shared" si="3"/>
        <v>32</v>
      </c>
      <c r="H21" s="1718"/>
      <c r="I21" s="1717">
        <v>15.867000000000001</v>
      </c>
      <c r="J21" s="1717">
        <v>15.867000000000001</v>
      </c>
      <c r="K21" s="1717">
        <v>15.867000000000001</v>
      </c>
      <c r="L21" s="1717">
        <v>20.512</v>
      </c>
      <c r="M21" s="1717">
        <v>20.512</v>
      </c>
      <c r="N21" s="1717">
        <v>20.512</v>
      </c>
      <c r="O21" s="1717">
        <v>16.321999999999999</v>
      </c>
      <c r="P21" s="1717">
        <v>16.321999999999999</v>
      </c>
      <c r="Q21" s="1717">
        <v>16.321999999999999</v>
      </c>
    </row>
    <row r="22" spans="3:17" hidden="1">
      <c r="C22" s="1719"/>
      <c r="D22" s="1721" t="s">
        <v>2354</v>
      </c>
      <c r="E22" s="1721"/>
      <c r="F22" s="1722"/>
      <c r="G22" s="1711">
        <f t="shared" si="3"/>
        <v>33</v>
      </c>
      <c r="H22" s="1723">
        <f>CO2計算!$F$21</f>
        <v>0</v>
      </c>
      <c r="I22" s="1717">
        <f>(I19-I20)*$H22</f>
        <v>0</v>
      </c>
      <c r="J22" s="1717">
        <f t="shared" ref="J22:Q22" si="7">(J19-J20)*$H22</f>
        <v>0</v>
      </c>
      <c r="K22" s="1717">
        <f t="shared" si="7"/>
        <v>0</v>
      </c>
      <c r="L22" s="1717">
        <f t="shared" si="7"/>
        <v>0</v>
      </c>
      <c r="M22" s="1717">
        <f t="shared" si="7"/>
        <v>0</v>
      </c>
      <c r="N22" s="1717">
        <f t="shared" si="7"/>
        <v>0</v>
      </c>
      <c r="O22" s="1717">
        <f t="shared" si="7"/>
        <v>0</v>
      </c>
      <c r="P22" s="1717">
        <f t="shared" si="7"/>
        <v>0</v>
      </c>
      <c r="Q22" s="1717">
        <f t="shared" si="7"/>
        <v>0</v>
      </c>
    </row>
    <row r="23" spans="3:17" hidden="1">
      <c r="C23" s="1719"/>
      <c r="D23" s="1721" t="s">
        <v>2355</v>
      </c>
      <c r="E23" s="1721"/>
      <c r="F23" s="1722"/>
      <c r="G23" s="1711">
        <f t="shared" si="3"/>
        <v>34</v>
      </c>
      <c r="H23" s="1723">
        <f>CO2計算!$F$22</f>
        <v>0</v>
      </c>
      <c r="I23" s="1717">
        <f t="shared" ref="I23:Q23" si="8">(I19-I21)*$H23</f>
        <v>0</v>
      </c>
      <c r="J23" s="1717">
        <f t="shared" si="8"/>
        <v>0</v>
      </c>
      <c r="K23" s="1717">
        <f t="shared" si="8"/>
        <v>0</v>
      </c>
      <c r="L23" s="1717">
        <f t="shared" si="8"/>
        <v>0</v>
      </c>
      <c r="M23" s="1717">
        <f t="shared" si="8"/>
        <v>0</v>
      </c>
      <c r="N23" s="1717">
        <f t="shared" si="8"/>
        <v>0</v>
      </c>
      <c r="O23" s="1717">
        <f t="shared" si="8"/>
        <v>0</v>
      </c>
      <c r="P23" s="1717">
        <f t="shared" si="8"/>
        <v>0</v>
      </c>
      <c r="Q23" s="1717">
        <f t="shared" si="8"/>
        <v>0</v>
      </c>
    </row>
    <row r="24" spans="3:17" hidden="1">
      <c r="C24" s="1725"/>
      <c r="D24" s="1721" t="s">
        <v>366</v>
      </c>
      <c r="E24" s="1721"/>
      <c r="F24" s="1722"/>
      <c r="G24" s="1711">
        <f t="shared" si="3"/>
        <v>35</v>
      </c>
      <c r="H24" s="1727"/>
      <c r="I24" s="1717">
        <f t="shared" ref="I24:Q24" si="9">I19-I22-I23</f>
        <v>16.572000000000003</v>
      </c>
      <c r="J24" s="1717">
        <f t="shared" si="9"/>
        <v>16.572000000000003</v>
      </c>
      <c r="K24" s="1717">
        <f t="shared" si="9"/>
        <v>16.572000000000003</v>
      </c>
      <c r="L24" s="1717">
        <f t="shared" si="9"/>
        <v>22.385999999999999</v>
      </c>
      <c r="M24" s="1717">
        <f t="shared" si="9"/>
        <v>22.385999999999999</v>
      </c>
      <c r="N24" s="1717">
        <f t="shared" si="9"/>
        <v>22.385999999999999</v>
      </c>
      <c r="O24" s="1717">
        <f t="shared" si="9"/>
        <v>16.960999999999999</v>
      </c>
      <c r="P24" s="1717">
        <f t="shared" si="9"/>
        <v>16.960999999999999</v>
      </c>
      <c r="Q24" s="1717">
        <f t="shared" si="9"/>
        <v>16.960999999999999</v>
      </c>
    </row>
    <row r="25" spans="3:17">
      <c r="C25" s="1712" t="s">
        <v>1723</v>
      </c>
      <c r="D25" s="1705"/>
      <c r="E25" s="1705"/>
      <c r="F25" s="1706"/>
      <c r="G25" s="1711">
        <f t="shared" si="3"/>
        <v>40</v>
      </c>
      <c r="H25" s="1711"/>
      <c r="I25" s="1714">
        <v>16.571999999999999</v>
      </c>
      <c r="J25" s="1714">
        <v>16.572000000000003</v>
      </c>
      <c r="K25" s="1714">
        <v>16.572000000000003</v>
      </c>
      <c r="L25" s="1714">
        <v>22.385999999999999</v>
      </c>
      <c r="M25" s="1714">
        <v>22.385999999999999</v>
      </c>
      <c r="N25" s="1714">
        <v>22.385999999999999</v>
      </c>
      <c r="O25" s="1714">
        <v>16.960999999999999</v>
      </c>
      <c r="P25" s="1714">
        <v>16.960999999999999</v>
      </c>
      <c r="Q25" s="1714">
        <v>16.960999999999999</v>
      </c>
    </row>
    <row r="26" spans="3:17">
      <c r="C26" s="1715"/>
      <c r="D26" s="910" t="s">
        <v>2013</v>
      </c>
      <c r="E26" s="910"/>
      <c r="F26" s="1716">
        <v>1</v>
      </c>
      <c r="G26" s="1711">
        <f t="shared" si="3"/>
        <v>41</v>
      </c>
      <c r="H26" s="1711"/>
      <c r="I26" s="1717">
        <v>8.4039999999999999</v>
      </c>
      <c r="J26" s="1717">
        <v>8.4039999999999999</v>
      </c>
      <c r="K26" s="1717">
        <v>8.4039999999999999</v>
      </c>
      <c r="L26" s="1717">
        <v>8.5990000000000002</v>
      </c>
      <c r="M26" s="1717">
        <v>8.5990000000000002</v>
      </c>
      <c r="N26" s="1717">
        <v>8.5990000000000002</v>
      </c>
      <c r="O26" s="1717">
        <v>8.4849999999999994</v>
      </c>
      <c r="P26" s="1717">
        <v>8.4849999999999994</v>
      </c>
      <c r="Q26" s="1717">
        <v>8.4849999999999994</v>
      </c>
    </row>
    <row r="27" spans="3:17">
      <c r="C27" s="1715"/>
      <c r="D27" s="910" t="s">
        <v>2014</v>
      </c>
      <c r="E27" s="910"/>
      <c r="F27" s="1716">
        <v>1</v>
      </c>
      <c r="G27" s="1711">
        <f t="shared" si="3"/>
        <v>42</v>
      </c>
      <c r="H27" s="1718"/>
      <c r="I27" s="1717">
        <v>15.867000000000001</v>
      </c>
      <c r="J27" s="1717">
        <v>15.867000000000001</v>
      </c>
      <c r="K27" s="1717">
        <v>15.867000000000001</v>
      </c>
      <c r="L27" s="1717">
        <v>20.512</v>
      </c>
      <c r="M27" s="1717">
        <v>20.512</v>
      </c>
      <c r="N27" s="1717">
        <v>20.512</v>
      </c>
      <c r="O27" s="1717">
        <v>16.321999999999999</v>
      </c>
      <c r="P27" s="1717">
        <v>16.321999999999999</v>
      </c>
      <c r="Q27" s="1717">
        <v>16.321999999999999</v>
      </c>
    </row>
    <row r="28" spans="3:17" hidden="1">
      <c r="C28" s="1719"/>
      <c r="D28" s="1721" t="s">
        <v>2354</v>
      </c>
      <c r="E28" s="1721"/>
      <c r="F28" s="1722"/>
      <c r="G28" s="1711">
        <f t="shared" si="3"/>
        <v>43</v>
      </c>
      <c r="H28" s="1723">
        <f>CO2計算!$F$21</f>
        <v>0</v>
      </c>
      <c r="I28" s="1717">
        <f>(I25-I26)*$H28</f>
        <v>0</v>
      </c>
      <c r="J28" s="1717">
        <f t="shared" ref="J28:Q28" si="10">(J25-J26)*$H28</f>
        <v>0</v>
      </c>
      <c r="K28" s="1717">
        <f t="shared" si="10"/>
        <v>0</v>
      </c>
      <c r="L28" s="1717">
        <f t="shared" si="10"/>
        <v>0</v>
      </c>
      <c r="M28" s="1717">
        <f t="shared" si="10"/>
        <v>0</v>
      </c>
      <c r="N28" s="1717">
        <f t="shared" si="10"/>
        <v>0</v>
      </c>
      <c r="O28" s="1717">
        <f t="shared" si="10"/>
        <v>0</v>
      </c>
      <c r="P28" s="1717">
        <f t="shared" si="10"/>
        <v>0</v>
      </c>
      <c r="Q28" s="1717">
        <f t="shared" si="10"/>
        <v>0</v>
      </c>
    </row>
    <row r="29" spans="3:17" hidden="1">
      <c r="C29" s="1719"/>
      <c r="D29" s="1721" t="s">
        <v>2355</v>
      </c>
      <c r="E29" s="1721"/>
      <c r="F29" s="1722"/>
      <c r="G29" s="1711">
        <f t="shared" si="3"/>
        <v>44</v>
      </c>
      <c r="H29" s="1723">
        <f>CO2計算!$F$22</f>
        <v>0</v>
      </c>
      <c r="I29" s="1717">
        <f t="shared" ref="I29:Q29" si="11">(I25-I27)*$H29</f>
        <v>0</v>
      </c>
      <c r="J29" s="1717">
        <f t="shared" si="11"/>
        <v>0</v>
      </c>
      <c r="K29" s="1717">
        <f t="shared" si="11"/>
        <v>0</v>
      </c>
      <c r="L29" s="1717">
        <f t="shared" si="11"/>
        <v>0</v>
      </c>
      <c r="M29" s="1717">
        <f t="shared" si="11"/>
        <v>0</v>
      </c>
      <c r="N29" s="1717">
        <f t="shared" si="11"/>
        <v>0</v>
      </c>
      <c r="O29" s="1717">
        <f t="shared" si="11"/>
        <v>0</v>
      </c>
      <c r="P29" s="1717">
        <f t="shared" si="11"/>
        <v>0</v>
      </c>
      <c r="Q29" s="1717">
        <f t="shared" si="11"/>
        <v>0</v>
      </c>
    </row>
    <row r="30" spans="3:17" hidden="1">
      <c r="C30" s="1725"/>
      <c r="D30" s="1721" t="s">
        <v>366</v>
      </c>
      <c r="E30" s="1721"/>
      <c r="F30" s="1722"/>
      <c r="G30" s="1711">
        <f t="shared" si="3"/>
        <v>45</v>
      </c>
      <c r="H30" s="1727"/>
      <c r="I30" s="1717">
        <f t="shared" ref="I30:Q30" si="12">I25-I28-I29</f>
        <v>16.571999999999999</v>
      </c>
      <c r="J30" s="1717">
        <f t="shared" si="12"/>
        <v>16.572000000000003</v>
      </c>
      <c r="K30" s="1717">
        <f t="shared" si="12"/>
        <v>16.572000000000003</v>
      </c>
      <c r="L30" s="1717">
        <f t="shared" si="12"/>
        <v>22.385999999999999</v>
      </c>
      <c r="M30" s="1717">
        <f t="shared" si="12"/>
        <v>22.385999999999999</v>
      </c>
      <c r="N30" s="1717">
        <f t="shared" si="12"/>
        <v>22.385999999999999</v>
      </c>
      <c r="O30" s="1717">
        <f t="shared" si="12"/>
        <v>16.960999999999999</v>
      </c>
      <c r="P30" s="1717">
        <f t="shared" si="12"/>
        <v>16.960999999999999</v>
      </c>
      <c r="Q30" s="1717">
        <f t="shared" si="12"/>
        <v>16.960999999999999</v>
      </c>
    </row>
    <row r="31" spans="3:17">
      <c r="C31" s="1712" t="s">
        <v>1613</v>
      </c>
      <c r="D31" s="1705"/>
      <c r="E31" s="1705"/>
      <c r="F31" s="1706"/>
      <c r="G31" s="1711">
        <f t="shared" si="3"/>
        <v>50</v>
      </c>
      <c r="H31" s="1711"/>
      <c r="I31" s="1714">
        <v>11.535</v>
      </c>
      <c r="J31" s="1714">
        <v>11.535</v>
      </c>
      <c r="K31" s="1714">
        <v>11.535</v>
      </c>
      <c r="L31" s="1714">
        <v>12.471</v>
      </c>
      <c r="M31" s="1714">
        <v>12.471</v>
      </c>
      <c r="N31" s="1714">
        <v>12.471</v>
      </c>
      <c r="O31" s="1714">
        <v>13.079000000000001</v>
      </c>
      <c r="P31" s="1714">
        <v>13.079000000000001</v>
      </c>
      <c r="Q31" s="1714">
        <v>13.079000000000001</v>
      </c>
    </row>
    <row r="32" spans="3:17">
      <c r="C32" s="1715"/>
      <c r="D32" s="910" t="s">
        <v>2013</v>
      </c>
      <c r="E32" s="910"/>
      <c r="F32" s="1716">
        <v>1</v>
      </c>
      <c r="G32" s="1711">
        <f t="shared" si="3"/>
        <v>51</v>
      </c>
      <c r="H32" s="1711"/>
      <c r="I32" s="1717">
        <v>5.452</v>
      </c>
      <c r="J32" s="1717">
        <v>5.452</v>
      </c>
      <c r="K32" s="1717">
        <v>5.452</v>
      </c>
      <c r="L32" s="1717">
        <v>5.5779999999999994</v>
      </c>
      <c r="M32" s="1717">
        <v>5.5779999999999994</v>
      </c>
      <c r="N32" s="1717">
        <v>5.5779999999999994</v>
      </c>
      <c r="O32" s="1717">
        <v>5.5039999999999996</v>
      </c>
      <c r="P32" s="1717">
        <v>5.5039999999999996</v>
      </c>
      <c r="Q32" s="1717">
        <v>5.5039999999999996</v>
      </c>
    </row>
    <row r="33" spans="3:17">
      <c r="C33" s="1715"/>
      <c r="D33" s="910" t="s">
        <v>2014</v>
      </c>
      <c r="E33" s="910"/>
      <c r="F33" s="1716">
        <v>1</v>
      </c>
      <c r="G33" s="1711">
        <f t="shared" si="3"/>
        <v>52</v>
      </c>
      <c r="H33" s="1718"/>
      <c r="I33" s="1717">
        <v>11.178000000000001</v>
      </c>
      <c r="J33" s="1717">
        <v>11.178000000000001</v>
      </c>
      <c r="K33" s="1717">
        <v>11.178000000000001</v>
      </c>
      <c r="L33" s="1717">
        <v>11.533999999999999</v>
      </c>
      <c r="M33" s="1717">
        <v>11.533999999999999</v>
      </c>
      <c r="N33" s="1717">
        <v>11.533999999999999</v>
      </c>
      <c r="O33" s="1717">
        <v>12.182</v>
      </c>
      <c r="P33" s="1717">
        <v>12.182</v>
      </c>
      <c r="Q33" s="1717">
        <v>12.182</v>
      </c>
    </row>
    <row r="34" spans="3:17" hidden="1">
      <c r="C34" s="1719"/>
      <c r="D34" s="1721" t="s">
        <v>2354</v>
      </c>
      <c r="E34" s="1721"/>
      <c r="F34" s="1722"/>
      <c r="G34" s="1711">
        <f t="shared" si="3"/>
        <v>53</v>
      </c>
      <c r="H34" s="1723">
        <f>CO2計算!$F$21</f>
        <v>0</v>
      </c>
      <c r="I34" s="1717">
        <f>(I31-I32)*$H34</f>
        <v>0</v>
      </c>
      <c r="J34" s="1717">
        <f t="shared" ref="J34:Q34" si="13">(J31-J32)*$H34</f>
        <v>0</v>
      </c>
      <c r="K34" s="1717">
        <f t="shared" si="13"/>
        <v>0</v>
      </c>
      <c r="L34" s="1717">
        <f t="shared" si="13"/>
        <v>0</v>
      </c>
      <c r="M34" s="1717">
        <f t="shared" si="13"/>
        <v>0</v>
      </c>
      <c r="N34" s="1717">
        <f t="shared" si="13"/>
        <v>0</v>
      </c>
      <c r="O34" s="1717">
        <f t="shared" si="13"/>
        <v>0</v>
      </c>
      <c r="P34" s="1717">
        <f t="shared" si="13"/>
        <v>0</v>
      </c>
      <c r="Q34" s="1717">
        <f t="shared" si="13"/>
        <v>0</v>
      </c>
    </row>
    <row r="35" spans="3:17" hidden="1">
      <c r="C35" s="1719"/>
      <c r="D35" s="1721" t="s">
        <v>2355</v>
      </c>
      <c r="E35" s="1721"/>
      <c r="F35" s="1722"/>
      <c r="G35" s="1711">
        <f t="shared" si="3"/>
        <v>54</v>
      </c>
      <c r="H35" s="1723">
        <f>CO2計算!$F$22</f>
        <v>0</v>
      </c>
      <c r="I35" s="1717">
        <f t="shared" ref="I35:Q35" si="14">(I31-I33)*$H35</f>
        <v>0</v>
      </c>
      <c r="J35" s="1717">
        <f t="shared" si="14"/>
        <v>0</v>
      </c>
      <c r="K35" s="1717">
        <f t="shared" si="14"/>
        <v>0</v>
      </c>
      <c r="L35" s="1717">
        <f t="shared" si="14"/>
        <v>0</v>
      </c>
      <c r="M35" s="1717">
        <f t="shared" si="14"/>
        <v>0</v>
      </c>
      <c r="N35" s="1717">
        <f t="shared" si="14"/>
        <v>0</v>
      </c>
      <c r="O35" s="1717">
        <f t="shared" si="14"/>
        <v>0</v>
      </c>
      <c r="P35" s="1717">
        <f t="shared" si="14"/>
        <v>0</v>
      </c>
      <c r="Q35" s="1717">
        <f t="shared" si="14"/>
        <v>0</v>
      </c>
    </row>
    <row r="36" spans="3:17" hidden="1">
      <c r="C36" s="1725"/>
      <c r="D36" s="1721" t="s">
        <v>366</v>
      </c>
      <c r="E36" s="1721"/>
      <c r="F36" s="1722"/>
      <c r="G36" s="1711">
        <f t="shared" si="3"/>
        <v>55</v>
      </c>
      <c r="H36" s="1727"/>
      <c r="I36" s="1717">
        <f t="shared" ref="I36:Q36" si="15">I31-I34-I35</f>
        <v>11.535</v>
      </c>
      <c r="J36" s="1717">
        <f t="shared" si="15"/>
        <v>11.535</v>
      </c>
      <c r="K36" s="1717">
        <f t="shared" si="15"/>
        <v>11.535</v>
      </c>
      <c r="L36" s="1717">
        <f t="shared" si="15"/>
        <v>12.471</v>
      </c>
      <c r="M36" s="1717">
        <f t="shared" si="15"/>
        <v>12.471</v>
      </c>
      <c r="N36" s="1717">
        <f t="shared" si="15"/>
        <v>12.471</v>
      </c>
      <c r="O36" s="1717">
        <f t="shared" si="15"/>
        <v>13.079000000000001</v>
      </c>
      <c r="P36" s="1717">
        <f t="shared" si="15"/>
        <v>13.079000000000001</v>
      </c>
      <c r="Q36" s="1717">
        <f t="shared" si="15"/>
        <v>13.079000000000001</v>
      </c>
    </row>
    <row r="37" spans="3:17">
      <c r="C37" s="1712" t="s">
        <v>364</v>
      </c>
      <c r="D37" s="1705"/>
      <c r="E37" s="1705"/>
      <c r="F37" s="1706"/>
      <c r="G37" s="1711">
        <f t="shared" si="3"/>
        <v>60</v>
      </c>
      <c r="H37" s="1711"/>
      <c r="I37" s="1714">
        <v>19.561999999999998</v>
      </c>
      <c r="J37" s="1714">
        <v>19.561999999999998</v>
      </c>
      <c r="K37" s="1714">
        <v>19.561999999999998</v>
      </c>
      <c r="L37" s="1714">
        <v>22.5</v>
      </c>
      <c r="M37" s="1714">
        <v>22.5</v>
      </c>
      <c r="N37" s="1714">
        <v>22.5</v>
      </c>
      <c r="O37" s="1714">
        <v>23.650000000000002</v>
      </c>
      <c r="P37" s="1714">
        <v>23.650000000000002</v>
      </c>
      <c r="Q37" s="1714">
        <v>23.650000000000002</v>
      </c>
    </row>
    <row r="38" spans="3:17">
      <c r="C38" s="1715"/>
      <c r="D38" s="910" t="s">
        <v>2013</v>
      </c>
      <c r="E38" s="910"/>
      <c r="F38" s="1716">
        <v>1</v>
      </c>
      <c r="G38" s="1711">
        <f t="shared" si="3"/>
        <v>61</v>
      </c>
      <c r="H38" s="1711"/>
      <c r="I38" s="1717">
        <v>9.9849999999999994</v>
      </c>
      <c r="J38" s="1717">
        <v>9.9849999999999994</v>
      </c>
      <c r="K38" s="1717">
        <v>9.9849999999999994</v>
      </c>
      <c r="L38" s="1717">
        <v>10.302</v>
      </c>
      <c r="M38" s="1717">
        <v>10.302</v>
      </c>
      <c r="N38" s="1717">
        <v>10.302</v>
      </c>
      <c r="O38" s="1717">
        <v>9.9700000000000006</v>
      </c>
      <c r="P38" s="1717">
        <v>9.9700000000000006</v>
      </c>
      <c r="Q38" s="1717">
        <v>9.9700000000000006</v>
      </c>
    </row>
    <row r="39" spans="3:17">
      <c r="C39" s="1715"/>
      <c r="D39" s="910" t="s">
        <v>2014</v>
      </c>
      <c r="E39" s="910"/>
      <c r="F39" s="1716">
        <v>1</v>
      </c>
      <c r="G39" s="1711">
        <f t="shared" si="3"/>
        <v>62</v>
      </c>
      <c r="H39" s="1718"/>
      <c r="I39" s="1717">
        <v>18.811</v>
      </c>
      <c r="J39" s="1717">
        <v>18.811</v>
      </c>
      <c r="K39" s="1717">
        <v>18.811</v>
      </c>
      <c r="L39" s="1717">
        <v>20.811999999999998</v>
      </c>
      <c r="M39" s="1717">
        <v>20.811999999999998</v>
      </c>
      <c r="N39" s="1717">
        <v>20.811999999999998</v>
      </c>
      <c r="O39" s="1717">
        <v>22.231999999999999</v>
      </c>
      <c r="P39" s="1717">
        <v>22.231999999999999</v>
      </c>
      <c r="Q39" s="1717">
        <v>22.231999999999999</v>
      </c>
    </row>
    <row r="40" spans="3:17" hidden="1">
      <c r="C40" s="1719"/>
      <c r="D40" s="1721" t="s">
        <v>2354</v>
      </c>
      <c r="E40" s="1721"/>
      <c r="F40" s="1722"/>
      <c r="G40" s="1711">
        <f t="shared" si="3"/>
        <v>63</v>
      </c>
      <c r="H40" s="1723">
        <f>CO2計算!$F$21</f>
        <v>0</v>
      </c>
      <c r="I40" s="1717">
        <f>(I37-I38)*$H40</f>
        <v>0</v>
      </c>
      <c r="J40" s="1717">
        <f t="shared" ref="J40:Q40" si="16">(J37-J38)*$H40</f>
        <v>0</v>
      </c>
      <c r="K40" s="1717">
        <f t="shared" si="16"/>
        <v>0</v>
      </c>
      <c r="L40" s="1717">
        <f t="shared" si="16"/>
        <v>0</v>
      </c>
      <c r="M40" s="1717">
        <f t="shared" si="16"/>
        <v>0</v>
      </c>
      <c r="N40" s="1717">
        <f t="shared" si="16"/>
        <v>0</v>
      </c>
      <c r="O40" s="1717">
        <f t="shared" si="16"/>
        <v>0</v>
      </c>
      <c r="P40" s="1717">
        <f t="shared" si="16"/>
        <v>0</v>
      </c>
      <c r="Q40" s="1717">
        <f t="shared" si="16"/>
        <v>0</v>
      </c>
    </row>
    <row r="41" spans="3:17" hidden="1">
      <c r="C41" s="1719"/>
      <c r="D41" s="1721" t="s">
        <v>2355</v>
      </c>
      <c r="E41" s="1721"/>
      <c r="F41" s="1722"/>
      <c r="G41" s="1711">
        <f t="shared" si="3"/>
        <v>64</v>
      </c>
      <c r="H41" s="1723">
        <f>CO2計算!$F$22</f>
        <v>0</v>
      </c>
      <c r="I41" s="1717">
        <f t="shared" ref="I41:Q41" si="17">(I37-I39)*$H41</f>
        <v>0</v>
      </c>
      <c r="J41" s="1717">
        <f t="shared" si="17"/>
        <v>0</v>
      </c>
      <c r="K41" s="1717">
        <f t="shared" si="17"/>
        <v>0</v>
      </c>
      <c r="L41" s="1717">
        <f t="shared" si="17"/>
        <v>0</v>
      </c>
      <c r="M41" s="1717">
        <f t="shared" si="17"/>
        <v>0</v>
      </c>
      <c r="N41" s="1717">
        <f t="shared" si="17"/>
        <v>0</v>
      </c>
      <c r="O41" s="1717">
        <f t="shared" si="17"/>
        <v>0</v>
      </c>
      <c r="P41" s="1717">
        <f t="shared" si="17"/>
        <v>0</v>
      </c>
      <c r="Q41" s="1717">
        <f t="shared" si="17"/>
        <v>0</v>
      </c>
    </row>
    <row r="42" spans="3:17" hidden="1">
      <c r="C42" s="1725"/>
      <c r="D42" s="1721" t="s">
        <v>366</v>
      </c>
      <c r="E42" s="1721"/>
      <c r="F42" s="1722"/>
      <c r="G42" s="1711">
        <f t="shared" si="3"/>
        <v>65</v>
      </c>
      <c r="H42" s="1727"/>
      <c r="I42" s="1717">
        <f t="shared" ref="I42:Q42" si="18">I37-I40-I41</f>
        <v>19.561999999999998</v>
      </c>
      <c r="J42" s="1717">
        <f t="shared" si="18"/>
        <v>19.561999999999998</v>
      </c>
      <c r="K42" s="1717">
        <f t="shared" si="18"/>
        <v>19.561999999999998</v>
      </c>
      <c r="L42" s="1717">
        <f t="shared" si="18"/>
        <v>22.5</v>
      </c>
      <c r="M42" s="1717">
        <f t="shared" si="18"/>
        <v>22.5</v>
      </c>
      <c r="N42" s="1717">
        <f t="shared" si="18"/>
        <v>22.5</v>
      </c>
      <c r="O42" s="1717">
        <f t="shared" si="18"/>
        <v>23.650000000000002</v>
      </c>
      <c r="P42" s="1717">
        <f t="shared" si="18"/>
        <v>23.650000000000002</v>
      </c>
      <c r="Q42" s="1717">
        <f t="shared" si="18"/>
        <v>23.650000000000002</v>
      </c>
    </row>
    <row r="43" spans="3:17">
      <c r="C43" s="1712" t="s">
        <v>1615</v>
      </c>
      <c r="D43" s="1705"/>
      <c r="E43" s="1705"/>
      <c r="F43" s="1706"/>
      <c r="G43" s="1711">
        <f t="shared" si="3"/>
        <v>70</v>
      </c>
      <c r="H43" s="1711"/>
      <c r="I43" s="1714">
        <v>10.405000000000001</v>
      </c>
      <c r="J43" s="1714">
        <v>10.405000000000001</v>
      </c>
      <c r="K43" s="1714">
        <v>10.405000000000001</v>
      </c>
      <c r="L43" s="1714">
        <v>12.261000000000001</v>
      </c>
      <c r="M43" s="1714">
        <v>12.261000000000001</v>
      </c>
      <c r="N43" s="1714">
        <v>12.261000000000001</v>
      </c>
      <c r="O43" s="1714">
        <v>13.704000000000001</v>
      </c>
      <c r="P43" s="1714">
        <v>13.704000000000001</v>
      </c>
      <c r="Q43" s="1714">
        <v>13.704000000000001</v>
      </c>
    </row>
    <row r="44" spans="3:17">
      <c r="C44" s="1715"/>
      <c r="D44" s="910" t="s">
        <v>2013</v>
      </c>
      <c r="E44" s="910"/>
      <c r="F44" s="1716">
        <v>1</v>
      </c>
      <c r="G44" s="1711">
        <f t="shared" si="3"/>
        <v>71</v>
      </c>
      <c r="H44" s="1711"/>
      <c r="I44" s="1717">
        <v>6.2990000000000004</v>
      </c>
      <c r="J44" s="1717">
        <v>6.2990000000000004</v>
      </c>
      <c r="K44" s="1717">
        <v>6.2990000000000004</v>
      </c>
      <c r="L44" s="1717">
        <v>6.4450000000000003</v>
      </c>
      <c r="M44" s="1717">
        <v>6.4450000000000003</v>
      </c>
      <c r="N44" s="1717">
        <v>6.4450000000000003</v>
      </c>
      <c r="O44" s="1717">
        <v>6.36</v>
      </c>
      <c r="P44" s="1717">
        <v>6.36</v>
      </c>
      <c r="Q44" s="1717">
        <v>6.36</v>
      </c>
    </row>
    <row r="45" spans="3:17">
      <c r="C45" s="1715"/>
      <c r="D45" s="910" t="s">
        <v>2014</v>
      </c>
      <c r="E45" s="910"/>
      <c r="F45" s="1716">
        <v>1</v>
      </c>
      <c r="G45" s="1711">
        <f t="shared" si="3"/>
        <v>72</v>
      </c>
      <c r="H45" s="1718"/>
      <c r="I45" s="1717">
        <v>10.077999999999999</v>
      </c>
      <c r="J45" s="1717">
        <v>10.077999999999999</v>
      </c>
      <c r="K45" s="1717">
        <v>10.077999999999999</v>
      </c>
      <c r="L45" s="1717">
        <v>11.452000000000002</v>
      </c>
      <c r="M45" s="1717">
        <v>11.452000000000002</v>
      </c>
      <c r="N45" s="1717">
        <v>11.452000000000002</v>
      </c>
      <c r="O45" s="1717">
        <v>12.857999999999999</v>
      </c>
      <c r="P45" s="1717">
        <v>12.857999999999999</v>
      </c>
      <c r="Q45" s="1717">
        <v>12.857999999999999</v>
      </c>
    </row>
    <row r="46" spans="3:17" hidden="1">
      <c r="C46" s="1719"/>
      <c r="D46" s="1721" t="s">
        <v>2354</v>
      </c>
      <c r="E46" s="1721"/>
      <c r="F46" s="1722"/>
      <c r="G46" s="1711">
        <f t="shared" si="3"/>
        <v>73</v>
      </c>
      <c r="H46" s="1723">
        <f>CO2計算!$F$21</f>
        <v>0</v>
      </c>
      <c r="I46" s="1717">
        <f>(I43-I44)*$H46</f>
        <v>0</v>
      </c>
      <c r="J46" s="1717">
        <f t="shared" ref="J46:Q46" si="19">(J43-J44)*$H46</f>
        <v>0</v>
      </c>
      <c r="K46" s="1717">
        <f t="shared" si="19"/>
        <v>0</v>
      </c>
      <c r="L46" s="1717">
        <f t="shared" si="19"/>
        <v>0</v>
      </c>
      <c r="M46" s="1717">
        <f t="shared" si="19"/>
        <v>0</v>
      </c>
      <c r="N46" s="1717">
        <f t="shared" si="19"/>
        <v>0</v>
      </c>
      <c r="O46" s="1717">
        <f t="shared" si="19"/>
        <v>0</v>
      </c>
      <c r="P46" s="1717">
        <f t="shared" si="19"/>
        <v>0</v>
      </c>
      <c r="Q46" s="1717">
        <f t="shared" si="19"/>
        <v>0</v>
      </c>
    </row>
    <row r="47" spans="3:17" hidden="1">
      <c r="C47" s="1719"/>
      <c r="D47" s="1721" t="s">
        <v>2355</v>
      </c>
      <c r="E47" s="1721"/>
      <c r="F47" s="1722"/>
      <c r="G47" s="1711">
        <f t="shared" si="3"/>
        <v>74</v>
      </c>
      <c r="H47" s="1723">
        <f>CO2計算!$F$22</f>
        <v>0</v>
      </c>
      <c r="I47" s="1717">
        <f t="shared" ref="I47:Q47" si="20">(I43-I45)*$H47</f>
        <v>0</v>
      </c>
      <c r="J47" s="1717">
        <f t="shared" si="20"/>
        <v>0</v>
      </c>
      <c r="K47" s="1717">
        <f t="shared" si="20"/>
        <v>0</v>
      </c>
      <c r="L47" s="1717">
        <f t="shared" si="20"/>
        <v>0</v>
      </c>
      <c r="M47" s="1717">
        <f t="shared" si="20"/>
        <v>0</v>
      </c>
      <c r="N47" s="1717">
        <f t="shared" si="20"/>
        <v>0</v>
      </c>
      <c r="O47" s="1717">
        <f t="shared" si="20"/>
        <v>0</v>
      </c>
      <c r="P47" s="1717">
        <f t="shared" si="20"/>
        <v>0</v>
      </c>
      <c r="Q47" s="1717">
        <f t="shared" si="20"/>
        <v>0</v>
      </c>
    </row>
    <row r="48" spans="3:17" hidden="1">
      <c r="C48" s="1725"/>
      <c r="D48" s="1721" t="s">
        <v>366</v>
      </c>
      <c r="E48" s="1721"/>
      <c r="F48" s="1722"/>
      <c r="G48" s="1711">
        <f t="shared" si="3"/>
        <v>75</v>
      </c>
      <c r="H48" s="1727"/>
      <c r="I48" s="1717">
        <f t="shared" ref="I48:Q48" si="21">I43-I46-I47</f>
        <v>10.405000000000001</v>
      </c>
      <c r="J48" s="1717">
        <f t="shared" si="21"/>
        <v>10.405000000000001</v>
      </c>
      <c r="K48" s="1717">
        <f t="shared" si="21"/>
        <v>10.405000000000001</v>
      </c>
      <c r="L48" s="1717">
        <f t="shared" si="21"/>
        <v>12.261000000000001</v>
      </c>
      <c r="M48" s="1717">
        <f t="shared" si="21"/>
        <v>12.261000000000001</v>
      </c>
      <c r="N48" s="1717">
        <f t="shared" si="21"/>
        <v>12.261000000000001</v>
      </c>
      <c r="O48" s="1717">
        <f t="shared" si="21"/>
        <v>13.704000000000001</v>
      </c>
      <c r="P48" s="1717">
        <f t="shared" si="21"/>
        <v>13.704000000000001</v>
      </c>
      <c r="Q48" s="1717">
        <f t="shared" si="21"/>
        <v>13.704000000000001</v>
      </c>
    </row>
    <row r="49" spans="3:17">
      <c r="C49" s="1712" t="s">
        <v>402</v>
      </c>
      <c r="D49" s="1705"/>
      <c r="E49" s="1705"/>
      <c r="F49" s="1706"/>
      <c r="G49" s="1711">
        <f t="shared" si="3"/>
        <v>80</v>
      </c>
      <c r="H49" s="1711"/>
      <c r="I49" s="1714">
        <v>11.119000000000002</v>
      </c>
      <c r="J49" s="1714">
        <v>11.119000000000002</v>
      </c>
      <c r="K49" s="1714">
        <v>11.119000000000002</v>
      </c>
      <c r="L49" s="1714">
        <v>12.770000000000001</v>
      </c>
      <c r="M49" s="1714">
        <v>12.770000000000001</v>
      </c>
      <c r="N49" s="1714">
        <v>12.770000000000001</v>
      </c>
      <c r="O49" s="1714">
        <v>13.53</v>
      </c>
      <c r="P49" s="1714">
        <v>13.53</v>
      </c>
      <c r="Q49" s="1714">
        <v>13.53</v>
      </c>
    </row>
    <row r="50" spans="3:17">
      <c r="C50" s="1715"/>
      <c r="D50" s="910" t="s">
        <v>2013</v>
      </c>
      <c r="E50" s="910"/>
      <c r="F50" s="1716">
        <v>1</v>
      </c>
      <c r="G50" s="1711">
        <f t="shared" si="3"/>
        <v>81</v>
      </c>
      <c r="H50" s="1711"/>
      <c r="I50" s="1717">
        <v>5.5570000000000004</v>
      </c>
      <c r="J50" s="1717">
        <v>5.5570000000000004</v>
      </c>
      <c r="K50" s="1717">
        <v>5.5570000000000004</v>
      </c>
      <c r="L50" s="1717">
        <v>5.6859999999999999</v>
      </c>
      <c r="M50" s="1717">
        <v>5.6859999999999999</v>
      </c>
      <c r="N50" s="1717">
        <v>5.6859999999999999</v>
      </c>
      <c r="O50" s="1717">
        <v>5.61</v>
      </c>
      <c r="P50" s="1717">
        <v>5.61</v>
      </c>
      <c r="Q50" s="1717">
        <v>5.61</v>
      </c>
    </row>
    <row r="51" spans="3:17">
      <c r="C51" s="1715"/>
      <c r="D51" s="910" t="s">
        <v>2014</v>
      </c>
      <c r="E51" s="910"/>
      <c r="F51" s="1716">
        <v>1</v>
      </c>
      <c r="G51" s="1711">
        <f t="shared" si="3"/>
        <v>82</v>
      </c>
      <c r="H51" s="1718"/>
      <c r="I51" s="1717">
        <v>10.67</v>
      </c>
      <c r="J51" s="1717">
        <v>10.67</v>
      </c>
      <c r="K51" s="1717">
        <v>10.67</v>
      </c>
      <c r="L51" s="1717">
        <v>11.715999999999999</v>
      </c>
      <c r="M51" s="1717">
        <v>11.715999999999999</v>
      </c>
      <c r="N51" s="1717">
        <v>11.715999999999999</v>
      </c>
      <c r="O51" s="1717">
        <v>12.681000000000001</v>
      </c>
      <c r="P51" s="1717">
        <v>12.681000000000001</v>
      </c>
      <c r="Q51" s="1717">
        <v>12.681000000000001</v>
      </c>
    </row>
    <row r="52" spans="3:17" hidden="1">
      <c r="C52" s="1719"/>
      <c r="D52" s="1721" t="s">
        <v>2354</v>
      </c>
      <c r="E52" s="1721"/>
      <c r="F52" s="1722"/>
      <c r="G52" s="1711">
        <f t="shared" si="3"/>
        <v>83</v>
      </c>
      <c r="H52" s="1723">
        <f>CO2計算!$F$21</f>
        <v>0</v>
      </c>
      <c r="I52" s="1717">
        <f>(I49-I50)*$H52</f>
        <v>0</v>
      </c>
      <c r="J52" s="1717">
        <f t="shared" ref="J52:Q52" si="22">(J49-J50)*$H52</f>
        <v>0</v>
      </c>
      <c r="K52" s="1717">
        <f t="shared" si="22"/>
        <v>0</v>
      </c>
      <c r="L52" s="1717">
        <f t="shared" si="22"/>
        <v>0</v>
      </c>
      <c r="M52" s="1717">
        <f t="shared" si="22"/>
        <v>0</v>
      </c>
      <c r="N52" s="1717">
        <f t="shared" si="22"/>
        <v>0</v>
      </c>
      <c r="O52" s="1717">
        <f t="shared" si="22"/>
        <v>0</v>
      </c>
      <c r="P52" s="1717">
        <f t="shared" si="22"/>
        <v>0</v>
      </c>
      <c r="Q52" s="1717">
        <f t="shared" si="22"/>
        <v>0</v>
      </c>
    </row>
    <row r="53" spans="3:17" hidden="1">
      <c r="C53" s="1719"/>
      <c r="D53" s="1721" t="s">
        <v>2355</v>
      </c>
      <c r="E53" s="1721"/>
      <c r="F53" s="1722"/>
      <c r="G53" s="1711">
        <f t="shared" si="3"/>
        <v>84</v>
      </c>
      <c r="H53" s="1723">
        <f>CO2計算!$F$22</f>
        <v>0</v>
      </c>
      <c r="I53" s="1717">
        <f t="shared" ref="I53:Q53" si="23">(I49-I51)*$H53</f>
        <v>0</v>
      </c>
      <c r="J53" s="1717">
        <f t="shared" si="23"/>
        <v>0</v>
      </c>
      <c r="K53" s="1717">
        <f t="shared" si="23"/>
        <v>0</v>
      </c>
      <c r="L53" s="1717">
        <f t="shared" si="23"/>
        <v>0</v>
      </c>
      <c r="M53" s="1717">
        <f t="shared" si="23"/>
        <v>0</v>
      </c>
      <c r="N53" s="1717">
        <f t="shared" si="23"/>
        <v>0</v>
      </c>
      <c r="O53" s="1717">
        <f t="shared" si="23"/>
        <v>0</v>
      </c>
      <c r="P53" s="1717">
        <f t="shared" si="23"/>
        <v>0</v>
      </c>
      <c r="Q53" s="1717">
        <f t="shared" si="23"/>
        <v>0</v>
      </c>
    </row>
    <row r="54" spans="3:17" hidden="1">
      <c r="C54" s="1725"/>
      <c r="D54" s="1721" t="s">
        <v>366</v>
      </c>
      <c r="E54" s="1721"/>
      <c r="F54" s="1722"/>
      <c r="G54" s="1711">
        <f t="shared" si="3"/>
        <v>85</v>
      </c>
      <c r="H54" s="1727"/>
      <c r="I54" s="1717">
        <f t="shared" ref="I54:Q54" si="24">I49-I52-I53</f>
        <v>11.119000000000002</v>
      </c>
      <c r="J54" s="1717">
        <f t="shared" si="24"/>
        <v>11.119000000000002</v>
      </c>
      <c r="K54" s="1717">
        <f t="shared" si="24"/>
        <v>11.119000000000002</v>
      </c>
      <c r="L54" s="1717">
        <f t="shared" si="24"/>
        <v>12.770000000000001</v>
      </c>
      <c r="M54" s="1717">
        <f t="shared" si="24"/>
        <v>12.770000000000001</v>
      </c>
      <c r="N54" s="1717">
        <f t="shared" si="24"/>
        <v>12.770000000000001</v>
      </c>
      <c r="O54" s="1717">
        <f t="shared" si="24"/>
        <v>13.53</v>
      </c>
      <c r="P54" s="1717">
        <f t="shared" si="24"/>
        <v>13.53</v>
      </c>
      <c r="Q54" s="1717">
        <f t="shared" si="24"/>
        <v>13.53</v>
      </c>
    </row>
    <row r="55" spans="3:17">
      <c r="C55" s="1712" t="s">
        <v>1724</v>
      </c>
      <c r="D55" s="1705"/>
      <c r="E55" s="1705"/>
      <c r="F55" s="1706"/>
      <c r="G55" s="1711">
        <f t="shared" si="3"/>
        <v>90</v>
      </c>
      <c r="H55" s="1711"/>
      <c r="I55" s="1714">
        <v>15.641</v>
      </c>
      <c r="J55" s="1714">
        <v>7.8210000000000006</v>
      </c>
      <c r="K55" s="1714">
        <v>5.2140000000000004</v>
      </c>
      <c r="L55" s="1714">
        <v>19.619999999999997</v>
      </c>
      <c r="M55" s="1714">
        <v>9.8079999999999998</v>
      </c>
      <c r="N55" s="1714">
        <v>6.5390000000000006</v>
      </c>
      <c r="O55" s="1714">
        <v>22.378</v>
      </c>
      <c r="P55" s="1714">
        <v>11.187999999999999</v>
      </c>
      <c r="Q55" s="1714">
        <v>7.4590000000000005</v>
      </c>
    </row>
    <row r="56" spans="3:17">
      <c r="C56" s="1715"/>
      <c r="D56" s="910" t="s">
        <v>2013</v>
      </c>
      <c r="E56" s="910"/>
      <c r="F56" s="1716">
        <v>1</v>
      </c>
      <c r="G56" s="1711">
        <f t="shared" si="3"/>
        <v>91</v>
      </c>
      <c r="H56" s="1711"/>
      <c r="I56" s="1717">
        <v>9.0940000000000012</v>
      </c>
      <c r="J56" s="1717">
        <v>4.5460000000000003</v>
      </c>
      <c r="K56" s="1717">
        <v>3.0309999999999997</v>
      </c>
      <c r="L56" s="1717">
        <v>8.8330000000000002</v>
      </c>
      <c r="M56" s="1717">
        <v>4.4160000000000004</v>
      </c>
      <c r="N56" s="1717">
        <v>2.9430000000000001</v>
      </c>
      <c r="O56" s="1717">
        <v>8.7469999999999999</v>
      </c>
      <c r="P56" s="1717">
        <v>4.3730000000000002</v>
      </c>
      <c r="Q56" s="1717">
        <v>2.915</v>
      </c>
    </row>
    <row r="57" spans="3:17">
      <c r="C57" s="1715"/>
      <c r="D57" s="910" t="s">
        <v>2014</v>
      </c>
      <c r="E57" s="910"/>
      <c r="F57" s="1716">
        <v>1</v>
      </c>
      <c r="G57" s="1711">
        <f t="shared" si="3"/>
        <v>92</v>
      </c>
      <c r="H57" s="1718"/>
      <c r="I57" s="1717">
        <v>14.974</v>
      </c>
      <c r="J57" s="1717">
        <v>7.4880000000000004</v>
      </c>
      <c r="K57" s="1717">
        <v>4.9910000000000005</v>
      </c>
      <c r="L57" s="1717">
        <v>18.148999999999997</v>
      </c>
      <c r="M57" s="1717">
        <v>9.0730000000000004</v>
      </c>
      <c r="N57" s="1717">
        <v>6.0490000000000004</v>
      </c>
      <c r="O57" s="1717">
        <v>20.89</v>
      </c>
      <c r="P57" s="1717">
        <v>10.443999999999999</v>
      </c>
      <c r="Q57" s="1717">
        <v>6.9620000000000006</v>
      </c>
    </row>
    <row r="58" spans="3:17" hidden="1">
      <c r="C58" s="1719"/>
      <c r="D58" s="1720"/>
      <c r="E58" s="1721" t="s">
        <v>2354</v>
      </c>
      <c r="F58" s="1722"/>
      <c r="G58" s="1711">
        <f t="shared" si="3"/>
        <v>93</v>
      </c>
      <c r="H58" s="1723">
        <f>CO2計算!$F$21</f>
        <v>0</v>
      </c>
      <c r="I58" s="1717">
        <f>(I55-I56)*$H58</f>
        <v>0</v>
      </c>
      <c r="J58" s="1717">
        <f t="shared" ref="J58:Q58" si="25">(J55-J56)*$H58</f>
        <v>0</v>
      </c>
      <c r="K58" s="1717">
        <f t="shared" si="25"/>
        <v>0</v>
      </c>
      <c r="L58" s="1717">
        <f t="shared" si="25"/>
        <v>0</v>
      </c>
      <c r="M58" s="1717">
        <f t="shared" si="25"/>
        <v>0</v>
      </c>
      <c r="N58" s="1717">
        <f t="shared" si="25"/>
        <v>0</v>
      </c>
      <c r="O58" s="1717">
        <f t="shared" si="25"/>
        <v>0</v>
      </c>
      <c r="P58" s="1717">
        <f t="shared" si="25"/>
        <v>0</v>
      </c>
      <c r="Q58" s="1717">
        <f t="shared" si="25"/>
        <v>0</v>
      </c>
    </row>
    <row r="59" spans="3:17" hidden="1">
      <c r="C59" s="1719"/>
      <c r="D59" s="1709"/>
      <c r="E59" s="1721" t="s">
        <v>2355</v>
      </c>
      <c r="F59" s="1722"/>
      <c r="G59" s="1711">
        <f t="shared" si="3"/>
        <v>94</v>
      </c>
      <c r="H59" s="1723">
        <f>CO2計算!$F$22</f>
        <v>0</v>
      </c>
      <c r="I59" s="1717">
        <f>(I55-I57)*$H59</f>
        <v>0</v>
      </c>
      <c r="J59" s="1717">
        <f t="shared" ref="J59:Q59" si="26">(J55-J57)*$H59</f>
        <v>0</v>
      </c>
      <c r="K59" s="1717">
        <f t="shared" si="26"/>
        <v>0</v>
      </c>
      <c r="L59" s="1717">
        <f t="shared" si="26"/>
        <v>0</v>
      </c>
      <c r="M59" s="1717">
        <f t="shared" si="26"/>
        <v>0</v>
      </c>
      <c r="N59" s="1717">
        <f t="shared" si="26"/>
        <v>0</v>
      </c>
      <c r="O59" s="1717">
        <f t="shared" si="26"/>
        <v>0</v>
      </c>
      <c r="P59" s="1717">
        <f t="shared" si="26"/>
        <v>0</v>
      </c>
      <c r="Q59" s="1717">
        <f t="shared" si="26"/>
        <v>0</v>
      </c>
    </row>
    <row r="60" spans="3:17" hidden="1">
      <c r="C60" s="1725"/>
      <c r="D60" s="1726"/>
      <c r="E60" s="1721" t="s">
        <v>366</v>
      </c>
      <c r="F60" s="1722"/>
      <c r="G60" s="1711">
        <f t="shared" si="3"/>
        <v>95</v>
      </c>
      <c r="H60" s="1727"/>
      <c r="I60" s="1717">
        <f>I55-I58-I59</f>
        <v>15.641</v>
      </c>
      <c r="J60" s="1717">
        <f t="shared" ref="J60:Q60" si="27">J55-J58-J59</f>
        <v>7.8210000000000006</v>
      </c>
      <c r="K60" s="1717">
        <f t="shared" si="27"/>
        <v>5.2140000000000004</v>
      </c>
      <c r="L60" s="1717">
        <f t="shared" si="27"/>
        <v>19.619999999999997</v>
      </c>
      <c r="M60" s="1717">
        <f t="shared" si="27"/>
        <v>9.8079999999999998</v>
      </c>
      <c r="N60" s="1717">
        <f t="shared" si="27"/>
        <v>6.5390000000000006</v>
      </c>
      <c r="O60" s="1717">
        <f t="shared" si="27"/>
        <v>22.378</v>
      </c>
      <c r="P60" s="1717">
        <f t="shared" si="27"/>
        <v>11.187999999999999</v>
      </c>
      <c r="Q60" s="1717">
        <f t="shared" si="27"/>
        <v>7.4590000000000005</v>
      </c>
    </row>
    <row r="61" spans="3:17">
      <c r="C61" s="1728"/>
      <c r="D61" s="1728"/>
      <c r="E61" s="1694"/>
      <c r="F61" s="1694"/>
      <c r="G61" s="1694"/>
      <c r="H61" s="1694"/>
      <c r="I61" s="1694"/>
      <c r="J61" s="1694"/>
      <c r="K61" s="1694"/>
      <c r="L61" s="1694"/>
      <c r="M61" s="1694"/>
      <c r="N61" s="1694"/>
      <c r="O61" s="1694"/>
      <c r="P61" s="1694"/>
      <c r="Q61" s="1694"/>
    </row>
    <row r="62" spans="3:17">
      <c r="C62" s="1692" t="s">
        <v>2356</v>
      </c>
      <c r="D62" s="1693"/>
      <c r="E62" s="1694"/>
      <c r="F62" s="1694"/>
      <c r="G62" s="1694"/>
      <c r="H62" s="1694"/>
      <c r="I62" s="1695" t="s">
        <v>249</v>
      </c>
      <c r="J62" s="1696"/>
      <c r="K62" s="1696"/>
      <c r="L62" s="1697"/>
      <c r="M62" s="1697"/>
      <c r="N62" s="1697"/>
      <c r="O62" s="1697"/>
      <c r="P62" s="1697"/>
      <c r="Q62" s="1698"/>
    </row>
    <row r="63" spans="3:17">
      <c r="C63" s="1699"/>
      <c r="D63" s="1700" t="s">
        <v>2353</v>
      </c>
      <c r="E63" s="1699"/>
      <c r="F63" s="1699"/>
      <c r="G63" s="1699"/>
      <c r="H63" s="1699"/>
      <c r="I63" s="1701" t="s">
        <v>614</v>
      </c>
      <c r="J63" s="1697" t="s">
        <v>616</v>
      </c>
      <c r="K63" s="1702"/>
      <c r="L63" s="1701" t="s">
        <v>613</v>
      </c>
      <c r="M63" s="1697"/>
      <c r="N63" s="1702"/>
      <c r="O63" s="1701" t="s">
        <v>615</v>
      </c>
      <c r="P63" s="1697"/>
      <c r="Q63" s="1702"/>
    </row>
    <row r="64" spans="3:17">
      <c r="C64" s="1703" t="s">
        <v>316</v>
      </c>
      <c r="D64" s="1704"/>
      <c r="E64" s="1705"/>
      <c r="F64" s="1706"/>
      <c r="G64" s="1729"/>
      <c r="H64" s="1729"/>
      <c r="I64" s="1708" t="s">
        <v>399</v>
      </c>
      <c r="J64" s="1708" t="s">
        <v>400</v>
      </c>
      <c r="K64" s="1708" t="s">
        <v>401</v>
      </c>
      <c r="L64" s="1708" t="s">
        <v>399</v>
      </c>
      <c r="M64" s="1708" t="s">
        <v>400</v>
      </c>
      <c r="N64" s="1708" t="s">
        <v>401</v>
      </c>
      <c r="O64" s="1708" t="s">
        <v>399</v>
      </c>
      <c r="P64" s="1708" t="s">
        <v>400</v>
      </c>
      <c r="Q64" s="1708" t="s">
        <v>401</v>
      </c>
    </row>
    <row r="65" spans="3:17">
      <c r="C65" s="1712" t="s">
        <v>348</v>
      </c>
      <c r="D65" s="1713"/>
      <c r="E65" s="1730"/>
      <c r="F65" s="1731"/>
      <c r="G65" s="1732">
        <v>1</v>
      </c>
      <c r="H65" s="1732"/>
      <c r="I65" s="1733">
        <v>15.990999999999998</v>
      </c>
      <c r="J65" s="1733">
        <v>15.990999999999998</v>
      </c>
      <c r="K65" s="1733">
        <v>15.990999999999998</v>
      </c>
      <c r="L65" s="1733">
        <v>16.456</v>
      </c>
      <c r="M65" s="1733">
        <v>16.456</v>
      </c>
      <c r="N65" s="1733">
        <v>16.456</v>
      </c>
      <c r="O65" s="1733">
        <v>16.21</v>
      </c>
      <c r="P65" s="1733">
        <v>16.21</v>
      </c>
      <c r="Q65" s="1733">
        <v>16.21</v>
      </c>
    </row>
    <row r="66" spans="3:17" hidden="1">
      <c r="C66" s="1715"/>
      <c r="D66" s="910" t="s">
        <v>2013</v>
      </c>
      <c r="E66" s="910"/>
      <c r="F66" s="1716">
        <v>1</v>
      </c>
      <c r="G66" s="1732"/>
      <c r="H66" s="1732"/>
      <c r="I66" s="1733"/>
      <c r="J66" s="1733"/>
      <c r="K66" s="1733"/>
      <c r="L66" s="1733"/>
      <c r="M66" s="1733"/>
      <c r="N66" s="1733"/>
      <c r="O66" s="1733"/>
      <c r="P66" s="1733"/>
      <c r="Q66" s="1733"/>
    </row>
    <row r="67" spans="3:17" hidden="1">
      <c r="C67" s="1715"/>
      <c r="D67" s="1721" t="s">
        <v>2357</v>
      </c>
      <c r="E67" s="1721"/>
      <c r="F67" s="1734"/>
      <c r="G67" s="1727"/>
      <c r="H67" s="1735">
        <v>0</v>
      </c>
      <c r="I67" s="1733">
        <f>I65-(I65-I66)*$H67</f>
        <v>15.990999999999998</v>
      </c>
      <c r="J67" s="1733">
        <f t="shared" ref="J67:Q67" si="28">J65-(J65-J66)*$H67</f>
        <v>15.990999999999998</v>
      </c>
      <c r="K67" s="1733">
        <f t="shared" si="28"/>
        <v>15.990999999999998</v>
      </c>
      <c r="L67" s="1733">
        <f t="shared" si="28"/>
        <v>16.456</v>
      </c>
      <c r="M67" s="1733">
        <f t="shared" si="28"/>
        <v>16.456</v>
      </c>
      <c r="N67" s="1733">
        <f t="shared" si="28"/>
        <v>16.456</v>
      </c>
      <c r="O67" s="1733">
        <f t="shared" si="28"/>
        <v>16.21</v>
      </c>
      <c r="P67" s="1733">
        <f t="shared" si="28"/>
        <v>16.21</v>
      </c>
      <c r="Q67" s="1733">
        <f t="shared" si="28"/>
        <v>16.21</v>
      </c>
    </row>
    <row r="68" spans="3:17">
      <c r="C68" s="1712" t="s">
        <v>1444</v>
      </c>
      <c r="D68" s="1730"/>
      <c r="E68" s="1730"/>
      <c r="F68" s="1731"/>
      <c r="G68" s="1732">
        <v>2</v>
      </c>
      <c r="H68" s="1732"/>
      <c r="I68" s="1733">
        <v>11.802</v>
      </c>
      <c r="J68" s="1733">
        <v>11.802</v>
      </c>
      <c r="K68" s="1733">
        <v>11.802</v>
      </c>
      <c r="L68" s="1733">
        <v>12.423999999999999</v>
      </c>
      <c r="M68" s="1733">
        <v>12.423999999999999</v>
      </c>
      <c r="N68" s="1733">
        <v>12.423999999999999</v>
      </c>
      <c r="O68" s="1733">
        <v>12.306000000000001</v>
      </c>
      <c r="P68" s="1733">
        <v>12.306000000000001</v>
      </c>
      <c r="Q68" s="1733">
        <v>12.306000000000001</v>
      </c>
    </row>
    <row r="69" spans="3:17" hidden="1">
      <c r="C69" s="1715"/>
      <c r="D69" s="910" t="s">
        <v>2013</v>
      </c>
      <c r="E69" s="910"/>
      <c r="F69" s="1716">
        <v>1</v>
      </c>
      <c r="G69" s="1732"/>
      <c r="H69" s="1732"/>
      <c r="I69" s="1733"/>
      <c r="J69" s="1733"/>
      <c r="K69" s="1733"/>
      <c r="L69" s="1733"/>
      <c r="M69" s="1733"/>
      <c r="N69" s="1733"/>
      <c r="O69" s="1733"/>
      <c r="P69" s="1733"/>
      <c r="Q69" s="1733"/>
    </row>
    <row r="70" spans="3:17" hidden="1">
      <c r="C70" s="1715"/>
      <c r="D70" s="1721" t="s">
        <v>2357</v>
      </c>
      <c r="E70" s="1721"/>
      <c r="F70" s="1734"/>
      <c r="G70" s="1727"/>
      <c r="H70" s="1735">
        <v>0</v>
      </c>
      <c r="I70" s="1733">
        <f t="shared" ref="I70:Q70" si="29">I68-(I68-I69)*$H70</f>
        <v>11.802</v>
      </c>
      <c r="J70" s="1733">
        <f t="shared" si="29"/>
        <v>11.802</v>
      </c>
      <c r="K70" s="1733">
        <f t="shared" si="29"/>
        <v>11.802</v>
      </c>
      <c r="L70" s="1733">
        <f t="shared" si="29"/>
        <v>12.423999999999999</v>
      </c>
      <c r="M70" s="1733">
        <f t="shared" si="29"/>
        <v>12.423999999999999</v>
      </c>
      <c r="N70" s="1733">
        <f t="shared" si="29"/>
        <v>12.423999999999999</v>
      </c>
      <c r="O70" s="1733">
        <f t="shared" si="29"/>
        <v>12.306000000000001</v>
      </c>
      <c r="P70" s="1733">
        <f t="shared" si="29"/>
        <v>12.306000000000001</v>
      </c>
      <c r="Q70" s="1733">
        <f t="shared" si="29"/>
        <v>12.306000000000001</v>
      </c>
    </row>
    <row r="71" spans="3:17">
      <c r="C71" s="1712" t="s">
        <v>1611</v>
      </c>
      <c r="D71" s="1730"/>
      <c r="E71" s="1730"/>
      <c r="F71" s="1731"/>
      <c r="G71" s="1732">
        <v>3</v>
      </c>
      <c r="H71" s="1732"/>
      <c r="I71" s="1733">
        <v>6.88</v>
      </c>
      <c r="J71" s="1733">
        <v>6.88</v>
      </c>
      <c r="K71" s="1733">
        <v>6.88</v>
      </c>
      <c r="L71" s="1733">
        <v>7.7379999999999995</v>
      </c>
      <c r="M71" s="1733">
        <v>7.7379999999999995</v>
      </c>
      <c r="N71" s="1733">
        <v>7.7379999999999995</v>
      </c>
      <c r="O71" s="1733">
        <v>6.91</v>
      </c>
      <c r="P71" s="1733">
        <v>6.91</v>
      </c>
      <c r="Q71" s="1733">
        <v>6.91</v>
      </c>
    </row>
    <row r="72" spans="3:17" hidden="1">
      <c r="C72" s="1715"/>
      <c r="D72" s="910" t="s">
        <v>2013</v>
      </c>
      <c r="E72" s="910"/>
      <c r="F72" s="1716">
        <v>1</v>
      </c>
      <c r="G72" s="1732"/>
      <c r="H72" s="1732"/>
      <c r="I72" s="1733"/>
      <c r="J72" s="1733"/>
      <c r="K72" s="1733"/>
      <c r="L72" s="1733"/>
      <c r="M72" s="1733"/>
      <c r="N72" s="1733"/>
      <c r="O72" s="1733"/>
      <c r="P72" s="1733"/>
      <c r="Q72" s="1733"/>
    </row>
    <row r="73" spans="3:17" hidden="1">
      <c r="C73" s="1715"/>
      <c r="D73" s="1721" t="s">
        <v>2357</v>
      </c>
      <c r="E73" s="1721"/>
      <c r="F73" s="1734"/>
      <c r="G73" s="1727"/>
      <c r="H73" s="1735">
        <v>0</v>
      </c>
      <c r="I73" s="1733">
        <f>I71-(I71-I72)*$H73</f>
        <v>6.88</v>
      </c>
      <c r="J73" s="1733">
        <f>J71-(J71-J72)*$H73</f>
        <v>6.88</v>
      </c>
      <c r="K73" s="1733">
        <f>K71-(K71-K72)*$H73</f>
        <v>6.88</v>
      </c>
      <c r="L73" s="1733">
        <v>13.193999999999999</v>
      </c>
      <c r="M73" s="1733">
        <v>13.193999999999999</v>
      </c>
      <c r="N73" s="1733">
        <v>13.193999999999999</v>
      </c>
      <c r="O73" s="1733">
        <f>O71-(O71-O72)*$H73</f>
        <v>6.91</v>
      </c>
      <c r="P73" s="1733">
        <f>P71-(P71-P72)*$H73</f>
        <v>6.91</v>
      </c>
      <c r="Q73" s="1733">
        <f>Q71-(Q71-Q72)*$H73</f>
        <v>6.91</v>
      </c>
    </row>
    <row r="74" spans="3:17">
      <c r="C74" s="1712" t="s">
        <v>1723</v>
      </c>
      <c r="D74" s="1730"/>
      <c r="E74" s="1730"/>
      <c r="F74" s="1731"/>
      <c r="G74" s="1732">
        <v>4</v>
      </c>
      <c r="H74" s="1732"/>
      <c r="I74" s="1733">
        <v>6.88</v>
      </c>
      <c r="J74" s="1733">
        <v>6.88</v>
      </c>
      <c r="K74" s="1733">
        <v>6.88</v>
      </c>
      <c r="L74" s="1733">
        <v>7.7379999999999995</v>
      </c>
      <c r="M74" s="1733">
        <v>7.7379999999999995</v>
      </c>
      <c r="N74" s="1733">
        <v>7.7379999999999995</v>
      </c>
      <c r="O74" s="1733">
        <v>6.91</v>
      </c>
      <c r="P74" s="1733">
        <v>6.91</v>
      </c>
      <c r="Q74" s="1733">
        <v>6.91</v>
      </c>
    </row>
    <row r="75" spans="3:17" hidden="1">
      <c r="C75" s="1715"/>
      <c r="D75" s="910" t="s">
        <v>2013</v>
      </c>
      <c r="E75" s="910"/>
      <c r="F75" s="1716">
        <v>1</v>
      </c>
      <c r="G75" s="1732"/>
      <c r="H75" s="1732"/>
      <c r="I75" s="1733"/>
      <c r="J75" s="1733"/>
      <c r="K75" s="1733"/>
      <c r="L75" s="1733"/>
      <c r="M75" s="1733"/>
      <c r="N75" s="1733"/>
      <c r="O75" s="1733"/>
      <c r="P75" s="1733"/>
      <c r="Q75" s="1733"/>
    </row>
    <row r="76" spans="3:17" hidden="1">
      <c r="C76" s="1715"/>
      <c r="D76" s="1721" t="s">
        <v>2357</v>
      </c>
      <c r="E76" s="1721"/>
      <c r="F76" s="1734"/>
      <c r="G76" s="1727"/>
      <c r="H76" s="1735">
        <v>0</v>
      </c>
      <c r="I76" s="1733">
        <f t="shared" ref="I76:Q76" si="30">I74-(I74-I75)*$H76</f>
        <v>6.88</v>
      </c>
      <c r="J76" s="1733">
        <f t="shared" si="30"/>
        <v>6.88</v>
      </c>
      <c r="K76" s="1733">
        <f t="shared" si="30"/>
        <v>6.88</v>
      </c>
      <c r="L76" s="1733">
        <f t="shared" si="30"/>
        <v>7.7379999999999995</v>
      </c>
      <c r="M76" s="1733">
        <f t="shared" si="30"/>
        <v>7.7379999999999995</v>
      </c>
      <c r="N76" s="1733">
        <f t="shared" si="30"/>
        <v>7.7379999999999995</v>
      </c>
      <c r="O76" s="1733">
        <f t="shared" si="30"/>
        <v>6.91</v>
      </c>
      <c r="P76" s="1733">
        <f t="shared" si="30"/>
        <v>6.91</v>
      </c>
      <c r="Q76" s="1733">
        <f t="shared" si="30"/>
        <v>6.91</v>
      </c>
    </row>
    <row r="77" spans="3:17">
      <c r="C77" s="1712" t="s">
        <v>1613</v>
      </c>
      <c r="D77" s="1730"/>
      <c r="E77" s="1730"/>
      <c r="F77" s="1731"/>
      <c r="G77" s="1732">
        <v>5</v>
      </c>
      <c r="H77" s="1732"/>
      <c r="I77" s="1733">
        <v>12.809999999999999</v>
      </c>
      <c r="J77" s="1733">
        <v>12.809999999999999</v>
      </c>
      <c r="K77" s="1733">
        <v>12.809999999999999</v>
      </c>
      <c r="L77" s="1733">
        <v>13.426</v>
      </c>
      <c r="M77" s="1733">
        <v>13.426</v>
      </c>
      <c r="N77" s="1733">
        <v>13.426</v>
      </c>
      <c r="O77" s="1733">
        <v>13.251000000000001</v>
      </c>
      <c r="P77" s="1733">
        <v>13.251000000000001</v>
      </c>
      <c r="Q77" s="1733">
        <v>13.251000000000001</v>
      </c>
    </row>
    <row r="78" spans="3:17" hidden="1">
      <c r="C78" s="1715"/>
      <c r="D78" s="910" t="s">
        <v>2013</v>
      </c>
      <c r="E78" s="910"/>
      <c r="F78" s="1716">
        <v>1</v>
      </c>
      <c r="G78" s="1732"/>
      <c r="H78" s="1732"/>
      <c r="I78" s="1733"/>
      <c r="J78" s="1733"/>
      <c r="K78" s="1733"/>
      <c r="L78" s="1733"/>
      <c r="M78" s="1733"/>
      <c r="N78" s="1733"/>
      <c r="O78" s="1733"/>
      <c r="P78" s="1733"/>
      <c r="Q78" s="1733"/>
    </row>
    <row r="79" spans="3:17" hidden="1">
      <c r="C79" s="1715"/>
      <c r="D79" s="1721" t="s">
        <v>2357</v>
      </c>
      <c r="E79" s="1721"/>
      <c r="F79" s="1734"/>
      <c r="G79" s="1727"/>
      <c r="H79" s="1735">
        <v>0</v>
      </c>
      <c r="I79" s="1733">
        <f t="shared" ref="I79:Q79" si="31">I77-(I77-I78)*$H79</f>
        <v>12.809999999999999</v>
      </c>
      <c r="J79" s="1733">
        <f t="shared" si="31"/>
        <v>12.809999999999999</v>
      </c>
      <c r="K79" s="1733">
        <f t="shared" si="31"/>
        <v>12.809999999999999</v>
      </c>
      <c r="L79" s="1733">
        <f t="shared" si="31"/>
        <v>13.426</v>
      </c>
      <c r="M79" s="1733">
        <f t="shared" si="31"/>
        <v>13.426</v>
      </c>
      <c r="N79" s="1733">
        <f t="shared" si="31"/>
        <v>13.426</v>
      </c>
      <c r="O79" s="1733">
        <f t="shared" si="31"/>
        <v>13.251000000000001</v>
      </c>
      <c r="P79" s="1733">
        <f t="shared" si="31"/>
        <v>13.251000000000001</v>
      </c>
      <c r="Q79" s="1733">
        <f t="shared" si="31"/>
        <v>13.251000000000001</v>
      </c>
    </row>
    <row r="80" spans="3:17">
      <c r="C80" s="1712" t="s">
        <v>364</v>
      </c>
      <c r="D80" s="1705"/>
      <c r="E80" s="1705"/>
      <c r="F80" s="1731"/>
      <c r="G80" s="1732">
        <v>6</v>
      </c>
      <c r="H80" s="1732"/>
      <c r="I80" s="1733">
        <v>8.6499999999999986</v>
      </c>
      <c r="J80" s="1733">
        <v>8.6499999999999986</v>
      </c>
      <c r="K80" s="1733">
        <v>8.6499999999999986</v>
      </c>
      <c r="L80" s="1733">
        <v>9.4220000000000006</v>
      </c>
      <c r="M80" s="1733">
        <v>9.4220000000000006</v>
      </c>
      <c r="N80" s="1733">
        <v>9.4220000000000006</v>
      </c>
      <c r="O80" s="1733">
        <v>9.0609999999999999</v>
      </c>
      <c r="P80" s="1733">
        <v>9.0609999999999999</v>
      </c>
      <c r="Q80" s="1733">
        <v>9.0609999999999999</v>
      </c>
    </row>
    <row r="81" spans="3:21" hidden="1">
      <c r="C81" s="1715"/>
      <c r="D81" s="910" t="s">
        <v>2013</v>
      </c>
      <c r="E81" s="910"/>
      <c r="F81" s="1716">
        <v>1</v>
      </c>
      <c r="G81" s="1732"/>
      <c r="H81" s="1732"/>
      <c r="I81" s="1733"/>
      <c r="J81" s="1733"/>
      <c r="K81" s="1733"/>
      <c r="L81" s="1733"/>
      <c r="M81" s="1733"/>
      <c r="N81" s="1733"/>
      <c r="O81" s="1733"/>
      <c r="P81" s="1733"/>
      <c r="Q81" s="1733"/>
    </row>
    <row r="82" spans="3:21" hidden="1">
      <c r="C82" s="1736"/>
      <c r="D82" s="1721" t="s">
        <v>2357</v>
      </c>
      <c r="E82" s="1721"/>
      <c r="F82" s="1734"/>
      <c r="G82" s="1727"/>
      <c r="H82" s="1735">
        <v>0</v>
      </c>
      <c r="I82" s="1733">
        <f t="shared" ref="I82:Q82" si="32">I80-(I80-I81)*$H82</f>
        <v>8.6499999999999986</v>
      </c>
      <c r="J82" s="1733">
        <f t="shared" si="32"/>
        <v>8.6499999999999986</v>
      </c>
      <c r="K82" s="1733">
        <f t="shared" si="32"/>
        <v>8.6499999999999986</v>
      </c>
      <c r="L82" s="1733">
        <f t="shared" si="32"/>
        <v>9.4220000000000006</v>
      </c>
      <c r="M82" s="1733">
        <f t="shared" si="32"/>
        <v>9.4220000000000006</v>
      </c>
      <c r="N82" s="1733">
        <f t="shared" si="32"/>
        <v>9.4220000000000006</v>
      </c>
      <c r="O82" s="1733">
        <f t="shared" si="32"/>
        <v>9.0609999999999999</v>
      </c>
      <c r="P82" s="1733">
        <f t="shared" si="32"/>
        <v>9.0609999999999999</v>
      </c>
      <c r="Q82" s="1733">
        <f t="shared" si="32"/>
        <v>9.0609999999999999</v>
      </c>
    </row>
    <row r="83" spans="3:21">
      <c r="C83" s="1712" t="s">
        <v>1615</v>
      </c>
      <c r="D83" s="1730"/>
      <c r="E83" s="1730"/>
      <c r="F83" s="1731"/>
      <c r="G83" s="1732">
        <v>7</v>
      </c>
      <c r="H83" s="1732"/>
      <c r="I83" s="1733">
        <v>15.425999999999998</v>
      </c>
      <c r="J83" s="1733">
        <v>15.425999999999998</v>
      </c>
      <c r="K83" s="1733">
        <v>15.425999999999998</v>
      </c>
      <c r="L83" s="1733">
        <v>16.053999999999998</v>
      </c>
      <c r="M83" s="1733">
        <v>16.053999999999998</v>
      </c>
      <c r="N83" s="1733">
        <v>16.053999999999998</v>
      </c>
      <c r="O83" s="1733">
        <v>15.893999999999998</v>
      </c>
      <c r="P83" s="1733">
        <v>15.893999999999998</v>
      </c>
      <c r="Q83" s="1733">
        <v>15.893999999999998</v>
      </c>
    </row>
    <row r="84" spans="3:21" hidden="1">
      <c r="C84" s="1715"/>
      <c r="D84" s="910" t="s">
        <v>2013</v>
      </c>
      <c r="E84" s="910"/>
      <c r="F84" s="1716">
        <v>1</v>
      </c>
      <c r="G84" s="1732"/>
      <c r="H84" s="1732"/>
      <c r="I84" s="1733"/>
      <c r="J84" s="1733"/>
      <c r="K84" s="1733"/>
      <c r="L84" s="1733"/>
      <c r="M84" s="1733"/>
      <c r="N84" s="1733"/>
      <c r="O84" s="1733"/>
      <c r="P84" s="1733"/>
      <c r="Q84" s="1733"/>
    </row>
    <row r="85" spans="3:21" hidden="1">
      <c r="C85" s="1715"/>
      <c r="D85" s="1721" t="s">
        <v>2357</v>
      </c>
      <c r="E85" s="1721"/>
      <c r="F85" s="1734"/>
      <c r="G85" s="1727"/>
      <c r="H85" s="1735">
        <v>0</v>
      </c>
      <c r="I85" s="1733">
        <f t="shared" ref="I85:Q85" si="33">I83-(I83-I84)*$H85</f>
        <v>15.425999999999998</v>
      </c>
      <c r="J85" s="1733">
        <f t="shared" si="33"/>
        <v>15.425999999999998</v>
      </c>
      <c r="K85" s="1733">
        <f t="shared" si="33"/>
        <v>15.425999999999998</v>
      </c>
      <c r="L85" s="1733">
        <f t="shared" si="33"/>
        <v>16.053999999999998</v>
      </c>
      <c r="M85" s="1733">
        <f t="shared" si="33"/>
        <v>16.053999999999998</v>
      </c>
      <c r="N85" s="1733">
        <f t="shared" si="33"/>
        <v>16.053999999999998</v>
      </c>
      <c r="O85" s="1733">
        <f t="shared" si="33"/>
        <v>15.893999999999998</v>
      </c>
      <c r="P85" s="1733">
        <f t="shared" si="33"/>
        <v>15.893999999999998</v>
      </c>
      <c r="Q85" s="1733">
        <f t="shared" si="33"/>
        <v>15.893999999999998</v>
      </c>
    </row>
    <row r="86" spans="3:21">
      <c r="C86" s="1712" t="s">
        <v>360</v>
      </c>
      <c r="D86" s="1730"/>
      <c r="E86" s="1730"/>
      <c r="F86" s="1731"/>
      <c r="G86" s="1732">
        <v>8</v>
      </c>
      <c r="H86" s="1732"/>
      <c r="I86" s="1733">
        <v>13.297999999999998</v>
      </c>
      <c r="J86" s="1733">
        <v>13.297999999999998</v>
      </c>
      <c r="K86" s="1733">
        <v>13.297999999999998</v>
      </c>
      <c r="L86" s="1733">
        <v>13.942</v>
      </c>
      <c r="M86" s="1733">
        <v>13.942</v>
      </c>
      <c r="N86" s="1733">
        <v>13.942</v>
      </c>
      <c r="O86" s="1733">
        <v>13.670999999999999</v>
      </c>
      <c r="P86" s="1733">
        <v>13.670999999999999</v>
      </c>
      <c r="Q86" s="1733">
        <v>13.670999999999999</v>
      </c>
    </row>
    <row r="87" spans="3:21" hidden="1">
      <c r="C87" s="1715"/>
      <c r="D87" s="910" t="s">
        <v>2013</v>
      </c>
      <c r="E87" s="910"/>
      <c r="F87" s="1716">
        <v>1</v>
      </c>
      <c r="G87" s="1732"/>
      <c r="H87" s="1732"/>
      <c r="I87" s="1737"/>
      <c r="J87" s="1737"/>
      <c r="K87" s="1737"/>
      <c r="L87" s="1737"/>
      <c r="M87" s="1737"/>
      <c r="N87" s="1737"/>
      <c r="O87" s="1737"/>
      <c r="P87" s="1737"/>
      <c r="Q87" s="1737"/>
    </row>
    <row r="88" spans="3:21" hidden="1">
      <c r="C88" s="1715"/>
      <c r="D88" s="1721" t="s">
        <v>2357</v>
      </c>
      <c r="E88" s="1721"/>
      <c r="F88" s="1734"/>
      <c r="G88" s="1727"/>
      <c r="H88" s="1735">
        <v>0</v>
      </c>
      <c r="I88" s="1733">
        <f>I86-(I86-I87)*$H88</f>
        <v>13.297999999999998</v>
      </c>
      <c r="J88" s="1733">
        <f t="shared" ref="J88:Q88" si="34">J86-(J86-J87)*$H88</f>
        <v>13.297999999999998</v>
      </c>
      <c r="K88" s="1733">
        <f t="shared" si="34"/>
        <v>13.297999999999998</v>
      </c>
      <c r="L88" s="1733">
        <f t="shared" si="34"/>
        <v>13.942</v>
      </c>
      <c r="M88" s="1733">
        <f t="shared" si="34"/>
        <v>13.942</v>
      </c>
      <c r="N88" s="1733">
        <f t="shared" si="34"/>
        <v>13.942</v>
      </c>
      <c r="O88" s="1733">
        <f t="shared" si="34"/>
        <v>13.670999999999999</v>
      </c>
      <c r="P88" s="1733">
        <f t="shared" si="34"/>
        <v>13.670999999999999</v>
      </c>
      <c r="Q88" s="1733">
        <f t="shared" si="34"/>
        <v>13.670999999999999</v>
      </c>
    </row>
    <row r="89" spans="3:21">
      <c r="C89" s="1712" t="s">
        <v>1724</v>
      </c>
      <c r="D89" s="1705"/>
      <c r="E89" s="1705"/>
      <c r="F89" s="1731"/>
      <c r="G89" s="1732">
        <v>9</v>
      </c>
      <c r="H89" s="1732"/>
      <c r="I89" s="1737">
        <v>8.0190000000000001</v>
      </c>
      <c r="J89" s="1737">
        <v>9.7210000000000001</v>
      </c>
      <c r="K89" s="1737">
        <v>10.979000000000001</v>
      </c>
      <c r="L89" s="1737">
        <v>8.3709999999999987</v>
      </c>
      <c r="M89" s="1737">
        <v>9.7349999999999994</v>
      </c>
      <c r="N89" s="1737">
        <v>10.863</v>
      </c>
      <c r="O89" s="1737">
        <v>8.3640000000000008</v>
      </c>
      <c r="P89" s="1737">
        <v>9.68</v>
      </c>
      <c r="Q89" s="1737">
        <v>10.783000000000001</v>
      </c>
    </row>
    <row r="90" spans="3:21" hidden="1">
      <c r="C90" s="1715"/>
      <c r="D90" s="910" t="s">
        <v>2013</v>
      </c>
      <c r="E90" s="910"/>
      <c r="F90" s="1716">
        <v>1</v>
      </c>
      <c r="G90" s="1738"/>
      <c r="H90" s="1738"/>
      <c r="I90" s="1733"/>
      <c r="J90" s="1733"/>
      <c r="K90" s="1733"/>
      <c r="L90" s="1733"/>
      <c r="M90" s="1733"/>
      <c r="N90" s="1733"/>
      <c r="O90" s="1733"/>
      <c r="P90" s="1733"/>
      <c r="Q90" s="1733"/>
    </row>
    <row r="91" spans="3:21" hidden="1">
      <c r="C91" s="1736"/>
      <c r="D91" s="1721" t="s">
        <v>2357</v>
      </c>
      <c r="E91" s="1721"/>
      <c r="F91" s="1739"/>
      <c r="G91" s="1727"/>
      <c r="H91" s="1735">
        <v>0</v>
      </c>
      <c r="I91" s="1740">
        <f t="shared" ref="I91:Q91" si="35">I89-(I89-I90)*$H91</f>
        <v>8.0190000000000001</v>
      </c>
      <c r="J91" s="1740">
        <f t="shared" si="35"/>
        <v>9.7210000000000001</v>
      </c>
      <c r="K91" s="1740">
        <f t="shared" si="35"/>
        <v>10.979000000000001</v>
      </c>
      <c r="L91" s="1740">
        <f t="shared" si="35"/>
        <v>8.3709999999999987</v>
      </c>
      <c r="M91" s="1740">
        <f t="shared" si="35"/>
        <v>9.7349999999999994</v>
      </c>
      <c r="N91" s="1740">
        <f t="shared" si="35"/>
        <v>10.863</v>
      </c>
      <c r="O91" s="1740">
        <f t="shared" si="35"/>
        <v>8.3640000000000008</v>
      </c>
      <c r="P91" s="1740">
        <f t="shared" si="35"/>
        <v>9.68</v>
      </c>
      <c r="Q91" s="1740">
        <f t="shared" si="35"/>
        <v>10.783000000000001</v>
      </c>
    </row>
    <row r="92" spans="3:21">
      <c r="C92" s="1728"/>
      <c r="D92" s="1728"/>
      <c r="E92" s="1699"/>
      <c r="F92" s="1741"/>
      <c r="G92" s="1741"/>
      <c r="H92" s="1741"/>
      <c r="I92" s="1741"/>
      <c r="J92" s="1741"/>
      <c r="K92" s="1741"/>
      <c r="L92" s="1741"/>
      <c r="M92" s="1728"/>
      <c r="N92" s="1728"/>
      <c r="O92" s="1728"/>
      <c r="P92" s="1728"/>
      <c r="Q92" s="1728"/>
    </row>
    <row r="93" spans="3:21">
      <c r="C93" s="1692" t="s">
        <v>2358</v>
      </c>
      <c r="D93" s="1693"/>
      <c r="E93" s="1694"/>
      <c r="F93" s="1694"/>
      <c r="G93" s="1694"/>
      <c r="H93" s="1694"/>
      <c r="I93" s="1694"/>
      <c r="J93" s="1694"/>
      <c r="K93" s="1694"/>
      <c r="L93" s="1694"/>
      <c r="M93" s="1694"/>
      <c r="N93" s="1694"/>
      <c r="O93" s="1694"/>
      <c r="P93" s="1694"/>
      <c r="Q93" s="1694"/>
    </row>
    <row r="94" spans="3:21">
      <c r="C94" s="1700" t="s">
        <v>1425</v>
      </c>
      <c r="D94" s="1693"/>
      <c r="E94" s="1694"/>
      <c r="F94" s="1694"/>
      <c r="G94" s="1694"/>
      <c r="H94" s="1694"/>
      <c r="I94" s="1694"/>
      <c r="J94" s="1694"/>
      <c r="K94" s="1694"/>
      <c r="L94" s="1694"/>
      <c r="M94" s="1694"/>
      <c r="N94" s="1694"/>
      <c r="O94" s="1694"/>
      <c r="P94" s="1694"/>
      <c r="Q94" s="1694"/>
    </row>
    <row r="95" spans="3:21">
      <c r="D95" s="1694" t="s">
        <v>2359</v>
      </c>
      <c r="F95" s="2265" t="s">
        <v>1448</v>
      </c>
      <c r="G95" s="1694"/>
      <c r="H95" s="1694"/>
      <c r="I95" s="2253" t="e">
        <f>係数!D5*1000</f>
        <v>#VALUE!</v>
      </c>
      <c r="J95" s="1742" t="str">
        <f>係数!C5</f>
        <v>根拠を記入してください</v>
      </c>
      <c r="K95" s="1728"/>
      <c r="L95" s="1728"/>
      <c r="M95" s="1728" t="s">
        <v>1449</v>
      </c>
      <c r="N95" s="1728"/>
      <c r="O95" s="1728" t="e">
        <f>係数!J50*1000</f>
        <v>#VALUE!</v>
      </c>
      <c r="P95" s="1728" t="s">
        <v>403</v>
      </c>
      <c r="Q95" s="1743"/>
    </row>
    <row r="96" spans="3:21">
      <c r="C96" s="1692"/>
      <c r="D96" s="1694"/>
      <c r="F96" s="2265" t="s">
        <v>1450</v>
      </c>
      <c r="G96" s="1694"/>
      <c r="H96" s="1694"/>
      <c r="I96" s="2253" t="e">
        <f>I95/J96</f>
        <v>#VALUE!</v>
      </c>
      <c r="J96" s="1746">
        <v>9.76</v>
      </c>
      <c r="K96" s="1744" t="s">
        <v>1921</v>
      </c>
      <c r="L96" s="1694"/>
      <c r="M96" s="1694"/>
      <c r="N96" s="1694"/>
      <c r="O96" s="1694"/>
      <c r="P96" s="1694"/>
      <c r="Q96" s="1745"/>
      <c r="U96" t="e">
        <f>O95/J96</f>
        <v>#VALUE!</v>
      </c>
    </row>
    <row r="97" spans="2:19">
      <c r="C97" s="1692"/>
      <c r="D97" s="1694" t="s">
        <v>1451</v>
      </c>
      <c r="F97" s="2265" t="s">
        <v>1450</v>
      </c>
      <c r="G97" s="1694"/>
      <c r="H97" s="1694"/>
      <c r="I97" s="2253">
        <v>4.9799999999999997E-2</v>
      </c>
      <c r="J97" s="1746"/>
      <c r="K97" s="1694"/>
      <c r="L97" s="1694"/>
      <c r="M97" s="1694"/>
      <c r="N97" s="1694"/>
      <c r="O97" s="1694"/>
      <c r="P97" s="1694"/>
      <c r="Q97" s="1745"/>
    </row>
    <row r="98" spans="2:19" hidden="1">
      <c r="C98" s="1692"/>
      <c r="D98" s="1694" t="s">
        <v>1452</v>
      </c>
      <c r="F98" s="2265" t="s">
        <v>1450</v>
      </c>
      <c r="G98" s="1694"/>
      <c r="H98" s="1694"/>
      <c r="I98" s="2253">
        <v>5.7000000000000002E-2</v>
      </c>
      <c r="J98" s="1746"/>
      <c r="K98" s="1694"/>
      <c r="L98" s="1694"/>
      <c r="M98" s="1694"/>
      <c r="N98" s="1694"/>
      <c r="O98" s="1694"/>
      <c r="P98" s="1694"/>
      <c r="Q98" s="1745"/>
    </row>
    <row r="99" spans="2:19">
      <c r="C99" s="1692"/>
      <c r="D99" s="1694" t="s">
        <v>1453</v>
      </c>
      <c r="F99" s="2265" t="s">
        <v>1450</v>
      </c>
      <c r="G99" s="1694"/>
      <c r="H99" s="1694"/>
      <c r="I99" s="2253">
        <v>6.7799999999999999E-2</v>
      </c>
      <c r="J99" s="1746"/>
      <c r="K99" s="1694"/>
      <c r="L99" s="1694"/>
      <c r="M99" s="1694"/>
      <c r="N99" s="1694"/>
      <c r="O99" s="1694"/>
      <c r="P99" s="1694"/>
      <c r="Q99" s="1745"/>
    </row>
    <row r="100" spans="2:19">
      <c r="C100" s="1692"/>
      <c r="D100" s="1694" t="s">
        <v>1454</v>
      </c>
      <c r="F100" s="2265" t="s">
        <v>1450</v>
      </c>
      <c r="G100" s="1694"/>
      <c r="H100" s="1694"/>
      <c r="I100" s="2253">
        <v>6.93E-2</v>
      </c>
      <c r="J100" s="1746"/>
      <c r="K100" s="1694"/>
      <c r="L100" s="1694"/>
      <c r="M100" s="1694"/>
      <c r="N100" s="1694"/>
      <c r="O100" s="1694"/>
      <c r="P100" s="1694"/>
      <c r="Q100" s="1745"/>
    </row>
    <row r="101" spans="2:19">
      <c r="C101" s="1692"/>
      <c r="D101" s="1694" t="s">
        <v>1455</v>
      </c>
      <c r="F101" s="2265" t="s">
        <v>1450</v>
      </c>
      <c r="G101" s="1694"/>
      <c r="H101" s="1694"/>
      <c r="I101" s="2253">
        <f>(I99+I100)/2</f>
        <v>6.855E-2</v>
      </c>
      <c r="J101" s="2254" t="s">
        <v>1456</v>
      </c>
      <c r="K101" s="1694"/>
      <c r="L101" s="1694"/>
      <c r="M101" s="1694"/>
      <c r="N101" s="1694"/>
      <c r="O101" s="1694"/>
      <c r="P101" s="1694"/>
      <c r="Q101" s="1745"/>
    </row>
    <row r="102" spans="2:19">
      <c r="C102" s="1692"/>
      <c r="D102" s="1694" t="s">
        <v>1328</v>
      </c>
      <c r="F102" s="2265" t="s">
        <v>1329</v>
      </c>
      <c r="G102" s="1694"/>
      <c r="H102" s="1694"/>
      <c r="I102" s="2253">
        <v>5.8999999999999997E-2</v>
      </c>
      <c r="J102" s="1747"/>
      <c r="K102" s="1748"/>
      <c r="L102" s="1748"/>
      <c r="M102" s="1748"/>
      <c r="N102" s="1748"/>
      <c r="O102" s="1748"/>
      <c r="P102" s="1748"/>
      <c r="Q102" s="1749"/>
    </row>
    <row r="103" spans="2:19">
      <c r="B103" s="879"/>
      <c r="C103" s="1694" t="s">
        <v>1106</v>
      </c>
      <c r="D103" s="879"/>
      <c r="E103" s="1694"/>
      <c r="F103" s="1694"/>
      <c r="G103" s="1694"/>
      <c r="H103" s="1694"/>
      <c r="I103" s="1750"/>
      <c r="J103" s="1694"/>
      <c r="K103" s="1694"/>
      <c r="L103" s="1694"/>
      <c r="M103" s="1694"/>
      <c r="N103" s="1694"/>
      <c r="O103" s="1694"/>
      <c r="P103" s="1694"/>
      <c r="Q103" s="1694"/>
      <c r="R103" s="879"/>
      <c r="S103" s="879"/>
    </row>
    <row r="104" spans="2:19">
      <c r="B104" s="879"/>
      <c r="C104" s="1693"/>
      <c r="D104" s="1694" t="s">
        <v>272</v>
      </c>
      <c r="E104" s="879"/>
      <c r="F104" s="1694"/>
      <c r="G104" s="1694"/>
      <c r="H104" s="1694"/>
      <c r="I104" s="1694" t="s">
        <v>1107</v>
      </c>
      <c r="J104" s="1694"/>
      <c r="K104" s="1700" t="s">
        <v>1108</v>
      </c>
      <c r="L104" s="1694"/>
      <c r="M104" s="1694"/>
      <c r="N104" s="1694"/>
      <c r="O104" s="1694"/>
      <c r="P104" s="1694"/>
      <c r="Q104" s="1694"/>
      <c r="R104" s="879"/>
      <c r="S104" s="879"/>
    </row>
    <row r="105" spans="2:19">
      <c r="B105" s="879"/>
      <c r="C105" s="1693"/>
      <c r="D105" s="1694" t="s">
        <v>1876</v>
      </c>
      <c r="E105" s="879"/>
      <c r="F105" s="1694"/>
      <c r="G105" s="1694"/>
      <c r="H105" s="1694"/>
      <c r="I105" s="1751">
        <v>6.8800000000000003E-4</v>
      </c>
      <c r="J105" s="1694"/>
      <c r="K105" s="1751">
        <v>6.8000000000000005E-4</v>
      </c>
      <c r="L105" s="1694"/>
      <c r="M105" s="1694"/>
      <c r="N105" s="1694"/>
      <c r="O105" s="1694"/>
      <c r="P105" s="1694"/>
      <c r="Q105" s="1694"/>
      <c r="R105" s="879"/>
      <c r="S105" s="879"/>
    </row>
    <row r="106" spans="2:19">
      <c r="B106" s="879"/>
      <c r="C106" s="1693"/>
      <c r="D106" s="1694" t="s">
        <v>1875</v>
      </c>
      <c r="E106" s="879"/>
      <c r="F106" s="1694"/>
      <c r="G106" s="1694"/>
      <c r="H106" s="1694"/>
      <c r="I106" s="1751">
        <v>5.9999999999999995E-4</v>
      </c>
      <c r="J106" s="1694"/>
      <c r="K106" s="1751">
        <v>5.5999999999999995E-4</v>
      </c>
      <c r="L106" s="1694"/>
      <c r="M106" s="1694"/>
      <c r="N106" s="1694"/>
      <c r="O106" s="1694"/>
      <c r="P106" s="1694"/>
      <c r="Q106" s="1694"/>
      <c r="R106" s="879"/>
      <c r="S106" s="879"/>
    </row>
    <row r="107" spans="2:19">
      <c r="B107" s="879"/>
      <c r="C107" s="1693"/>
      <c r="D107" s="1694" t="s">
        <v>1874</v>
      </c>
      <c r="E107" s="879"/>
      <c r="F107" s="1694"/>
      <c r="G107" s="1694"/>
      <c r="H107" s="1694"/>
      <c r="I107" s="1751">
        <v>5.2499999999999997E-4</v>
      </c>
      <c r="J107" s="1694"/>
      <c r="K107" s="1751">
        <v>4.06E-4</v>
      </c>
      <c r="L107" s="1694"/>
      <c r="M107" s="1694"/>
      <c r="N107" s="1694"/>
      <c r="O107" s="1694"/>
      <c r="P107" s="1694"/>
      <c r="Q107" s="1694"/>
      <c r="R107" s="879"/>
      <c r="S107" s="879"/>
    </row>
    <row r="108" spans="2:19">
      <c r="B108" s="879"/>
      <c r="C108" s="1693"/>
      <c r="D108" s="1694" t="s">
        <v>1873</v>
      </c>
      <c r="E108" s="879"/>
      <c r="F108" s="1694"/>
      <c r="G108" s="1694"/>
      <c r="H108" s="1694"/>
      <c r="I108" s="1751">
        <v>5.1599999999999997E-4</v>
      </c>
      <c r="J108" s="1694"/>
      <c r="K108" s="1751">
        <v>3.7300000000000001E-4</v>
      </c>
      <c r="L108" s="1694"/>
      <c r="M108" s="1694"/>
      <c r="N108" s="1694"/>
      <c r="O108" s="1694"/>
      <c r="P108" s="1694"/>
      <c r="Q108" s="1694"/>
      <c r="R108" s="879"/>
      <c r="S108" s="879"/>
    </row>
    <row r="109" spans="2:19">
      <c r="B109" s="879"/>
      <c r="C109" s="1693"/>
      <c r="D109" s="1694" t="s">
        <v>1877</v>
      </c>
      <c r="E109" s="879"/>
      <c r="F109" s="1694"/>
      <c r="G109" s="1694"/>
      <c r="H109" s="1694"/>
      <c r="I109" s="1751">
        <v>6.6299999999999996E-4</v>
      </c>
      <c r="J109" s="1694"/>
      <c r="K109" s="1751">
        <v>4.9399999999999997E-4</v>
      </c>
      <c r="L109" s="1694"/>
      <c r="M109" s="1694"/>
      <c r="N109" s="1694"/>
      <c r="O109" s="1694"/>
      <c r="P109" s="1694"/>
      <c r="Q109" s="1694"/>
      <c r="R109" s="879"/>
      <c r="S109" s="879"/>
    </row>
    <row r="110" spans="2:19">
      <c r="B110" s="879"/>
      <c r="C110" s="1693"/>
      <c r="D110" s="1694" t="s">
        <v>1867</v>
      </c>
      <c r="E110" s="879"/>
      <c r="F110" s="1694"/>
      <c r="G110" s="1694"/>
      <c r="H110" s="1694"/>
      <c r="I110" s="1751">
        <v>5.1400000000000003E-4</v>
      </c>
      <c r="J110" s="1694"/>
      <c r="K110" s="1751">
        <v>4.75E-4</v>
      </c>
      <c r="L110" s="1694"/>
      <c r="M110" s="1694"/>
      <c r="N110" s="1694"/>
      <c r="O110" s="1694"/>
      <c r="P110" s="1694"/>
      <c r="Q110" s="1694"/>
      <c r="R110" s="879"/>
      <c r="S110" s="879"/>
    </row>
    <row r="111" spans="2:19">
      <c r="B111" s="879"/>
      <c r="C111" s="1693"/>
      <c r="D111" s="1694" t="s">
        <v>1872</v>
      </c>
      <c r="E111" s="879"/>
      <c r="F111" s="1694"/>
      <c r="G111" s="1694"/>
      <c r="H111" s="1694"/>
      <c r="I111" s="1751">
        <v>7.3800000000000005E-4</v>
      </c>
      <c r="J111" s="1694"/>
      <c r="K111" s="1751">
        <v>6.7199999999999996E-4</v>
      </c>
      <c r="L111" s="1694"/>
      <c r="M111" s="1694"/>
      <c r="N111" s="1694"/>
      <c r="O111" s="1694"/>
      <c r="P111" s="1694"/>
      <c r="Q111" s="1694"/>
      <c r="R111" s="879"/>
      <c r="S111" s="879"/>
    </row>
    <row r="112" spans="2:19">
      <c r="B112" s="879"/>
      <c r="C112" s="1693"/>
      <c r="D112" s="1694" t="s">
        <v>1870</v>
      </c>
      <c r="E112" s="879"/>
      <c r="F112" s="1694"/>
      <c r="G112" s="1694"/>
      <c r="H112" s="1694"/>
      <c r="I112" s="1751">
        <v>6.9999999999999999E-4</v>
      </c>
      <c r="J112" s="1694"/>
      <c r="K112" s="1751">
        <v>6.5600000000000001E-4</v>
      </c>
      <c r="L112" s="1694"/>
      <c r="M112" s="1694"/>
      <c r="N112" s="1694"/>
      <c r="O112" s="1694"/>
      <c r="P112" s="1694"/>
      <c r="Q112" s="1694"/>
      <c r="R112" s="879"/>
      <c r="S112" s="879"/>
    </row>
    <row r="113" spans="2:19">
      <c r="B113" s="879"/>
      <c r="C113" s="1693"/>
      <c r="D113" s="1694" t="s">
        <v>1869</v>
      </c>
      <c r="E113" s="879"/>
      <c r="F113" s="1694"/>
      <c r="G113" s="1694"/>
      <c r="H113" s="1694"/>
      <c r="I113" s="1751">
        <v>6.1200000000000002E-4</v>
      </c>
      <c r="J113" s="1694"/>
      <c r="K113" s="1751">
        <v>5.9900000000000003E-4</v>
      </c>
      <c r="L113" s="1694"/>
      <c r="M113" s="1694"/>
      <c r="N113" s="1694"/>
      <c r="O113" s="1694"/>
      <c r="P113" s="1694"/>
      <c r="Q113" s="1694"/>
      <c r="R113" s="879"/>
      <c r="S113" s="879"/>
    </row>
    <row r="114" spans="2:19">
      <c r="B114" s="879"/>
      <c r="C114" s="1693"/>
      <c r="D114" s="1694" t="s">
        <v>1864</v>
      </c>
      <c r="E114" s="879"/>
      <c r="F114" s="1694"/>
      <c r="G114" s="1694"/>
      <c r="H114" s="1694"/>
      <c r="I114" s="1751">
        <v>9.0300000000000005E-4</v>
      </c>
      <c r="J114" s="1694"/>
      <c r="K114" s="1751">
        <v>6.9200000000000002E-4</v>
      </c>
      <c r="L114" s="1694"/>
      <c r="M114" s="1694"/>
      <c r="N114" s="1694"/>
      <c r="O114" s="1694"/>
      <c r="P114" s="1694"/>
      <c r="Q114" s="1694"/>
      <c r="R114" s="879"/>
      <c r="S114" s="879"/>
    </row>
    <row r="115" spans="2:19">
      <c r="B115" s="879"/>
      <c r="C115" s="1693"/>
      <c r="D115" s="1694" t="s">
        <v>887</v>
      </c>
      <c r="E115" s="879"/>
      <c r="F115" s="1694"/>
      <c r="G115" s="1694"/>
      <c r="H115" s="1694"/>
      <c r="I115" s="1751">
        <v>6.0300000000000002E-4</v>
      </c>
      <c r="J115" s="1694"/>
      <c r="K115" s="1751">
        <v>4.28E-4</v>
      </c>
      <c r="L115" s="1694"/>
      <c r="M115" s="1694"/>
      <c r="N115" s="1694"/>
      <c r="O115" s="1694"/>
      <c r="P115" s="1694"/>
      <c r="Q115" s="1694"/>
      <c r="R115" s="879"/>
      <c r="S115" s="879"/>
    </row>
    <row r="116" spans="2:19">
      <c r="B116" s="879"/>
      <c r="C116" s="1693"/>
      <c r="D116" s="1694" t="s">
        <v>1526</v>
      </c>
      <c r="E116" s="879"/>
      <c r="F116" s="1694"/>
      <c r="G116" s="1694"/>
      <c r="H116" s="1694"/>
      <c r="I116" s="1751">
        <v>8.6000000000000003E-5</v>
      </c>
      <c r="J116" s="1694"/>
      <c r="K116" s="1751">
        <v>1.06E-4</v>
      </c>
      <c r="L116" s="1694"/>
      <c r="M116" s="1694"/>
      <c r="N116" s="1694"/>
      <c r="O116" s="1694"/>
      <c r="P116" s="1694"/>
      <c r="Q116" s="1694"/>
      <c r="R116" s="879"/>
      <c r="S116" s="879"/>
    </row>
    <row r="117" spans="2:19">
      <c r="B117" s="879"/>
      <c r="C117" s="1693"/>
      <c r="D117" s="1694" t="s">
        <v>1527</v>
      </c>
      <c r="E117" s="879"/>
      <c r="F117" s="1694"/>
      <c r="G117" s="1694"/>
      <c r="H117" s="1694"/>
      <c r="I117" s="1751">
        <v>6.7599999999999995E-4</v>
      </c>
      <c r="J117" s="1694"/>
      <c r="K117" s="1751">
        <v>2.9300000000000002E-4</v>
      </c>
      <c r="L117" s="1694"/>
      <c r="M117" s="1694"/>
      <c r="N117" s="1694"/>
      <c r="O117" s="1694"/>
      <c r="P117" s="1694"/>
      <c r="Q117" s="1694"/>
      <c r="R117" s="879"/>
      <c r="S117" s="879"/>
    </row>
    <row r="118" spans="2:19">
      <c r="B118" s="879"/>
      <c r="C118" s="1693"/>
      <c r="D118" s="1694" t="s">
        <v>889</v>
      </c>
      <c r="E118" s="879"/>
      <c r="F118" s="1694"/>
      <c r="G118" s="1694"/>
      <c r="H118" s="1694"/>
      <c r="I118" s="1751">
        <v>6.1600000000000001E-4</v>
      </c>
      <c r="J118" s="1694"/>
      <c r="K118" s="1751">
        <v>4.8200000000000001E-4</v>
      </c>
      <c r="L118" s="1694"/>
      <c r="M118" s="1694"/>
      <c r="N118" s="1694"/>
      <c r="O118" s="1694"/>
      <c r="P118" s="1694"/>
      <c r="Q118" s="1694"/>
      <c r="R118" s="879"/>
      <c r="S118" s="879"/>
    </row>
    <row r="119" spans="2:19">
      <c r="B119" s="879"/>
      <c r="C119" s="1694"/>
      <c r="D119" s="1694" t="s">
        <v>1528</v>
      </c>
      <c r="E119" s="879"/>
      <c r="F119" s="1694"/>
      <c r="G119" s="1694"/>
      <c r="H119" s="1694"/>
      <c r="I119" s="1751">
        <v>4.5600000000000003E-4</v>
      </c>
      <c r="J119" s="1694"/>
      <c r="K119" s="1751">
        <v>4.5600000000000003E-4</v>
      </c>
      <c r="L119" s="1694"/>
      <c r="M119" s="1694"/>
      <c r="N119" s="1694"/>
      <c r="O119" s="1694"/>
      <c r="P119" s="1694"/>
      <c r="Q119" s="1694"/>
      <c r="R119" s="879"/>
      <c r="S119" s="879"/>
    </row>
    <row r="120" spans="2:19">
      <c r="B120" s="879"/>
      <c r="C120" s="1693"/>
      <c r="D120" s="1694" t="s">
        <v>1863</v>
      </c>
      <c r="E120" s="879"/>
      <c r="F120" s="1694"/>
      <c r="G120" s="1694"/>
      <c r="H120" s="1694"/>
      <c r="I120" s="1751">
        <v>4.75E-4</v>
      </c>
      <c r="J120" s="1694"/>
      <c r="K120" s="1751">
        <v>4.7100000000000001E-4</v>
      </c>
      <c r="L120" s="1694"/>
      <c r="M120" s="1694"/>
      <c r="N120" s="1694"/>
      <c r="O120" s="1694"/>
      <c r="P120" s="1694"/>
      <c r="Q120" s="1694"/>
      <c r="R120" s="879"/>
      <c r="S120" s="879"/>
    </row>
    <row r="121" spans="2:19">
      <c r="B121" s="879"/>
      <c r="C121" s="1693"/>
      <c r="D121" s="1694" t="s">
        <v>1529</v>
      </c>
      <c r="E121" s="879"/>
      <c r="F121" s="1694"/>
      <c r="G121" s="1694"/>
      <c r="H121" s="1694"/>
      <c r="I121" s="1751">
        <v>7.6199999999999998E-4</v>
      </c>
      <c r="J121" s="1694"/>
      <c r="K121" s="1751">
        <v>7.5699999999999997E-4</v>
      </c>
      <c r="L121" s="1694"/>
      <c r="M121" s="1694"/>
      <c r="N121" s="1694"/>
      <c r="O121" s="1694"/>
      <c r="P121" s="1694"/>
      <c r="Q121" s="1694"/>
      <c r="R121" s="879"/>
      <c r="S121" s="879"/>
    </row>
    <row r="122" spans="2:19">
      <c r="B122" s="879"/>
      <c r="C122" s="1693"/>
      <c r="D122" s="1694" t="s">
        <v>1530</v>
      </c>
      <c r="E122" s="879"/>
      <c r="F122" s="1694"/>
      <c r="G122" s="1694"/>
      <c r="H122" s="1694"/>
      <c r="I122" s="1751">
        <v>0</v>
      </c>
      <c r="J122" s="1694"/>
      <c r="K122" s="1751">
        <v>0</v>
      </c>
      <c r="L122" s="1694"/>
      <c r="M122" s="1694"/>
      <c r="N122" s="1694"/>
      <c r="O122" s="1694"/>
      <c r="P122" s="1694"/>
      <c r="Q122" s="1694"/>
      <c r="R122" s="879"/>
      <c r="S122" s="879"/>
    </row>
    <row r="123" spans="2:19">
      <c r="B123" s="879"/>
      <c r="C123" s="1693"/>
      <c r="D123" s="1694" t="s">
        <v>1866</v>
      </c>
      <c r="E123" s="879"/>
      <c r="F123" s="1694"/>
      <c r="G123" s="1694"/>
      <c r="H123" s="1694"/>
      <c r="I123" s="1751">
        <v>4.2900000000000002E-4</v>
      </c>
      <c r="J123" s="1694"/>
      <c r="K123" s="1751">
        <v>4.2700000000000002E-4</v>
      </c>
      <c r="L123" s="1694"/>
      <c r="M123" s="1694"/>
      <c r="N123" s="1694"/>
      <c r="O123" s="1694"/>
      <c r="P123" s="1694"/>
      <c r="Q123" s="1694"/>
      <c r="R123" s="879"/>
      <c r="S123" s="879"/>
    </row>
    <row r="124" spans="2:19">
      <c r="B124" s="879"/>
      <c r="C124" s="1693"/>
      <c r="D124" s="1694" t="s">
        <v>1865</v>
      </c>
      <c r="E124" s="879"/>
      <c r="F124" s="1694"/>
      <c r="G124" s="1694"/>
      <c r="H124" s="1694"/>
      <c r="I124" s="1751">
        <v>5.2499999999999997E-4</v>
      </c>
      <c r="J124" s="1694"/>
      <c r="K124" s="1751">
        <v>4.4499999999999997E-4</v>
      </c>
      <c r="L124" s="1694"/>
      <c r="M124" s="1694"/>
      <c r="N124" s="1694"/>
      <c r="O124" s="1694"/>
      <c r="P124" s="1694"/>
      <c r="Q124" s="1694"/>
      <c r="R124" s="879"/>
      <c r="S124" s="879"/>
    </row>
    <row r="125" spans="2:19">
      <c r="B125" s="879"/>
      <c r="C125" s="1693"/>
      <c r="D125" s="1694" t="s">
        <v>1531</v>
      </c>
      <c r="E125" s="879"/>
      <c r="F125" s="1694"/>
      <c r="G125" s="1694"/>
      <c r="H125" s="1694"/>
      <c r="I125" s="1751">
        <v>4.4099999999999999E-4</v>
      </c>
      <c r="J125" s="1694"/>
      <c r="K125" s="1751">
        <v>0</v>
      </c>
      <c r="L125" s="1694"/>
      <c r="M125" s="1694"/>
      <c r="N125" s="1694"/>
      <c r="O125" s="1694"/>
      <c r="P125" s="1694"/>
      <c r="Q125" s="1694"/>
      <c r="R125" s="879"/>
      <c r="S125" s="879"/>
    </row>
    <row r="126" spans="2:19">
      <c r="B126" s="879"/>
      <c r="C126" s="1693"/>
      <c r="D126" s="1694" t="s">
        <v>1532</v>
      </c>
      <c r="E126" s="879"/>
      <c r="F126" s="1694"/>
      <c r="G126" s="1694"/>
      <c r="H126" s="1694"/>
      <c r="I126" s="1751">
        <v>7.9699999999999997E-4</v>
      </c>
      <c r="J126" s="1694"/>
      <c r="K126" s="1751">
        <v>7.8899999999999999E-4</v>
      </c>
      <c r="L126" s="1694"/>
      <c r="M126" s="1694"/>
      <c r="N126" s="1694"/>
      <c r="O126" s="1694"/>
      <c r="P126" s="1694"/>
      <c r="Q126" s="1694"/>
      <c r="R126" s="879"/>
      <c r="S126" s="879"/>
    </row>
    <row r="127" spans="2:19">
      <c r="B127" s="879"/>
      <c r="C127" s="1693"/>
      <c r="D127" s="1694" t="s">
        <v>890</v>
      </c>
      <c r="E127" s="879"/>
      <c r="F127" s="1694"/>
      <c r="G127" s="1694"/>
      <c r="H127" s="1694"/>
      <c r="I127" s="1751">
        <v>4.3800000000000002E-4</v>
      </c>
      <c r="J127" s="1694"/>
      <c r="K127" s="1751">
        <v>2.5900000000000001E-4</v>
      </c>
      <c r="L127" s="1694"/>
      <c r="M127" s="1694"/>
      <c r="N127" s="1694"/>
      <c r="O127" s="1694"/>
      <c r="P127" s="1694"/>
      <c r="Q127" s="1694"/>
      <c r="R127" s="879"/>
      <c r="S127" s="879"/>
    </row>
    <row r="128" spans="2:19">
      <c r="B128" s="879"/>
      <c r="C128" s="1693"/>
      <c r="D128" s="1694" t="s">
        <v>1533</v>
      </c>
      <c r="E128" s="879"/>
      <c r="F128" s="1694"/>
      <c r="G128" s="1694"/>
      <c r="H128" s="1694"/>
      <c r="I128" s="1751">
        <v>3.6699999999999998E-4</v>
      </c>
      <c r="J128" s="1694"/>
      <c r="K128" s="1751">
        <v>3.6400000000000001E-4</v>
      </c>
      <c r="L128" s="1694"/>
      <c r="M128" s="1694"/>
      <c r="N128" s="1694"/>
      <c r="O128" s="1694"/>
      <c r="P128" s="1694"/>
      <c r="Q128" s="1694"/>
      <c r="R128" s="879"/>
      <c r="S128" s="879"/>
    </row>
    <row r="129" spans="2:19">
      <c r="B129" s="879"/>
      <c r="C129" s="1693"/>
      <c r="D129" s="1694" t="s">
        <v>1534</v>
      </c>
      <c r="E129" s="879"/>
      <c r="F129" s="1694"/>
      <c r="G129" s="1694"/>
      <c r="H129" s="1694"/>
      <c r="I129" s="1751">
        <v>4.9399999999999997E-4</v>
      </c>
      <c r="J129" s="1694"/>
      <c r="K129" s="1751">
        <v>4.8999999999999998E-4</v>
      </c>
      <c r="L129" s="1694"/>
      <c r="M129" s="1694"/>
      <c r="N129" s="1694"/>
      <c r="O129" s="1694"/>
      <c r="P129" s="1694"/>
      <c r="Q129" s="1694"/>
      <c r="R129" s="879"/>
      <c r="S129" s="879"/>
    </row>
    <row r="130" spans="2:19">
      <c r="B130" s="879"/>
      <c r="C130" s="1693"/>
      <c r="D130" s="1694" t="s">
        <v>1535</v>
      </c>
      <c r="E130" s="879"/>
      <c r="F130" s="1694"/>
      <c r="G130" s="1694"/>
      <c r="H130" s="1694"/>
      <c r="I130" s="1751">
        <v>3.1199999999999999E-4</v>
      </c>
      <c r="J130" s="1694"/>
      <c r="K130" s="1751">
        <v>3.0899999999999998E-4</v>
      </c>
      <c r="L130" s="1694"/>
      <c r="M130" s="1694"/>
      <c r="N130" s="1694"/>
      <c r="O130" s="1694"/>
      <c r="P130" s="1694"/>
      <c r="Q130" s="1694"/>
      <c r="R130" s="879"/>
      <c r="S130" s="879"/>
    </row>
    <row r="131" spans="2:19">
      <c r="B131" s="879"/>
      <c r="C131" s="1693"/>
      <c r="D131" s="1694" t="s">
        <v>1871</v>
      </c>
      <c r="E131" s="879"/>
      <c r="F131" s="1694"/>
      <c r="G131" s="1694"/>
      <c r="H131" s="1694"/>
      <c r="I131" s="1751">
        <v>3.6699999999999998E-4</v>
      </c>
      <c r="J131" s="1694"/>
      <c r="K131" s="1751">
        <v>3.6400000000000001E-4</v>
      </c>
      <c r="L131" s="1694"/>
      <c r="M131" s="1694"/>
      <c r="N131" s="1694"/>
      <c r="O131" s="1694"/>
      <c r="P131" s="1694"/>
      <c r="Q131" s="1694"/>
      <c r="R131" s="879"/>
      <c r="S131" s="879"/>
    </row>
    <row r="132" spans="2:19">
      <c r="B132" s="879"/>
      <c r="C132" s="1693"/>
      <c r="D132" s="1694" t="s">
        <v>1536</v>
      </c>
      <c r="E132" s="879"/>
      <c r="F132" s="1694"/>
      <c r="G132" s="1694"/>
      <c r="H132" s="1694"/>
      <c r="I132" s="1751">
        <v>6.5499999999999998E-4</v>
      </c>
      <c r="J132" s="1694"/>
      <c r="K132" s="1751">
        <v>6.5399999999999996E-4</v>
      </c>
      <c r="L132" s="1694"/>
      <c r="M132" s="1694"/>
      <c r="N132" s="1694"/>
      <c r="O132" s="1694"/>
      <c r="P132" s="1694"/>
      <c r="Q132" s="1694"/>
      <c r="R132" s="879"/>
      <c r="S132" s="879"/>
    </row>
    <row r="133" spans="2:19">
      <c r="B133" s="879"/>
      <c r="C133" s="1693"/>
      <c r="D133" s="1694" t="s">
        <v>1537</v>
      </c>
      <c r="E133" s="879"/>
      <c r="F133" s="1694"/>
      <c r="G133" s="1694"/>
      <c r="H133" s="1694"/>
      <c r="I133" s="1751">
        <v>3.88E-4</v>
      </c>
      <c r="J133" s="1694"/>
      <c r="K133" s="1751">
        <v>3.8499999999999998E-4</v>
      </c>
      <c r="L133" s="1694"/>
      <c r="M133" s="1694"/>
      <c r="N133" s="1694"/>
      <c r="O133" s="1694"/>
      <c r="P133" s="1694"/>
      <c r="Q133" s="1694"/>
      <c r="R133" s="879"/>
      <c r="S133" s="879"/>
    </row>
    <row r="134" spans="2:19">
      <c r="B134" s="879"/>
      <c r="C134" s="1693"/>
      <c r="D134" s="1694" t="s">
        <v>891</v>
      </c>
      <c r="E134" s="879"/>
      <c r="F134" s="1694"/>
      <c r="G134" s="1694"/>
      <c r="H134" s="1694"/>
      <c r="I134" s="1751">
        <v>4.3100000000000001E-4</v>
      </c>
      <c r="J134" s="1694"/>
      <c r="K134" s="1751">
        <v>4.2700000000000002E-4</v>
      </c>
      <c r="L134" s="1694"/>
      <c r="M134" s="1694"/>
      <c r="N134" s="1694"/>
      <c r="O134" s="1694"/>
      <c r="P134" s="1694"/>
      <c r="Q134" s="1694"/>
      <c r="R134" s="879"/>
      <c r="S134" s="879"/>
    </row>
    <row r="135" spans="2:19">
      <c r="B135" s="879"/>
      <c r="C135" s="1693"/>
      <c r="D135" s="1694" t="s">
        <v>1538</v>
      </c>
      <c r="E135" s="879"/>
      <c r="F135" s="1694"/>
      <c r="G135" s="1694"/>
      <c r="H135" s="1694"/>
      <c r="I135" s="1751">
        <v>4.9399999999999997E-4</v>
      </c>
      <c r="J135" s="1694"/>
      <c r="K135" s="1751">
        <v>4.8999999999999998E-4</v>
      </c>
      <c r="L135" s="1694"/>
      <c r="M135" s="1694"/>
      <c r="N135" s="1694"/>
      <c r="O135" s="1694"/>
      <c r="P135" s="1694"/>
      <c r="Q135" s="1694"/>
      <c r="R135" s="879"/>
      <c r="S135" s="879"/>
    </row>
    <row r="136" spans="2:19">
      <c r="B136" s="879"/>
      <c r="C136" s="1693"/>
      <c r="D136" s="1694" t="s">
        <v>1539</v>
      </c>
      <c r="E136" s="879"/>
      <c r="F136" s="1694"/>
      <c r="G136" s="1694"/>
      <c r="H136" s="1694"/>
      <c r="I136" s="1751">
        <v>9.2E-5</v>
      </c>
      <c r="J136" s="1694"/>
      <c r="K136" s="1751">
        <v>9.1000000000000003E-5</v>
      </c>
      <c r="L136" s="1694"/>
      <c r="M136" s="1694"/>
      <c r="N136" s="1694"/>
      <c r="O136" s="1694"/>
      <c r="P136" s="1694"/>
      <c r="Q136" s="1694"/>
      <c r="R136" s="879"/>
      <c r="S136" s="879"/>
    </row>
    <row r="137" spans="2:19">
      <c r="B137" s="879"/>
      <c r="C137" s="1693"/>
      <c r="D137" s="1694" t="s">
        <v>1540</v>
      </c>
      <c r="E137" s="879"/>
      <c r="F137" s="1694"/>
      <c r="G137" s="1694"/>
      <c r="H137" s="1694"/>
      <c r="I137" s="1751">
        <v>5.0799999999999999E-4</v>
      </c>
      <c r="J137" s="1694"/>
      <c r="K137" s="1751">
        <v>5.0900000000000001E-4</v>
      </c>
      <c r="L137" s="1694"/>
      <c r="M137" s="1694"/>
      <c r="N137" s="1694"/>
      <c r="O137" s="1694"/>
      <c r="P137" s="1694"/>
      <c r="Q137" s="1694"/>
      <c r="R137" s="879"/>
      <c r="S137" s="879"/>
    </row>
    <row r="138" spans="2:19">
      <c r="B138" s="879"/>
      <c r="C138" s="1693"/>
      <c r="D138" s="1694" t="s">
        <v>1541</v>
      </c>
      <c r="E138" s="879"/>
      <c r="F138" s="1694"/>
      <c r="G138" s="1694"/>
      <c r="H138" s="1694"/>
      <c r="I138" s="1751">
        <v>4.86E-4</v>
      </c>
      <c r="J138" s="1694"/>
      <c r="K138" s="1751">
        <v>2.5599999999999999E-4</v>
      </c>
      <c r="L138" s="1694"/>
      <c r="M138" s="1694"/>
      <c r="N138" s="1694"/>
      <c r="O138" s="1694"/>
      <c r="P138" s="1694"/>
      <c r="Q138" s="1694"/>
      <c r="R138" s="879"/>
      <c r="S138" s="879"/>
    </row>
    <row r="139" spans="2:19">
      <c r="B139" s="879"/>
      <c r="C139" s="1693"/>
      <c r="D139" s="1694" t="s">
        <v>892</v>
      </c>
      <c r="E139" s="879"/>
      <c r="F139" s="1694"/>
      <c r="G139" s="1694"/>
      <c r="H139" s="1694"/>
      <c r="I139" s="1751">
        <v>4.9799999999999996E-4</v>
      </c>
      <c r="J139" s="1694"/>
      <c r="K139" s="1751">
        <v>4.9200000000000003E-4</v>
      </c>
      <c r="L139" s="1694"/>
      <c r="M139" s="1694"/>
      <c r="N139" s="1694"/>
      <c r="O139" s="1694"/>
      <c r="P139" s="1694"/>
      <c r="Q139" s="1694"/>
      <c r="R139" s="879"/>
      <c r="S139" s="879"/>
    </row>
    <row r="140" spans="2:19">
      <c r="B140" s="879"/>
      <c r="C140" s="1693"/>
      <c r="D140" s="1694" t="s">
        <v>1542</v>
      </c>
      <c r="E140" s="879"/>
      <c r="F140" s="1694"/>
      <c r="G140" s="1694"/>
      <c r="H140" s="1694"/>
      <c r="I140" s="1751">
        <v>1.8E-5</v>
      </c>
      <c r="J140" s="1694"/>
      <c r="K140" s="1751">
        <v>2.1999999999999999E-5</v>
      </c>
      <c r="L140" s="1694"/>
      <c r="M140" s="1694"/>
      <c r="N140" s="1694"/>
      <c r="O140" s="1694"/>
      <c r="P140" s="1694"/>
      <c r="Q140" s="1694"/>
      <c r="R140" s="879"/>
      <c r="S140" s="879"/>
    </row>
    <row r="141" spans="2:19">
      <c r="B141" s="879"/>
      <c r="C141" s="1693"/>
      <c r="D141" s="1694" t="s">
        <v>1868</v>
      </c>
      <c r="E141" s="879"/>
      <c r="F141" s="1694"/>
      <c r="G141" s="1694"/>
      <c r="H141" s="1694"/>
      <c r="I141" s="1751">
        <v>3.7800000000000003E-4</v>
      </c>
      <c r="J141" s="1694"/>
      <c r="K141" s="1751">
        <v>3.2400000000000001E-4</v>
      </c>
      <c r="L141" s="1694"/>
      <c r="M141" s="1694"/>
      <c r="N141" s="1694"/>
      <c r="O141" s="1694"/>
      <c r="P141" s="1694"/>
      <c r="Q141" s="1694"/>
      <c r="R141" s="879"/>
      <c r="S141" s="879"/>
    </row>
    <row r="142" spans="2:19">
      <c r="B142" s="879"/>
      <c r="C142" s="1693"/>
      <c r="D142" s="1694" t="s">
        <v>1543</v>
      </c>
      <c r="E142" s="879"/>
      <c r="F142" s="1694"/>
      <c r="G142" s="1694"/>
      <c r="H142" s="1694"/>
      <c r="I142" s="1751">
        <v>3.6600000000000001E-4</v>
      </c>
      <c r="J142" s="1694"/>
      <c r="K142" s="1751">
        <v>4.4499999999999997E-4</v>
      </c>
      <c r="L142" s="1694"/>
      <c r="M142" s="1694"/>
      <c r="N142" s="1694"/>
      <c r="O142" s="1694"/>
      <c r="P142" s="1694"/>
      <c r="Q142" s="1694"/>
      <c r="R142" s="879"/>
      <c r="S142" s="879"/>
    </row>
    <row r="143" spans="2:19">
      <c r="B143" s="879"/>
      <c r="C143" s="1693"/>
      <c r="D143" s="1694" t="s">
        <v>1544</v>
      </c>
      <c r="E143" s="879"/>
      <c r="F143" s="1694"/>
      <c r="G143" s="1694"/>
      <c r="H143" s="1694"/>
      <c r="I143" s="1751">
        <v>4.2000000000000002E-4</v>
      </c>
      <c r="J143" s="1694"/>
      <c r="K143" s="1751">
        <v>0</v>
      </c>
      <c r="L143" s="1694"/>
      <c r="M143" s="1694"/>
      <c r="N143" s="1694"/>
      <c r="O143" s="1694"/>
      <c r="P143" s="1694"/>
      <c r="Q143" s="1694"/>
      <c r="R143" s="879"/>
      <c r="S143" s="879"/>
    </row>
    <row r="144" spans="2:19" ht="3" customHeight="1">
      <c r="B144" s="879"/>
      <c r="C144" s="1693"/>
      <c r="D144" s="1694"/>
      <c r="E144" s="879"/>
      <c r="F144" s="1694"/>
      <c r="G144" s="1694"/>
      <c r="H144" s="1694"/>
      <c r="I144" s="1694"/>
      <c r="J144" s="1694"/>
      <c r="K144" s="1694"/>
      <c r="L144" s="1694"/>
      <c r="M144" s="1694"/>
      <c r="N144" s="1694"/>
      <c r="O144" s="1694"/>
      <c r="P144" s="1694"/>
      <c r="Q144" s="1694"/>
      <c r="R144" s="879"/>
      <c r="S144" s="879"/>
    </row>
    <row r="145" spans="2:19">
      <c r="B145" s="879"/>
      <c r="C145" s="1693"/>
      <c r="D145" s="1694" t="s">
        <v>1457</v>
      </c>
      <c r="E145" s="879"/>
      <c r="F145" s="1694"/>
      <c r="G145" s="1694"/>
      <c r="H145" s="1694"/>
      <c r="I145" s="1751">
        <v>5.5000000000000003E-4</v>
      </c>
      <c r="J145" s="1694"/>
      <c r="K145" s="1694"/>
      <c r="L145" s="1694"/>
      <c r="M145" s="1694"/>
      <c r="N145" s="1694"/>
      <c r="O145" s="1694"/>
      <c r="P145" s="1694"/>
      <c r="Q145" s="1694"/>
      <c r="R145" s="879"/>
      <c r="S145" s="879"/>
    </row>
    <row r="146" spans="2:19">
      <c r="B146" s="879"/>
      <c r="C146" s="1693"/>
      <c r="D146" s="1693"/>
      <c r="E146" s="1694"/>
      <c r="F146" s="1694"/>
      <c r="G146" s="1694"/>
      <c r="H146" s="1694"/>
      <c r="I146" s="1750"/>
      <c r="J146" s="1694"/>
      <c r="K146" s="1694"/>
      <c r="L146" s="1694"/>
      <c r="M146" s="1694"/>
      <c r="N146" s="1694"/>
      <c r="O146" s="1694"/>
      <c r="P146" s="1694"/>
      <c r="Q146" s="1694"/>
      <c r="R146" s="879"/>
      <c r="S146" s="879"/>
    </row>
    <row r="147" spans="2:19">
      <c r="B147" s="879"/>
      <c r="C147" s="1700" t="s">
        <v>1458</v>
      </c>
      <c r="D147" s="1693"/>
      <c r="E147" s="1693"/>
      <c r="F147" s="1693"/>
      <c r="G147" s="1693"/>
      <c r="H147" s="1693"/>
      <c r="I147" s="1693"/>
      <c r="J147" s="1693"/>
      <c r="K147" s="1693"/>
      <c r="L147" s="1693"/>
      <c r="M147" s="1693"/>
      <c r="N147" s="1693"/>
      <c r="O147" s="1693"/>
      <c r="P147" s="1693"/>
      <c r="Q147" s="1693"/>
      <c r="R147" s="879"/>
      <c r="S147" s="879"/>
    </row>
    <row r="148" spans="2:19">
      <c r="B148" s="879"/>
      <c r="C148" s="879"/>
      <c r="D148" s="2283" t="s">
        <v>1922</v>
      </c>
      <c r="E148" s="2284"/>
      <c r="F148" s="2285"/>
      <c r="G148" s="879"/>
      <c r="H148" s="2286" t="s">
        <v>1958</v>
      </c>
      <c r="I148" s="2290" t="s">
        <v>820</v>
      </c>
      <c r="J148" s="2288"/>
      <c r="K148" s="2288"/>
      <c r="L148" s="2288"/>
      <c r="M148" s="2289"/>
      <c r="N148" s="2290" t="s">
        <v>1937</v>
      </c>
      <c r="O148" s="2291"/>
      <c r="P148" s="2291"/>
      <c r="Q148" s="2292"/>
      <c r="R148" s="2293" t="s">
        <v>1962</v>
      </c>
      <c r="S148" s="879"/>
    </row>
    <row r="149" spans="2:19" hidden="1">
      <c r="B149" s="879"/>
      <c r="C149" s="879"/>
      <c r="D149" s="2294"/>
      <c r="E149" s="2295"/>
      <c r="F149" s="2296"/>
      <c r="G149" s="879"/>
      <c r="H149" s="879"/>
      <c r="I149" s="2287">
        <v>300</v>
      </c>
      <c r="J149" s="2288">
        <v>2000</v>
      </c>
      <c r="K149" s="2288">
        <v>10000</v>
      </c>
      <c r="L149" s="2288">
        <v>30000</v>
      </c>
      <c r="M149" s="2289"/>
      <c r="N149" s="2297" t="e">
        <f>I96</f>
        <v>#VALUE!</v>
      </c>
      <c r="O149" s="2298">
        <f>I97</f>
        <v>4.9799999999999997E-2</v>
      </c>
      <c r="P149" s="2298">
        <f>I101</f>
        <v>6.855E-2</v>
      </c>
      <c r="Q149" s="2299"/>
      <c r="R149" s="2300"/>
      <c r="S149" s="879"/>
    </row>
    <row r="150" spans="2:19" ht="24">
      <c r="B150" s="879"/>
      <c r="C150" s="879"/>
      <c r="D150" s="2301"/>
      <c r="E150" s="2302"/>
      <c r="F150" s="2303"/>
      <c r="G150" s="879"/>
      <c r="H150" s="879"/>
      <c r="I150" s="2304" t="s">
        <v>1938</v>
      </c>
      <c r="J150" s="2305" t="s">
        <v>1939</v>
      </c>
      <c r="K150" s="2305" t="s">
        <v>1940</v>
      </c>
      <c r="L150" s="2305" t="s">
        <v>1941</v>
      </c>
      <c r="M150" s="2304" t="s">
        <v>1942</v>
      </c>
      <c r="N150" s="2304" t="s">
        <v>1943</v>
      </c>
      <c r="O150" s="2304" t="s">
        <v>1459</v>
      </c>
      <c r="P150" s="2304" t="s">
        <v>1944</v>
      </c>
      <c r="Q150" s="2306" t="s">
        <v>1327</v>
      </c>
      <c r="R150" s="2307" t="s">
        <v>1109</v>
      </c>
      <c r="S150" s="879"/>
    </row>
    <row r="151" spans="2:19" ht="14.25" customHeight="1">
      <c r="B151" s="879"/>
      <c r="C151" s="879"/>
      <c r="D151" s="2308" t="s">
        <v>1442</v>
      </c>
      <c r="E151" s="2290" t="s">
        <v>348</v>
      </c>
      <c r="F151" s="2309"/>
      <c r="G151" s="879">
        <f>メイン!R47</f>
        <v>0</v>
      </c>
      <c r="H151" s="879">
        <f>IF(G151=0,0,IF(G151&lt;$I$149,I151,IF(G151&lt;$J$149,J151,IF(G151&lt;$K$149,K151,IF(G151&lt;$L$149,L151,M151)))))</f>
        <v>0</v>
      </c>
      <c r="I151" s="2310">
        <v>1540</v>
      </c>
      <c r="J151" s="2310">
        <v>1540</v>
      </c>
      <c r="K151" s="2310">
        <v>1540</v>
      </c>
      <c r="L151" s="2310">
        <v>1930</v>
      </c>
      <c r="M151" s="2310">
        <v>2270</v>
      </c>
      <c r="N151" s="2311">
        <v>0.9</v>
      </c>
      <c r="O151" s="2311">
        <v>0.06</v>
      </c>
      <c r="P151" s="2311">
        <v>0.04</v>
      </c>
      <c r="Q151" s="2312" t="s">
        <v>1945</v>
      </c>
      <c r="R151" s="2313" t="e">
        <f>SUMPRODUCT(N151:P151,$N$149:$P$149)</f>
        <v>#VALUE!</v>
      </c>
      <c r="S151" s="879"/>
    </row>
    <row r="152" spans="2:19" ht="14.25" customHeight="1">
      <c r="B152" s="879"/>
      <c r="C152" s="879"/>
      <c r="D152" s="2314"/>
      <c r="E152" s="2290" t="s">
        <v>1923</v>
      </c>
      <c r="F152" s="2309"/>
      <c r="G152" s="879">
        <f>メイン!R48</f>
        <v>0</v>
      </c>
      <c r="H152" s="879">
        <f>IF(G152=0,0,IF(G152&lt;$I$149,I152,IF(G152&lt;$J$149,J152,IF(G152&lt;$K$149,K152,IF(G152&lt;$L$149,L152,M152)))))</f>
        <v>0</v>
      </c>
      <c r="I152" s="2310">
        <v>1100</v>
      </c>
      <c r="J152" s="2310">
        <v>1100</v>
      </c>
      <c r="K152" s="2310">
        <v>1100</v>
      </c>
      <c r="L152" s="2310">
        <v>1260</v>
      </c>
      <c r="M152" s="2310">
        <v>1380</v>
      </c>
      <c r="N152" s="2311">
        <v>0.83</v>
      </c>
      <c r="O152" s="2311">
        <v>0.09</v>
      </c>
      <c r="P152" s="2311">
        <v>0.08</v>
      </c>
      <c r="Q152" s="2312" t="s">
        <v>1945</v>
      </c>
      <c r="R152" s="2313" t="e">
        <f>SUMPRODUCT(N152:P152,$N$149:$P$149)</f>
        <v>#VALUE!</v>
      </c>
      <c r="S152" s="879"/>
    </row>
    <row r="153" spans="2:19" ht="14.25" customHeight="1">
      <c r="B153" s="879"/>
      <c r="C153" s="879"/>
      <c r="D153" s="2315" t="s">
        <v>1927</v>
      </c>
      <c r="E153" s="2290" t="s">
        <v>1928</v>
      </c>
      <c r="F153" s="2309"/>
      <c r="G153" s="879">
        <f>メイン!R49</f>
        <v>0</v>
      </c>
      <c r="H153" s="879">
        <f>IF(G153=0,0,IF(G153&lt;$I$149,I153,IF(G153&lt;$J$149,J153,IF(G153&lt;$K$149,K153,IF(G153&lt;$L$149,L153,M153)))))</f>
        <v>0</v>
      </c>
      <c r="I153" s="2310">
        <v>490</v>
      </c>
      <c r="J153" s="2310">
        <v>490</v>
      </c>
      <c r="K153" s="2310">
        <v>490</v>
      </c>
      <c r="L153" s="2310">
        <v>490</v>
      </c>
      <c r="M153" s="2310">
        <v>490</v>
      </c>
      <c r="N153" s="2311">
        <v>0.71</v>
      </c>
      <c r="O153" s="2311">
        <v>0.16</v>
      </c>
      <c r="P153" s="2311">
        <v>0.13</v>
      </c>
      <c r="Q153" s="2312" t="s">
        <v>1945</v>
      </c>
      <c r="R153" s="2313" t="e">
        <f t="shared" ref="R153:R166" si="36">SUMPRODUCT(N153:P153,$N$149:$P$149)</f>
        <v>#VALUE!</v>
      </c>
      <c r="S153" s="879"/>
    </row>
    <row r="154" spans="2:19" ht="14.25" customHeight="1">
      <c r="B154" s="879"/>
      <c r="C154" s="879"/>
      <c r="D154" s="2315"/>
      <c r="E154" s="2283" t="s">
        <v>1929</v>
      </c>
      <c r="F154" s="2304" t="s">
        <v>1930</v>
      </c>
      <c r="G154" s="879">
        <f>メイン!R50</f>
        <v>0</v>
      </c>
      <c r="H154" s="2316">
        <f>IF(G154&gt;0,I154,0)</f>
        <v>0</v>
      </c>
      <c r="I154" s="2310">
        <v>522</v>
      </c>
      <c r="J154" s="2310">
        <v>522</v>
      </c>
      <c r="K154" s="2310">
        <v>522</v>
      </c>
      <c r="L154" s="2310">
        <v>522</v>
      </c>
      <c r="M154" s="2310">
        <v>522</v>
      </c>
      <c r="N154" s="2311">
        <v>0.62299911901772109</v>
      </c>
      <c r="O154" s="2311">
        <v>0.16715691274115696</v>
      </c>
      <c r="P154" s="2311">
        <v>0.20984396824112195</v>
      </c>
      <c r="Q154" s="2312" t="s">
        <v>1945</v>
      </c>
      <c r="R154" s="2313" t="e">
        <f t="shared" si="36"/>
        <v>#VALUE!</v>
      </c>
      <c r="S154" s="879"/>
    </row>
    <row r="155" spans="2:19" ht="14.25" customHeight="1">
      <c r="B155" s="879"/>
      <c r="C155" s="879"/>
      <c r="D155" s="2315"/>
      <c r="E155" s="2301"/>
      <c r="F155" s="2304" t="s">
        <v>2260</v>
      </c>
      <c r="G155" s="879">
        <f>メイン!R51</f>
        <v>0</v>
      </c>
      <c r="H155" s="2316">
        <f>IF(G155&gt;0,I155,0)</f>
        <v>0</v>
      </c>
      <c r="I155" s="2310">
        <v>310</v>
      </c>
      <c r="J155" s="2310">
        <v>310</v>
      </c>
      <c r="K155" s="2310">
        <v>310</v>
      </c>
      <c r="L155" s="2310">
        <v>310</v>
      </c>
      <c r="M155" s="2310">
        <v>310</v>
      </c>
      <c r="N155" s="2311">
        <v>0.75998792472086629</v>
      </c>
      <c r="O155" s="2311">
        <v>0.13554620368652504</v>
      </c>
      <c r="P155" s="2311">
        <v>0.10446587159260867</v>
      </c>
      <c r="Q155" s="2312"/>
      <c r="R155" s="2313" t="e">
        <f t="shared" si="36"/>
        <v>#VALUE!</v>
      </c>
      <c r="S155" s="879"/>
    </row>
    <row r="156" spans="2:19" ht="14.25" customHeight="1">
      <c r="B156" s="879"/>
      <c r="C156" s="879"/>
      <c r="D156" s="2315"/>
      <c r="E156" s="2290" t="s">
        <v>1931</v>
      </c>
      <c r="F156" s="2309"/>
      <c r="G156" s="879">
        <f>メイン!R52</f>
        <v>0</v>
      </c>
      <c r="H156" s="879">
        <f t="shared" ref="H156:H166" si="37">IF(G156=0,0,IF(G156&lt;$I$149,I156,IF(G156&lt;$J$149,J156,IF(G156&lt;$K$149,K156,IF(G156&lt;$L$149,L156,M156)))))</f>
        <v>0</v>
      </c>
      <c r="I156" s="2310">
        <v>390</v>
      </c>
      <c r="J156" s="2310">
        <v>390</v>
      </c>
      <c r="K156" s="2310">
        <v>390</v>
      </c>
      <c r="L156" s="2310">
        <v>360</v>
      </c>
      <c r="M156" s="2310">
        <v>240</v>
      </c>
      <c r="N156" s="2311">
        <v>0.74</v>
      </c>
      <c r="O156" s="2311">
        <v>7.0000000000000007E-2</v>
      </c>
      <c r="P156" s="2311">
        <v>0.19</v>
      </c>
      <c r="Q156" s="2312" t="s">
        <v>1945</v>
      </c>
      <c r="R156" s="2313" t="e">
        <f t="shared" si="36"/>
        <v>#VALUE!</v>
      </c>
      <c r="S156" s="879"/>
    </row>
    <row r="157" spans="2:19" ht="14.25" customHeight="1">
      <c r="B157" s="879"/>
      <c r="C157" s="879"/>
      <c r="D157" s="2314"/>
      <c r="E157" s="2290" t="s">
        <v>1932</v>
      </c>
      <c r="F157" s="2309"/>
      <c r="G157" s="879">
        <f>メイン!R53</f>
        <v>0</v>
      </c>
      <c r="H157" s="879">
        <f t="shared" si="37"/>
        <v>0</v>
      </c>
      <c r="I157" s="2310">
        <v>880</v>
      </c>
      <c r="J157" s="2310">
        <v>880</v>
      </c>
      <c r="K157" s="2310">
        <v>880</v>
      </c>
      <c r="L157" s="2310">
        <v>850</v>
      </c>
      <c r="M157" s="2310">
        <v>1160</v>
      </c>
      <c r="N157" s="2311">
        <v>0.79</v>
      </c>
      <c r="O157" s="2311">
        <v>0.12</v>
      </c>
      <c r="P157" s="2311">
        <v>0.09</v>
      </c>
      <c r="Q157" s="2312" t="s">
        <v>1945</v>
      </c>
      <c r="R157" s="2313" t="e">
        <f t="shared" si="36"/>
        <v>#VALUE!</v>
      </c>
      <c r="S157" s="879"/>
    </row>
    <row r="158" spans="2:19" ht="14.25" customHeight="1">
      <c r="B158" s="879"/>
      <c r="C158" s="879"/>
      <c r="D158" s="2308" t="s">
        <v>1924</v>
      </c>
      <c r="E158" s="2290" t="s">
        <v>1612</v>
      </c>
      <c r="F158" s="2309"/>
      <c r="G158" s="879">
        <f>メイン!R54</f>
        <v>0</v>
      </c>
      <c r="H158" s="879">
        <f t="shared" si="37"/>
        <v>0</v>
      </c>
      <c r="I158" s="2310">
        <v>7430</v>
      </c>
      <c r="J158" s="2310">
        <v>7430</v>
      </c>
      <c r="K158" s="2310">
        <v>5130</v>
      </c>
      <c r="L158" s="2310">
        <v>3190</v>
      </c>
      <c r="M158" s="2310">
        <v>3190</v>
      </c>
      <c r="N158" s="2311">
        <v>0.93</v>
      </c>
      <c r="O158" s="2311">
        <v>0.03</v>
      </c>
      <c r="P158" s="2311">
        <v>0.04</v>
      </c>
      <c r="Q158" s="2312" t="s">
        <v>1945</v>
      </c>
      <c r="R158" s="2313" t="e">
        <f t="shared" si="36"/>
        <v>#VALUE!</v>
      </c>
      <c r="S158" s="879"/>
    </row>
    <row r="159" spans="2:19" ht="14.25" customHeight="1">
      <c r="B159" s="879"/>
      <c r="C159" s="879"/>
      <c r="D159" s="2314"/>
      <c r="E159" s="2290" t="s">
        <v>1925</v>
      </c>
      <c r="F159" s="2309"/>
      <c r="G159" s="879">
        <f>メイン!R55</f>
        <v>0</v>
      </c>
      <c r="H159" s="879">
        <f t="shared" si="37"/>
        <v>0</v>
      </c>
      <c r="I159" s="2310">
        <v>2360</v>
      </c>
      <c r="J159" s="2310">
        <v>2360</v>
      </c>
      <c r="K159" s="2310">
        <v>2360</v>
      </c>
      <c r="L159" s="2310">
        <v>2950</v>
      </c>
      <c r="M159" s="2310">
        <v>2680</v>
      </c>
      <c r="N159" s="2311">
        <v>0.92</v>
      </c>
      <c r="O159" s="2311">
        <v>0.04</v>
      </c>
      <c r="P159" s="2311">
        <v>0.04</v>
      </c>
      <c r="Q159" s="2312" t="s">
        <v>1945</v>
      </c>
      <c r="R159" s="2313" t="e">
        <f t="shared" si="36"/>
        <v>#VALUE!</v>
      </c>
      <c r="S159" s="879"/>
    </row>
    <row r="160" spans="2:19" ht="14.25" customHeight="1">
      <c r="B160" s="879"/>
      <c r="C160" s="879"/>
      <c r="D160" s="2290" t="s">
        <v>354</v>
      </c>
      <c r="E160" s="2291"/>
      <c r="F160" s="2309"/>
      <c r="G160" s="879">
        <f>メイン!R56</f>
        <v>0</v>
      </c>
      <c r="H160" s="879">
        <f t="shared" si="37"/>
        <v>0</v>
      </c>
      <c r="I160" s="2310">
        <v>2960</v>
      </c>
      <c r="J160" s="2310">
        <v>2960</v>
      </c>
      <c r="K160" s="2310">
        <v>2960</v>
      </c>
      <c r="L160" s="2310">
        <v>2960</v>
      </c>
      <c r="M160" s="2310">
        <v>2960</v>
      </c>
      <c r="N160" s="2311">
        <v>0.5</v>
      </c>
      <c r="O160" s="2311">
        <v>0.38</v>
      </c>
      <c r="P160" s="2311">
        <v>0.12</v>
      </c>
      <c r="Q160" s="2312" t="s">
        <v>1945</v>
      </c>
      <c r="R160" s="2313" t="e">
        <f t="shared" si="36"/>
        <v>#VALUE!</v>
      </c>
      <c r="S160" s="879"/>
    </row>
    <row r="161" spans="2:27" ht="14.25" customHeight="1">
      <c r="B161" s="879"/>
      <c r="C161" s="879"/>
      <c r="D161" s="2308" t="s">
        <v>1933</v>
      </c>
      <c r="E161" s="2290" t="s">
        <v>1934</v>
      </c>
      <c r="F161" s="2309"/>
      <c r="G161" s="879">
        <f>メイン!R57</f>
        <v>0</v>
      </c>
      <c r="H161" s="879">
        <f t="shared" si="37"/>
        <v>0</v>
      </c>
      <c r="I161" s="2310">
        <v>1030</v>
      </c>
      <c r="J161" s="2310">
        <v>1030</v>
      </c>
      <c r="K161" s="2310">
        <v>1030</v>
      </c>
      <c r="L161" s="2310">
        <v>1450</v>
      </c>
      <c r="M161" s="2310">
        <v>1670</v>
      </c>
      <c r="N161" s="2311">
        <v>0.76</v>
      </c>
      <c r="O161" s="2311">
        <v>0.16</v>
      </c>
      <c r="P161" s="2311">
        <v>0.08</v>
      </c>
      <c r="Q161" s="2312" t="s">
        <v>1945</v>
      </c>
      <c r="R161" s="2313" t="e">
        <f t="shared" si="36"/>
        <v>#VALUE!</v>
      </c>
      <c r="S161" s="879"/>
    </row>
    <row r="162" spans="2:27" ht="14.25" customHeight="1">
      <c r="B162" s="879"/>
      <c r="C162" s="879"/>
      <c r="D162" s="2315"/>
      <c r="E162" s="2290" t="s">
        <v>1935</v>
      </c>
      <c r="F162" s="2309"/>
      <c r="G162" s="879">
        <f>メイン!R58</f>
        <v>0</v>
      </c>
      <c r="H162" s="879">
        <f t="shared" si="37"/>
        <v>0</v>
      </c>
      <c r="I162" s="2310">
        <v>1120</v>
      </c>
      <c r="J162" s="2310">
        <v>1120</v>
      </c>
      <c r="K162" s="2310">
        <v>1120</v>
      </c>
      <c r="L162" s="2310">
        <v>1580</v>
      </c>
      <c r="M162" s="2310">
        <v>1220</v>
      </c>
      <c r="N162" s="2311">
        <v>0.81</v>
      </c>
      <c r="O162" s="2311">
        <v>0.09</v>
      </c>
      <c r="P162" s="2311">
        <v>9.999999999999995E-2</v>
      </c>
      <c r="Q162" s="2312" t="s">
        <v>1945</v>
      </c>
      <c r="R162" s="2313" t="e">
        <f t="shared" si="36"/>
        <v>#VALUE!</v>
      </c>
      <c r="S162" s="879"/>
    </row>
    <row r="163" spans="2:27" ht="14.25" customHeight="1">
      <c r="B163" s="879"/>
      <c r="C163" s="879"/>
      <c r="D163" s="2315"/>
      <c r="E163" s="2283" t="s">
        <v>1936</v>
      </c>
      <c r="F163" s="2285"/>
      <c r="G163" s="879">
        <f>メイン!R59</f>
        <v>0</v>
      </c>
      <c r="H163" s="879">
        <f t="shared" si="37"/>
        <v>0</v>
      </c>
      <c r="I163" s="2310">
        <v>1910</v>
      </c>
      <c r="J163" s="2310">
        <v>1910</v>
      </c>
      <c r="K163" s="2310">
        <v>1910</v>
      </c>
      <c r="L163" s="2310">
        <v>1300</v>
      </c>
      <c r="M163" s="2310">
        <v>1130</v>
      </c>
      <c r="N163" s="2311">
        <v>0.92</v>
      </c>
      <c r="O163" s="2311">
        <v>0.06</v>
      </c>
      <c r="P163" s="2311">
        <v>0.02</v>
      </c>
      <c r="Q163" s="2312" t="s">
        <v>1945</v>
      </c>
      <c r="R163" s="2313" t="e">
        <f t="shared" si="36"/>
        <v>#VALUE!</v>
      </c>
      <c r="S163" s="879"/>
    </row>
    <row r="164" spans="2:27" ht="14.25" customHeight="1">
      <c r="B164" s="879"/>
      <c r="C164" s="879"/>
      <c r="D164" s="2290" t="s">
        <v>364</v>
      </c>
      <c r="E164" s="2291"/>
      <c r="F164" s="2309"/>
      <c r="G164" s="879">
        <f>メイン!R60</f>
        <v>0</v>
      </c>
      <c r="H164" s="879">
        <f t="shared" si="37"/>
        <v>0</v>
      </c>
      <c r="I164" s="2310">
        <v>498</v>
      </c>
      <c r="J164" s="2310">
        <v>498</v>
      </c>
      <c r="K164" s="2310">
        <v>498</v>
      </c>
      <c r="L164" s="2310">
        <v>498</v>
      </c>
      <c r="M164" s="2310">
        <v>498</v>
      </c>
      <c r="N164" s="2311">
        <v>1</v>
      </c>
      <c r="O164" s="2311">
        <v>0</v>
      </c>
      <c r="P164" s="2311">
        <v>0</v>
      </c>
      <c r="Q164" s="2312" t="s">
        <v>1945</v>
      </c>
      <c r="R164" s="2313" t="e">
        <f t="shared" si="36"/>
        <v>#VALUE!</v>
      </c>
      <c r="S164" s="879"/>
    </row>
    <row r="165" spans="2:27" ht="14.25" customHeight="1">
      <c r="B165" s="879"/>
      <c r="C165" s="879"/>
      <c r="D165" s="2290" t="s">
        <v>358</v>
      </c>
      <c r="E165" s="2291"/>
      <c r="F165" s="2309"/>
      <c r="G165" s="879">
        <f>メイン!R61</f>
        <v>0</v>
      </c>
      <c r="H165" s="879">
        <f t="shared" si="37"/>
        <v>0</v>
      </c>
      <c r="I165" s="2310">
        <v>2210</v>
      </c>
      <c r="J165" s="2310">
        <v>2210</v>
      </c>
      <c r="K165" s="2310">
        <v>2210</v>
      </c>
      <c r="L165" s="2310">
        <v>2450</v>
      </c>
      <c r="M165" s="2310">
        <v>2920</v>
      </c>
      <c r="N165" s="2311">
        <v>0.65</v>
      </c>
      <c r="O165" s="2311">
        <v>0.15</v>
      </c>
      <c r="P165" s="2311">
        <v>0.2</v>
      </c>
      <c r="Q165" s="2312" t="s">
        <v>1945</v>
      </c>
      <c r="R165" s="2313" t="e">
        <f>SUMPRODUCT(N165:P165,$N$149:$P$149)</f>
        <v>#VALUE!</v>
      </c>
      <c r="S165" s="879"/>
    </row>
    <row r="166" spans="2:27">
      <c r="B166" s="879"/>
      <c r="C166" s="879"/>
      <c r="D166" s="2290" t="s">
        <v>1926</v>
      </c>
      <c r="E166" s="2291"/>
      <c r="F166" s="2309"/>
      <c r="G166" s="879">
        <f>メイン!R62</f>
        <v>0</v>
      </c>
      <c r="H166" s="879">
        <f t="shared" si="37"/>
        <v>0</v>
      </c>
      <c r="I166" s="2310">
        <v>2440</v>
      </c>
      <c r="J166" s="2310">
        <v>2440</v>
      </c>
      <c r="K166" s="2310">
        <v>2440</v>
      </c>
      <c r="L166" s="2310">
        <v>2740</v>
      </c>
      <c r="M166" s="2310">
        <v>2740</v>
      </c>
      <c r="N166" s="2311">
        <v>0.77</v>
      </c>
      <c r="O166" s="2311">
        <v>0.1</v>
      </c>
      <c r="P166" s="2311">
        <v>0.13</v>
      </c>
      <c r="Q166" s="2312" t="s">
        <v>1945</v>
      </c>
      <c r="R166" s="2313" t="e">
        <f t="shared" si="36"/>
        <v>#VALUE!</v>
      </c>
      <c r="S166" s="879"/>
    </row>
    <row r="167" spans="2:27" hidden="1">
      <c r="B167" s="879"/>
      <c r="C167" s="879"/>
      <c r="D167" s="2294"/>
      <c r="E167" s="2302"/>
      <c r="F167" s="2303"/>
      <c r="G167" s="879">
        <f>メイン!R63</f>
        <v>0</v>
      </c>
      <c r="H167" s="879">
        <f>IF(G167&gt;=$I$149,I167,IF(G167&gt;=$J$149,J167,IF(G167&gt;=$K$149,K167,IF(G167&gt;=$L$149,L167,IF(G167&gt;=$M$149,M167,0)))))</f>
        <v>0</v>
      </c>
      <c r="I167" s="2310"/>
      <c r="J167" s="2310"/>
      <c r="K167" s="2310"/>
      <c r="L167" s="2310"/>
      <c r="M167" s="2310"/>
      <c r="N167" s="2297" t="e">
        <f>I96</f>
        <v>#VALUE!</v>
      </c>
      <c r="O167" s="2298">
        <f>I97</f>
        <v>4.9799999999999997E-2</v>
      </c>
      <c r="P167" s="2298">
        <f>I99</f>
        <v>6.7799999999999999E-2</v>
      </c>
      <c r="Q167" s="2299">
        <f>I102</f>
        <v>5.8999999999999997E-2</v>
      </c>
      <c r="R167" s="2286"/>
      <c r="S167" s="879"/>
    </row>
    <row r="168" spans="2:27">
      <c r="B168" s="879"/>
      <c r="C168" s="879"/>
      <c r="D168" s="2300" t="s">
        <v>1724</v>
      </c>
      <c r="E168" s="2317" t="s">
        <v>1957</v>
      </c>
      <c r="F168" s="2318"/>
      <c r="G168" s="879"/>
      <c r="H168" s="879" t="str">
        <f>IF(G168&gt;=$I$149,I168,IF(G168&gt;=$J$149,J168,IF(G168&gt;=$K$149,K168,IF(G168&gt;=$L$149,L168,IF(G168&gt;=$M$149,M168,0)))))</f>
        <v>-</v>
      </c>
      <c r="I168" s="2415" t="s">
        <v>1945</v>
      </c>
      <c r="J168" s="2415" t="s">
        <v>1945</v>
      </c>
      <c r="K168" s="2415" t="s">
        <v>1945</v>
      </c>
      <c r="L168" s="2415" t="s">
        <v>1945</v>
      </c>
      <c r="M168" s="2415" t="s">
        <v>1945</v>
      </c>
      <c r="N168" s="2311">
        <v>0.51</v>
      </c>
      <c r="O168" s="2311">
        <v>0.21</v>
      </c>
      <c r="P168" s="2311">
        <v>0.18</v>
      </c>
      <c r="Q168" s="2311">
        <v>0.1</v>
      </c>
      <c r="R168" s="2313" t="e">
        <f>SUMPRODUCT(N168:Q168,$N$167:$Q$167)</f>
        <v>#VALUE!</v>
      </c>
      <c r="S168" s="879"/>
    </row>
    <row r="169" spans="2:27" ht="14.25" customHeight="1">
      <c r="B169" s="879"/>
      <c r="C169" s="879"/>
      <c r="D169" s="2319"/>
      <c r="E169" s="2320" t="s">
        <v>369</v>
      </c>
      <c r="F169" s="2321"/>
      <c r="G169" s="879"/>
      <c r="H169" s="879" t="str">
        <f>IF(G169&gt;=$I$149,I169,IF(G169&gt;=$J$149,J169,IF(G169&gt;=$K$149,K169,IF(G169&gt;=$L$149,L169,IF(G169&gt;=$M$149,M169,0)))))</f>
        <v>-</v>
      </c>
      <c r="I169" s="2415" t="s">
        <v>1945</v>
      </c>
      <c r="J169" s="2415" t="s">
        <v>1945</v>
      </c>
      <c r="K169" s="2415" t="s">
        <v>1945</v>
      </c>
      <c r="L169" s="2415" t="s">
        <v>1945</v>
      </c>
      <c r="M169" s="2415" t="s">
        <v>1945</v>
      </c>
      <c r="N169" s="2311">
        <v>1</v>
      </c>
      <c r="O169" s="2311">
        <v>0</v>
      </c>
      <c r="P169" s="2311">
        <v>0</v>
      </c>
      <c r="Q169" s="2312" t="s">
        <v>1945</v>
      </c>
      <c r="R169" s="2313" t="e">
        <f>SUMPRODUCT(N169:Q169,$N$149:$Q$149)</f>
        <v>#VALUE!</v>
      </c>
      <c r="S169" s="879"/>
    </row>
    <row r="170" spans="2:27" s="2687" customFormat="1" ht="14.25" customHeight="1">
      <c r="B170" s="879"/>
      <c r="C170" s="879"/>
      <c r="D170" s="2323" t="s">
        <v>2767</v>
      </c>
      <c r="E170" s="2701"/>
      <c r="F170" s="2321"/>
      <c r="G170" s="879"/>
      <c r="H170" s="879"/>
      <c r="I170" s="2415" t="s">
        <v>1945</v>
      </c>
      <c r="J170" s="2415" t="s">
        <v>1945</v>
      </c>
      <c r="K170" s="2415" t="s">
        <v>1945</v>
      </c>
      <c r="L170" s="2415" t="s">
        <v>1945</v>
      </c>
      <c r="M170" s="2415" t="s">
        <v>1945</v>
      </c>
      <c r="N170" s="2311">
        <f>境界値!H11</f>
        <v>0.8</v>
      </c>
      <c r="O170" s="2311">
        <f>境界値!I11</f>
        <v>0.1</v>
      </c>
      <c r="P170" s="2311">
        <f>境界値!J11</f>
        <v>0.1</v>
      </c>
      <c r="Q170" s="2312" t="s">
        <v>1945</v>
      </c>
      <c r="R170" s="2313" t="e">
        <f>SUMPRODUCT(N170:Q170,$N$149:$Q$149)</f>
        <v>#VALUE!</v>
      </c>
      <c r="S170" s="879"/>
    </row>
    <row r="171" spans="2:27" ht="14.25" customHeight="1">
      <c r="B171" s="879"/>
      <c r="C171" s="879"/>
      <c r="D171" s="2382" t="s">
        <v>821</v>
      </c>
      <c r="E171" s="2322" t="s">
        <v>3266</v>
      </c>
      <c r="F171" s="879"/>
      <c r="G171" s="879"/>
      <c r="H171" s="879"/>
      <c r="I171" s="879"/>
      <c r="J171" s="879"/>
      <c r="K171" s="879"/>
      <c r="L171" s="879"/>
      <c r="M171" s="879"/>
      <c r="N171" s="879"/>
      <c r="O171" s="879"/>
      <c r="P171" s="2322" t="s">
        <v>1946</v>
      </c>
      <c r="Q171" s="879"/>
      <c r="R171" s="879"/>
      <c r="S171" s="879"/>
    </row>
    <row r="172" spans="2:27" ht="14.25" customHeight="1">
      <c r="B172" s="879"/>
      <c r="C172" s="879"/>
      <c r="D172" s="879"/>
      <c r="E172" s="2322" t="s">
        <v>3267</v>
      </c>
      <c r="F172" s="879"/>
      <c r="G172" s="879"/>
      <c r="H172" s="879"/>
      <c r="I172" s="879"/>
      <c r="J172" s="879"/>
      <c r="K172" s="879"/>
      <c r="L172" s="879"/>
      <c r="M172" s="879"/>
      <c r="N172" s="879"/>
      <c r="O172" s="879"/>
      <c r="P172" s="2322"/>
      <c r="Q172" s="879"/>
      <c r="R172" s="879"/>
      <c r="S172" s="879"/>
    </row>
    <row r="173" spans="2:27" ht="14.25" customHeight="1">
      <c r="B173" s="879"/>
      <c r="C173" s="879"/>
      <c r="D173" s="879"/>
      <c r="E173" s="2322" t="s">
        <v>3268</v>
      </c>
      <c r="F173" s="879"/>
      <c r="G173" s="879"/>
      <c r="H173" s="879"/>
      <c r="I173" s="879"/>
      <c r="J173" s="879"/>
      <c r="K173" s="879"/>
      <c r="L173" s="879"/>
      <c r="M173" s="879"/>
      <c r="N173" s="879"/>
      <c r="O173" s="879"/>
      <c r="P173" s="2322"/>
      <c r="Q173" s="879"/>
      <c r="R173" s="879"/>
      <c r="S173" s="879"/>
    </row>
    <row r="174" spans="2:27" ht="6.75" customHeight="1">
      <c r="B174" s="879"/>
      <c r="C174" s="879"/>
      <c r="D174" s="879"/>
      <c r="E174" s="879"/>
      <c r="F174" s="879"/>
      <c r="G174" s="879"/>
      <c r="H174" s="879"/>
      <c r="I174" s="879"/>
      <c r="J174" s="879"/>
      <c r="K174" s="879"/>
      <c r="L174" s="879"/>
      <c r="M174" s="879"/>
      <c r="N174" s="879"/>
      <c r="O174" s="879"/>
      <c r="P174" s="879"/>
      <c r="Q174" s="879"/>
      <c r="R174" s="879"/>
      <c r="S174" s="879"/>
    </row>
    <row r="175" spans="2:27" ht="14.25" customHeight="1">
      <c r="B175" s="879"/>
      <c r="C175" s="879"/>
      <c r="D175" s="2410" t="s">
        <v>2491</v>
      </c>
      <c r="E175" s="879"/>
      <c r="F175" s="879"/>
      <c r="G175" s="879"/>
      <c r="H175" s="879"/>
      <c r="I175" s="879"/>
      <c r="J175" s="879"/>
      <c r="K175" s="879"/>
      <c r="L175" s="879"/>
      <c r="M175" s="879"/>
      <c r="N175" s="2402"/>
      <c r="O175" s="879"/>
      <c r="P175" s="879"/>
      <c r="Q175" s="2382" t="s">
        <v>2452</v>
      </c>
      <c r="R175" s="879"/>
      <c r="S175" s="879"/>
    </row>
    <row r="176" spans="2:27" ht="14.25" customHeight="1">
      <c r="B176" s="879"/>
      <c r="C176" s="879"/>
      <c r="D176" s="2323" t="s">
        <v>1947</v>
      </c>
      <c r="E176" s="2324"/>
      <c r="F176" s="2293" t="s">
        <v>2492</v>
      </c>
      <c r="G176" s="879"/>
      <c r="H176" s="879"/>
      <c r="I176" s="2286" t="s">
        <v>1958</v>
      </c>
      <c r="J176" s="2323" t="s">
        <v>1948</v>
      </c>
      <c r="K176" s="2324"/>
      <c r="L176" s="2324"/>
      <c r="M176" s="2324"/>
      <c r="N176" s="2324"/>
      <c r="O176" s="2324"/>
      <c r="P176" s="2334" t="s">
        <v>2405</v>
      </c>
      <c r="Q176" s="2292"/>
      <c r="R176" s="879"/>
      <c r="T176" s="2418" t="s">
        <v>2478</v>
      </c>
      <c r="U176" s="2416"/>
      <c r="V176" s="2416"/>
      <c r="W176" s="2416"/>
      <c r="X176" s="2416"/>
      <c r="Y176" s="2416"/>
      <c r="Z176" s="2416"/>
      <c r="AA176" s="2416"/>
    </row>
    <row r="177" spans="2:27" ht="14.25" customHeight="1">
      <c r="B177" s="879"/>
      <c r="C177" s="879"/>
      <c r="D177" s="2286" t="s">
        <v>1949</v>
      </c>
      <c r="E177" s="2286" t="s">
        <v>1950</v>
      </c>
      <c r="F177" s="2300" t="s">
        <v>1110</v>
      </c>
      <c r="G177" s="879"/>
      <c r="H177" s="879">
        <v>1</v>
      </c>
      <c r="I177" s="2293">
        <f>メイン!K15</f>
        <v>6</v>
      </c>
      <c r="J177" s="2286">
        <v>1</v>
      </c>
      <c r="K177" s="2286">
        <v>2</v>
      </c>
      <c r="L177" s="2286">
        <v>3</v>
      </c>
      <c r="M177" s="2286">
        <v>4</v>
      </c>
      <c r="N177" s="2286">
        <v>5</v>
      </c>
      <c r="O177" s="2286">
        <v>6</v>
      </c>
      <c r="P177" s="2286">
        <v>7</v>
      </c>
      <c r="Q177" s="2286">
        <v>8</v>
      </c>
      <c r="R177" s="879"/>
      <c r="T177" s="2419">
        <v>1</v>
      </c>
      <c r="U177" s="2419">
        <v>2</v>
      </c>
      <c r="V177" s="2419">
        <v>3</v>
      </c>
      <c r="W177" s="2419">
        <v>4</v>
      </c>
      <c r="X177" s="2419">
        <v>5</v>
      </c>
      <c r="Y177" s="2419">
        <v>6</v>
      </c>
      <c r="Z177" s="2419">
        <v>7</v>
      </c>
      <c r="AA177" s="2419">
        <v>8</v>
      </c>
    </row>
    <row r="178" spans="2:27" ht="14.25" customHeight="1">
      <c r="B178" s="879"/>
      <c r="C178" s="879"/>
      <c r="D178" s="2300"/>
      <c r="E178" s="2409"/>
      <c r="F178" s="2286" t="s">
        <v>2008</v>
      </c>
      <c r="G178" s="2286" t="s">
        <v>2453</v>
      </c>
      <c r="H178" s="2286">
        <v>2</v>
      </c>
      <c r="I178" s="2325">
        <f>HLOOKUP($I$177,$J$177:$Q$195,H178)</f>
        <v>1100</v>
      </c>
      <c r="J178" s="2325">
        <v>1484</v>
      </c>
      <c r="K178" s="2325">
        <v>1298</v>
      </c>
      <c r="L178" s="2325">
        <v>1189</v>
      </c>
      <c r="M178" s="2325">
        <v>1246</v>
      </c>
      <c r="N178" s="2325">
        <v>1163</v>
      </c>
      <c r="O178" s="2325">
        <v>1100</v>
      </c>
      <c r="P178" s="2325">
        <v>976</v>
      </c>
      <c r="Q178" s="2325">
        <v>888</v>
      </c>
      <c r="R178" s="879"/>
      <c r="T178" s="2420">
        <f t="shared" ref="T178:AA178" si="38">MAX(J178:J195)</f>
        <v>1721</v>
      </c>
      <c r="U178" s="2420">
        <f t="shared" si="38"/>
        <v>1502</v>
      </c>
      <c r="V178" s="2420">
        <f t="shared" si="38"/>
        <v>1413</v>
      </c>
      <c r="W178" s="2420">
        <f t="shared" si="38"/>
        <v>1464</v>
      </c>
      <c r="X178" s="2420">
        <f t="shared" si="38"/>
        <v>1374</v>
      </c>
      <c r="Y178" s="2420">
        <f t="shared" si="38"/>
        <v>1343</v>
      </c>
      <c r="Z178" s="2420">
        <f t="shared" si="38"/>
        <v>1164</v>
      </c>
      <c r="AA178" s="2420">
        <f t="shared" si="38"/>
        <v>1017</v>
      </c>
    </row>
    <row r="179" spans="2:27" ht="14.25" customHeight="1">
      <c r="B179" s="879"/>
      <c r="C179" s="879"/>
      <c r="D179" s="2300" t="s">
        <v>1953</v>
      </c>
      <c r="E179" s="879" t="s">
        <v>1951</v>
      </c>
      <c r="F179" s="2286" t="s">
        <v>1952</v>
      </c>
      <c r="G179" s="2286" t="s">
        <v>1111</v>
      </c>
      <c r="H179" s="2286">
        <v>3</v>
      </c>
      <c r="I179" s="2325">
        <f t="shared" ref="I179:I194" si="39">HLOOKUP($I$177,$J$177:$Q$195,H179)</f>
        <v>1268</v>
      </c>
      <c r="J179" s="2325">
        <v>1721</v>
      </c>
      <c r="K179" s="2325">
        <v>1502</v>
      </c>
      <c r="L179" s="2325">
        <v>1373</v>
      </c>
      <c r="M179" s="2325">
        <v>1440</v>
      </c>
      <c r="N179" s="2325">
        <v>1343</v>
      </c>
      <c r="O179" s="2325">
        <v>1268</v>
      </c>
      <c r="P179" s="2325">
        <v>1121</v>
      </c>
      <c r="Q179" s="2325">
        <v>1017</v>
      </c>
      <c r="R179" s="879"/>
      <c r="T179" s="2421">
        <f>J178</f>
        <v>1484</v>
      </c>
      <c r="U179" s="2421">
        <f>K178</f>
        <v>1298</v>
      </c>
      <c r="V179" s="2421">
        <f>L184</f>
        <v>1223</v>
      </c>
      <c r="W179" s="2421">
        <f>M184</f>
        <v>1266</v>
      </c>
      <c r="X179" s="2421">
        <f>N184</f>
        <v>1190</v>
      </c>
      <c r="Y179" s="2421">
        <f>O184</f>
        <v>1163</v>
      </c>
      <c r="Z179" s="2421">
        <f>P184</f>
        <v>1012</v>
      </c>
      <c r="AA179" s="2421">
        <f>Q178</f>
        <v>888</v>
      </c>
    </row>
    <row r="180" spans="2:27" ht="14.25" customHeight="1">
      <c r="B180" s="879"/>
      <c r="C180" s="879"/>
      <c r="D180" s="2300"/>
      <c r="E180" s="879"/>
      <c r="F180" s="2286" t="s">
        <v>2454</v>
      </c>
      <c r="G180" s="2286" t="s">
        <v>2455</v>
      </c>
      <c r="H180" s="879">
        <v>4</v>
      </c>
      <c r="I180" s="2325">
        <f t="shared" si="39"/>
        <v>1016</v>
      </c>
      <c r="J180" s="2325">
        <v>1365</v>
      </c>
      <c r="K180" s="2325">
        <v>1196</v>
      </c>
      <c r="L180" s="2325">
        <v>1097</v>
      </c>
      <c r="M180" s="2325">
        <v>1149</v>
      </c>
      <c r="N180" s="2325">
        <v>1074</v>
      </c>
      <c r="O180" s="2325">
        <v>1016</v>
      </c>
      <c r="P180" s="2325">
        <v>903</v>
      </c>
      <c r="Q180" s="2325">
        <v>823</v>
      </c>
      <c r="R180" s="879"/>
      <c r="S180" s="879"/>
    </row>
    <row r="181" spans="2:27" ht="14.25" customHeight="1">
      <c r="B181" s="879"/>
      <c r="C181" s="879"/>
      <c r="D181" s="2411"/>
      <c r="E181" s="2293"/>
      <c r="F181" s="2292" t="s">
        <v>2008</v>
      </c>
      <c r="G181" s="2286" t="s">
        <v>2456</v>
      </c>
      <c r="H181" s="2286">
        <v>5</v>
      </c>
      <c r="I181" s="2325">
        <f t="shared" si="39"/>
        <v>926</v>
      </c>
      <c r="J181" s="2325">
        <v>1466</v>
      </c>
      <c r="K181" s="2325">
        <v>1282</v>
      </c>
      <c r="L181" s="2325">
        <v>1155</v>
      </c>
      <c r="M181" s="2325">
        <v>1179</v>
      </c>
      <c r="N181" s="2325">
        <v>1092</v>
      </c>
      <c r="O181" s="2325">
        <v>926</v>
      </c>
      <c r="P181" s="2325">
        <v>752</v>
      </c>
      <c r="Q181" s="2325">
        <v>556</v>
      </c>
      <c r="R181" s="879"/>
      <c r="S181" s="879"/>
    </row>
    <row r="182" spans="2:27" ht="14.25" customHeight="1">
      <c r="B182" s="879"/>
      <c r="C182" s="879"/>
      <c r="D182" s="2412" t="s">
        <v>1953</v>
      </c>
      <c r="E182" s="2300" t="s">
        <v>1954</v>
      </c>
      <c r="F182" s="2292" t="s">
        <v>1952</v>
      </c>
      <c r="G182" s="2286" t="s">
        <v>1112</v>
      </c>
      <c r="H182" s="2286">
        <v>6</v>
      </c>
      <c r="I182" s="2325">
        <f t="shared" si="39"/>
        <v>1063</v>
      </c>
      <c r="J182" s="2325">
        <v>1700</v>
      </c>
      <c r="K182" s="2325">
        <v>1483</v>
      </c>
      <c r="L182" s="2325">
        <v>1333</v>
      </c>
      <c r="M182" s="2325">
        <v>1361</v>
      </c>
      <c r="N182" s="2325">
        <v>1258</v>
      </c>
      <c r="O182" s="2325">
        <v>1063</v>
      </c>
      <c r="P182" s="2325">
        <v>857</v>
      </c>
      <c r="Q182" s="2325">
        <v>625</v>
      </c>
      <c r="R182" s="879"/>
      <c r="S182" s="879"/>
    </row>
    <row r="183" spans="2:27" ht="14.25" customHeight="1">
      <c r="B183" s="879"/>
      <c r="C183" s="879"/>
      <c r="D183" s="2413"/>
      <c r="E183" s="2319"/>
      <c r="F183" s="2292" t="s">
        <v>2454</v>
      </c>
      <c r="G183" s="2286" t="s">
        <v>2457</v>
      </c>
      <c r="H183" s="879">
        <v>7</v>
      </c>
      <c r="I183" s="2325">
        <f t="shared" si="39"/>
        <v>858</v>
      </c>
      <c r="J183" s="2325">
        <v>1348</v>
      </c>
      <c r="K183" s="2325">
        <v>1182</v>
      </c>
      <c r="L183" s="2325">
        <v>1066</v>
      </c>
      <c r="M183" s="2325">
        <v>1088</v>
      </c>
      <c r="N183" s="2325">
        <v>1009</v>
      </c>
      <c r="O183" s="2325">
        <v>858</v>
      </c>
      <c r="P183" s="2325">
        <v>700</v>
      </c>
      <c r="Q183" s="2325">
        <v>521</v>
      </c>
      <c r="R183" s="879"/>
      <c r="S183" s="879"/>
    </row>
    <row r="184" spans="2:27" ht="14.25" customHeight="1">
      <c r="B184" s="879"/>
      <c r="C184" s="879"/>
      <c r="D184" s="2293"/>
      <c r="E184" s="2293"/>
      <c r="F184" s="2286" t="s">
        <v>2008</v>
      </c>
      <c r="G184" s="2286" t="s">
        <v>2458</v>
      </c>
      <c r="H184" s="2286">
        <v>8</v>
      </c>
      <c r="I184" s="2325">
        <f t="shared" si="39"/>
        <v>1163</v>
      </c>
      <c r="J184" s="2325">
        <v>1374</v>
      </c>
      <c r="K184" s="2325">
        <v>1287</v>
      </c>
      <c r="L184" s="2325">
        <v>1223</v>
      </c>
      <c r="M184" s="2325">
        <v>1266</v>
      </c>
      <c r="N184" s="2325">
        <v>1190</v>
      </c>
      <c r="O184" s="2325">
        <v>1163</v>
      </c>
      <c r="P184" s="2325">
        <v>1012</v>
      </c>
      <c r="Q184" s="2325">
        <v>888</v>
      </c>
      <c r="R184" s="879"/>
      <c r="S184" s="879"/>
    </row>
    <row r="185" spans="2:27" ht="14.25" customHeight="1">
      <c r="B185" s="879"/>
      <c r="C185" s="879"/>
      <c r="D185" s="2300" t="s">
        <v>1955</v>
      </c>
      <c r="E185" s="2300" t="s">
        <v>1951</v>
      </c>
      <c r="F185" s="2286" t="s">
        <v>1952</v>
      </c>
      <c r="G185" s="2286" t="s">
        <v>1113</v>
      </c>
      <c r="H185" s="2286">
        <v>9</v>
      </c>
      <c r="I185" s="2325">
        <f t="shared" si="39"/>
        <v>1343</v>
      </c>
      <c r="J185" s="2325">
        <v>1592</v>
      </c>
      <c r="K185" s="2325">
        <v>1489</v>
      </c>
      <c r="L185" s="2325">
        <v>1413</v>
      </c>
      <c r="M185" s="2325">
        <v>1464</v>
      </c>
      <c r="N185" s="2325">
        <v>1374</v>
      </c>
      <c r="O185" s="2325">
        <v>1343</v>
      </c>
      <c r="P185" s="2325">
        <v>1164</v>
      </c>
      <c r="Q185" s="2325">
        <v>1017</v>
      </c>
      <c r="R185" s="879"/>
      <c r="S185" s="879"/>
    </row>
    <row r="186" spans="2:27" ht="14.25" customHeight="1">
      <c r="B186" s="879"/>
      <c r="C186" s="879"/>
      <c r="D186" s="2300"/>
      <c r="E186" s="2300"/>
      <c r="F186" s="2286" t="s">
        <v>2454</v>
      </c>
      <c r="G186" s="2286" t="s">
        <v>2459</v>
      </c>
      <c r="H186" s="879">
        <v>10</v>
      </c>
      <c r="I186" s="2325">
        <f t="shared" si="39"/>
        <v>1074</v>
      </c>
      <c r="J186" s="2325">
        <v>1265</v>
      </c>
      <c r="K186" s="2325">
        <v>1186</v>
      </c>
      <c r="L186" s="2325">
        <v>1128</v>
      </c>
      <c r="M186" s="2325">
        <v>1167</v>
      </c>
      <c r="N186" s="2325">
        <v>1098</v>
      </c>
      <c r="O186" s="2325">
        <v>1074</v>
      </c>
      <c r="P186" s="2325">
        <v>936</v>
      </c>
      <c r="Q186" s="2325">
        <v>823</v>
      </c>
      <c r="R186" s="879"/>
      <c r="S186" s="879"/>
    </row>
    <row r="187" spans="2:27" ht="14.25" customHeight="1">
      <c r="B187" s="879"/>
      <c r="C187" s="879"/>
      <c r="D187" s="2411"/>
      <c r="E187" s="2293"/>
      <c r="F187" s="2292" t="s">
        <v>2008</v>
      </c>
      <c r="G187" s="2286" t="s">
        <v>2460</v>
      </c>
      <c r="H187" s="2286">
        <v>11</v>
      </c>
      <c r="I187" s="2325">
        <f t="shared" si="39"/>
        <v>990</v>
      </c>
      <c r="J187" s="2325">
        <v>1356</v>
      </c>
      <c r="K187" s="2325">
        <v>1271</v>
      </c>
      <c r="L187" s="2325">
        <v>1189</v>
      </c>
      <c r="M187" s="2325">
        <v>1199</v>
      </c>
      <c r="N187" s="2325">
        <v>1119</v>
      </c>
      <c r="O187" s="2325">
        <v>990</v>
      </c>
      <c r="P187" s="2325">
        <v>789</v>
      </c>
      <c r="Q187" s="2325">
        <v>556</v>
      </c>
      <c r="R187" s="879"/>
      <c r="S187" s="879"/>
    </row>
    <row r="188" spans="2:27" ht="14.25" customHeight="1">
      <c r="B188" s="879"/>
      <c r="C188" s="879"/>
      <c r="D188" s="2412" t="s">
        <v>1955</v>
      </c>
      <c r="E188" s="2300" t="s">
        <v>1954</v>
      </c>
      <c r="F188" s="2292" t="s">
        <v>1952</v>
      </c>
      <c r="G188" s="2286" t="s">
        <v>1114</v>
      </c>
      <c r="H188" s="2286">
        <v>12</v>
      </c>
      <c r="I188" s="2325">
        <f t="shared" si="39"/>
        <v>1137</v>
      </c>
      <c r="J188" s="2325">
        <v>1571</v>
      </c>
      <c r="K188" s="2325">
        <v>1470</v>
      </c>
      <c r="L188" s="2325">
        <v>1373</v>
      </c>
      <c r="M188" s="2325">
        <v>1385</v>
      </c>
      <c r="N188" s="2325">
        <v>1290</v>
      </c>
      <c r="O188" s="2325">
        <v>1137</v>
      </c>
      <c r="P188" s="2325">
        <v>900</v>
      </c>
      <c r="Q188" s="2325">
        <v>625</v>
      </c>
      <c r="R188" s="879"/>
      <c r="S188" s="879"/>
    </row>
    <row r="189" spans="2:27">
      <c r="B189" s="879"/>
      <c r="C189" s="879"/>
      <c r="D189" s="2413"/>
      <c r="E189" s="2319"/>
      <c r="F189" s="2292" t="s">
        <v>2454</v>
      </c>
      <c r="G189" s="2286" t="s">
        <v>2461</v>
      </c>
      <c r="H189" s="879">
        <v>13</v>
      </c>
      <c r="I189" s="2325">
        <f t="shared" si="39"/>
        <v>916</v>
      </c>
      <c r="J189" s="2325">
        <v>1249</v>
      </c>
      <c r="K189" s="2325">
        <v>1172</v>
      </c>
      <c r="L189" s="2325">
        <v>1097</v>
      </c>
      <c r="M189" s="2325">
        <v>1106</v>
      </c>
      <c r="N189" s="2325">
        <v>1033</v>
      </c>
      <c r="O189" s="2325">
        <v>916</v>
      </c>
      <c r="P189" s="2325">
        <v>733</v>
      </c>
      <c r="Q189" s="2325">
        <v>521</v>
      </c>
      <c r="R189" s="879"/>
      <c r="S189" s="879"/>
    </row>
    <row r="190" spans="2:27" s="2402" customFormat="1">
      <c r="B190" s="879"/>
      <c r="C190" s="879"/>
      <c r="D190" s="2293"/>
      <c r="E190" s="2381"/>
      <c r="F190" s="2286" t="s">
        <v>2008</v>
      </c>
      <c r="G190" s="2286" t="s">
        <v>2462</v>
      </c>
      <c r="H190" s="2286">
        <v>14</v>
      </c>
      <c r="I190" s="2325">
        <f t="shared" si="39"/>
        <v>901</v>
      </c>
      <c r="J190" s="2325">
        <v>1024</v>
      </c>
      <c r="K190" s="2325">
        <v>966</v>
      </c>
      <c r="L190" s="2325">
        <v>916</v>
      </c>
      <c r="M190" s="2325">
        <v>941</v>
      </c>
      <c r="N190" s="2325">
        <v>856</v>
      </c>
      <c r="O190" s="2325">
        <v>901</v>
      </c>
      <c r="P190" s="2325">
        <v>869</v>
      </c>
      <c r="Q190" s="2325">
        <v>888</v>
      </c>
      <c r="R190" s="879"/>
      <c r="S190" s="879"/>
    </row>
    <row r="191" spans="2:27" s="2402" customFormat="1">
      <c r="B191" s="879"/>
      <c r="C191" s="879"/>
      <c r="D191" s="2300" t="s">
        <v>1956</v>
      </c>
      <c r="E191" s="2414" t="s">
        <v>1951</v>
      </c>
      <c r="F191" s="2286" t="s">
        <v>1952</v>
      </c>
      <c r="G191" s="2286" t="s">
        <v>1115</v>
      </c>
      <c r="H191" s="2286">
        <v>15</v>
      </c>
      <c r="I191" s="2325">
        <f t="shared" si="39"/>
        <v>1033</v>
      </c>
      <c r="J191" s="2325">
        <v>1178</v>
      </c>
      <c r="K191" s="2325">
        <v>1110</v>
      </c>
      <c r="L191" s="2325">
        <v>1050</v>
      </c>
      <c r="M191" s="2325">
        <v>1080</v>
      </c>
      <c r="N191" s="2325">
        <v>97</v>
      </c>
      <c r="O191" s="2325">
        <v>1033</v>
      </c>
      <c r="P191" s="2325">
        <v>995</v>
      </c>
      <c r="Q191" s="2325">
        <v>1017</v>
      </c>
      <c r="R191" s="879"/>
      <c r="S191" s="879"/>
    </row>
    <row r="192" spans="2:27" s="2402" customFormat="1">
      <c r="B192" s="879"/>
      <c r="C192" s="879"/>
      <c r="D192" s="2300"/>
      <c r="E192" s="2414"/>
      <c r="F192" s="2286" t="s">
        <v>2454</v>
      </c>
      <c r="G192" s="2286" t="s">
        <v>2463</v>
      </c>
      <c r="H192" s="879">
        <v>16</v>
      </c>
      <c r="I192" s="2325">
        <f t="shared" si="39"/>
        <v>835</v>
      </c>
      <c r="J192" s="2325">
        <v>947</v>
      </c>
      <c r="K192" s="2325">
        <v>894</v>
      </c>
      <c r="L192" s="2325">
        <v>849</v>
      </c>
      <c r="M192" s="2325">
        <v>871</v>
      </c>
      <c r="N192" s="2325">
        <v>794</v>
      </c>
      <c r="O192" s="2325">
        <v>835</v>
      </c>
      <c r="P192" s="2325">
        <v>806</v>
      </c>
      <c r="Q192" s="2325">
        <v>823</v>
      </c>
      <c r="R192" s="879"/>
      <c r="S192" s="879"/>
    </row>
    <row r="193" spans="2:19" s="2402" customFormat="1">
      <c r="B193" s="879"/>
      <c r="C193" s="879"/>
      <c r="D193" s="2411"/>
      <c r="E193" s="2293"/>
      <c r="F193" s="2292" t="s">
        <v>2008</v>
      </c>
      <c r="G193" s="2286" t="s">
        <v>2464</v>
      </c>
      <c r="H193" s="2286">
        <v>17</v>
      </c>
      <c r="I193" s="2325">
        <f t="shared" si="39"/>
        <v>727</v>
      </c>
      <c r="J193" s="2325">
        <v>1006</v>
      </c>
      <c r="K193" s="2325">
        <v>950</v>
      </c>
      <c r="L193" s="2325">
        <v>882</v>
      </c>
      <c r="M193" s="2325">
        <v>874</v>
      </c>
      <c r="N193" s="2325">
        <v>784</v>
      </c>
      <c r="O193" s="2325">
        <v>727</v>
      </c>
      <c r="P193" s="2325">
        <v>646</v>
      </c>
      <c r="Q193" s="2325">
        <v>556</v>
      </c>
      <c r="R193" s="879"/>
      <c r="S193" s="879"/>
    </row>
    <row r="194" spans="2:19" s="2402" customFormat="1">
      <c r="B194" s="879"/>
      <c r="C194" s="879"/>
      <c r="D194" s="2412" t="s">
        <v>1956</v>
      </c>
      <c r="E194" s="2300" t="s">
        <v>1954</v>
      </c>
      <c r="F194" s="2292" t="s">
        <v>1952</v>
      </c>
      <c r="G194" s="2286" t="s">
        <v>2465</v>
      </c>
      <c r="H194" s="2286">
        <v>18</v>
      </c>
      <c r="I194" s="2325">
        <f t="shared" si="39"/>
        <v>828</v>
      </c>
      <c r="J194" s="2325">
        <v>1157</v>
      </c>
      <c r="K194" s="2325">
        <v>1091</v>
      </c>
      <c r="L194" s="2325">
        <v>1010</v>
      </c>
      <c r="M194" s="2325">
        <v>1001</v>
      </c>
      <c r="N194" s="2325">
        <v>895</v>
      </c>
      <c r="O194" s="2325">
        <v>828</v>
      </c>
      <c r="P194" s="2325">
        <v>731</v>
      </c>
      <c r="Q194" s="2325">
        <v>625</v>
      </c>
      <c r="R194" s="879"/>
      <c r="S194" s="879"/>
    </row>
    <row r="195" spans="2:19" s="2402" customFormat="1">
      <c r="B195" s="879"/>
      <c r="C195" s="879"/>
      <c r="D195" s="2413"/>
      <c r="E195" s="2319"/>
      <c r="F195" s="2292" t="s">
        <v>2454</v>
      </c>
      <c r="G195" s="2286" t="s">
        <v>2466</v>
      </c>
      <c r="H195" s="2286">
        <v>19</v>
      </c>
      <c r="I195" s="2325">
        <f>HLOOKUP($I$177,$J$177:$Q$195,H195)</f>
        <v>677</v>
      </c>
      <c r="J195" s="2325">
        <v>931</v>
      </c>
      <c r="K195" s="2325">
        <v>880</v>
      </c>
      <c r="L195" s="2325">
        <v>818</v>
      </c>
      <c r="M195" s="2325">
        <v>811</v>
      </c>
      <c r="N195" s="2325">
        <v>729</v>
      </c>
      <c r="O195" s="2325">
        <v>677</v>
      </c>
      <c r="P195" s="2325">
        <v>603</v>
      </c>
      <c r="Q195" s="2325">
        <v>521</v>
      </c>
      <c r="R195" s="879"/>
      <c r="S195" s="879"/>
    </row>
    <row r="196" spans="2:19" hidden="1">
      <c r="B196" s="879"/>
      <c r="C196" s="879"/>
      <c r="D196" s="2326" t="str">
        <f>計画書!F65</f>
        <v>－</v>
      </c>
      <c r="E196" s="2326" t="str">
        <f>計画書!K65</f>
        <v>－</v>
      </c>
      <c r="F196" s="879" t="str">
        <f>計画書!N61</f>
        <v>算定プログラムによる評価</v>
      </c>
      <c r="G196" s="2422" t="str">
        <f>IFERROR(D196&amp;E196&amp;計画書!N61,"-")</f>
        <v>－－算定プログラムによる評価</v>
      </c>
      <c r="H196" s="2422" t="str">
        <f>IFERROR(VLOOKUP(G196,G178:H195,2,0),"-")</f>
        <v>-</v>
      </c>
      <c r="I196" s="2423">
        <f>IF(H196="-",HLOOKUP($I$177,$T$177:$AA$179,2,FALSE),VLOOKUP(H196,$H$178:$I$195,2))</f>
        <v>1343</v>
      </c>
      <c r="J196" s="879"/>
      <c r="K196" s="879"/>
      <c r="L196" s="879"/>
      <c r="M196" s="879"/>
      <c r="N196" s="879"/>
      <c r="O196" s="879"/>
      <c r="P196" s="879"/>
      <c r="Q196" s="879"/>
      <c r="R196" s="879"/>
      <c r="S196" s="879"/>
    </row>
    <row r="197" spans="2:19" hidden="1">
      <c r="B197" s="879"/>
      <c r="C197" s="879"/>
      <c r="D197" s="879"/>
      <c r="E197" s="879"/>
      <c r="F197" s="879"/>
      <c r="G197" s="879" t="str">
        <f>D196&amp;E196&amp;0</f>
        <v>－－0</v>
      </c>
      <c r="H197" s="2422" t="str">
        <f>IFERROR(VLOOKUP(G197,G178:H195,2,0),"-")</f>
        <v>-</v>
      </c>
      <c r="I197" s="2423">
        <f>IF(H197="-",HLOOKUP($I$177,$T$177:$AA$179,3,FALSE),VLOOKUP(H197,$H$178:$I$195,2))</f>
        <v>1163</v>
      </c>
      <c r="J197" s="879"/>
      <c r="K197" s="879"/>
      <c r="L197" s="879"/>
      <c r="M197" s="879"/>
      <c r="N197" s="879"/>
      <c r="O197" s="879"/>
      <c r="P197" s="879"/>
      <c r="Q197" s="879"/>
      <c r="R197" s="879"/>
      <c r="S197" s="879"/>
    </row>
    <row r="198" spans="2:19">
      <c r="B198" s="879"/>
      <c r="C198" s="879"/>
      <c r="D198" s="1693"/>
      <c r="E198" s="1694"/>
      <c r="F198" s="1694"/>
      <c r="G198" s="1694"/>
      <c r="H198" s="1694"/>
      <c r="I198" s="1750"/>
      <c r="J198" s="1744"/>
      <c r="K198" s="1694"/>
      <c r="L198" s="1694"/>
      <c r="M198" s="1694"/>
      <c r="N198" s="1694"/>
      <c r="O198" s="1694"/>
      <c r="P198" s="1694"/>
      <c r="Q198" s="1694"/>
      <c r="R198" s="879"/>
      <c r="S198" s="879"/>
    </row>
    <row r="199" spans="2:19">
      <c r="C199" s="1755" t="s">
        <v>2428</v>
      </c>
      <c r="D199" s="1694"/>
      <c r="E199" s="1694"/>
      <c r="F199" s="1694"/>
      <c r="G199" s="1694"/>
      <c r="H199" s="1694"/>
      <c r="I199" s="1694"/>
      <c r="J199" s="1694"/>
      <c r="K199" s="1694"/>
      <c r="L199" s="1694"/>
      <c r="M199" s="1694"/>
      <c r="N199" s="1694"/>
      <c r="O199" s="1694"/>
      <c r="P199" s="1694"/>
      <c r="Q199" s="1694"/>
    </row>
    <row r="200" spans="2:19">
      <c r="C200" s="1756"/>
      <c r="D200" s="1694"/>
      <c r="E200" s="1694"/>
      <c r="F200" s="1694"/>
      <c r="G200" s="1694"/>
      <c r="H200" s="1694"/>
      <c r="I200" s="1694"/>
      <c r="J200" s="1694"/>
      <c r="K200" s="1694"/>
      <c r="L200" s="1694"/>
      <c r="M200" s="1694"/>
      <c r="N200" s="1694"/>
      <c r="O200" s="1694"/>
      <c r="P200" s="1694"/>
      <c r="Q200" s="1694"/>
    </row>
    <row r="201" spans="2:19">
      <c r="C201" s="1699" t="s">
        <v>2193</v>
      </c>
      <c r="D201" s="1694"/>
      <c r="E201" s="1694"/>
      <c r="F201" s="1694"/>
      <c r="G201" s="1694"/>
      <c r="H201" s="1694"/>
      <c r="I201" s="1701" t="s">
        <v>614</v>
      </c>
      <c r="J201" s="1697"/>
      <c r="K201" s="1702"/>
      <c r="L201" s="1701" t="s">
        <v>613</v>
      </c>
      <c r="M201" s="1697"/>
      <c r="N201" s="1702"/>
      <c r="O201" s="1701" t="s">
        <v>615</v>
      </c>
      <c r="P201" s="1697"/>
      <c r="Q201" s="1702"/>
    </row>
    <row r="202" spans="2:19">
      <c r="C202" s="1694"/>
      <c r="D202" s="1757" t="s">
        <v>2194</v>
      </c>
      <c r="E202" s="1694"/>
      <c r="F202" s="1694"/>
      <c r="G202" s="1732"/>
      <c r="H202" s="1732"/>
      <c r="I202" s="1708" t="s">
        <v>405</v>
      </c>
      <c r="J202" s="1708" t="s">
        <v>406</v>
      </c>
      <c r="K202" s="1708" t="s">
        <v>407</v>
      </c>
      <c r="L202" s="1708" t="s">
        <v>405</v>
      </c>
      <c r="M202" s="1708" t="s">
        <v>406</v>
      </c>
      <c r="N202" s="1708" t="s">
        <v>407</v>
      </c>
      <c r="O202" s="1708" t="s">
        <v>405</v>
      </c>
      <c r="P202" s="1708" t="s">
        <v>406</v>
      </c>
      <c r="Q202" s="1708" t="s">
        <v>407</v>
      </c>
    </row>
    <row r="203" spans="2:19">
      <c r="C203" s="1694"/>
      <c r="D203" s="1694"/>
      <c r="E203" s="1703" t="s">
        <v>408</v>
      </c>
      <c r="F203" s="1752"/>
      <c r="G203" s="1732">
        <v>1</v>
      </c>
      <c r="H203" s="1732"/>
      <c r="I203" s="1758">
        <v>60</v>
      </c>
      <c r="J203" s="1758">
        <v>60</v>
      </c>
      <c r="K203" s="1758">
        <v>60</v>
      </c>
      <c r="L203" s="1758">
        <v>60</v>
      </c>
      <c r="M203" s="1758">
        <v>60</v>
      </c>
      <c r="N203" s="1758">
        <v>60</v>
      </c>
      <c r="O203" s="1758">
        <v>60</v>
      </c>
      <c r="P203" s="1758">
        <v>60</v>
      </c>
      <c r="Q203" s="1758">
        <v>60</v>
      </c>
    </row>
    <row r="204" spans="2:19">
      <c r="C204" s="1694"/>
      <c r="D204" s="1694"/>
      <c r="E204" s="1703" t="s">
        <v>350</v>
      </c>
      <c r="F204" s="1752"/>
      <c r="G204" s="1732">
        <v>2</v>
      </c>
      <c r="H204" s="1732"/>
      <c r="I204" s="1758">
        <v>60</v>
      </c>
      <c r="J204" s="1758">
        <v>60</v>
      </c>
      <c r="K204" s="1758">
        <v>60</v>
      </c>
      <c r="L204" s="1758">
        <v>60</v>
      </c>
      <c r="M204" s="1758">
        <v>60</v>
      </c>
      <c r="N204" s="1758">
        <v>60</v>
      </c>
      <c r="O204" s="1758">
        <v>60</v>
      </c>
      <c r="P204" s="1758">
        <v>60</v>
      </c>
      <c r="Q204" s="1758">
        <v>60</v>
      </c>
    </row>
    <row r="205" spans="2:19">
      <c r="C205" s="1694"/>
      <c r="D205" s="1694"/>
      <c r="E205" s="1703" t="s">
        <v>352</v>
      </c>
      <c r="F205" s="1752"/>
      <c r="G205" s="1732">
        <v>3</v>
      </c>
      <c r="H205" s="1732"/>
      <c r="I205" s="1758">
        <v>30</v>
      </c>
      <c r="J205" s="1758">
        <v>30</v>
      </c>
      <c r="K205" s="1758">
        <v>30</v>
      </c>
      <c r="L205" s="1758">
        <v>30</v>
      </c>
      <c r="M205" s="1758">
        <v>30</v>
      </c>
      <c r="N205" s="1758">
        <v>30</v>
      </c>
      <c r="O205" s="1758">
        <v>30</v>
      </c>
      <c r="P205" s="1758">
        <v>30</v>
      </c>
      <c r="Q205" s="1758">
        <v>30</v>
      </c>
    </row>
    <row r="206" spans="2:19">
      <c r="C206" s="1694"/>
      <c r="D206" s="1694"/>
      <c r="E206" s="1703" t="s">
        <v>354</v>
      </c>
      <c r="F206" s="1752"/>
      <c r="G206" s="1732">
        <v>4</v>
      </c>
      <c r="H206" s="1732"/>
      <c r="I206" s="1758">
        <v>30</v>
      </c>
      <c r="J206" s="1758">
        <v>30</v>
      </c>
      <c r="K206" s="1758">
        <v>30</v>
      </c>
      <c r="L206" s="1758">
        <v>30</v>
      </c>
      <c r="M206" s="1758">
        <v>30</v>
      </c>
      <c r="N206" s="1758">
        <v>30</v>
      </c>
      <c r="O206" s="1758">
        <v>30</v>
      </c>
      <c r="P206" s="1758">
        <v>30</v>
      </c>
      <c r="Q206" s="1758">
        <v>30</v>
      </c>
    </row>
    <row r="207" spans="2:19">
      <c r="C207" s="1694"/>
      <c r="D207" s="1694"/>
      <c r="E207" s="1703" t="s">
        <v>1614</v>
      </c>
      <c r="F207" s="1752"/>
      <c r="G207" s="1732">
        <v>5</v>
      </c>
      <c r="H207" s="1732"/>
      <c r="I207" s="1758">
        <v>60</v>
      </c>
      <c r="J207" s="1758">
        <v>60</v>
      </c>
      <c r="K207" s="1758">
        <v>60</v>
      </c>
      <c r="L207" s="1758">
        <v>60</v>
      </c>
      <c r="M207" s="1758">
        <v>60</v>
      </c>
      <c r="N207" s="1758">
        <v>60</v>
      </c>
      <c r="O207" s="1758">
        <v>60</v>
      </c>
      <c r="P207" s="1758">
        <v>60</v>
      </c>
      <c r="Q207" s="1758">
        <v>60</v>
      </c>
    </row>
    <row r="208" spans="2:19">
      <c r="C208" s="1694"/>
      <c r="D208" s="1694"/>
      <c r="E208" s="1703" t="s">
        <v>364</v>
      </c>
      <c r="F208" s="1752"/>
      <c r="G208" s="1732">
        <v>6</v>
      </c>
      <c r="H208" s="1732"/>
      <c r="I208" s="1758">
        <v>30</v>
      </c>
      <c r="J208" s="1758">
        <v>30</v>
      </c>
      <c r="K208" s="1758">
        <v>30</v>
      </c>
      <c r="L208" s="1758">
        <v>30</v>
      </c>
      <c r="M208" s="1758">
        <v>30</v>
      </c>
      <c r="N208" s="1758">
        <v>30</v>
      </c>
      <c r="O208" s="1758">
        <v>30</v>
      </c>
      <c r="P208" s="1758">
        <v>30</v>
      </c>
      <c r="Q208" s="1758">
        <v>30</v>
      </c>
    </row>
    <row r="209" spans="3:17">
      <c r="C209" s="1694"/>
      <c r="D209" s="1694"/>
      <c r="E209" s="1703" t="s">
        <v>358</v>
      </c>
      <c r="F209" s="1752"/>
      <c r="G209" s="1732">
        <v>7</v>
      </c>
      <c r="H209" s="1732"/>
      <c r="I209" s="1758">
        <v>60</v>
      </c>
      <c r="J209" s="1758">
        <v>60</v>
      </c>
      <c r="K209" s="1758">
        <v>60</v>
      </c>
      <c r="L209" s="1758">
        <v>60</v>
      </c>
      <c r="M209" s="1758">
        <v>60</v>
      </c>
      <c r="N209" s="1758">
        <v>60</v>
      </c>
      <c r="O209" s="1758">
        <v>60</v>
      </c>
      <c r="P209" s="1758">
        <v>60</v>
      </c>
      <c r="Q209" s="1758">
        <v>60</v>
      </c>
    </row>
    <row r="210" spans="3:17">
      <c r="C210" s="1694"/>
      <c r="D210" s="1694"/>
      <c r="E210" s="1703" t="s">
        <v>250</v>
      </c>
      <c r="F210" s="1752"/>
      <c r="G210" s="1732">
        <v>8</v>
      </c>
      <c r="H210" s="1732"/>
      <c r="I210" s="1758">
        <v>60</v>
      </c>
      <c r="J210" s="1758">
        <v>60</v>
      </c>
      <c r="K210" s="1758">
        <v>60</v>
      </c>
      <c r="L210" s="1758">
        <v>60</v>
      </c>
      <c r="M210" s="1758">
        <v>60</v>
      </c>
      <c r="N210" s="1758">
        <v>60</v>
      </c>
      <c r="O210" s="1758">
        <v>60</v>
      </c>
      <c r="P210" s="1758">
        <v>60</v>
      </c>
      <c r="Q210" s="1758">
        <v>60</v>
      </c>
    </row>
    <row r="211" spans="3:17">
      <c r="C211" s="1694"/>
      <c r="D211" s="1694"/>
      <c r="E211" s="1703" t="s">
        <v>362</v>
      </c>
      <c r="F211" s="1752"/>
      <c r="G211" s="1732">
        <v>9</v>
      </c>
      <c r="H211" s="1732"/>
      <c r="I211" s="1758">
        <v>30</v>
      </c>
      <c r="J211" s="1758">
        <v>60</v>
      </c>
      <c r="K211" s="1758">
        <v>90</v>
      </c>
      <c r="L211" s="1758">
        <v>30</v>
      </c>
      <c r="M211" s="1758">
        <v>60</v>
      </c>
      <c r="N211" s="1758">
        <v>90</v>
      </c>
      <c r="O211" s="1758">
        <v>30</v>
      </c>
      <c r="P211" s="1758">
        <v>60</v>
      </c>
      <c r="Q211" s="1758">
        <v>90</v>
      </c>
    </row>
    <row r="212" spans="3:17">
      <c r="C212" s="1699"/>
      <c r="D212" s="1699"/>
      <c r="E212" s="1694"/>
      <c r="F212" s="1694"/>
      <c r="G212" s="1694"/>
      <c r="H212" s="1694"/>
      <c r="I212" s="1759"/>
      <c r="J212" s="1759"/>
      <c r="K212" s="1759"/>
      <c r="L212" s="1759"/>
      <c r="M212" s="1759"/>
      <c r="N212" s="1759"/>
      <c r="O212" s="1759"/>
      <c r="P212" s="1759"/>
      <c r="Q212" s="1759"/>
    </row>
    <row r="213" spans="3:17">
      <c r="C213" s="1699" t="s">
        <v>2012</v>
      </c>
      <c r="D213" s="1699"/>
      <c r="E213" s="1694"/>
      <c r="F213" s="1694"/>
      <c r="G213" s="1694"/>
      <c r="H213" s="1694"/>
      <c r="I213" s="915" t="s">
        <v>2195</v>
      </c>
      <c r="J213" s="1760" t="s">
        <v>2196</v>
      </c>
      <c r="K213" s="1760" t="s">
        <v>2197</v>
      </c>
      <c r="L213" s="915" t="s">
        <v>2195</v>
      </c>
      <c r="M213" s="1760" t="s">
        <v>2196</v>
      </c>
      <c r="N213" s="1760" t="s">
        <v>2197</v>
      </c>
      <c r="O213" s="915" t="s">
        <v>2195</v>
      </c>
      <c r="P213" s="1760" t="s">
        <v>2196</v>
      </c>
      <c r="Q213" s="1760" t="s">
        <v>2197</v>
      </c>
    </row>
    <row r="214" spans="3:17">
      <c r="C214" s="1694"/>
      <c r="D214" s="1694" t="s">
        <v>1442</v>
      </c>
      <c r="E214" s="1694" t="s">
        <v>2015</v>
      </c>
      <c r="F214" s="1694" t="s">
        <v>2016</v>
      </c>
      <c r="G214" s="1694"/>
      <c r="H214" s="1694"/>
      <c r="I214" s="1761">
        <v>0.56699999999999995</v>
      </c>
      <c r="J214" s="1761">
        <v>0</v>
      </c>
      <c r="K214" s="1761">
        <v>0</v>
      </c>
      <c r="L214" s="1761">
        <v>0.77200000000000002</v>
      </c>
      <c r="M214" s="1761">
        <v>0</v>
      </c>
      <c r="N214" s="1761">
        <v>0</v>
      </c>
      <c r="O214" s="1761">
        <v>0.69599999999999995</v>
      </c>
      <c r="P214" s="1761">
        <v>0</v>
      </c>
      <c r="Q214" s="1761">
        <v>0</v>
      </c>
    </row>
    <row r="215" spans="3:17">
      <c r="C215" s="1694"/>
      <c r="D215" s="1694"/>
      <c r="E215" s="1694" t="s">
        <v>2017</v>
      </c>
      <c r="F215" s="1694" t="s">
        <v>2016</v>
      </c>
      <c r="G215" s="1694"/>
      <c r="H215" s="1694"/>
      <c r="I215" s="1761">
        <v>0</v>
      </c>
      <c r="J215" s="1761">
        <v>0</v>
      </c>
      <c r="K215" s="1761">
        <v>0.56699999999999995</v>
      </c>
      <c r="L215" s="1761">
        <v>0</v>
      </c>
      <c r="M215" s="1761">
        <v>0</v>
      </c>
      <c r="N215" s="1761">
        <v>0.77200000000000002</v>
      </c>
      <c r="O215" s="1761">
        <v>0</v>
      </c>
      <c r="P215" s="1761">
        <v>0</v>
      </c>
      <c r="Q215" s="1761">
        <v>0.69599999999999995</v>
      </c>
    </row>
    <row r="216" spans="3:17">
      <c r="C216" s="1694"/>
      <c r="D216" s="1694"/>
      <c r="E216" s="1694" t="s">
        <v>2018</v>
      </c>
      <c r="F216" s="1694" t="s">
        <v>2019</v>
      </c>
      <c r="G216" s="1694"/>
      <c r="H216" s="1694"/>
      <c r="I216" s="1761">
        <v>0.13600000000000001</v>
      </c>
      <c r="J216" s="1761">
        <v>0</v>
      </c>
      <c r="K216" s="1761">
        <v>0.13600000000000001</v>
      </c>
      <c r="L216" s="1761">
        <v>3.7999999999999999E-2</v>
      </c>
      <c r="M216" s="1761">
        <v>0</v>
      </c>
      <c r="N216" s="1761">
        <v>3.7999999999999999E-2</v>
      </c>
      <c r="O216" s="1761">
        <v>0.1</v>
      </c>
      <c r="P216" s="1761">
        <v>0</v>
      </c>
      <c r="Q216" s="1761">
        <v>0.1</v>
      </c>
    </row>
    <row r="217" spans="3:17">
      <c r="C217" s="1762"/>
      <c r="D217" s="1762"/>
      <c r="E217" s="1762" t="s">
        <v>2020</v>
      </c>
      <c r="F217" s="1762" t="s">
        <v>2019</v>
      </c>
      <c r="G217" s="1762"/>
      <c r="H217" s="1762"/>
      <c r="I217" s="1761"/>
      <c r="J217" s="1761">
        <v>0</v>
      </c>
      <c r="K217" s="1761">
        <v>0</v>
      </c>
      <c r="L217" s="1761"/>
      <c r="M217" s="1761">
        <v>0</v>
      </c>
      <c r="N217" s="1761">
        <v>0</v>
      </c>
      <c r="O217" s="1761"/>
      <c r="P217" s="1761">
        <v>0</v>
      </c>
      <c r="Q217" s="1761">
        <v>0</v>
      </c>
    </row>
    <row r="218" spans="3:17">
      <c r="C218" s="1694"/>
      <c r="D218" s="1694"/>
      <c r="E218" s="1694" t="s">
        <v>2021</v>
      </c>
      <c r="F218" s="1694" t="s">
        <v>2019</v>
      </c>
      <c r="G218" s="1694"/>
      <c r="H218" s="1694"/>
      <c r="I218" s="1761">
        <v>7.0000000000000007E-2</v>
      </c>
      <c r="J218" s="1761">
        <v>0</v>
      </c>
      <c r="K218" s="1761">
        <v>7.0000000000000007E-2</v>
      </c>
      <c r="L218" s="1761">
        <v>0.10299999999999999</v>
      </c>
      <c r="M218" s="1761">
        <v>0</v>
      </c>
      <c r="N218" s="1761">
        <v>0.10299999999999999</v>
      </c>
      <c r="O218" s="1761">
        <v>7.8E-2</v>
      </c>
      <c r="P218" s="1761">
        <v>0</v>
      </c>
      <c r="Q218" s="1761">
        <v>7.8E-2</v>
      </c>
    </row>
    <row r="219" spans="3:17">
      <c r="C219" s="1694"/>
      <c r="D219" s="1694"/>
      <c r="E219" s="1694" t="s">
        <v>1722</v>
      </c>
      <c r="F219" s="1694" t="s">
        <v>2019</v>
      </c>
      <c r="G219" s="1694"/>
      <c r="H219" s="1694"/>
      <c r="I219" s="1761">
        <v>5.0000000000000001E-3</v>
      </c>
      <c r="J219" s="1761">
        <v>0</v>
      </c>
      <c r="K219" s="1761">
        <v>5.0000000000000001E-3</v>
      </c>
      <c r="L219" s="1761">
        <v>1.2999999999999999E-2</v>
      </c>
      <c r="M219" s="1761">
        <v>0</v>
      </c>
      <c r="N219" s="1761">
        <v>1.26E-2</v>
      </c>
      <c r="O219" s="1761">
        <v>8.0000000000000002E-3</v>
      </c>
      <c r="P219" s="1761">
        <v>0</v>
      </c>
      <c r="Q219" s="1761">
        <v>8.0000000000000002E-3</v>
      </c>
    </row>
    <row r="220" spans="3:17">
      <c r="C220" s="1694"/>
      <c r="D220" s="1694" t="s">
        <v>1444</v>
      </c>
      <c r="E220" s="1694" t="s">
        <v>2015</v>
      </c>
      <c r="F220" s="1694" t="s">
        <v>2016</v>
      </c>
      <c r="G220" s="1694"/>
      <c r="H220" s="1694"/>
      <c r="I220" s="1761">
        <v>0.35199999999999998</v>
      </c>
      <c r="J220" s="1761">
        <v>0</v>
      </c>
      <c r="K220" s="1761">
        <v>0</v>
      </c>
      <c r="L220" s="1761">
        <v>0.86499999999999999</v>
      </c>
      <c r="M220" s="1761">
        <v>0</v>
      </c>
      <c r="N220" s="1761">
        <v>0</v>
      </c>
      <c r="O220" s="1761">
        <v>0.95799999999999996</v>
      </c>
      <c r="P220" s="1761">
        <v>0</v>
      </c>
      <c r="Q220" s="1761">
        <v>0</v>
      </c>
    </row>
    <row r="221" spans="3:17">
      <c r="C221" s="1694"/>
      <c r="D221" s="1694"/>
      <c r="E221" s="1694" t="s">
        <v>2017</v>
      </c>
      <c r="F221" s="1694" t="s">
        <v>2016</v>
      </c>
      <c r="G221" s="1694"/>
      <c r="H221" s="1694"/>
      <c r="I221" s="1761">
        <v>0</v>
      </c>
      <c r="J221" s="1761">
        <v>0</v>
      </c>
      <c r="K221" s="1761">
        <v>0.35199999999999998</v>
      </c>
      <c r="L221" s="1761">
        <v>0</v>
      </c>
      <c r="M221" s="1761">
        <v>0</v>
      </c>
      <c r="N221" s="1761">
        <v>0.86499999999999999</v>
      </c>
      <c r="O221" s="1761">
        <v>0</v>
      </c>
      <c r="P221" s="1761">
        <v>0</v>
      </c>
      <c r="Q221" s="1761">
        <v>0.95799999999999996</v>
      </c>
    </row>
    <row r="222" spans="3:17">
      <c r="C222" s="1694"/>
      <c r="D222" s="1694"/>
      <c r="E222" s="1694" t="s">
        <v>2018</v>
      </c>
      <c r="F222" s="1694" t="s">
        <v>2019</v>
      </c>
      <c r="G222" s="1694"/>
      <c r="H222" s="1694"/>
      <c r="I222" s="1761">
        <v>0.105</v>
      </c>
      <c r="J222" s="1761">
        <v>0</v>
      </c>
      <c r="K222" s="1761">
        <v>0.105</v>
      </c>
      <c r="L222" s="1761">
        <v>5.0000000000000001E-3</v>
      </c>
      <c r="M222" s="1761">
        <v>0</v>
      </c>
      <c r="N222" s="1761">
        <v>5.0000000000000001E-3</v>
      </c>
      <c r="O222" s="1761">
        <v>7.8E-2</v>
      </c>
      <c r="P222" s="1761">
        <v>0</v>
      </c>
      <c r="Q222" s="1761">
        <v>7.8E-2</v>
      </c>
    </row>
    <row r="223" spans="3:17">
      <c r="C223" s="1762"/>
      <c r="D223" s="1762"/>
      <c r="E223" s="1762" t="s">
        <v>2020</v>
      </c>
      <c r="F223" s="1762" t="s">
        <v>2019</v>
      </c>
      <c r="G223" s="1762"/>
      <c r="H223" s="1762"/>
      <c r="I223" s="1761"/>
      <c r="J223" s="1761">
        <v>0</v>
      </c>
      <c r="K223" s="1761">
        <v>0</v>
      </c>
      <c r="L223" s="1761"/>
      <c r="M223" s="1761">
        <v>0</v>
      </c>
      <c r="N223" s="1761">
        <v>0</v>
      </c>
      <c r="O223" s="1761"/>
      <c r="P223" s="1761">
        <v>0</v>
      </c>
      <c r="Q223" s="1761">
        <v>0</v>
      </c>
    </row>
    <row r="224" spans="3:17">
      <c r="C224" s="1694"/>
      <c r="D224" s="1694"/>
      <c r="E224" s="1694" t="s">
        <v>2021</v>
      </c>
      <c r="F224" s="1694" t="s">
        <v>2019</v>
      </c>
      <c r="G224" s="1694"/>
      <c r="H224" s="1694"/>
      <c r="I224" s="1761">
        <v>4.4999999999999998E-2</v>
      </c>
      <c r="J224" s="1761">
        <v>0</v>
      </c>
      <c r="K224" s="1761">
        <v>4.4999999999999998E-2</v>
      </c>
      <c r="L224" s="1761">
        <v>0.112</v>
      </c>
      <c r="M224" s="1761">
        <v>0</v>
      </c>
      <c r="N224" s="1761">
        <v>0.112</v>
      </c>
      <c r="O224" s="1761">
        <v>0.11</v>
      </c>
      <c r="P224" s="1761">
        <v>0</v>
      </c>
      <c r="Q224" s="1761">
        <v>0.11</v>
      </c>
    </row>
    <row r="225" spans="3:17">
      <c r="C225" s="1694"/>
      <c r="D225" s="1694"/>
      <c r="E225" s="1694" t="s">
        <v>1722</v>
      </c>
      <c r="F225" s="1694" t="s">
        <v>2019</v>
      </c>
      <c r="G225" s="1694"/>
      <c r="H225" s="1694"/>
      <c r="I225" s="1761">
        <v>2E-3</v>
      </c>
      <c r="J225" s="1761">
        <v>0</v>
      </c>
      <c r="K225" s="1761">
        <v>2.3999999999999998E-3</v>
      </c>
      <c r="L225" s="1761">
        <v>1.4999999999999999E-2</v>
      </c>
      <c r="M225" s="1761">
        <v>0</v>
      </c>
      <c r="N225" s="1761">
        <v>1.47E-2</v>
      </c>
      <c r="O225" s="1761">
        <v>1.2E-2</v>
      </c>
      <c r="P225" s="1761">
        <v>0</v>
      </c>
      <c r="Q225" s="1761">
        <v>1.167E-2</v>
      </c>
    </row>
    <row r="226" spans="3:17">
      <c r="C226" s="1694"/>
      <c r="D226" s="1694" t="s">
        <v>1611</v>
      </c>
      <c r="E226" s="1694" t="s">
        <v>2015</v>
      </c>
      <c r="F226" s="1694" t="s">
        <v>1594</v>
      </c>
      <c r="G226" s="1694"/>
      <c r="H226" s="1694"/>
      <c r="I226" s="1761">
        <v>0.34200000000000003</v>
      </c>
      <c r="J226" s="1761">
        <v>0</v>
      </c>
      <c r="K226" s="1761">
        <v>0</v>
      </c>
      <c r="L226" s="1761">
        <v>0.88800000000000001</v>
      </c>
      <c r="M226" s="1761">
        <v>0</v>
      </c>
      <c r="N226" s="1761">
        <v>0</v>
      </c>
      <c r="O226" s="1761">
        <v>0.307</v>
      </c>
      <c r="P226" s="1761">
        <v>0</v>
      </c>
      <c r="Q226" s="1761">
        <v>0</v>
      </c>
    </row>
    <row r="227" spans="3:17">
      <c r="C227" s="1694"/>
      <c r="D227" s="1694"/>
      <c r="E227" s="1694" t="s">
        <v>2017</v>
      </c>
      <c r="F227" s="1694" t="s">
        <v>2016</v>
      </c>
      <c r="G227" s="1694"/>
      <c r="H227" s="1694"/>
      <c r="I227" s="1761">
        <v>0</v>
      </c>
      <c r="J227" s="1761">
        <v>0</v>
      </c>
      <c r="K227" s="1761">
        <v>0.34200000000000003</v>
      </c>
      <c r="L227" s="1761">
        <v>0</v>
      </c>
      <c r="M227" s="1761">
        <v>0</v>
      </c>
      <c r="N227" s="1761">
        <v>0.88800000000000001</v>
      </c>
      <c r="O227" s="1761">
        <v>0</v>
      </c>
      <c r="P227" s="1761">
        <v>0</v>
      </c>
      <c r="Q227" s="1761">
        <v>0.307</v>
      </c>
    </row>
    <row r="228" spans="3:17">
      <c r="C228" s="1694"/>
      <c r="D228" s="1694"/>
      <c r="E228" s="1694" t="s">
        <v>2018</v>
      </c>
      <c r="F228" s="1694" t="s">
        <v>2019</v>
      </c>
      <c r="G228" s="1694"/>
      <c r="H228" s="1694"/>
      <c r="I228" s="1761">
        <v>7.1999999999999995E-2</v>
      </c>
      <c r="J228" s="1761">
        <v>0</v>
      </c>
      <c r="K228" s="1761">
        <v>7.1999999999999995E-2</v>
      </c>
      <c r="L228" s="1761">
        <v>1.7000000000000001E-2</v>
      </c>
      <c r="M228" s="1761">
        <v>0</v>
      </c>
      <c r="N228" s="1761">
        <v>1.7000000000000001E-2</v>
      </c>
      <c r="O228" s="1761">
        <v>7.0999999999999994E-2</v>
      </c>
      <c r="P228" s="1761">
        <v>0</v>
      </c>
      <c r="Q228" s="1761">
        <v>7.0999999999999994E-2</v>
      </c>
    </row>
    <row r="229" spans="3:17">
      <c r="C229" s="1762"/>
      <c r="D229" s="1762"/>
      <c r="E229" s="1762" t="s">
        <v>2020</v>
      </c>
      <c r="F229" s="1762" t="s">
        <v>2019</v>
      </c>
      <c r="G229" s="1762"/>
      <c r="H229" s="1762"/>
      <c r="I229" s="1761"/>
      <c r="J229" s="1761">
        <v>0</v>
      </c>
      <c r="K229" s="1761">
        <v>0</v>
      </c>
      <c r="L229" s="1761"/>
      <c r="M229" s="1761">
        <v>0</v>
      </c>
      <c r="N229" s="1761">
        <v>0</v>
      </c>
      <c r="O229" s="1761"/>
      <c r="P229" s="1761">
        <v>0</v>
      </c>
      <c r="Q229" s="1761">
        <v>0</v>
      </c>
    </row>
    <row r="230" spans="3:17">
      <c r="C230" s="1694"/>
      <c r="D230" s="1694"/>
      <c r="E230" s="1694" t="s">
        <v>2021</v>
      </c>
      <c r="F230" s="1694" t="s">
        <v>2019</v>
      </c>
      <c r="G230" s="1694"/>
      <c r="H230" s="1694"/>
      <c r="I230" s="1761">
        <v>2.4E-2</v>
      </c>
      <c r="J230" s="1761">
        <v>0</v>
      </c>
      <c r="K230" s="1761">
        <v>2.4E-2</v>
      </c>
      <c r="L230" s="1761">
        <v>0.11799999999999999</v>
      </c>
      <c r="M230" s="1761">
        <v>0</v>
      </c>
      <c r="N230" s="1761">
        <v>0.11799999999999999</v>
      </c>
      <c r="O230" s="1761">
        <v>5.2999999999999999E-2</v>
      </c>
      <c r="P230" s="1761">
        <v>0</v>
      </c>
      <c r="Q230" s="1761">
        <v>5.2999999999999999E-2</v>
      </c>
    </row>
    <row r="231" spans="3:17">
      <c r="C231" s="1694"/>
      <c r="D231" s="1694"/>
      <c r="E231" s="1694" t="s">
        <v>1722</v>
      </c>
      <c r="F231" s="1694" t="s">
        <v>2019</v>
      </c>
      <c r="G231" s="1694"/>
      <c r="H231" s="1694"/>
      <c r="I231" s="1761">
        <v>2E-3</v>
      </c>
      <c r="J231" s="1761">
        <v>0</v>
      </c>
      <c r="K231" s="1761">
        <v>1.8600000000000001E-3</v>
      </c>
      <c r="L231" s="1761">
        <v>1.4999999999999999E-2</v>
      </c>
      <c r="M231" s="1761">
        <v>0</v>
      </c>
      <c r="N231" s="1761">
        <v>1.4800000000000001E-2</v>
      </c>
      <c r="O231" s="1761">
        <v>5.0000000000000001E-3</v>
      </c>
      <c r="P231" s="1761">
        <v>0</v>
      </c>
      <c r="Q231" s="1761">
        <v>4.8300000000000001E-3</v>
      </c>
    </row>
    <row r="232" spans="3:17">
      <c r="C232" s="1694"/>
      <c r="D232" s="1694" t="s">
        <v>1723</v>
      </c>
      <c r="E232" s="1694" t="s">
        <v>2015</v>
      </c>
      <c r="F232" s="1694" t="s">
        <v>2016</v>
      </c>
      <c r="G232" s="1694"/>
      <c r="H232" s="1694"/>
      <c r="I232" s="1761">
        <v>0.34200000000000003</v>
      </c>
      <c r="J232" s="1761">
        <v>0</v>
      </c>
      <c r="K232" s="1761">
        <v>0</v>
      </c>
      <c r="L232" s="1761">
        <v>0.88800000000000001</v>
      </c>
      <c r="M232" s="1761">
        <v>0</v>
      </c>
      <c r="N232" s="1761">
        <v>0</v>
      </c>
      <c r="O232" s="1761">
        <v>0.307</v>
      </c>
      <c r="P232" s="1761">
        <v>0</v>
      </c>
      <c r="Q232" s="1761">
        <v>0</v>
      </c>
    </row>
    <row r="233" spans="3:17">
      <c r="C233" s="1694"/>
      <c r="D233" s="1694"/>
      <c r="E233" s="1694" t="s">
        <v>2017</v>
      </c>
      <c r="F233" s="1694" t="s">
        <v>2016</v>
      </c>
      <c r="G233" s="1694"/>
      <c r="H233" s="1694"/>
      <c r="I233" s="1761">
        <v>0</v>
      </c>
      <c r="J233" s="1761">
        <v>0</v>
      </c>
      <c r="K233" s="1761">
        <v>0.34200000000000003</v>
      </c>
      <c r="L233" s="1761">
        <v>0</v>
      </c>
      <c r="M233" s="1761">
        <v>0</v>
      </c>
      <c r="N233" s="1761">
        <v>0.88800000000000001</v>
      </c>
      <c r="O233" s="1761">
        <v>0</v>
      </c>
      <c r="P233" s="1761">
        <v>0</v>
      </c>
      <c r="Q233" s="1761">
        <v>0.307</v>
      </c>
    </row>
    <row r="234" spans="3:17">
      <c r="C234" s="1694"/>
      <c r="D234" s="1694"/>
      <c r="E234" s="1694" t="s">
        <v>2018</v>
      </c>
      <c r="F234" s="1694" t="s">
        <v>2019</v>
      </c>
      <c r="G234" s="1694"/>
      <c r="H234" s="1694"/>
      <c r="I234" s="1761">
        <v>7.1999999999999995E-2</v>
      </c>
      <c r="J234" s="1761">
        <v>0</v>
      </c>
      <c r="K234" s="1761">
        <v>7.1999999999999995E-2</v>
      </c>
      <c r="L234" s="1761">
        <v>1.7000000000000001E-2</v>
      </c>
      <c r="M234" s="1761">
        <v>0</v>
      </c>
      <c r="N234" s="1761">
        <v>1.7000000000000001E-2</v>
      </c>
      <c r="O234" s="1761">
        <v>7.0999999999999994E-2</v>
      </c>
      <c r="P234" s="1761">
        <v>0</v>
      </c>
      <c r="Q234" s="1761">
        <v>7.0999999999999994E-2</v>
      </c>
    </row>
    <row r="235" spans="3:17">
      <c r="C235" s="1762"/>
      <c r="D235" s="1762"/>
      <c r="E235" s="1762" t="s">
        <v>2020</v>
      </c>
      <c r="F235" s="1762" t="s">
        <v>2019</v>
      </c>
      <c r="G235" s="1762"/>
      <c r="H235" s="1762"/>
      <c r="I235" s="1761"/>
      <c r="J235" s="1761">
        <v>0</v>
      </c>
      <c r="K235" s="1761">
        <v>0</v>
      </c>
      <c r="L235" s="1761"/>
      <c r="M235" s="1761">
        <v>0</v>
      </c>
      <c r="N235" s="1761">
        <v>0</v>
      </c>
      <c r="O235" s="1761"/>
      <c r="P235" s="1761">
        <v>0</v>
      </c>
      <c r="Q235" s="1761">
        <v>0</v>
      </c>
    </row>
    <row r="236" spans="3:17">
      <c r="C236" s="1694"/>
      <c r="D236" s="1694"/>
      <c r="E236" s="1694" t="s">
        <v>2021</v>
      </c>
      <c r="F236" s="1694" t="s">
        <v>2019</v>
      </c>
      <c r="G236" s="1694"/>
      <c r="H236" s="1694"/>
      <c r="I236" s="1761">
        <v>2.4E-2</v>
      </c>
      <c r="J236" s="1761">
        <v>0</v>
      </c>
      <c r="K236" s="1761">
        <v>2.4E-2</v>
      </c>
      <c r="L236" s="1761">
        <v>0.11799999999999999</v>
      </c>
      <c r="M236" s="1761">
        <v>0</v>
      </c>
      <c r="N236" s="1761">
        <v>0.11799999999999999</v>
      </c>
      <c r="O236" s="1761">
        <v>5.2999999999999999E-2</v>
      </c>
      <c r="P236" s="1761">
        <v>0</v>
      </c>
      <c r="Q236" s="1761">
        <v>5.2999999999999999E-2</v>
      </c>
    </row>
    <row r="237" spans="3:17">
      <c r="C237" s="1694"/>
      <c r="D237" s="1694"/>
      <c r="E237" s="1694" t="s">
        <v>1722</v>
      </c>
      <c r="F237" s="1694" t="s">
        <v>2019</v>
      </c>
      <c r="G237" s="1694"/>
      <c r="H237" s="1694"/>
      <c r="I237" s="1761">
        <v>2E-3</v>
      </c>
      <c r="J237" s="1761">
        <v>0</v>
      </c>
      <c r="K237" s="1761">
        <v>1.8600000000000001E-3</v>
      </c>
      <c r="L237" s="1761">
        <v>1.4999999999999999E-2</v>
      </c>
      <c r="M237" s="1761">
        <v>0</v>
      </c>
      <c r="N237" s="1761">
        <v>1.4800000000000001E-2</v>
      </c>
      <c r="O237" s="1761">
        <v>5.0000000000000001E-3</v>
      </c>
      <c r="P237" s="1761">
        <v>0</v>
      </c>
      <c r="Q237" s="1761">
        <v>4.8300000000000001E-3</v>
      </c>
    </row>
    <row r="238" spans="3:17">
      <c r="C238" s="1694"/>
      <c r="D238" s="1694" t="s">
        <v>1613</v>
      </c>
      <c r="E238" s="1694" t="s">
        <v>2015</v>
      </c>
      <c r="F238" s="1694" t="s">
        <v>2016</v>
      </c>
      <c r="G238" s="1694"/>
      <c r="H238" s="1694"/>
      <c r="I238" s="1761">
        <v>0.34499999999999997</v>
      </c>
      <c r="J238" s="1761">
        <v>0</v>
      </c>
      <c r="K238" s="1761">
        <v>0</v>
      </c>
      <c r="L238" s="1761">
        <v>0.88800000000000001</v>
      </c>
      <c r="M238" s="1761">
        <v>0</v>
      </c>
      <c r="N238" s="1761">
        <v>0</v>
      </c>
      <c r="O238" s="1761">
        <v>0.86199999999999999</v>
      </c>
      <c r="P238" s="1761">
        <v>0</v>
      </c>
      <c r="Q238" s="1761">
        <v>0</v>
      </c>
    </row>
    <row r="239" spans="3:17">
      <c r="C239" s="1694"/>
      <c r="D239" s="1694"/>
      <c r="E239" s="1694" t="s">
        <v>2017</v>
      </c>
      <c r="F239" s="1694" t="s">
        <v>2016</v>
      </c>
      <c r="G239" s="1694"/>
      <c r="H239" s="1694"/>
      <c r="I239" s="1761">
        <v>0</v>
      </c>
      <c r="J239" s="1761">
        <v>0</v>
      </c>
      <c r="K239" s="1761">
        <v>0.34499999999999997</v>
      </c>
      <c r="L239" s="1761">
        <v>0</v>
      </c>
      <c r="M239" s="1761">
        <v>0</v>
      </c>
      <c r="N239" s="1761">
        <v>0.88800000000000001</v>
      </c>
      <c r="O239" s="1761">
        <v>0</v>
      </c>
      <c r="P239" s="1761">
        <v>0</v>
      </c>
      <c r="Q239" s="1761">
        <v>0.86199999999999999</v>
      </c>
    </row>
    <row r="240" spans="3:17">
      <c r="C240" s="1694"/>
      <c r="D240" s="1694"/>
      <c r="E240" s="1694" t="s">
        <v>2018</v>
      </c>
      <c r="F240" s="1694" t="s">
        <v>2019</v>
      </c>
      <c r="G240" s="1694"/>
      <c r="H240" s="1694"/>
      <c r="I240" s="1761">
        <v>0.13900000000000001</v>
      </c>
      <c r="J240" s="1761">
        <v>0</v>
      </c>
      <c r="K240" s="1761">
        <v>0.13900000000000001</v>
      </c>
      <c r="L240" s="1761">
        <v>1.7000000000000001E-2</v>
      </c>
      <c r="M240" s="1761">
        <v>0</v>
      </c>
      <c r="N240" s="1761">
        <v>1.7000000000000001E-2</v>
      </c>
      <c r="O240" s="1761">
        <v>5.8999999999999997E-2</v>
      </c>
      <c r="P240" s="1761">
        <v>0</v>
      </c>
      <c r="Q240" s="1761">
        <v>5.8999999999999997E-2</v>
      </c>
    </row>
    <row r="241" spans="3:17">
      <c r="C241" s="1762"/>
      <c r="D241" s="1762"/>
      <c r="E241" s="1762" t="s">
        <v>2020</v>
      </c>
      <c r="F241" s="1762" t="s">
        <v>2019</v>
      </c>
      <c r="G241" s="1762"/>
      <c r="H241" s="1762"/>
      <c r="I241" s="1761"/>
      <c r="J241" s="1761">
        <v>0</v>
      </c>
      <c r="K241" s="1761">
        <v>0</v>
      </c>
      <c r="L241" s="1761"/>
      <c r="M241" s="1761">
        <v>0</v>
      </c>
      <c r="N241" s="1761">
        <v>0</v>
      </c>
      <c r="O241" s="1761"/>
      <c r="P241" s="1761">
        <v>0</v>
      </c>
      <c r="Q241" s="1761">
        <v>0</v>
      </c>
    </row>
    <row r="242" spans="3:17">
      <c r="C242" s="1694"/>
      <c r="D242" s="1694"/>
      <c r="E242" s="1694" t="s">
        <v>2021</v>
      </c>
      <c r="F242" s="1694" t="s">
        <v>2019</v>
      </c>
      <c r="G242" s="1694"/>
      <c r="H242" s="1694"/>
      <c r="I242" s="1761">
        <v>0.04</v>
      </c>
      <c r="J242" s="1761">
        <v>0</v>
      </c>
      <c r="K242" s="1761">
        <v>0.04</v>
      </c>
      <c r="L242" s="1761">
        <v>0.11799999999999999</v>
      </c>
      <c r="M242" s="1761">
        <v>0</v>
      </c>
      <c r="N242" s="1761">
        <v>0.11799999999999999</v>
      </c>
      <c r="O242" s="1761">
        <v>0.1</v>
      </c>
      <c r="P242" s="1761">
        <v>0</v>
      </c>
      <c r="Q242" s="1761">
        <v>0.1</v>
      </c>
    </row>
    <row r="243" spans="3:17">
      <c r="C243" s="1694"/>
      <c r="D243" s="1694"/>
      <c r="E243" s="1694" t="s">
        <v>1722</v>
      </c>
      <c r="F243" s="1694" t="s">
        <v>2019</v>
      </c>
      <c r="G243" s="1694"/>
      <c r="H243" s="1694"/>
      <c r="I243" s="1761">
        <v>4.0000000000000001E-3</v>
      </c>
      <c r="J243" s="1761">
        <v>0</v>
      </c>
      <c r="K243" s="1761">
        <v>4.3499999999999997E-3</v>
      </c>
      <c r="L243" s="1761">
        <v>1.4999999999999999E-2</v>
      </c>
      <c r="M243" s="1761">
        <v>0</v>
      </c>
      <c r="N243" s="1761">
        <v>1.4800000000000001E-2</v>
      </c>
      <c r="O243" s="1761">
        <v>1.2E-2</v>
      </c>
      <c r="P243" s="1761">
        <v>0</v>
      </c>
      <c r="Q243" s="1761">
        <v>1.227E-2</v>
      </c>
    </row>
    <row r="244" spans="3:17">
      <c r="C244" s="1694"/>
      <c r="D244" s="1694" t="s">
        <v>364</v>
      </c>
      <c r="E244" s="1694" t="s">
        <v>2015</v>
      </c>
      <c r="F244" s="1694" t="s">
        <v>2016</v>
      </c>
      <c r="G244" s="1694"/>
      <c r="H244" s="1694"/>
      <c r="I244" s="1761">
        <v>0.35399999999999998</v>
      </c>
      <c r="J244" s="1761">
        <v>0</v>
      </c>
      <c r="K244" s="1761">
        <v>0</v>
      </c>
      <c r="L244" s="1761">
        <v>0.77</v>
      </c>
      <c r="M244" s="1761">
        <v>0</v>
      </c>
      <c r="N244" s="1761">
        <v>0</v>
      </c>
      <c r="O244" s="1761">
        <v>0.66900000000000004</v>
      </c>
      <c r="P244" s="1761">
        <v>0</v>
      </c>
      <c r="Q244" s="1761">
        <v>0</v>
      </c>
    </row>
    <row r="245" spans="3:17">
      <c r="C245" s="1694"/>
      <c r="D245" s="1694"/>
      <c r="E245" s="1694" t="s">
        <v>2017</v>
      </c>
      <c r="F245" s="1694" t="s">
        <v>2016</v>
      </c>
      <c r="G245" s="1694"/>
      <c r="H245" s="1694"/>
      <c r="I245" s="1761">
        <v>0</v>
      </c>
      <c r="J245" s="1761">
        <v>0</v>
      </c>
      <c r="K245" s="1761">
        <v>0.35399999999999998</v>
      </c>
      <c r="L245" s="1761">
        <v>0</v>
      </c>
      <c r="M245" s="1761">
        <v>0</v>
      </c>
      <c r="N245" s="1761">
        <v>0.77</v>
      </c>
      <c r="O245" s="1761">
        <v>0</v>
      </c>
      <c r="P245" s="1761">
        <v>0</v>
      </c>
      <c r="Q245" s="1761">
        <v>0.66900000000000004</v>
      </c>
    </row>
    <row r="246" spans="3:17">
      <c r="C246" s="1694"/>
      <c r="D246" s="1694"/>
      <c r="E246" s="1694" t="s">
        <v>2018</v>
      </c>
      <c r="F246" s="1694" t="s">
        <v>2019</v>
      </c>
      <c r="G246" s="1694"/>
      <c r="H246" s="1694"/>
      <c r="I246" s="1761">
        <v>8.7999999999999995E-2</v>
      </c>
      <c r="J246" s="1761">
        <v>0</v>
      </c>
      <c r="K246" s="1761">
        <v>8.7999999999999995E-2</v>
      </c>
      <c r="L246" s="1761">
        <v>0.01</v>
      </c>
      <c r="M246" s="1761">
        <v>0</v>
      </c>
      <c r="N246" s="1761">
        <v>0.01</v>
      </c>
      <c r="O246" s="1761">
        <v>7.6999999999999999E-2</v>
      </c>
      <c r="P246" s="1761">
        <v>0</v>
      </c>
      <c r="Q246" s="1761">
        <v>7.6999999999999999E-2</v>
      </c>
    </row>
    <row r="247" spans="3:17">
      <c r="C247" s="1762"/>
      <c r="D247" s="1762"/>
      <c r="E247" s="1762" t="s">
        <v>2020</v>
      </c>
      <c r="F247" s="1762" t="s">
        <v>2019</v>
      </c>
      <c r="G247" s="1762"/>
      <c r="H247" s="1762"/>
      <c r="I247" s="1761"/>
      <c r="J247" s="1761">
        <v>0</v>
      </c>
      <c r="K247" s="1761">
        <v>0</v>
      </c>
      <c r="L247" s="1761"/>
      <c r="M247" s="1761">
        <v>0</v>
      </c>
      <c r="N247" s="1761">
        <v>0</v>
      </c>
      <c r="O247" s="1761"/>
      <c r="P247" s="1761">
        <v>0</v>
      </c>
      <c r="Q247" s="1761">
        <v>0</v>
      </c>
    </row>
    <row r="248" spans="3:17">
      <c r="C248" s="1694"/>
      <c r="D248" s="1694"/>
      <c r="E248" s="1694" t="s">
        <v>2021</v>
      </c>
      <c r="F248" s="1694" t="s">
        <v>2019</v>
      </c>
      <c r="G248" s="1694"/>
      <c r="H248" s="1694"/>
      <c r="I248" s="1761">
        <v>3.1E-2</v>
      </c>
      <c r="J248" s="1761">
        <v>0</v>
      </c>
      <c r="K248" s="1761">
        <v>3.1E-2</v>
      </c>
      <c r="L248" s="1761">
        <v>0.108</v>
      </c>
      <c r="M248" s="1761">
        <v>0</v>
      </c>
      <c r="N248" s="1761">
        <v>0.108</v>
      </c>
      <c r="O248" s="1761">
        <v>0.08</v>
      </c>
      <c r="P248" s="1761">
        <v>0</v>
      </c>
      <c r="Q248" s="1761">
        <v>0.08</v>
      </c>
    </row>
    <row r="249" spans="3:17">
      <c r="C249" s="1694"/>
      <c r="D249" s="1694"/>
      <c r="E249" s="1694" t="s">
        <v>1722</v>
      </c>
      <c r="F249" s="1694" t="s">
        <v>2019</v>
      </c>
      <c r="G249" s="1694"/>
      <c r="H249" s="1694"/>
      <c r="I249" s="1761">
        <v>2E-3</v>
      </c>
      <c r="J249" s="1761">
        <v>0</v>
      </c>
      <c r="K249" s="1761">
        <v>2.0999999999999999E-3</v>
      </c>
      <c r="L249" s="1761">
        <v>8.9999999999999993E-3</v>
      </c>
      <c r="M249" s="1761">
        <v>0</v>
      </c>
      <c r="N249" s="1761">
        <v>9.1500000000000001E-3</v>
      </c>
      <c r="O249" s="1761">
        <v>7.0000000000000001E-3</v>
      </c>
      <c r="P249" s="1761">
        <v>0</v>
      </c>
      <c r="Q249" s="1761">
        <v>6.6899999999999998E-3</v>
      </c>
    </row>
    <row r="250" spans="3:17">
      <c r="C250" s="1694"/>
      <c r="D250" s="1694" t="s">
        <v>1615</v>
      </c>
      <c r="E250" s="1694" t="s">
        <v>2015</v>
      </c>
      <c r="F250" s="1694" t="s">
        <v>2016</v>
      </c>
      <c r="G250" s="1694"/>
      <c r="H250" s="1694"/>
      <c r="I250" s="1761">
        <v>0.317</v>
      </c>
      <c r="J250" s="1761">
        <v>0</v>
      </c>
      <c r="K250" s="1761">
        <v>0</v>
      </c>
      <c r="L250" s="1761">
        <v>0.76600000000000001</v>
      </c>
      <c r="M250" s="1761">
        <v>0</v>
      </c>
      <c r="N250" s="1761">
        <v>0</v>
      </c>
      <c r="O250" s="1761">
        <v>0.81200000000000006</v>
      </c>
      <c r="P250" s="1761">
        <v>0</v>
      </c>
      <c r="Q250" s="1761">
        <v>0</v>
      </c>
    </row>
    <row r="251" spans="3:17">
      <c r="C251" s="1694"/>
      <c r="D251" s="1694"/>
      <c r="E251" s="1694" t="s">
        <v>2017</v>
      </c>
      <c r="F251" s="1694" t="s">
        <v>2016</v>
      </c>
      <c r="G251" s="1694"/>
      <c r="H251" s="1694"/>
      <c r="I251" s="1761">
        <v>0</v>
      </c>
      <c r="J251" s="1761">
        <v>0</v>
      </c>
      <c r="K251" s="1761">
        <v>0.317</v>
      </c>
      <c r="L251" s="1761">
        <v>0</v>
      </c>
      <c r="M251" s="1761">
        <v>0</v>
      </c>
      <c r="N251" s="1761">
        <v>0.76600000000000001</v>
      </c>
      <c r="O251" s="1761">
        <v>0</v>
      </c>
      <c r="P251" s="1761">
        <v>0</v>
      </c>
      <c r="Q251" s="1761">
        <v>0.81200000000000006</v>
      </c>
    </row>
    <row r="252" spans="3:17">
      <c r="C252" s="1694"/>
      <c r="D252" s="1694"/>
      <c r="E252" s="1694" t="s">
        <v>2018</v>
      </c>
      <c r="F252" s="1694" t="s">
        <v>2019</v>
      </c>
      <c r="G252" s="1694"/>
      <c r="H252" s="1694"/>
      <c r="I252" s="1761">
        <v>7.3999999999999996E-2</v>
      </c>
      <c r="J252" s="1761">
        <v>0</v>
      </c>
      <c r="K252" s="1761">
        <v>7.3999999999999996E-2</v>
      </c>
      <c r="L252" s="1761">
        <v>1.2E-2</v>
      </c>
      <c r="M252" s="1761">
        <v>0</v>
      </c>
      <c r="N252" s="1761">
        <v>1.2E-2</v>
      </c>
      <c r="O252" s="1761">
        <v>0.66</v>
      </c>
      <c r="P252" s="1761">
        <v>0</v>
      </c>
      <c r="Q252" s="1761">
        <v>6.6000000000000003E-2</v>
      </c>
    </row>
    <row r="253" spans="3:17">
      <c r="C253" s="1762"/>
      <c r="D253" s="1762"/>
      <c r="E253" s="1762" t="s">
        <v>2020</v>
      </c>
      <c r="F253" s="1762" t="s">
        <v>2019</v>
      </c>
      <c r="G253" s="1762"/>
      <c r="H253" s="1762"/>
      <c r="I253" s="1761"/>
      <c r="J253" s="1761">
        <v>0</v>
      </c>
      <c r="K253" s="1761">
        <v>0</v>
      </c>
      <c r="L253" s="1761"/>
      <c r="M253" s="1761">
        <v>0</v>
      </c>
      <c r="N253" s="1761">
        <v>0</v>
      </c>
      <c r="O253" s="1761"/>
      <c r="P253" s="1761">
        <v>0</v>
      </c>
      <c r="Q253" s="1761">
        <v>0</v>
      </c>
    </row>
    <row r="254" spans="3:17">
      <c r="C254" s="1694"/>
      <c r="D254" s="1694"/>
      <c r="E254" s="1694" t="s">
        <v>2021</v>
      </c>
      <c r="F254" s="1694" t="s">
        <v>2019</v>
      </c>
      <c r="G254" s="1694"/>
      <c r="H254" s="1694"/>
      <c r="I254" s="1761">
        <v>3.4000000000000002E-2</v>
      </c>
      <c r="J254" s="1761">
        <v>0</v>
      </c>
      <c r="K254" s="1761">
        <v>3.4000000000000002E-2</v>
      </c>
      <c r="L254" s="1761">
        <v>9.6000000000000002E-2</v>
      </c>
      <c r="M254" s="1761">
        <v>0</v>
      </c>
      <c r="N254" s="1761">
        <v>9.6000000000000002E-2</v>
      </c>
      <c r="O254" s="1761">
        <v>8.8999999999999996E-2</v>
      </c>
      <c r="P254" s="1761">
        <v>0</v>
      </c>
      <c r="Q254" s="1761">
        <v>8.8999999999999996E-2</v>
      </c>
    </row>
    <row r="255" spans="3:17">
      <c r="C255" s="1694"/>
      <c r="D255" s="1694"/>
      <c r="E255" s="1694" t="s">
        <v>1722</v>
      </c>
      <c r="F255" s="1694" t="s">
        <v>2019</v>
      </c>
      <c r="G255" s="1694"/>
      <c r="H255" s="1694"/>
      <c r="I255" s="1761">
        <v>2E-3</v>
      </c>
      <c r="J255" s="1761">
        <v>0</v>
      </c>
      <c r="K255" s="1761">
        <v>2E-3</v>
      </c>
      <c r="L255" s="1761">
        <v>1.2999999999999999E-2</v>
      </c>
      <c r="M255" s="1761">
        <v>0</v>
      </c>
      <c r="N255" s="1761">
        <v>1.2999999999999999E-2</v>
      </c>
      <c r="O255" s="1761">
        <v>0.01</v>
      </c>
      <c r="P255" s="1761">
        <v>0</v>
      </c>
      <c r="Q255" s="1761">
        <v>9.6900000000000007E-3</v>
      </c>
    </row>
    <row r="256" spans="3:17">
      <c r="C256" s="1694"/>
      <c r="D256" s="1694" t="s">
        <v>549</v>
      </c>
      <c r="E256" s="1694" t="s">
        <v>2015</v>
      </c>
      <c r="F256" s="1694" t="s">
        <v>2016</v>
      </c>
      <c r="G256" s="1694"/>
      <c r="H256" s="1694"/>
      <c r="I256" s="1761">
        <v>0.436</v>
      </c>
      <c r="J256" s="1761">
        <v>0</v>
      </c>
      <c r="K256" s="1761">
        <v>0</v>
      </c>
      <c r="L256" s="1761">
        <v>0.999</v>
      </c>
      <c r="M256" s="1761">
        <v>0</v>
      </c>
      <c r="N256" s="1761">
        <v>0</v>
      </c>
      <c r="O256" s="1761">
        <v>0.81599999999999995</v>
      </c>
      <c r="P256" s="1761">
        <v>0</v>
      </c>
      <c r="Q256" s="1761">
        <v>0</v>
      </c>
    </row>
    <row r="257" spans="3:17">
      <c r="C257" s="1694"/>
      <c r="D257" s="1694"/>
      <c r="E257" s="1694" t="s">
        <v>2017</v>
      </c>
      <c r="F257" s="1694" t="s">
        <v>2016</v>
      </c>
      <c r="G257" s="1694"/>
      <c r="H257" s="1694"/>
      <c r="I257" s="1761">
        <v>0</v>
      </c>
      <c r="J257" s="1761">
        <v>0</v>
      </c>
      <c r="K257" s="1761">
        <v>0.436</v>
      </c>
      <c r="L257" s="1761">
        <v>0</v>
      </c>
      <c r="M257" s="1761">
        <v>0</v>
      </c>
      <c r="N257" s="1761">
        <v>0.999</v>
      </c>
      <c r="O257" s="1761">
        <v>0</v>
      </c>
      <c r="P257" s="1761">
        <v>0</v>
      </c>
      <c r="Q257" s="1761">
        <v>0.81599999999999995</v>
      </c>
    </row>
    <row r="258" spans="3:17">
      <c r="C258" s="1694"/>
      <c r="D258" s="1694"/>
      <c r="E258" s="1694" t="s">
        <v>2018</v>
      </c>
      <c r="F258" s="1694" t="s">
        <v>2019</v>
      </c>
      <c r="G258" s="1694"/>
      <c r="H258" s="1694"/>
      <c r="I258" s="1761">
        <v>0.10299999999999999</v>
      </c>
      <c r="J258" s="1761">
        <v>0</v>
      </c>
      <c r="K258" s="1761">
        <v>0.10299999999999999</v>
      </c>
      <c r="L258" s="1761">
        <v>4.0000000000000001E-3</v>
      </c>
      <c r="M258" s="1761">
        <v>0</v>
      </c>
      <c r="N258" s="1761">
        <v>4.0000000000000001E-3</v>
      </c>
      <c r="O258" s="1761">
        <v>8.4000000000000005E-2</v>
      </c>
      <c r="P258" s="1761">
        <v>0</v>
      </c>
      <c r="Q258" s="1761">
        <v>8.4000000000000005E-2</v>
      </c>
    </row>
    <row r="259" spans="3:17">
      <c r="C259" s="1762"/>
      <c r="D259" s="1762"/>
      <c r="E259" s="1762" t="s">
        <v>2020</v>
      </c>
      <c r="F259" s="1762" t="s">
        <v>2019</v>
      </c>
      <c r="G259" s="1762"/>
      <c r="H259" s="1762"/>
      <c r="I259" s="1761"/>
      <c r="J259" s="1761">
        <v>0</v>
      </c>
      <c r="K259" s="1761">
        <v>0</v>
      </c>
      <c r="L259" s="1761"/>
      <c r="M259" s="1761">
        <v>0</v>
      </c>
      <c r="N259" s="1761">
        <v>0</v>
      </c>
      <c r="O259" s="1761"/>
      <c r="P259" s="1761">
        <v>0</v>
      </c>
      <c r="Q259" s="1761">
        <v>0</v>
      </c>
    </row>
    <row r="260" spans="3:17">
      <c r="C260" s="1694"/>
      <c r="D260" s="1694"/>
      <c r="E260" s="1694" t="s">
        <v>2021</v>
      </c>
      <c r="F260" s="1694" t="s">
        <v>2019</v>
      </c>
      <c r="G260" s="1694"/>
      <c r="H260" s="1694"/>
      <c r="I260" s="1761">
        <v>3.4000000000000002E-2</v>
      </c>
      <c r="J260" s="1761">
        <v>0</v>
      </c>
      <c r="K260" s="1761">
        <v>3.4000000000000002E-2</v>
      </c>
      <c r="L260" s="1761">
        <v>0.111</v>
      </c>
      <c r="M260" s="1761">
        <v>0</v>
      </c>
      <c r="N260" s="1761">
        <v>0.111</v>
      </c>
      <c r="O260" s="1761">
        <v>9.2999999999999999E-2</v>
      </c>
      <c r="P260" s="1761">
        <v>0</v>
      </c>
      <c r="Q260" s="1761">
        <v>9.2999999999999999E-2</v>
      </c>
    </row>
    <row r="261" spans="3:17">
      <c r="C261" s="1694"/>
      <c r="D261" s="1694"/>
      <c r="E261" s="1694" t="s">
        <v>1722</v>
      </c>
      <c r="F261" s="1694" t="s">
        <v>2019</v>
      </c>
      <c r="G261" s="1694"/>
      <c r="H261" s="1694"/>
      <c r="I261" s="1761">
        <v>5.0000000000000001E-3</v>
      </c>
      <c r="J261" s="1761">
        <v>0</v>
      </c>
      <c r="K261" s="1761">
        <v>4.7099999999999998E-3</v>
      </c>
      <c r="L261" s="1761">
        <v>1.4E-2</v>
      </c>
      <c r="M261" s="1761">
        <v>0</v>
      </c>
      <c r="N261" s="1761">
        <v>1.434E-2</v>
      </c>
      <c r="O261" s="1761">
        <v>1.2E-2</v>
      </c>
      <c r="P261" s="1761">
        <v>0</v>
      </c>
      <c r="Q261" s="1761">
        <v>1.248E-2</v>
      </c>
    </row>
    <row r="262" spans="3:17">
      <c r="C262" s="1694"/>
      <c r="D262" s="1694" t="s">
        <v>1724</v>
      </c>
      <c r="E262" s="1694" t="s">
        <v>2015</v>
      </c>
      <c r="F262" s="1694" t="s">
        <v>2016</v>
      </c>
      <c r="G262" s="1694"/>
      <c r="H262" s="1694"/>
      <c r="I262" s="1761">
        <v>0.32300000000000001</v>
      </c>
      <c r="J262" s="1761">
        <v>0</v>
      </c>
      <c r="K262" s="1761">
        <v>0</v>
      </c>
      <c r="L262" s="1761">
        <v>0.73399999999999999</v>
      </c>
      <c r="M262" s="1761">
        <v>0</v>
      </c>
      <c r="N262" s="1761">
        <v>0</v>
      </c>
      <c r="O262" s="1761">
        <v>0.75</v>
      </c>
      <c r="P262" s="1761">
        <v>0</v>
      </c>
      <c r="Q262" s="1761">
        <v>0</v>
      </c>
    </row>
    <row r="263" spans="3:17">
      <c r="C263" s="1694"/>
      <c r="D263" s="1694"/>
      <c r="E263" s="1694" t="s">
        <v>2017</v>
      </c>
      <c r="F263" s="1694" t="s">
        <v>2016</v>
      </c>
      <c r="G263" s="1694"/>
      <c r="H263" s="1694"/>
      <c r="I263" s="1761">
        <v>0</v>
      </c>
      <c r="J263" s="1761">
        <v>0</v>
      </c>
      <c r="K263" s="1761">
        <v>0.32300000000000001</v>
      </c>
      <c r="L263" s="1761">
        <v>0</v>
      </c>
      <c r="M263" s="1761">
        <v>0</v>
      </c>
      <c r="N263" s="1761">
        <v>0.73399999999999999</v>
      </c>
      <c r="O263" s="1761">
        <v>0</v>
      </c>
      <c r="P263" s="1761">
        <v>0</v>
      </c>
      <c r="Q263" s="1761">
        <v>0.75</v>
      </c>
    </row>
    <row r="264" spans="3:17">
      <c r="C264" s="1694"/>
      <c r="D264" s="1694"/>
      <c r="E264" s="1694" t="s">
        <v>2018</v>
      </c>
      <c r="F264" s="1694" t="s">
        <v>2019</v>
      </c>
      <c r="G264" s="1694"/>
      <c r="H264" s="1694"/>
      <c r="I264" s="1761">
        <v>4.8000000000000001E-2</v>
      </c>
      <c r="J264" s="1761">
        <v>0</v>
      </c>
      <c r="K264" s="1761">
        <v>4.8000000000000001E-2</v>
      </c>
      <c r="L264" s="1761">
        <v>1.2E-2</v>
      </c>
      <c r="M264" s="1761">
        <v>0</v>
      </c>
      <c r="N264" s="1761">
        <v>1.2E-2</v>
      </c>
      <c r="O264" s="1761">
        <v>5.1999999999999998E-2</v>
      </c>
      <c r="P264" s="1761">
        <v>0</v>
      </c>
      <c r="Q264" s="1761">
        <v>5.1999999999999998E-2</v>
      </c>
    </row>
    <row r="265" spans="3:17">
      <c r="C265" s="1762"/>
      <c r="D265" s="1762"/>
      <c r="E265" s="1762" t="s">
        <v>2020</v>
      </c>
      <c r="F265" s="1762" t="s">
        <v>2019</v>
      </c>
      <c r="G265" s="1762"/>
      <c r="H265" s="1762"/>
      <c r="I265" s="1761"/>
      <c r="J265" s="1761">
        <v>0</v>
      </c>
      <c r="K265" s="1761">
        <v>0</v>
      </c>
      <c r="L265" s="1761"/>
      <c r="M265" s="1761">
        <v>0</v>
      </c>
      <c r="N265" s="1761">
        <v>0</v>
      </c>
      <c r="O265" s="1761"/>
      <c r="P265" s="1761">
        <v>0</v>
      </c>
      <c r="Q265" s="1761">
        <v>0</v>
      </c>
    </row>
    <row r="266" spans="3:17">
      <c r="C266" s="1694"/>
      <c r="D266" s="1694"/>
      <c r="E266" s="1694" t="s">
        <v>2021</v>
      </c>
      <c r="F266" s="1694" t="s">
        <v>2019</v>
      </c>
      <c r="G266" s="1694"/>
      <c r="H266" s="1694"/>
      <c r="I266" s="1761">
        <v>1.9E-2</v>
      </c>
      <c r="J266" s="1761">
        <v>0</v>
      </c>
      <c r="K266" s="1761">
        <v>1.9E-2</v>
      </c>
      <c r="L266" s="1761">
        <v>0.1</v>
      </c>
      <c r="M266" s="1761">
        <v>0</v>
      </c>
      <c r="N266" s="1761">
        <v>0.1</v>
      </c>
      <c r="O266" s="1761">
        <v>0.13600000000000001</v>
      </c>
      <c r="P266" s="1761">
        <v>0</v>
      </c>
      <c r="Q266" s="1761">
        <v>0.13600000000000001</v>
      </c>
    </row>
    <row r="267" spans="3:17">
      <c r="C267" s="1694"/>
      <c r="D267" s="1694"/>
      <c r="E267" s="1694" t="s">
        <v>1722</v>
      </c>
      <c r="F267" s="1694" t="s">
        <v>2019</v>
      </c>
      <c r="G267" s="1694"/>
      <c r="H267" s="1694"/>
      <c r="I267" s="1761">
        <v>2E-3</v>
      </c>
      <c r="J267" s="1761">
        <v>0</v>
      </c>
      <c r="K267" s="1761">
        <v>1.98E-3</v>
      </c>
      <c r="L267" s="1761">
        <v>1.2999999999999999E-2</v>
      </c>
      <c r="M267" s="1761">
        <v>0</v>
      </c>
      <c r="N267" s="1761">
        <v>1.329E-2</v>
      </c>
      <c r="O267" s="1761">
        <v>0.125</v>
      </c>
      <c r="P267" s="1761">
        <v>0</v>
      </c>
      <c r="Q267" s="1761">
        <v>0.12509999999999999</v>
      </c>
    </row>
    <row r="268" spans="3:17">
      <c r="C268" s="1699" t="s">
        <v>2198</v>
      </c>
      <c r="D268" s="1699"/>
      <c r="E268" s="1694"/>
      <c r="F268" s="1694"/>
      <c r="G268" s="1694"/>
      <c r="H268" s="1694"/>
      <c r="I268" s="1694"/>
      <c r="J268" s="1759"/>
      <c r="K268" s="1759"/>
      <c r="L268" s="1759"/>
      <c r="M268" s="1759"/>
      <c r="N268" s="1759"/>
      <c r="O268" s="1759"/>
      <c r="P268" s="1759"/>
      <c r="Q268" s="1759"/>
    </row>
    <row r="269" spans="3:17">
      <c r="C269" s="1694"/>
      <c r="D269" s="1699" t="s">
        <v>2199</v>
      </c>
      <c r="E269" s="1694"/>
      <c r="F269" s="1694"/>
      <c r="G269" s="1694"/>
      <c r="H269" s="1694"/>
      <c r="I269" s="1754">
        <v>25</v>
      </c>
      <c r="J269" s="1759" t="s">
        <v>2200</v>
      </c>
      <c r="K269" s="1759"/>
      <c r="L269" s="1759"/>
      <c r="M269" s="1759"/>
      <c r="N269" s="1759"/>
      <c r="O269" s="1759"/>
      <c r="P269" s="1759"/>
      <c r="Q269" s="1759"/>
    </row>
    <row r="270" spans="3:17" hidden="1">
      <c r="C270" s="1694"/>
      <c r="D270" s="1709" t="s">
        <v>2201</v>
      </c>
      <c r="E270" s="1694"/>
      <c r="F270" s="1694"/>
      <c r="G270" s="1694"/>
      <c r="H270" s="1694"/>
      <c r="I270" s="1754"/>
      <c r="J270" s="1759"/>
      <c r="K270" s="1759"/>
      <c r="L270" s="1759"/>
      <c r="M270" s="1759"/>
      <c r="N270" s="1759"/>
      <c r="O270" s="1759"/>
      <c r="P270" s="1759"/>
      <c r="Q270" s="1759"/>
    </row>
    <row r="271" spans="3:17">
      <c r="C271" s="1694"/>
      <c r="D271" s="1699" t="s">
        <v>2202</v>
      </c>
      <c r="E271" s="1694"/>
      <c r="F271" s="1699"/>
      <c r="G271" s="1694"/>
      <c r="H271" s="1694"/>
      <c r="I271" s="1754">
        <v>18</v>
      </c>
      <c r="J271" s="1759" t="s">
        <v>2200</v>
      </c>
      <c r="K271" s="1759"/>
      <c r="L271" s="1759"/>
      <c r="M271" s="1759"/>
      <c r="N271" s="1759"/>
      <c r="O271" s="1759"/>
      <c r="P271" s="1759"/>
      <c r="Q271" s="1759"/>
    </row>
    <row r="272" spans="3:17">
      <c r="C272" s="1694"/>
      <c r="D272" s="1699" t="s">
        <v>2203</v>
      </c>
      <c r="E272" s="1694"/>
      <c r="F272" s="1699"/>
      <c r="G272" s="1694"/>
      <c r="H272" s="1694"/>
      <c r="I272" s="1754">
        <v>15</v>
      </c>
      <c r="J272" s="1759" t="s">
        <v>2200</v>
      </c>
      <c r="K272" s="1759"/>
      <c r="L272" s="1759"/>
      <c r="M272" s="1759"/>
      <c r="N272" s="1759"/>
      <c r="O272" s="1759"/>
      <c r="P272" s="1759"/>
      <c r="Q272" s="1759"/>
    </row>
    <row r="273" spans="3:17">
      <c r="C273" s="1694"/>
      <c r="D273" s="1699"/>
      <c r="E273" s="1694"/>
      <c r="F273" s="1694"/>
      <c r="G273" s="1694"/>
      <c r="H273" s="1694"/>
      <c r="I273" s="1694"/>
      <c r="J273" s="1694"/>
      <c r="K273" s="1759"/>
      <c r="L273" s="1759"/>
      <c r="M273" s="1759"/>
      <c r="N273" s="1759"/>
      <c r="O273" s="1759"/>
      <c r="P273" s="1759"/>
      <c r="Q273" s="1759"/>
    </row>
    <row r="274" spans="3:17">
      <c r="C274" s="1694" t="s">
        <v>2204</v>
      </c>
      <c r="D274" s="1694"/>
      <c r="E274" s="1694"/>
      <c r="F274" s="1694"/>
      <c r="G274" s="1694"/>
      <c r="H274" s="1694"/>
      <c r="I274" s="1694"/>
      <c r="J274" s="1694"/>
      <c r="K274" s="1694"/>
      <c r="L274" s="1694"/>
      <c r="M274" s="1694"/>
      <c r="N274" s="1694"/>
      <c r="O274" s="1694"/>
      <c r="P274" s="1694"/>
      <c r="Q274" s="1694"/>
    </row>
    <row r="275" spans="3:17">
      <c r="C275" s="1694"/>
      <c r="D275" s="1694" t="s">
        <v>2199</v>
      </c>
      <c r="E275" s="1694"/>
      <c r="F275" s="1694"/>
      <c r="G275" s="1694"/>
      <c r="H275" s="1694"/>
      <c r="I275" s="1753">
        <v>0.01</v>
      </c>
      <c r="J275" s="1694" t="s">
        <v>2205</v>
      </c>
      <c r="K275" s="1694"/>
      <c r="L275" s="1694"/>
      <c r="M275" s="1694"/>
      <c r="N275" s="1694"/>
      <c r="O275" s="1694"/>
      <c r="P275" s="1694"/>
      <c r="Q275" s="1694"/>
    </row>
    <row r="276" spans="3:17">
      <c r="C276" s="1694"/>
      <c r="D276" s="1694" t="s">
        <v>2202</v>
      </c>
      <c r="E276" s="1694"/>
      <c r="F276" s="1694"/>
      <c r="G276" s="1694"/>
      <c r="H276" s="1694"/>
      <c r="I276" s="1753">
        <v>0.01</v>
      </c>
      <c r="J276" s="1694" t="s">
        <v>2205</v>
      </c>
      <c r="K276" s="1694"/>
      <c r="L276" s="1694"/>
      <c r="M276" s="1694"/>
      <c r="N276" s="1694"/>
      <c r="O276" s="1694"/>
      <c r="P276" s="1694"/>
      <c r="Q276" s="1694"/>
    </row>
    <row r="277" spans="3:17">
      <c r="C277" s="1694"/>
      <c r="D277" s="1694" t="s">
        <v>2203</v>
      </c>
      <c r="E277" s="1694"/>
      <c r="F277" s="1694"/>
      <c r="G277" s="1694"/>
      <c r="H277" s="1694"/>
      <c r="I277" s="1753">
        <v>0.02</v>
      </c>
      <c r="J277" s="1694" t="s">
        <v>2205</v>
      </c>
      <c r="K277" s="1694"/>
      <c r="L277" s="1694"/>
      <c r="M277" s="1694"/>
      <c r="N277" s="1694"/>
      <c r="O277" s="1694"/>
      <c r="P277" s="1694"/>
      <c r="Q277" s="1694"/>
    </row>
    <row r="278" spans="3:17"/>
    <row r="279" spans="3:17" hidden="1"/>
    <row r="280" spans="3:17" hidden="1"/>
    <row r="281" spans="3:17" hidden="1"/>
    <row r="282" spans="3:17" hidden="1"/>
    <row r="283" spans="3:17" hidden="1"/>
    <row r="284" spans="3:17" hidden="1"/>
    <row r="285" spans="3:17" hidden="1"/>
    <row r="286" spans="3:17" hidden="1"/>
    <row r="287" spans="3:17" hidden="1"/>
    <row r="288" spans="3:17"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sheetData>
  <sheetProtection password="CC47" sheet="1" objects="1" scenarios="1"/>
  <phoneticPr fontId="21"/>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60" fitToHeight="0" orientation="portrait" verticalDpi="300" r:id="rId1"/>
  <headerFooter alignWithMargins="0">
    <oddHeader>&amp;L&amp;F&amp;R&amp;A</oddHeader>
    <oddFooter>&amp;C&amp;P/&amp;N</oddFooter>
  </headerFooter>
  <rowBreaks count="2" manualBreakCount="2">
    <brk id="92" max="17" man="1"/>
    <brk id="197" max="17" man="1"/>
  </rowBreaks>
</worksheet>
</file>

<file path=xl/worksheets/sheet21.xml><?xml version="1.0" encoding="utf-8"?>
<worksheet xmlns="http://schemas.openxmlformats.org/spreadsheetml/2006/main" xmlns:r="http://schemas.openxmlformats.org/officeDocument/2006/relationships">
  <sheetPr codeName="Sheet20">
    <pageSetUpPr fitToPage="1"/>
  </sheetPr>
  <dimension ref="A1:S152"/>
  <sheetViews>
    <sheetView showGridLines="0" zoomScaleNormal="100" workbookViewId="0">
      <selection activeCell="H1" sqref="H1"/>
    </sheetView>
  </sheetViews>
  <sheetFormatPr defaultColWidth="0" defaultRowHeight="13.5" customHeight="1" zeroHeight="1"/>
  <cols>
    <col min="1" max="1" width="1.125" style="949" customWidth="1"/>
    <col min="2" max="18" width="8.75" style="949" customWidth="1"/>
    <col min="19" max="19" width="1.5" style="949" customWidth="1"/>
    <col min="20" max="16384" width="8.75" style="949" hidden="1"/>
  </cols>
  <sheetData>
    <row r="1" spans="2:18" ht="13.5" customHeight="1">
      <c r="B1" s="2106"/>
      <c r="C1" s="2106"/>
      <c r="D1" s="2106"/>
      <c r="E1" s="2106"/>
      <c r="F1" s="2106"/>
      <c r="G1" s="2106"/>
      <c r="H1" s="2106"/>
      <c r="I1" s="2106"/>
      <c r="J1" s="2106"/>
      <c r="K1" s="2106"/>
      <c r="L1" s="2106"/>
      <c r="M1" s="2106"/>
      <c r="N1" s="2106"/>
      <c r="O1" s="2106"/>
      <c r="P1" s="2106"/>
      <c r="Q1" s="2106"/>
      <c r="R1" s="2106"/>
    </row>
    <row r="2" spans="2:18" ht="13.5" customHeight="1">
      <c r="B2" s="2106"/>
      <c r="C2" s="2106"/>
      <c r="D2" s="2106"/>
      <c r="E2" s="2106"/>
      <c r="F2" s="2106"/>
      <c r="G2" s="2106"/>
      <c r="H2" s="2106"/>
      <c r="I2" s="2106"/>
      <c r="J2" s="2106"/>
      <c r="K2" s="2106"/>
      <c r="L2" s="2106"/>
      <c r="M2" s="2106"/>
      <c r="N2" s="2106"/>
      <c r="O2" s="2106"/>
      <c r="P2" s="2106"/>
      <c r="Q2" s="2106"/>
      <c r="R2" s="2106"/>
    </row>
    <row r="3" spans="2:18" ht="13.5" customHeight="1">
      <c r="B3" s="2106"/>
      <c r="C3" s="2106"/>
      <c r="D3" s="2106"/>
      <c r="E3" s="2106"/>
      <c r="F3" s="2106"/>
      <c r="G3" s="2106"/>
      <c r="H3" s="2106"/>
      <c r="I3" s="2106"/>
      <c r="J3" s="2106"/>
      <c r="K3" s="2106"/>
      <c r="L3" s="2106"/>
      <c r="M3" s="2106"/>
      <c r="N3" s="2106"/>
      <c r="O3" s="2106"/>
      <c r="P3" s="2106"/>
      <c r="Q3" s="2106"/>
      <c r="R3" s="2106"/>
    </row>
    <row r="4" spans="2:18" ht="13.5" customHeight="1">
      <c r="B4" s="2106"/>
      <c r="C4" s="2106"/>
      <c r="D4" s="2106"/>
      <c r="E4" s="2106"/>
      <c r="F4" s="2106"/>
      <c r="G4" s="2106"/>
      <c r="H4" s="2106"/>
      <c r="I4" s="2106"/>
      <c r="J4" s="2106"/>
      <c r="K4" s="2106"/>
      <c r="L4" s="2106"/>
      <c r="M4" s="2106"/>
      <c r="N4" s="2106"/>
      <c r="O4" s="2106"/>
      <c r="P4" s="2106"/>
      <c r="Q4" s="2106"/>
      <c r="R4" s="2106"/>
    </row>
    <row r="5" spans="2:18" ht="13.5" customHeight="1">
      <c r="B5" s="2106"/>
      <c r="C5" s="2106"/>
      <c r="D5" s="2106"/>
      <c r="E5" s="2106"/>
      <c r="F5" s="2106"/>
      <c r="G5" s="2106"/>
      <c r="H5" s="2106"/>
      <c r="I5" s="2106"/>
      <c r="J5" s="2106"/>
      <c r="K5" s="2106"/>
      <c r="L5" s="2106"/>
      <c r="M5" s="2106"/>
      <c r="N5" s="2106"/>
      <c r="O5" s="2106"/>
      <c r="P5" s="2106"/>
      <c r="Q5" s="2106"/>
      <c r="R5" s="2106"/>
    </row>
    <row r="6" spans="2:18" ht="13.5" customHeight="1">
      <c r="B6" s="2106"/>
      <c r="C6" s="2106"/>
      <c r="D6" s="2106"/>
      <c r="E6" s="2106"/>
      <c r="F6" s="2106"/>
      <c r="G6" s="2106"/>
      <c r="H6" s="2106"/>
      <c r="I6" s="2106"/>
      <c r="J6" s="2106"/>
      <c r="K6" s="2106"/>
      <c r="L6" s="2106"/>
      <c r="M6" s="2106"/>
      <c r="N6" s="2106"/>
      <c r="O6" s="2106"/>
      <c r="P6" s="2106"/>
      <c r="Q6" s="2106"/>
      <c r="R6" s="2106"/>
    </row>
    <row r="7" spans="2:18" ht="13.5" customHeight="1">
      <c r="B7" s="2106"/>
      <c r="C7" s="2106"/>
      <c r="D7" s="2106"/>
      <c r="E7" s="2106"/>
      <c r="F7" s="2106"/>
      <c r="G7" s="2106"/>
      <c r="H7" s="2106"/>
      <c r="I7" s="2106"/>
      <c r="J7" s="2106"/>
      <c r="K7" s="2106"/>
      <c r="L7" s="2106"/>
      <c r="M7" s="2106"/>
      <c r="N7" s="2106"/>
      <c r="O7" s="2106"/>
      <c r="P7" s="2106"/>
      <c r="Q7" s="2106"/>
      <c r="R7" s="2106"/>
    </row>
    <row r="8" spans="2:18" ht="13.5" customHeight="1">
      <c r="B8" s="2106"/>
      <c r="C8" s="2106"/>
      <c r="D8" s="2106"/>
      <c r="E8" s="2106"/>
      <c r="F8" s="2106"/>
      <c r="G8" s="2106"/>
      <c r="H8" s="2106"/>
      <c r="I8" s="2106"/>
      <c r="J8" s="2106"/>
      <c r="K8" s="2106"/>
      <c r="L8" s="2106"/>
      <c r="M8" s="2106"/>
      <c r="N8" s="2106"/>
      <c r="O8" s="2106"/>
      <c r="P8" s="2106"/>
      <c r="Q8" s="2106"/>
      <c r="R8" s="2106"/>
    </row>
    <row r="9" spans="2:18" ht="13.5" customHeight="1">
      <c r="B9" s="2106"/>
      <c r="C9" s="2106"/>
      <c r="D9" s="2106"/>
      <c r="E9" s="2106"/>
      <c r="F9" s="2106"/>
      <c r="G9" s="2106"/>
      <c r="H9" s="2106"/>
      <c r="I9" s="2106"/>
      <c r="J9" s="2106"/>
      <c r="K9" s="2106"/>
      <c r="L9" s="2106"/>
      <c r="M9" s="2106"/>
      <c r="N9" s="2106"/>
      <c r="O9" s="2106"/>
      <c r="P9" s="2106"/>
      <c r="Q9" s="2106"/>
      <c r="R9" s="2106"/>
    </row>
    <row r="10" spans="2:18" ht="13.5" customHeight="1">
      <c r="B10" s="2106"/>
      <c r="C10" s="2106"/>
      <c r="D10" s="2106"/>
      <c r="E10" s="2106"/>
      <c r="F10" s="2106"/>
      <c r="G10" s="2106"/>
      <c r="H10" s="2106"/>
      <c r="I10" s="2106"/>
      <c r="J10" s="2106"/>
      <c r="K10" s="2106"/>
      <c r="L10" s="2106"/>
      <c r="M10" s="2106"/>
      <c r="N10" s="2106"/>
      <c r="O10" s="2106"/>
      <c r="P10" s="2106"/>
      <c r="Q10" s="2106"/>
      <c r="R10" s="2106"/>
    </row>
    <row r="11" spans="2:18" ht="13.5" customHeight="1">
      <c r="B11" s="2106"/>
      <c r="C11" s="2106"/>
      <c r="D11" s="2106"/>
      <c r="E11" s="2106"/>
      <c r="F11" s="2106"/>
      <c r="G11" s="2106"/>
      <c r="H11" s="2106"/>
      <c r="I11" s="2106"/>
      <c r="J11" s="2106"/>
      <c r="K11" s="2106"/>
      <c r="L11" s="2106"/>
      <c r="M11" s="2106"/>
      <c r="N11" s="2106"/>
      <c r="O11" s="2106"/>
      <c r="P11" s="2106"/>
      <c r="Q11" s="2106"/>
      <c r="R11" s="2106"/>
    </row>
    <row r="12" spans="2:18" ht="13.5" customHeight="1">
      <c r="B12" s="2106"/>
      <c r="C12" s="2106"/>
      <c r="D12" s="2106"/>
      <c r="E12" s="2106"/>
      <c r="F12" s="2106"/>
      <c r="G12" s="2106"/>
      <c r="H12" s="2106"/>
      <c r="I12" s="2106"/>
      <c r="J12" s="2106"/>
      <c r="K12" s="2106"/>
      <c r="L12" s="2106"/>
      <c r="M12" s="2106"/>
      <c r="N12" s="2106"/>
      <c r="O12" s="2106"/>
      <c r="P12" s="2106"/>
      <c r="Q12" s="2106"/>
      <c r="R12" s="2106"/>
    </row>
    <row r="13" spans="2:18" ht="18.75">
      <c r="B13" s="2106"/>
      <c r="C13" s="2106"/>
      <c r="D13" s="2106"/>
      <c r="E13" s="2107"/>
      <c r="F13" s="2106"/>
      <c r="G13" s="2106"/>
      <c r="H13" s="2106"/>
      <c r="I13" s="2106"/>
      <c r="J13" s="2106"/>
      <c r="K13" s="2106"/>
      <c r="L13" s="2106"/>
      <c r="M13" s="2106"/>
      <c r="N13" s="2106"/>
      <c r="O13" s="2106"/>
      <c r="P13" s="2106"/>
      <c r="Q13" s="2106"/>
      <c r="R13" s="2106"/>
    </row>
    <row r="14" spans="2:18" ht="13.5" customHeight="1">
      <c r="B14" s="2106"/>
      <c r="C14" s="2106"/>
      <c r="D14" s="2106"/>
      <c r="E14" s="2106"/>
      <c r="F14" s="2106"/>
      <c r="G14" s="2106"/>
      <c r="H14" s="2106"/>
      <c r="I14" s="2106"/>
      <c r="J14" s="2106"/>
      <c r="K14" s="2106"/>
      <c r="L14" s="2106"/>
      <c r="M14" s="2106"/>
      <c r="N14" s="2106"/>
      <c r="O14" s="2106"/>
      <c r="P14" s="2106"/>
      <c r="Q14" s="2106"/>
      <c r="R14" s="2106"/>
    </row>
    <row r="15" spans="2:18" ht="13.5" customHeight="1">
      <c r="B15" s="2106"/>
      <c r="C15" s="2106"/>
      <c r="D15" s="2106"/>
      <c r="E15" s="2106"/>
      <c r="F15" s="2106"/>
      <c r="G15" s="2106"/>
      <c r="H15" s="2106"/>
      <c r="I15" s="2106"/>
      <c r="J15" s="2106"/>
      <c r="K15" s="2106"/>
      <c r="L15" s="2106"/>
      <c r="M15" s="2106"/>
      <c r="N15" s="2106"/>
      <c r="O15" s="2106"/>
      <c r="P15" s="2106"/>
      <c r="Q15" s="2106"/>
      <c r="R15" s="2106"/>
    </row>
    <row r="16" spans="2:18" ht="13.5" customHeight="1">
      <c r="B16" s="2106"/>
      <c r="C16" s="2106"/>
      <c r="D16" s="2106"/>
      <c r="E16" s="2106"/>
      <c r="F16" s="2106"/>
      <c r="G16" s="2106"/>
      <c r="H16" s="2106"/>
      <c r="I16" s="2106"/>
      <c r="J16" s="2106"/>
      <c r="K16" s="2106"/>
      <c r="L16" s="2106"/>
      <c r="M16" s="2106"/>
      <c r="N16" s="2106"/>
      <c r="O16" s="2106"/>
      <c r="P16" s="2106"/>
      <c r="Q16" s="2106"/>
      <c r="R16" s="2106"/>
    </row>
    <row r="17" spans="2:18" ht="13.5" customHeight="1">
      <c r="B17" s="2106"/>
      <c r="C17" s="2106"/>
      <c r="D17" s="2106"/>
      <c r="E17" s="2106"/>
      <c r="F17" s="2106"/>
      <c r="G17" s="2106"/>
      <c r="H17" s="2106"/>
      <c r="I17" s="2106"/>
      <c r="J17" s="2106"/>
      <c r="K17" s="2106"/>
      <c r="L17" s="2106"/>
      <c r="M17" s="2106"/>
      <c r="N17" s="2106"/>
      <c r="O17" s="2106"/>
      <c r="P17" s="2106"/>
      <c r="Q17" s="2106"/>
      <c r="R17" s="2106"/>
    </row>
    <row r="18" spans="2:18" ht="13.5" customHeight="1">
      <c r="B18" s="2106"/>
      <c r="C18" s="2106"/>
      <c r="D18" s="2106"/>
      <c r="E18" s="2106"/>
      <c r="F18" s="2106"/>
      <c r="G18" s="2106"/>
      <c r="H18" s="2106"/>
      <c r="I18" s="2106"/>
      <c r="J18" s="2106"/>
      <c r="K18" s="2106"/>
      <c r="L18" s="2106"/>
      <c r="M18" s="2106"/>
      <c r="N18" s="2106"/>
      <c r="O18" s="2106"/>
      <c r="P18" s="2106"/>
      <c r="Q18" s="2106"/>
      <c r="R18" s="2106"/>
    </row>
    <row r="19" spans="2:18" ht="13.5" customHeight="1">
      <c r="B19" s="2106"/>
      <c r="C19" s="2106"/>
      <c r="D19" s="2106"/>
      <c r="E19" s="2106"/>
      <c r="F19" s="2106"/>
      <c r="G19" s="2106"/>
      <c r="H19" s="2106"/>
      <c r="I19" s="2106"/>
      <c r="J19" s="2106"/>
      <c r="K19" s="2106"/>
      <c r="L19" s="2106"/>
      <c r="M19" s="2106"/>
      <c r="N19" s="2106"/>
      <c r="O19" s="2106"/>
      <c r="P19" s="2106"/>
      <c r="Q19" s="2106"/>
      <c r="R19" s="2106"/>
    </row>
    <row r="20" spans="2:18" ht="13.5" customHeight="1">
      <c r="B20" s="2106"/>
      <c r="C20" s="2106"/>
      <c r="D20" s="2106"/>
      <c r="E20" s="2106"/>
      <c r="F20" s="2106"/>
      <c r="G20" s="2106"/>
      <c r="H20" s="2106"/>
      <c r="I20" s="2106"/>
      <c r="J20" s="2106"/>
      <c r="K20" s="2106"/>
      <c r="L20" s="2106"/>
      <c r="M20" s="2106"/>
      <c r="N20" s="2106"/>
      <c r="O20" s="2106"/>
      <c r="P20" s="2106"/>
      <c r="Q20" s="2106"/>
      <c r="R20" s="2106"/>
    </row>
    <row r="21" spans="2:18" ht="13.5" customHeight="1">
      <c r="B21" s="2106"/>
      <c r="C21" s="2106"/>
      <c r="D21" s="2106"/>
      <c r="E21" s="2106"/>
      <c r="F21" s="2106"/>
      <c r="G21" s="2106"/>
      <c r="H21" s="2106"/>
      <c r="I21" s="2106"/>
      <c r="J21" s="2106"/>
      <c r="K21" s="2106"/>
      <c r="L21" s="2106"/>
      <c r="M21" s="2106"/>
      <c r="N21" s="2106"/>
      <c r="O21" s="2106"/>
      <c r="P21" s="2106"/>
      <c r="Q21" s="2106"/>
      <c r="R21" s="2106"/>
    </row>
    <row r="22" spans="2:18" ht="13.5" customHeight="1">
      <c r="B22" s="2106"/>
      <c r="C22" s="2106"/>
      <c r="D22" s="2106"/>
      <c r="E22" s="2106"/>
      <c r="F22" s="2106"/>
      <c r="G22" s="2106"/>
      <c r="H22" s="2106"/>
      <c r="I22" s="2106"/>
      <c r="J22" s="2106"/>
      <c r="K22" s="2106"/>
      <c r="L22" s="2106"/>
      <c r="M22" s="2106"/>
      <c r="N22" s="2106"/>
      <c r="O22" s="2106"/>
      <c r="P22" s="2106"/>
      <c r="Q22" s="2106"/>
      <c r="R22" s="2106"/>
    </row>
    <row r="23" spans="2:18" ht="13.5" customHeight="1">
      <c r="B23" s="2106"/>
      <c r="C23" s="2106"/>
      <c r="D23" s="2106"/>
      <c r="E23" s="2106"/>
      <c r="F23" s="2106"/>
      <c r="G23" s="2106"/>
      <c r="H23" s="2106"/>
      <c r="I23" s="2106"/>
      <c r="J23" s="2106"/>
      <c r="K23" s="2106"/>
      <c r="L23" s="2106"/>
      <c r="M23" s="2106"/>
      <c r="N23" s="2106"/>
      <c r="O23" s="2106"/>
      <c r="P23" s="2106"/>
      <c r="Q23" s="2106"/>
      <c r="R23" s="2106"/>
    </row>
    <row r="24" spans="2:18" ht="13.5" customHeight="1">
      <c r="B24" s="2106"/>
      <c r="C24" s="2106"/>
      <c r="D24" s="2106"/>
      <c r="E24" s="2106"/>
      <c r="F24" s="2106"/>
      <c r="G24" s="2106"/>
      <c r="H24" s="2106"/>
      <c r="I24" s="2106"/>
      <c r="J24" s="2106"/>
      <c r="K24" s="2106"/>
      <c r="L24" s="2106"/>
      <c r="M24" s="2106"/>
      <c r="N24" s="2106"/>
      <c r="O24" s="2106"/>
      <c r="P24" s="2106"/>
      <c r="Q24" s="2106"/>
      <c r="R24" s="2106"/>
    </row>
    <row r="25" spans="2:18" ht="13.5" customHeight="1">
      <c r="B25" s="2106"/>
      <c r="C25" s="2106"/>
      <c r="D25" s="2106"/>
      <c r="E25" s="2106"/>
      <c r="F25" s="2106"/>
      <c r="G25" s="2106"/>
      <c r="H25" s="2106"/>
      <c r="I25" s="2106"/>
      <c r="J25" s="2106"/>
      <c r="K25" s="2106"/>
      <c r="L25" s="2106"/>
      <c r="M25" s="2106"/>
      <c r="N25" s="2106"/>
      <c r="O25" s="2106"/>
      <c r="P25" s="2106"/>
      <c r="Q25" s="2106"/>
      <c r="R25" s="2106"/>
    </row>
    <row r="26" spans="2:18" ht="13.5" customHeight="1">
      <c r="B26" s="2106"/>
      <c r="C26" s="2106"/>
      <c r="D26" s="2106"/>
      <c r="E26" s="2106"/>
      <c r="F26" s="2106"/>
      <c r="G26" s="2106"/>
      <c r="H26" s="2106"/>
      <c r="I26" s="2106"/>
      <c r="J26" s="2106"/>
      <c r="K26" s="2106"/>
      <c r="L26" s="2106"/>
      <c r="M26" s="2106"/>
      <c r="N26" s="2106"/>
      <c r="O26" s="2106"/>
      <c r="P26" s="2106"/>
      <c r="Q26" s="2106"/>
      <c r="R26" s="2106"/>
    </row>
    <row r="27" spans="2:18" ht="13.5" customHeight="1">
      <c r="B27" s="2106"/>
      <c r="C27" s="2106"/>
      <c r="D27" s="2106"/>
      <c r="E27" s="2106"/>
      <c r="F27" s="2106"/>
      <c r="G27" s="2106"/>
      <c r="H27" s="2106"/>
      <c r="I27" s="2106"/>
      <c r="J27" s="2106"/>
      <c r="K27" s="2106"/>
      <c r="L27" s="2106"/>
      <c r="M27" s="2106"/>
      <c r="N27" s="2106"/>
      <c r="O27" s="2106"/>
      <c r="P27" s="2106"/>
      <c r="Q27" s="2106"/>
      <c r="R27" s="2106"/>
    </row>
    <row r="28" spans="2:18" ht="13.5" customHeight="1">
      <c r="B28" s="2106"/>
      <c r="C28" s="2106"/>
      <c r="D28" s="2106"/>
      <c r="E28" s="2106"/>
      <c r="F28" s="2106"/>
      <c r="G28" s="2106"/>
      <c r="H28" s="2106"/>
      <c r="I28" s="2106"/>
      <c r="J28" s="2106"/>
      <c r="K28" s="2106"/>
      <c r="L28" s="2106"/>
      <c r="M28" s="2106"/>
      <c r="N28" s="2106"/>
      <c r="O28" s="2106"/>
      <c r="P28" s="2106"/>
      <c r="Q28" s="2106"/>
      <c r="R28" s="2106"/>
    </row>
    <row r="29" spans="2:18" ht="13.5" customHeight="1">
      <c r="B29" s="2106"/>
      <c r="C29" s="2106"/>
      <c r="D29" s="2106"/>
      <c r="E29" s="2106"/>
      <c r="F29" s="2106"/>
      <c r="G29" s="2106"/>
      <c r="H29" s="2106"/>
      <c r="I29" s="2106"/>
      <c r="J29" s="2106"/>
      <c r="K29" s="2106"/>
      <c r="L29" s="2106"/>
      <c r="M29" s="2106"/>
      <c r="N29" s="2106"/>
      <c r="O29" s="2106"/>
      <c r="P29" s="2106"/>
      <c r="Q29" s="2106"/>
      <c r="R29" s="2106"/>
    </row>
    <row r="30" spans="2:18" ht="13.5" customHeight="1">
      <c r="B30" s="2106"/>
      <c r="C30" s="2106"/>
      <c r="D30" s="2106"/>
      <c r="E30" s="2106"/>
      <c r="F30" s="2106"/>
      <c r="G30" s="2106"/>
      <c r="H30" s="2106"/>
      <c r="I30" s="2106"/>
      <c r="J30" s="2106"/>
      <c r="K30" s="2106"/>
      <c r="L30" s="2106"/>
      <c r="M30" s="2106"/>
      <c r="N30" s="2106"/>
      <c r="O30" s="2106"/>
      <c r="P30" s="2106"/>
      <c r="Q30" s="2106"/>
      <c r="R30" s="2106"/>
    </row>
    <row r="31" spans="2:18" ht="13.5" customHeight="1">
      <c r="B31" s="2106"/>
      <c r="C31" s="2106"/>
      <c r="D31" s="2106"/>
      <c r="E31" s="2106"/>
      <c r="F31" s="2106"/>
      <c r="G31" s="2106"/>
      <c r="H31" s="2106"/>
      <c r="I31" s="2106"/>
      <c r="J31" s="2106"/>
      <c r="K31" s="2106"/>
      <c r="L31" s="2106"/>
      <c r="M31" s="2106"/>
      <c r="N31" s="2106"/>
      <c r="O31" s="2106"/>
      <c r="P31" s="2106"/>
      <c r="Q31" s="2106"/>
      <c r="R31" s="2106"/>
    </row>
    <row r="32" spans="2:18" ht="13.5" customHeight="1">
      <c r="B32" s="2106"/>
      <c r="C32" s="2106"/>
      <c r="D32" s="2106"/>
      <c r="E32" s="2106"/>
      <c r="F32" s="2106"/>
      <c r="G32" s="2106"/>
      <c r="H32" s="2106"/>
      <c r="I32" s="2106"/>
      <c r="J32" s="2106"/>
      <c r="K32" s="2106"/>
      <c r="L32" s="2106"/>
      <c r="M32" s="2106"/>
      <c r="N32" s="2106"/>
      <c r="O32" s="2106"/>
      <c r="P32" s="2106"/>
      <c r="Q32" s="2106"/>
      <c r="R32" s="2106"/>
    </row>
    <row r="33" spans="2:18" ht="13.5" customHeight="1">
      <c r="B33" s="2106"/>
      <c r="C33" s="2106"/>
      <c r="D33" s="2106"/>
      <c r="E33" s="2106"/>
      <c r="F33" s="2106"/>
      <c r="G33" s="2106"/>
      <c r="H33" s="2106"/>
      <c r="I33" s="2106"/>
      <c r="J33" s="2106"/>
      <c r="K33" s="2106"/>
      <c r="L33" s="2106"/>
      <c r="M33" s="2106"/>
      <c r="N33" s="2106"/>
      <c r="O33" s="2106"/>
      <c r="P33" s="2106"/>
      <c r="Q33" s="2106"/>
      <c r="R33" s="2106"/>
    </row>
    <row r="34" spans="2:18" ht="13.5" customHeight="1">
      <c r="B34" s="2106"/>
      <c r="C34" s="2106"/>
      <c r="D34" s="2106"/>
      <c r="E34" s="2106"/>
      <c r="F34" s="2106"/>
      <c r="G34" s="2106"/>
      <c r="H34" s="2106"/>
      <c r="I34" s="2106"/>
      <c r="J34" s="2106"/>
      <c r="K34" s="2106"/>
      <c r="L34" s="2106"/>
      <c r="M34" s="2106"/>
      <c r="N34" s="2106"/>
      <c r="O34" s="2106"/>
      <c r="P34" s="2106"/>
      <c r="Q34" s="2106"/>
      <c r="R34" s="2106"/>
    </row>
    <row r="35" spans="2:18" ht="13.5" customHeight="1">
      <c r="B35" s="2106"/>
      <c r="C35" s="2106"/>
      <c r="D35" s="2106"/>
      <c r="E35" s="2106"/>
      <c r="F35" s="2106"/>
      <c r="G35" s="2106"/>
      <c r="H35" s="2106"/>
      <c r="I35" s="2106"/>
      <c r="J35" s="2106"/>
      <c r="K35" s="2106"/>
      <c r="L35" s="2106"/>
      <c r="M35" s="2106"/>
      <c r="N35" s="2106"/>
      <c r="O35" s="2106"/>
      <c r="P35" s="2106"/>
      <c r="Q35" s="2106"/>
      <c r="R35" s="2106"/>
    </row>
    <row r="36" spans="2:18" ht="13.5" customHeight="1">
      <c r="B36" s="2106"/>
      <c r="C36" s="2106"/>
      <c r="D36" s="2106"/>
      <c r="E36" s="2106"/>
      <c r="F36" s="2106"/>
      <c r="G36" s="2106"/>
      <c r="H36" s="2106"/>
      <c r="I36" s="2106"/>
      <c r="J36" s="2106"/>
      <c r="K36" s="2106"/>
      <c r="L36" s="2106"/>
      <c r="M36" s="2106"/>
      <c r="N36" s="2106"/>
      <c r="O36" s="2106"/>
      <c r="P36" s="2106"/>
      <c r="Q36" s="2106"/>
      <c r="R36" s="2106"/>
    </row>
    <row r="37" spans="2:18" ht="13.5" customHeight="1">
      <c r="G37" s="2106"/>
      <c r="H37" s="2106"/>
      <c r="I37" s="2106"/>
      <c r="J37" s="2106"/>
      <c r="K37" s="2106"/>
      <c r="L37" s="2106"/>
      <c r="M37" s="2106"/>
      <c r="N37" s="2106"/>
      <c r="O37" s="2106"/>
      <c r="P37" s="2106"/>
      <c r="Q37" s="2106"/>
      <c r="R37" s="2106"/>
    </row>
    <row r="38" spans="2:18" ht="13.5" hidden="1" customHeight="1">
      <c r="J38" s="2106"/>
      <c r="K38" s="2106"/>
      <c r="L38" s="2106"/>
      <c r="M38" s="2106"/>
      <c r="N38" s="2106"/>
      <c r="O38" s="2106"/>
      <c r="P38" s="2106"/>
      <c r="Q38" s="2106"/>
      <c r="R38" s="2106"/>
    </row>
    <row r="152" ht="13.5" hidden="1" customHeight="1"/>
  </sheetData>
  <sheetProtection password="CC47" sheet="1" objects="1" scenarios="1"/>
  <phoneticPr fontId="21"/>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sheetPr codeName="Sheet4">
    <pageSetUpPr autoPageBreaks="0"/>
  </sheetPr>
  <dimension ref="A1:BL182"/>
  <sheetViews>
    <sheetView showGridLines="0" topLeftCell="A86" zoomScaleNormal="100" workbookViewId="0">
      <selection activeCell="H77" sqref="H77"/>
    </sheetView>
  </sheetViews>
  <sheetFormatPr defaultColWidth="0" defaultRowHeight="13.5" zeroHeight="1"/>
  <cols>
    <col min="1" max="1" width="1.75" customWidth="1"/>
    <col min="2" max="2" width="4" customWidth="1"/>
    <col min="3" max="3" width="5.125" customWidth="1"/>
    <col min="4" max="4" width="5.375" customWidth="1"/>
    <col min="5" max="6" width="12.625" customWidth="1"/>
    <col min="7" max="7" width="6.375" hidden="1" customWidth="1"/>
    <col min="8" max="8" width="10.125" style="2744" customWidth="1"/>
    <col min="9" max="9" width="11.875" style="2744" customWidth="1"/>
    <col min="10" max="14" width="6.875" customWidth="1"/>
    <col min="15" max="15" width="8.125" customWidth="1"/>
    <col min="16" max="16" width="6.625" customWidth="1"/>
    <col min="17" max="17" width="8.125" customWidth="1"/>
    <col min="18" max="18" width="6.625" customWidth="1"/>
    <col min="19" max="19" width="5.75" customWidth="1"/>
    <col min="20" max="20" width="2.25" customWidth="1"/>
    <col min="21" max="22" width="7.5" hidden="1" customWidth="1"/>
    <col min="23" max="23" width="6.375" hidden="1" customWidth="1"/>
    <col min="24" max="25" width="11.25" hidden="1" customWidth="1"/>
    <col min="26" max="26" width="9.875" hidden="1" customWidth="1"/>
    <col min="27" max="27" width="5.875" hidden="1" customWidth="1"/>
    <col min="28" max="28" width="10.625" hidden="1" customWidth="1"/>
    <col min="29" max="29" width="6.375" hidden="1" customWidth="1"/>
    <col min="30" max="30" width="16" hidden="1" customWidth="1"/>
    <col min="31" max="31" width="6.375" hidden="1" customWidth="1"/>
    <col min="32" max="32" width="12.375" hidden="1" customWidth="1"/>
    <col min="33" max="33" width="6.375" hidden="1" customWidth="1"/>
    <col min="34" max="34" width="18.75" hidden="1" customWidth="1"/>
    <col min="35" max="35" width="4.5" hidden="1" customWidth="1"/>
    <col min="36" max="38" width="6" hidden="1" customWidth="1"/>
    <col min="39" max="39" width="29.5" hidden="1" customWidth="1"/>
    <col min="40" max="40" width="5" hidden="1" customWidth="1"/>
    <col min="41" max="41" width="17.375" hidden="1" customWidth="1"/>
    <col min="42" max="42" width="5.75" hidden="1" customWidth="1"/>
    <col min="43" max="43" width="7.5" hidden="1" customWidth="1"/>
    <col min="44" max="44" width="25.25" hidden="1" customWidth="1"/>
    <col min="45" max="45" width="4.5" hidden="1" customWidth="1"/>
    <col min="46" max="46" width="5.75" hidden="1" customWidth="1"/>
    <col min="47" max="47" width="9" hidden="1" customWidth="1"/>
    <col min="48" max="48" width="9" style="2507" hidden="1" customWidth="1"/>
    <col min="49" max="49" width="2.75" style="2507" hidden="1" customWidth="1"/>
    <col min="50" max="50" width="4.875" style="2507" hidden="1" customWidth="1"/>
    <col min="51" max="51" width="6.375" hidden="1" customWidth="1"/>
    <col min="52" max="52" width="4.75" hidden="1" customWidth="1"/>
    <col min="53" max="54" width="6.375" hidden="1" customWidth="1"/>
    <col min="55" max="55" width="6" hidden="1" customWidth="1"/>
    <col min="56" max="56" width="6.125" hidden="1" customWidth="1"/>
    <col min="57" max="57" width="8" hidden="1" customWidth="1"/>
    <col min="58" max="58" width="6.375" hidden="1" customWidth="1"/>
    <col min="59" max="59" width="5.75" hidden="1" customWidth="1"/>
    <col min="60" max="60" width="7.5" hidden="1" customWidth="1"/>
    <col min="61" max="63" width="9" hidden="1" customWidth="1"/>
    <col min="64" max="64" width="9" style="2951" hidden="1" customWidth="1"/>
    <col min="65" max="16384" width="9" hidden="1"/>
  </cols>
  <sheetData>
    <row r="1" spans="1:64" ht="6" customHeight="1" thickBot="1">
      <c r="A1" s="94"/>
      <c r="B1" s="94"/>
      <c r="C1" s="94"/>
      <c r="D1" s="94"/>
      <c r="E1" s="94"/>
      <c r="F1" s="94"/>
      <c r="G1" s="94"/>
      <c r="H1" s="94"/>
      <c r="I1" s="94"/>
      <c r="J1" s="94"/>
      <c r="K1" s="94"/>
      <c r="L1" s="94"/>
      <c r="M1" s="94"/>
      <c r="N1" s="94"/>
      <c r="O1" s="94"/>
      <c r="P1" s="94"/>
      <c r="Q1" s="94"/>
      <c r="R1" s="94"/>
      <c r="S1" s="94"/>
      <c r="T1" s="94"/>
    </row>
    <row r="2" spans="1:64" ht="18" thickBot="1">
      <c r="A2" s="94"/>
      <c r="B2" s="545" t="str">
        <f>メイン!C6</f>
        <v>CASBEE京都-既存(2015年版)</v>
      </c>
      <c r="C2" s="546"/>
      <c r="D2" s="547"/>
      <c r="E2" s="548"/>
      <c r="F2" s="549"/>
      <c r="G2" s="550" t="s">
        <v>2813</v>
      </c>
      <c r="H2" s="550"/>
      <c r="I2" s="550"/>
      <c r="J2" s="551"/>
      <c r="K2" s="551"/>
      <c r="L2" s="94"/>
      <c r="M2" s="94"/>
      <c r="N2" s="3366" t="s">
        <v>1779</v>
      </c>
      <c r="O2" s="3366"/>
      <c r="P2" s="184" t="str">
        <f>メイン!C6</f>
        <v>CASBEE京都-既存(2015年版)</v>
      </c>
      <c r="Q2" s="94"/>
      <c r="R2" s="552"/>
      <c r="S2" s="552"/>
      <c r="T2" s="553"/>
      <c r="U2" s="553"/>
      <c r="V2" s="553"/>
      <c r="X2" s="2537"/>
      <c r="Y2" s="2537"/>
      <c r="AO2" s="1150" t="s">
        <v>1779</v>
      </c>
      <c r="AQ2" s="1150"/>
      <c r="AR2" s="184" t="str">
        <f>メイン!C6</f>
        <v>CASBEE京都-既存(2015年版)</v>
      </c>
      <c r="AS2" s="184"/>
      <c r="AY2" s="1960" t="s">
        <v>348</v>
      </c>
      <c r="AZ2" s="1960" t="s">
        <v>350</v>
      </c>
      <c r="BA2" s="1960" t="s">
        <v>352</v>
      </c>
      <c r="BB2" s="1960" t="s">
        <v>354</v>
      </c>
      <c r="BC2" s="1960" t="s">
        <v>358</v>
      </c>
      <c r="BD2" s="1960" t="s">
        <v>360</v>
      </c>
      <c r="BE2" s="1960" t="s">
        <v>362</v>
      </c>
      <c r="BF2" s="1961" t="s">
        <v>1614</v>
      </c>
      <c r="BG2" s="1960" t="s">
        <v>364</v>
      </c>
      <c r="BH2" s="1960" t="s">
        <v>350</v>
      </c>
    </row>
    <row r="3" spans="1:64" ht="14.25" customHeight="1" thickBot="1">
      <c r="A3" s="94"/>
      <c r="B3" s="3372" t="str">
        <f>メイン!$C$11</f>
        <v>○○ビル</v>
      </c>
      <c r="C3" s="3373"/>
      <c r="D3" s="3373"/>
      <c r="E3" s="3373"/>
      <c r="F3" s="3374"/>
      <c r="G3" s="554"/>
      <c r="H3" s="2761"/>
      <c r="I3" s="2761"/>
      <c r="J3" s="555"/>
      <c r="K3" s="556" t="s">
        <v>2171</v>
      </c>
      <c r="L3" s="556"/>
      <c r="M3" s="551"/>
      <c r="N3" s="3366" t="s">
        <v>2172</v>
      </c>
      <c r="O3" s="3367"/>
      <c r="P3" s="557" t="str">
        <f>メイン!C5</f>
        <v>CASBEE京都-既存2015(v.1.0)</v>
      </c>
      <c r="Q3" s="94"/>
      <c r="R3" s="558"/>
      <c r="S3" s="558"/>
      <c r="T3" s="559"/>
      <c r="U3" s="559"/>
      <c r="V3" s="559"/>
      <c r="X3" s="2537"/>
      <c r="Y3" s="2537"/>
      <c r="AO3" s="1150" t="s">
        <v>2172</v>
      </c>
      <c r="AQ3" s="2570"/>
      <c r="AR3" s="557" t="str">
        <f>メイン!C5</f>
        <v>CASBEE京都-既存2015(v.1.0)</v>
      </c>
      <c r="AS3" s="557"/>
      <c r="AY3" s="2516" t="e">
        <f>重み!S7</f>
        <v>#DIV/0!</v>
      </c>
      <c r="AZ3" s="2516" t="e">
        <f>重み!T7</f>
        <v>#DIV/0!</v>
      </c>
      <c r="BA3" s="2516" t="e">
        <f>重み!U7</f>
        <v>#DIV/0!</v>
      </c>
      <c r="BB3" s="2516" t="e">
        <f>重み!V7</f>
        <v>#DIV/0!</v>
      </c>
      <c r="BC3" s="2516" t="e">
        <f>重み!W7</f>
        <v>#DIV/0!</v>
      </c>
      <c r="BD3" s="2516" t="e">
        <f>重み!X7</f>
        <v>#DIV/0!</v>
      </c>
      <c r="BE3" s="2516" t="e">
        <f>重み!Y7</f>
        <v>#DIV/0!</v>
      </c>
      <c r="BF3" s="2516" t="e">
        <f>重み!Z7</f>
        <v>#DIV/0!</v>
      </c>
      <c r="BG3" s="2516" t="e">
        <f>重み!AA7</f>
        <v>#DIV/0!</v>
      </c>
      <c r="BH3" s="2516" t="e">
        <f>重み!AB7</f>
        <v>#DIV/0!</v>
      </c>
    </row>
    <row r="4" spans="1:64" ht="3.75" customHeight="1" thickBot="1">
      <c r="A4" s="94"/>
      <c r="B4" s="560"/>
      <c r="C4" s="561"/>
      <c r="D4" s="562"/>
      <c r="E4" s="563"/>
      <c r="F4" s="563"/>
      <c r="G4" s="563"/>
      <c r="H4" s="563"/>
      <c r="I4" s="563"/>
      <c r="J4" s="563"/>
      <c r="K4" s="563"/>
      <c r="L4" s="563"/>
      <c r="M4" s="563"/>
      <c r="N4" s="564"/>
      <c r="O4" s="564"/>
      <c r="P4" s="563"/>
      <c r="Q4" s="563"/>
      <c r="R4" s="563"/>
      <c r="S4" s="565"/>
      <c r="T4" s="559"/>
      <c r="U4" s="559"/>
      <c r="V4" s="559"/>
      <c r="AY4" s="559"/>
      <c r="AZ4" s="559"/>
      <c r="BA4" s="559"/>
      <c r="BB4" s="559"/>
      <c r="BC4" s="559"/>
      <c r="BD4" s="559"/>
      <c r="BE4" s="559"/>
      <c r="BF4" s="559"/>
      <c r="BG4" s="559"/>
      <c r="BH4" s="559"/>
    </row>
    <row r="5" spans="1:64" ht="17.25" customHeight="1" thickBot="1">
      <c r="A5" s="94"/>
      <c r="B5" s="472" t="s">
        <v>2173</v>
      </c>
      <c r="C5" s="566"/>
      <c r="D5" s="567"/>
      <c r="E5" s="3375" t="str">
        <f>IF(メイン!E39=0,"",メイン!E39)</f>
        <v/>
      </c>
      <c r="F5" s="3376"/>
      <c r="G5" s="568"/>
      <c r="H5" s="568"/>
      <c r="I5" s="568"/>
      <c r="J5" s="569"/>
      <c r="K5" s="569"/>
      <c r="L5" s="569"/>
      <c r="M5" s="569"/>
      <c r="N5" s="569"/>
      <c r="O5" s="570"/>
      <c r="P5" s="570"/>
      <c r="Q5" s="570"/>
      <c r="R5" s="570"/>
      <c r="S5" s="571"/>
      <c r="T5" s="559"/>
      <c r="U5" s="3377" t="s">
        <v>2451</v>
      </c>
      <c r="V5" s="3378"/>
      <c r="X5" s="572"/>
      <c r="Y5" s="559"/>
      <c r="Z5" s="572"/>
      <c r="AA5" s="559"/>
      <c r="AB5" s="559"/>
      <c r="AC5" s="559"/>
      <c r="AD5" s="573" t="s">
        <v>2175</v>
      </c>
      <c r="AE5" s="574"/>
      <c r="AF5" s="573" t="s">
        <v>2176</v>
      </c>
      <c r="AH5" s="2508" t="s">
        <v>2498</v>
      </c>
      <c r="AI5" s="569"/>
      <c r="AJ5" s="569"/>
      <c r="AK5" s="569"/>
      <c r="AL5" s="569"/>
      <c r="AM5" s="2509" t="s">
        <v>2814</v>
      </c>
      <c r="AN5" s="2509"/>
      <c r="AO5" s="569"/>
      <c r="AP5" s="569"/>
      <c r="AQ5" s="569"/>
      <c r="AR5" s="570"/>
      <c r="AS5" s="570"/>
      <c r="AT5" s="571"/>
      <c r="AY5" s="559"/>
      <c r="AZ5" s="559"/>
      <c r="BA5" s="559"/>
      <c r="BB5" s="559"/>
      <c r="BC5" s="559"/>
      <c r="BD5" s="559"/>
      <c r="BE5" s="559"/>
      <c r="BF5" s="559"/>
      <c r="BG5" s="559"/>
      <c r="BH5" s="559"/>
    </row>
    <row r="6" spans="1:64" ht="12.75" customHeight="1">
      <c r="A6" s="94"/>
      <c r="B6" s="575"/>
      <c r="C6" s="576"/>
      <c r="D6" s="577"/>
      <c r="E6" s="578"/>
      <c r="F6" s="579"/>
      <c r="G6" s="580"/>
      <c r="H6" s="3368" t="s">
        <v>3376</v>
      </c>
      <c r="I6" s="3370" t="s">
        <v>3377</v>
      </c>
      <c r="J6" s="581"/>
      <c r="K6" s="582"/>
      <c r="L6" s="582"/>
      <c r="M6" s="582"/>
      <c r="N6" s="582"/>
      <c r="O6" s="583" t="s">
        <v>2175</v>
      </c>
      <c r="P6" s="584"/>
      <c r="Q6" s="583" t="s">
        <v>2176</v>
      </c>
      <c r="R6" s="585"/>
      <c r="S6" s="586"/>
      <c r="T6" s="559"/>
      <c r="U6" s="3379"/>
      <c r="V6" s="3380"/>
      <c r="X6" s="587" t="s">
        <v>2177</v>
      </c>
      <c r="Y6" s="588"/>
      <c r="Z6" s="589" t="s">
        <v>2178</v>
      </c>
      <c r="AA6" s="588"/>
      <c r="AB6" s="588"/>
      <c r="AC6" s="559"/>
      <c r="AD6" s="590" t="e">
        <f>重み!D7</f>
        <v>#DIV/0!</v>
      </c>
      <c r="AE6" s="574"/>
      <c r="AF6" s="590" t="e">
        <f>重み!E7</f>
        <v>#DIV/0!</v>
      </c>
      <c r="AH6" s="2567" t="s">
        <v>2499</v>
      </c>
      <c r="AI6" s="2567" t="s">
        <v>2500</v>
      </c>
      <c r="AJ6" s="2567" t="s">
        <v>2501</v>
      </c>
      <c r="AK6" s="2567" t="s">
        <v>2502</v>
      </c>
      <c r="AL6" s="2567" t="s">
        <v>2503</v>
      </c>
      <c r="AM6" s="2567" t="s">
        <v>2504</v>
      </c>
      <c r="AN6" s="2569" t="s">
        <v>2509</v>
      </c>
      <c r="AO6" s="2567" t="s">
        <v>2505</v>
      </c>
      <c r="AP6" s="2567" t="s">
        <v>250</v>
      </c>
      <c r="AQ6" s="2568" t="s">
        <v>2506</v>
      </c>
      <c r="AR6" s="2521" t="s">
        <v>2175</v>
      </c>
      <c r="AS6" s="2522"/>
      <c r="AT6" s="586"/>
      <c r="AV6" s="2373" t="s">
        <v>2507</v>
      </c>
      <c r="AY6" s="2516" t="str">
        <f t="shared" ref="AY6:BH6" si="0">AH6</f>
        <v>事務所</v>
      </c>
      <c r="AZ6" s="2516" t="str">
        <f t="shared" si="0"/>
        <v>学校</v>
      </c>
      <c r="BA6" s="2516" t="str">
        <f t="shared" si="0"/>
        <v>物販店</v>
      </c>
      <c r="BB6" s="2516" t="str">
        <f t="shared" si="0"/>
        <v>飲食店</v>
      </c>
      <c r="BC6" s="2516" t="str">
        <f t="shared" si="0"/>
        <v>集会所</v>
      </c>
      <c r="BD6" s="2516" t="str">
        <f t="shared" si="0"/>
        <v>工場</v>
      </c>
      <c r="BE6" s="2516" t="str">
        <f t="shared" si="0"/>
        <v>学校
(小中高)</v>
      </c>
      <c r="BF6" s="2516" t="str">
        <f t="shared" si="0"/>
        <v>病院</v>
      </c>
      <c r="BG6" s="2516" t="str">
        <f t="shared" si="0"/>
        <v>ホテル</v>
      </c>
      <c r="BH6" s="2516" t="str">
        <f t="shared" si="0"/>
        <v>集合住宅</v>
      </c>
    </row>
    <row r="7" spans="1:64" ht="38.25" customHeight="1" thickBot="1">
      <c r="A7" s="94"/>
      <c r="B7" s="2553" t="s">
        <v>1564</v>
      </c>
      <c r="C7" s="2554"/>
      <c r="D7" s="2555"/>
      <c r="E7" s="2556"/>
      <c r="F7" s="2557"/>
      <c r="G7" s="591"/>
      <c r="H7" s="3369"/>
      <c r="I7" s="3371"/>
      <c r="J7" s="592" t="s">
        <v>1565</v>
      </c>
      <c r="K7" s="593"/>
      <c r="L7" s="593"/>
      <c r="M7" s="593"/>
      <c r="N7" s="594"/>
      <c r="O7" s="595" t="s">
        <v>1766</v>
      </c>
      <c r="P7" s="596" t="s">
        <v>1767</v>
      </c>
      <c r="Q7" s="597" t="s">
        <v>1766</v>
      </c>
      <c r="R7" s="598" t="s">
        <v>1767</v>
      </c>
      <c r="S7" s="599" t="s">
        <v>2780</v>
      </c>
      <c r="T7" s="559"/>
      <c r="U7" s="600" t="s">
        <v>2177</v>
      </c>
      <c r="V7" s="600" t="s">
        <v>2178</v>
      </c>
      <c r="X7" s="601" t="s">
        <v>2174</v>
      </c>
      <c r="Y7" s="602" t="s">
        <v>1767</v>
      </c>
      <c r="Z7" s="601" t="s">
        <v>2174</v>
      </c>
      <c r="AA7" s="602" t="s">
        <v>1767</v>
      </c>
      <c r="AB7" s="603" t="s">
        <v>1768</v>
      </c>
      <c r="AC7" s="559"/>
      <c r="AD7" s="590" t="s">
        <v>1567</v>
      </c>
      <c r="AE7" s="574"/>
      <c r="AF7" s="590" t="s">
        <v>1567</v>
      </c>
      <c r="AH7" s="2510" t="e">
        <f>AY7</f>
        <v>#DIV/0!</v>
      </c>
      <c r="AI7" s="2510" t="e">
        <f t="shared" ref="AI7:AQ7" si="1">AZ7</f>
        <v>#DIV/0!</v>
      </c>
      <c r="AJ7" s="2510" t="e">
        <f t="shared" si="1"/>
        <v>#DIV/0!</v>
      </c>
      <c r="AK7" s="2510" t="e">
        <f t="shared" si="1"/>
        <v>#DIV/0!</v>
      </c>
      <c r="AL7" s="2510" t="e">
        <f t="shared" si="1"/>
        <v>#DIV/0!</v>
      </c>
      <c r="AM7" s="2510" t="e">
        <f t="shared" si="1"/>
        <v>#DIV/0!</v>
      </c>
      <c r="AN7" s="2510" t="e">
        <f t="shared" si="1"/>
        <v>#DIV/0!</v>
      </c>
      <c r="AO7" s="2510" t="e">
        <f t="shared" si="1"/>
        <v>#DIV/0!</v>
      </c>
      <c r="AP7" s="2510" t="e">
        <f t="shared" si="1"/>
        <v>#DIV/0!</v>
      </c>
      <c r="AQ7" s="2518" t="e">
        <f t="shared" si="1"/>
        <v>#DIV/0!</v>
      </c>
      <c r="AR7" s="2523" t="s">
        <v>1766</v>
      </c>
      <c r="AS7" s="2524" t="s">
        <v>1767</v>
      </c>
      <c r="AT7" s="2511" t="s">
        <v>1566</v>
      </c>
      <c r="AV7" s="2263" t="s">
        <v>2508</v>
      </c>
      <c r="AY7" s="2516" t="e">
        <f>AY3</f>
        <v>#DIV/0!</v>
      </c>
      <c r="AZ7" s="2516" t="e">
        <f t="shared" ref="AZ7:BB7" si="2">AZ3</f>
        <v>#DIV/0!</v>
      </c>
      <c r="BA7" s="2516" t="e">
        <f t="shared" si="2"/>
        <v>#DIV/0!</v>
      </c>
      <c r="BB7" s="2516" t="e">
        <f t="shared" si="2"/>
        <v>#DIV/0!</v>
      </c>
      <c r="BC7" s="2516" t="e">
        <f>BF3</f>
        <v>#DIV/0!</v>
      </c>
      <c r="BD7" s="2516" t="e">
        <f>BG3</f>
        <v>#DIV/0!</v>
      </c>
      <c r="BE7" s="2516" t="e">
        <f>BH3</f>
        <v>#DIV/0!</v>
      </c>
      <c r="BF7" s="2516" t="e">
        <f>BC3</f>
        <v>#DIV/0!</v>
      </c>
      <c r="BG7" s="2516" t="e">
        <f t="shared" ref="BG7:BH7" si="3">BD3</f>
        <v>#DIV/0!</v>
      </c>
      <c r="BH7" s="2516" t="e">
        <f t="shared" si="3"/>
        <v>#DIV/0!</v>
      </c>
    </row>
    <row r="8" spans="1:64" ht="16.5" thickBot="1">
      <c r="A8" s="94"/>
      <c r="B8" s="2558" t="s">
        <v>1568</v>
      </c>
      <c r="C8" s="2559"/>
      <c r="D8" s="2560"/>
      <c r="E8" s="2561"/>
      <c r="F8" s="2562"/>
      <c r="G8" s="604"/>
      <c r="H8" s="604"/>
      <c r="I8" s="2762"/>
      <c r="J8" s="605"/>
      <c r="K8" s="606"/>
      <c r="L8" s="606"/>
      <c r="M8" s="606"/>
      <c r="N8" s="607"/>
      <c r="O8" s="608"/>
      <c r="P8" s="609"/>
      <c r="Q8" s="610"/>
      <c r="R8" s="611"/>
      <c r="S8" s="612" t="e">
        <f>ROUNDDOWN(AB8,1)</f>
        <v>#DIV/0!</v>
      </c>
      <c r="T8" s="559"/>
      <c r="U8" s="559"/>
      <c r="V8" s="559"/>
      <c r="X8" s="613"/>
      <c r="Y8" s="614"/>
      <c r="Z8" s="613"/>
      <c r="AA8" s="614"/>
      <c r="AB8" s="614" t="e">
        <f>Y9*AB9+Y61*AB61+Y109*AB109</f>
        <v>#DIV/0!</v>
      </c>
      <c r="AC8" s="559"/>
      <c r="AD8" s="590">
        <f>重み!M8</f>
        <v>0</v>
      </c>
      <c r="AE8" s="574"/>
      <c r="AF8" s="590">
        <f>重み!N8</f>
        <v>0</v>
      </c>
      <c r="AH8" s="2512"/>
      <c r="AI8" s="2512"/>
      <c r="AJ8" s="2512"/>
      <c r="AK8" s="2512"/>
      <c r="AL8" s="2512"/>
      <c r="AM8" s="2512"/>
      <c r="AN8" s="2512"/>
      <c r="AO8" s="2512"/>
      <c r="AP8" s="2512"/>
      <c r="AQ8" s="2519"/>
      <c r="AR8" s="2525"/>
      <c r="AS8" s="2526"/>
      <c r="AT8" s="2513" t="e">
        <f t="shared" ref="AT8:AT9" si="4">ROUNDDOWN(AV8,1)</f>
        <v>#DIV/0!</v>
      </c>
      <c r="AV8" s="1" t="e">
        <f>AS9*AV9+AS61*AV61+AS109*AV109</f>
        <v>#DIV/0!</v>
      </c>
    </row>
    <row r="9" spans="1:64" ht="15.75" thickBot="1">
      <c r="A9" s="94"/>
      <c r="B9" s="615" t="s">
        <v>1569</v>
      </c>
      <c r="C9" s="616" t="s">
        <v>1769</v>
      </c>
      <c r="D9" s="616"/>
      <c r="E9" s="616"/>
      <c r="F9" s="617"/>
      <c r="G9" s="618"/>
      <c r="H9" s="618"/>
      <c r="I9" s="2763"/>
      <c r="J9" s="619"/>
      <c r="K9" s="620"/>
      <c r="L9" s="620"/>
      <c r="M9" s="620"/>
      <c r="N9" s="621"/>
      <c r="O9" s="622"/>
      <c r="P9" s="623" t="e">
        <f t="shared" ref="P9:R41" si="5">Y9</f>
        <v>#DIV/0!</v>
      </c>
      <c r="Q9" s="624"/>
      <c r="R9" s="623">
        <f t="shared" si="5"/>
        <v>0</v>
      </c>
      <c r="S9" s="626" t="e">
        <f>ROUNDDOWN(AB9,1)</f>
        <v>#DIV/0!</v>
      </c>
      <c r="T9" s="559"/>
      <c r="U9" s="559"/>
      <c r="V9" s="559"/>
      <c r="X9" s="613"/>
      <c r="Y9" s="627" t="e">
        <f>重み!D9</f>
        <v>#DIV/0!</v>
      </c>
      <c r="Z9" s="613"/>
      <c r="AA9" s="627"/>
      <c r="AB9" s="614" t="e">
        <f>AB10*Y10+AB20*Y20+AB34*Y34+AB47*Y47</f>
        <v>#DIV/0!</v>
      </c>
      <c r="AC9" s="559"/>
      <c r="AD9" s="628" t="e">
        <f>重み!M9</f>
        <v>#DIV/0!</v>
      </c>
      <c r="AE9" s="574"/>
      <c r="AF9" s="590" t="e">
        <f>重み!N9</f>
        <v>#DIV/0!</v>
      </c>
      <c r="AH9" s="2514"/>
      <c r="AI9" s="2514"/>
      <c r="AJ9" s="2514"/>
      <c r="AK9" s="2514"/>
      <c r="AL9" s="2514"/>
      <c r="AM9" s="2514"/>
      <c r="AN9" s="2514"/>
      <c r="AO9" s="2514"/>
      <c r="AP9" s="2514"/>
      <c r="AQ9" s="2520"/>
      <c r="AR9" s="2527"/>
      <c r="AS9" s="2528" t="e">
        <f>P9</f>
        <v>#DIV/0!</v>
      </c>
      <c r="AT9" s="626" t="e">
        <f t="shared" si="4"/>
        <v>#DIV/0!</v>
      </c>
      <c r="AV9" s="2532" t="e">
        <f>SUMPRODUCT(AS10:AS60,AV10:AV60)</f>
        <v>#DIV/0!</v>
      </c>
    </row>
    <row r="10" spans="1:64" ht="14.25" thickBot="1">
      <c r="A10" s="94"/>
      <c r="B10" s="629">
        <v>1</v>
      </c>
      <c r="C10" s="630" t="s">
        <v>1770</v>
      </c>
      <c r="D10" s="631"/>
      <c r="E10" s="632"/>
      <c r="F10" s="633"/>
      <c r="G10" s="634"/>
      <c r="H10" s="3243"/>
      <c r="I10" s="3244"/>
      <c r="J10" s="2921"/>
      <c r="K10" s="2922"/>
      <c r="L10" s="2922"/>
      <c r="M10" s="2922"/>
      <c r="N10" s="2923"/>
      <c r="O10" s="635" t="e">
        <f>ROUNDDOWN(X10,1)</f>
        <v>#DIV/0!</v>
      </c>
      <c r="P10" s="636" t="e">
        <f t="shared" si="5"/>
        <v>#DIV/0!</v>
      </c>
      <c r="Q10" s="635" t="e">
        <f>ROUNDDOWN(Z10,1)</f>
        <v>#DIV/0!</v>
      </c>
      <c r="R10" s="637" t="e">
        <f t="shared" ref="R10:R41" si="6">AA10</f>
        <v>#DIV/0!</v>
      </c>
      <c r="S10" s="638" t="e">
        <f>ROUNDDOWN(AB10,1)</f>
        <v>#DIV/0!</v>
      </c>
      <c r="T10" s="559"/>
      <c r="U10" s="558"/>
      <c r="V10" s="558"/>
      <c r="X10" s="639" t="e">
        <f>X11*Y11+X14*Y14+X19*Y19</f>
        <v>#DIV/0!</v>
      </c>
      <c r="Y10" s="640" t="e">
        <f>重み!D10</f>
        <v>#DIV/0!</v>
      </c>
      <c r="Z10" s="639" t="e">
        <f>Z11*AA11+Z14*AA14+Z19*AA19</f>
        <v>#DIV/0!</v>
      </c>
      <c r="AA10" s="641" t="e">
        <f>SUM(AA11,AA14,AA19)</f>
        <v>#DIV/0!</v>
      </c>
      <c r="AB10" s="614" t="e">
        <f>IF(Z10=0,X10,IF(X10=0,Z10,X10*AD$6+Z10*AF$6))</f>
        <v>#DIV/0!</v>
      </c>
      <c r="AC10" s="559"/>
      <c r="AD10" s="590" t="e">
        <f>重み!M10</f>
        <v>#DIV/0!</v>
      </c>
      <c r="AE10" s="574"/>
      <c r="AF10" s="642" t="e">
        <f>SUM(AF11,AF14,AF19)</f>
        <v>#DIV/0!</v>
      </c>
      <c r="AH10" s="2534">
        <v>3</v>
      </c>
      <c r="AI10" s="2534"/>
      <c r="AJ10" s="2534"/>
      <c r="AK10" s="2534"/>
      <c r="AL10" s="2534"/>
      <c r="AM10" s="2534">
        <v>0</v>
      </c>
      <c r="AN10" s="2534"/>
      <c r="AO10" s="2534"/>
      <c r="AP10" s="2534"/>
      <c r="AQ10" s="2535"/>
      <c r="AR10" s="2529" t="e">
        <f>ROUNDDOWN(AV10,1)</f>
        <v>#DIV/0!</v>
      </c>
      <c r="AS10" s="2530" t="e">
        <f>P10</f>
        <v>#DIV/0!</v>
      </c>
      <c r="AT10" s="2515"/>
      <c r="AV10" s="2532" t="e">
        <f>IF(AX10=0,0,SUMPRODUCT($AY$7:$BH$7,AH10:AQ10)/AX10)</f>
        <v>#DIV/0!</v>
      </c>
      <c r="AX10" s="2531" t="e">
        <f>SUMPRODUCT($AY$7:$BH$7,AY10:BH10)</f>
        <v>#DIV/0!</v>
      </c>
      <c r="AY10" s="2517">
        <f t="shared" ref="AY10:BH10" si="7">IF(AH10&gt;0,1,0)</f>
        <v>1</v>
      </c>
      <c r="AZ10" s="2517">
        <f t="shared" si="7"/>
        <v>0</v>
      </c>
      <c r="BA10" s="2517">
        <f t="shared" si="7"/>
        <v>0</v>
      </c>
      <c r="BB10" s="2517">
        <f t="shared" si="7"/>
        <v>0</v>
      </c>
      <c r="BC10" s="2517">
        <f t="shared" si="7"/>
        <v>0</v>
      </c>
      <c r="BD10" s="2517">
        <f t="shared" si="7"/>
        <v>0</v>
      </c>
      <c r="BE10" s="2517">
        <f t="shared" si="7"/>
        <v>0</v>
      </c>
      <c r="BF10" s="2517">
        <f t="shared" si="7"/>
        <v>0</v>
      </c>
      <c r="BG10" s="2517">
        <f t="shared" si="7"/>
        <v>0</v>
      </c>
      <c r="BH10" s="2517">
        <f t="shared" si="7"/>
        <v>0</v>
      </c>
    </row>
    <row r="11" spans="1:64" ht="14.25" thickBot="1">
      <c r="A11" s="94"/>
      <c r="B11" s="643"/>
      <c r="C11" s="644">
        <v>1.1000000000000001</v>
      </c>
      <c r="D11" s="645" t="s">
        <v>1771</v>
      </c>
      <c r="E11" s="646"/>
      <c r="F11" s="647"/>
      <c r="G11" s="648">
        <v>5</v>
      </c>
      <c r="H11" s="648"/>
      <c r="I11" s="2764"/>
      <c r="J11" s="3345"/>
      <c r="K11" s="3346"/>
      <c r="L11" s="3346"/>
      <c r="M11" s="3346"/>
      <c r="N11" s="3348"/>
      <c r="O11" s="845" t="e">
        <f>ROUNDDOWN(X11,1)</f>
        <v>#DIV/0!</v>
      </c>
      <c r="P11" s="650" t="e">
        <f t="shared" si="5"/>
        <v>#DIV/0!</v>
      </c>
      <c r="Q11" s="845" t="e">
        <f>ROUNDDOWN(Z11,1)</f>
        <v>#DIV/0!</v>
      </c>
      <c r="R11" s="650" t="e">
        <f t="shared" si="6"/>
        <v>#DIV/0!</v>
      </c>
      <c r="S11" s="651"/>
      <c r="T11" s="559"/>
      <c r="U11" s="652"/>
      <c r="V11" s="652"/>
      <c r="X11" s="639" t="e">
        <f>SUMPRODUCT(X12:X13,Y12:Y13)</f>
        <v>#DIV/0!</v>
      </c>
      <c r="Y11" s="640" t="e">
        <f>重み!D11</f>
        <v>#DIV/0!</v>
      </c>
      <c r="Z11" s="639" t="e">
        <f>SUMPRODUCT(Z12:Z13,AA12:AA13)</f>
        <v>#DIV/0!</v>
      </c>
      <c r="AA11" s="640" t="e">
        <f>重み!E11</f>
        <v>#DIV/0!</v>
      </c>
      <c r="AB11" s="614"/>
      <c r="AC11" s="559"/>
      <c r="AD11" s="590" t="e">
        <f>重み!M11</f>
        <v>#DIV/0!</v>
      </c>
      <c r="AE11" s="574"/>
      <c r="AF11" s="590" t="e">
        <f>重み!N11</f>
        <v>#DIV/0!</v>
      </c>
      <c r="BJ11" s="1" t="s">
        <v>3509</v>
      </c>
      <c r="BK11" s="1">
        <f>IF(AND(ISERROR(O11)=FALSE,ISERROR(P11)=FALSE,ISERROR(Q11)=FALSE,ISERROR(R11)=FALSE),IF(OR(AND(O11&gt;3,P11&gt;0),AND(Q11&gt;3,R11&gt;0)),MAX(O11,Q11),0),0)</f>
        <v>0</v>
      </c>
      <c r="BL11" s="2950" t="str">
        <f>IF(J11=0,"",J11)</f>
        <v/>
      </c>
    </row>
    <row r="12" spans="1:64" ht="14.25" hidden="1" thickBot="1">
      <c r="A12" s="94"/>
      <c r="B12" s="643"/>
      <c r="C12" s="653"/>
      <c r="D12" s="654">
        <v>1</v>
      </c>
      <c r="E12" s="655" t="s">
        <v>1772</v>
      </c>
      <c r="F12" s="656"/>
      <c r="G12" s="648"/>
      <c r="H12" s="648"/>
      <c r="I12" s="2764"/>
      <c r="J12" s="3345"/>
      <c r="K12" s="3346"/>
      <c r="L12" s="3346"/>
      <c r="M12" s="3346"/>
      <c r="N12" s="3348"/>
      <c r="O12" s="845">
        <f>ROUNDDOWN(U12,1)</f>
        <v>3</v>
      </c>
      <c r="P12" s="658" t="e">
        <f t="shared" si="5"/>
        <v>#DIV/0!</v>
      </c>
      <c r="Q12" s="657">
        <f>ROUNDDOWN(V12,1)</f>
        <v>3</v>
      </c>
      <c r="R12" s="658" t="e">
        <f t="shared" si="6"/>
        <v>#DIV/0!</v>
      </c>
      <c r="S12" s="638"/>
      <c r="T12" s="559"/>
      <c r="U12" s="659">
        <f>IF(採点Q1!F9="対象外",0,採点Q1!F9)</f>
        <v>3</v>
      </c>
      <c r="V12" s="660">
        <f>IF(採点Q1!L9="対象外",0,採点Q1!L9)</f>
        <v>3</v>
      </c>
      <c r="X12" s="661">
        <f>O12</f>
        <v>3</v>
      </c>
      <c r="Y12" s="640" t="e">
        <f>重み!D12</f>
        <v>#DIV/0!</v>
      </c>
      <c r="Z12" s="661">
        <f>Q12</f>
        <v>3</v>
      </c>
      <c r="AA12" s="640" t="e">
        <f>重み!E12</f>
        <v>#DIV/0!</v>
      </c>
      <c r="AB12" s="614"/>
      <c r="AC12" s="559"/>
      <c r="AD12" s="590" t="e">
        <f>重み!M12</f>
        <v>#DIV/0!</v>
      </c>
      <c r="AE12" s="574"/>
      <c r="AF12" s="590" t="e">
        <f>重み!N12</f>
        <v>#DIV/0!</v>
      </c>
      <c r="BJ12" s="1"/>
      <c r="BK12" s="1"/>
      <c r="BL12" s="2950">
        <f t="shared" ref="BL12:BL13" si="8">J12</f>
        <v>0</v>
      </c>
    </row>
    <row r="13" spans="1:64" ht="14.25" hidden="1" thickBot="1">
      <c r="A13" s="94"/>
      <c r="B13" s="643"/>
      <c r="C13" s="662"/>
      <c r="D13" s="710">
        <v>2</v>
      </c>
      <c r="E13" s="711" t="s">
        <v>1773</v>
      </c>
      <c r="F13" s="712"/>
      <c r="G13" s="664"/>
      <c r="H13" s="648"/>
      <c r="I13" s="2764"/>
      <c r="J13" s="3345"/>
      <c r="K13" s="3346"/>
      <c r="L13" s="3346"/>
      <c r="M13" s="3346"/>
      <c r="N13" s="3348"/>
      <c r="O13" s="665" t="e">
        <f>ROUNDDOWN(U13,1)</f>
        <v>#DIV/0!</v>
      </c>
      <c r="P13" s="658" t="e">
        <f t="shared" si="5"/>
        <v>#DIV/0!</v>
      </c>
      <c r="Q13" s="665" t="e">
        <f>ROUNDDOWN(V13,1)</f>
        <v>#DIV/0!</v>
      </c>
      <c r="R13" s="658" t="e">
        <f t="shared" si="6"/>
        <v>#DIV/0!</v>
      </c>
      <c r="S13" s="638"/>
      <c r="T13" s="559"/>
      <c r="U13" s="666" t="e">
        <f>IF(採点Q1!F34="対象外",0,採点Q1!F34)</f>
        <v>#DIV/0!</v>
      </c>
      <c r="V13" s="667" t="e">
        <f>採点Q1!K34</f>
        <v>#DIV/0!</v>
      </c>
      <c r="X13" s="661" t="e">
        <f>O13</f>
        <v>#DIV/0!</v>
      </c>
      <c r="Y13" s="640" t="e">
        <f>重み!D13</f>
        <v>#DIV/0!</v>
      </c>
      <c r="Z13" s="661" t="e">
        <f>Q13</f>
        <v>#DIV/0!</v>
      </c>
      <c r="AA13" s="640" t="e">
        <f>重み!E13</f>
        <v>#DIV/0!</v>
      </c>
      <c r="AB13" s="614"/>
      <c r="AC13" s="559"/>
      <c r="AD13" s="590" t="e">
        <f>重み!M13</f>
        <v>#DIV/0!</v>
      </c>
      <c r="AE13" s="574"/>
      <c r="AF13" s="590" t="e">
        <f>重み!N13</f>
        <v>#DIV/0!</v>
      </c>
      <c r="BJ13" s="1"/>
      <c r="BK13" s="1"/>
      <c r="BL13" s="2950">
        <f t="shared" si="8"/>
        <v>0</v>
      </c>
    </row>
    <row r="14" spans="1:64" ht="14.25" thickBot="1">
      <c r="A14" s="94"/>
      <c r="B14" s="643"/>
      <c r="C14" s="644">
        <v>1.2</v>
      </c>
      <c r="D14" s="646" t="s">
        <v>1774</v>
      </c>
      <c r="E14" s="669"/>
      <c r="F14" s="670"/>
      <c r="G14" s="648"/>
      <c r="H14" s="648"/>
      <c r="I14" s="2764"/>
      <c r="J14" s="2924"/>
      <c r="K14" s="2925"/>
      <c r="L14" s="2925"/>
      <c r="M14" s="2925"/>
      <c r="N14" s="2926"/>
      <c r="O14" s="649" t="e">
        <f>ROUNDDOWN(X14,1)</f>
        <v>#DIV/0!</v>
      </c>
      <c r="P14" s="658" t="e">
        <f t="shared" si="5"/>
        <v>#DIV/0!</v>
      </c>
      <c r="Q14" s="649" t="e">
        <f>ROUNDDOWN(Z14,1)</f>
        <v>#DIV/0!</v>
      </c>
      <c r="R14" s="658" t="e">
        <f t="shared" si="6"/>
        <v>#DIV/0!</v>
      </c>
      <c r="S14" s="638"/>
      <c r="T14" s="559"/>
      <c r="U14" s="671"/>
      <c r="V14" s="671"/>
      <c r="X14" s="639" t="e">
        <f>SUMPRODUCT(X15:X18,Y15:Y18)</f>
        <v>#DIV/0!</v>
      </c>
      <c r="Y14" s="640" t="e">
        <f>重み!D14</f>
        <v>#DIV/0!</v>
      </c>
      <c r="Z14" s="639" t="e">
        <f>SUMPRODUCT(Z15:Z18,AA15:AA18)</f>
        <v>#DIV/0!</v>
      </c>
      <c r="AA14" s="640" t="e">
        <f>重み!E14</f>
        <v>#DIV/0!</v>
      </c>
      <c r="AB14" s="614"/>
      <c r="AC14" s="559"/>
      <c r="AD14" s="590" t="e">
        <f>重み!M14</f>
        <v>#DIV/0!</v>
      </c>
      <c r="AE14" s="574"/>
      <c r="AF14" s="590" t="e">
        <f>重み!N14</f>
        <v>#DIV/0!</v>
      </c>
      <c r="BJ14" s="1"/>
      <c r="BK14" s="1"/>
      <c r="BL14" s="2950"/>
    </row>
    <row r="15" spans="1:64">
      <c r="A15" s="94"/>
      <c r="B15" s="643"/>
      <c r="C15" s="668"/>
      <c r="D15" s="710">
        <v>1</v>
      </c>
      <c r="E15" s="2662" t="s">
        <v>581</v>
      </c>
      <c r="F15" s="2663"/>
      <c r="G15" s="648"/>
      <c r="H15" s="648"/>
      <c r="I15" s="2764"/>
      <c r="J15" s="3345"/>
      <c r="K15" s="3346"/>
      <c r="L15" s="3346"/>
      <c r="M15" s="3346"/>
      <c r="N15" s="3348"/>
      <c r="O15" s="657">
        <f>ROUNDDOWN(U15,1)</f>
        <v>0</v>
      </c>
      <c r="P15" s="658" t="e">
        <f t="shared" si="5"/>
        <v>#DIV/0!</v>
      </c>
      <c r="Q15" s="657">
        <f>ROUNDDOWN(V15,1)</f>
        <v>0</v>
      </c>
      <c r="R15" s="658" t="e">
        <f t="shared" si="6"/>
        <v>#DIV/0!</v>
      </c>
      <c r="S15" s="638"/>
      <c r="T15" s="559"/>
      <c r="U15" s="659">
        <f>IF(採点Q1!F69="対象外",0,採点Q1!F69)</f>
        <v>0</v>
      </c>
      <c r="V15" s="660">
        <f>採点Q1!K69</f>
        <v>0</v>
      </c>
      <c r="X15" s="661">
        <f>O15</f>
        <v>0</v>
      </c>
      <c r="Y15" s="640" t="e">
        <f>重み!D15</f>
        <v>#DIV/0!</v>
      </c>
      <c r="Z15" s="661">
        <f>Q15</f>
        <v>0</v>
      </c>
      <c r="AA15" s="640" t="e">
        <f>重み!E15</f>
        <v>#DIV/0!</v>
      </c>
      <c r="AB15" s="614"/>
      <c r="AC15" s="559"/>
      <c r="AD15" s="590" t="e">
        <f>重み!M15</f>
        <v>#DIV/0!</v>
      </c>
      <c r="AE15" s="574"/>
      <c r="AF15" s="590" t="e">
        <f>重み!N15</f>
        <v>#DIV/0!</v>
      </c>
      <c r="BJ15" s="1" t="s">
        <v>3510</v>
      </c>
      <c r="BK15" s="1">
        <f t="shared" ref="BK15:BK19" si="9">IF(AND(ISERROR(O15)=FALSE,ISERROR(P15)=FALSE,ISERROR(Q15)=FALSE,ISERROR(R15)=FALSE),IF(OR(AND(O15&gt;3,P15&gt;0),AND(Q15&gt;3,R15&gt;0)),MAX(O15,Q15),0),0)</f>
        <v>0</v>
      </c>
      <c r="BL15" s="2950" t="str">
        <f>IF(J15=0,"",J15)</f>
        <v/>
      </c>
    </row>
    <row r="16" spans="1:64">
      <c r="A16" s="94"/>
      <c r="B16" s="643"/>
      <c r="C16" s="653"/>
      <c r="D16" s="654">
        <v>2</v>
      </c>
      <c r="E16" s="663" t="s">
        <v>582</v>
      </c>
      <c r="F16" s="647"/>
      <c r="G16" s="648"/>
      <c r="H16" s="648"/>
      <c r="I16" s="2764"/>
      <c r="J16" s="3345"/>
      <c r="K16" s="3346"/>
      <c r="L16" s="3346"/>
      <c r="M16" s="3346"/>
      <c r="N16" s="3348"/>
      <c r="O16" s="672">
        <f>ROUNDDOWN(U16,1)</f>
        <v>3</v>
      </c>
      <c r="P16" s="658" t="e">
        <f t="shared" si="5"/>
        <v>#DIV/0!</v>
      </c>
      <c r="Q16" s="672">
        <f>ROUNDDOWN(V16,1)</f>
        <v>3</v>
      </c>
      <c r="R16" s="658" t="e">
        <f t="shared" si="6"/>
        <v>#DIV/0!</v>
      </c>
      <c r="S16" s="638"/>
      <c r="T16" s="559"/>
      <c r="U16" s="673">
        <f>IF(採点Q1!F85="対象外",0,採点Q1!F85)</f>
        <v>3</v>
      </c>
      <c r="V16" s="674">
        <f>採点Q1!K85</f>
        <v>3</v>
      </c>
      <c r="X16" s="661">
        <f>O16</f>
        <v>3</v>
      </c>
      <c r="Y16" s="640" t="e">
        <f>重み!D16</f>
        <v>#DIV/0!</v>
      </c>
      <c r="Z16" s="661">
        <f>Q16</f>
        <v>3</v>
      </c>
      <c r="AA16" s="640" t="e">
        <f>重み!E16</f>
        <v>#DIV/0!</v>
      </c>
      <c r="AB16" s="614"/>
      <c r="AC16" s="559"/>
      <c r="AD16" s="590" t="e">
        <f>重み!M16</f>
        <v>#DIV/0!</v>
      </c>
      <c r="AE16" s="574"/>
      <c r="AF16" s="590" t="e">
        <f>重み!N16</f>
        <v>#DIV/0!</v>
      </c>
      <c r="BJ16" s="1" t="s">
        <v>3511</v>
      </c>
      <c r="BK16" s="1">
        <f t="shared" si="9"/>
        <v>0</v>
      </c>
      <c r="BL16" s="2950" t="str">
        <f t="shared" ref="BL16:BL19" si="10">IF(J16=0,"",J16)</f>
        <v/>
      </c>
    </row>
    <row r="17" spans="1:64">
      <c r="A17" s="94"/>
      <c r="B17" s="643"/>
      <c r="C17" s="653"/>
      <c r="D17" s="654">
        <v>3</v>
      </c>
      <c r="E17" s="663" t="s">
        <v>583</v>
      </c>
      <c r="F17" s="647"/>
      <c r="G17" s="648"/>
      <c r="H17" s="648"/>
      <c r="I17" s="2764"/>
      <c r="J17" s="3345"/>
      <c r="K17" s="3346"/>
      <c r="L17" s="3346"/>
      <c r="M17" s="3346"/>
      <c r="N17" s="3348"/>
      <c r="O17" s="672">
        <f>ROUNDDOWN(U17,1)</f>
        <v>3</v>
      </c>
      <c r="P17" s="658" t="e">
        <f t="shared" si="5"/>
        <v>#DIV/0!</v>
      </c>
      <c r="Q17" s="672">
        <f>ROUNDDOWN(V17,1)</f>
        <v>3</v>
      </c>
      <c r="R17" s="658" t="e">
        <f t="shared" si="6"/>
        <v>#DIV/0!</v>
      </c>
      <c r="S17" s="638"/>
      <c r="T17" s="559"/>
      <c r="U17" s="673">
        <f>IF(採点Q1!F101="対象外",0,採点Q1!F101)</f>
        <v>3</v>
      </c>
      <c r="V17" s="674">
        <f>採点Q1!K101</f>
        <v>3</v>
      </c>
      <c r="X17" s="661">
        <f>O17</f>
        <v>3</v>
      </c>
      <c r="Y17" s="640" t="e">
        <f>重み!D17</f>
        <v>#DIV/0!</v>
      </c>
      <c r="Z17" s="661">
        <f>Q17</f>
        <v>3</v>
      </c>
      <c r="AA17" s="640" t="e">
        <f>重み!E17</f>
        <v>#DIV/0!</v>
      </c>
      <c r="AB17" s="614"/>
      <c r="AC17" s="559"/>
      <c r="AD17" s="590" t="e">
        <f>重み!M17</f>
        <v>#DIV/0!</v>
      </c>
      <c r="AE17" s="574"/>
      <c r="AF17" s="590" t="e">
        <f>重み!N17</f>
        <v>#DIV/0!</v>
      </c>
      <c r="BJ17" s="1" t="s">
        <v>3512</v>
      </c>
      <c r="BK17" s="1">
        <f t="shared" si="9"/>
        <v>0</v>
      </c>
      <c r="BL17" s="2950" t="str">
        <f t="shared" si="10"/>
        <v/>
      </c>
    </row>
    <row r="18" spans="1:64">
      <c r="A18" s="94"/>
      <c r="B18" s="643"/>
      <c r="C18" s="662"/>
      <c r="D18" s="654">
        <v>4</v>
      </c>
      <c r="E18" s="663" t="s">
        <v>584</v>
      </c>
      <c r="F18" s="647"/>
      <c r="G18" s="648"/>
      <c r="H18" s="648"/>
      <c r="I18" s="2764"/>
      <c r="J18" s="3345"/>
      <c r="K18" s="3346"/>
      <c r="L18" s="3346"/>
      <c r="M18" s="3346"/>
      <c r="N18" s="3348"/>
      <c r="O18" s="672">
        <f>ROUNDDOWN(U18,1)</f>
        <v>3</v>
      </c>
      <c r="P18" s="658" t="e">
        <f t="shared" si="5"/>
        <v>#DIV/0!</v>
      </c>
      <c r="Q18" s="672">
        <f>ROUNDDOWN(V18,1)</f>
        <v>3</v>
      </c>
      <c r="R18" s="658" t="e">
        <f t="shared" si="6"/>
        <v>#DIV/0!</v>
      </c>
      <c r="S18" s="638"/>
      <c r="T18" s="559"/>
      <c r="U18" s="673">
        <f>IF(採点Q1!F117="対象外",0,採点Q1!F117)</f>
        <v>3</v>
      </c>
      <c r="V18" s="674">
        <f>採点Q1!K117</f>
        <v>3</v>
      </c>
      <c r="X18" s="661">
        <f>O18</f>
        <v>3</v>
      </c>
      <c r="Y18" s="640" t="e">
        <f>重み!D18</f>
        <v>#DIV/0!</v>
      </c>
      <c r="Z18" s="661">
        <f>Q18</f>
        <v>3</v>
      </c>
      <c r="AA18" s="640" t="e">
        <f>重み!E18</f>
        <v>#DIV/0!</v>
      </c>
      <c r="AB18" s="614"/>
      <c r="AC18" s="559"/>
      <c r="AD18" s="590" t="e">
        <f>重み!M18</f>
        <v>#DIV/0!</v>
      </c>
      <c r="AE18" s="574"/>
      <c r="AF18" s="590" t="e">
        <f>重み!N18</f>
        <v>#DIV/0!</v>
      </c>
      <c r="BJ18" s="1" t="s">
        <v>3513</v>
      </c>
      <c r="BK18" s="1">
        <f t="shared" si="9"/>
        <v>0</v>
      </c>
      <c r="BL18" s="2950" t="str">
        <f t="shared" si="10"/>
        <v/>
      </c>
    </row>
    <row r="19" spans="1:64" ht="14.25" thickBot="1">
      <c r="A19" s="94"/>
      <c r="B19" s="675"/>
      <c r="C19" s="676">
        <v>1.3</v>
      </c>
      <c r="D19" s="646" t="s">
        <v>585</v>
      </c>
      <c r="E19" s="646"/>
      <c r="F19" s="647"/>
      <c r="G19" s="648"/>
      <c r="H19" s="648"/>
      <c r="I19" s="2764"/>
      <c r="J19" s="3345"/>
      <c r="K19" s="3346"/>
      <c r="L19" s="3346"/>
      <c r="M19" s="3346"/>
      <c r="N19" s="3348"/>
      <c r="O19" s="677">
        <f>ROUNDDOWN(U19,1)</f>
        <v>3</v>
      </c>
      <c r="P19" s="658" t="e">
        <f t="shared" si="5"/>
        <v>#DIV/0!</v>
      </c>
      <c r="Q19" s="677">
        <f>ROUNDDOWN(V19,1)</f>
        <v>3</v>
      </c>
      <c r="R19" s="658" t="e">
        <f t="shared" si="6"/>
        <v>#DIV/0!</v>
      </c>
      <c r="S19" s="638"/>
      <c r="T19" s="559"/>
      <c r="U19" s="666">
        <f>IF(採点Q1!F133="対象外",0,採点Q1!F133)</f>
        <v>3</v>
      </c>
      <c r="V19" s="667">
        <f>採点Q1!K133</f>
        <v>3</v>
      </c>
      <c r="X19" s="661">
        <f>O19</f>
        <v>3</v>
      </c>
      <c r="Y19" s="640" t="e">
        <f>重み!D19</f>
        <v>#DIV/0!</v>
      </c>
      <c r="Z19" s="661">
        <f>Q19</f>
        <v>3</v>
      </c>
      <c r="AA19" s="640" t="e">
        <f>重み!E19</f>
        <v>#DIV/0!</v>
      </c>
      <c r="AB19" s="614"/>
      <c r="AC19" s="559"/>
      <c r="AD19" s="590" t="e">
        <f>重み!M19</f>
        <v>#DIV/0!</v>
      </c>
      <c r="AE19" s="574"/>
      <c r="AF19" s="590" t="e">
        <f>重み!N19</f>
        <v>#DIV/0!</v>
      </c>
      <c r="BJ19" s="1" t="s">
        <v>3514</v>
      </c>
      <c r="BK19" s="1">
        <f t="shared" si="9"/>
        <v>0</v>
      </c>
      <c r="BL19" s="2950" t="str">
        <f t="shared" si="10"/>
        <v/>
      </c>
    </row>
    <row r="20" spans="1:64">
      <c r="A20" s="94"/>
      <c r="B20" s="750">
        <v>2</v>
      </c>
      <c r="C20" s="678" t="s">
        <v>586</v>
      </c>
      <c r="D20" s="770"/>
      <c r="E20" s="686"/>
      <c r="F20" s="687"/>
      <c r="G20" s="648"/>
      <c r="H20" s="719"/>
      <c r="I20" s="2765"/>
      <c r="J20" s="2927"/>
      <c r="K20" s="2928"/>
      <c r="L20" s="2928"/>
      <c r="M20" s="2928"/>
      <c r="N20" s="2929"/>
      <c r="O20" s="680" t="e">
        <f>ROUNDDOWN(X20,1)</f>
        <v>#DIV/0!</v>
      </c>
      <c r="P20" s="681" t="e">
        <f t="shared" si="5"/>
        <v>#DIV/0!</v>
      </c>
      <c r="Q20" s="635" t="e">
        <f>ROUNDDOWN(Z20,1)</f>
        <v>#DIV/0!</v>
      </c>
      <c r="R20" s="682" t="e">
        <f t="shared" si="6"/>
        <v>#DIV/0!</v>
      </c>
      <c r="S20" s="683" t="e">
        <f>ROUNDDOWN(AB20,1)</f>
        <v>#DIV/0!</v>
      </c>
      <c r="T20" s="559"/>
      <c r="U20" s="684"/>
      <c r="V20" s="684"/>
      <c r="X20" s="639" t="e">
        <f>X21*Y21+X30*Y30+X31*Y31</f>
        <v>#DIV/0!</v>
      </c>
      <c r="Y20" s="640" t="e">
        <f>重み!D20</f>
        <v>#DIV/0!</v>
      </c>
      <c r="Z20" s="639" t="e">
        <f>Z21*AA21+Z30*AA30+Z31*AA31</f>
        <v>#DIV/0!</v>
      </c>
      <c r="AA20" s="641" t="e">
        <f>SUM(AA21,AA30,AA31)</f>
        <v>#DIV/0!</v>
      </c>
      <c r="AB20" s="614" t="e">
        <f>IF(Z20=0,X20,IF(X20=0,Z20,X20*AD$6+Z20*AF$6))</f>
        <v>#DIV/0!</v>
      </c>
      <c r="AC20" s="559"/>
      <c r="AD20" s="590" t="e">
        <f>重み!M20</f>
        <v>#DIV/0!</v>
      </c>
      <c r="AE20" s="574"/>
      <c r="AF20" s="642" t="e">
        <f>SUM(AF21,AF30,AF31)</f>
        <v>#DIV/0!</v>
      </c>
      <c r="AH20" s="2536">
        <v>3</v>
      </c>
      <c r="AI20" s="2536"/>
      <c r="AJ20" s="2536"/>
      <c r="AK20" s="2536"/>
      <c r="AL20" s="2536"/>
      <c r="AM20" s="2536">
        <v>0</v>
      </c>
      <c r="AN20" s="2536"/>
      <c r="AO20" s="2536"/>
      <c r="AP20" s="2536"/>
      <c r="AQ20" s="2536"/>
      <c r="AR20" s="2533" t="e">
        <f t="shared" ref="AR20:AR47" si="11">ROUNDDOWN(AV20,1)</f>
        <v>#DIV/0!</v>
      </c>
      <c r="AS20" s="855" t="e">
        <f>P20</f>
        <v>#DIV/0!</v>
      </c>
      <c r="AT20" s="683"/>
      <c r="AV20" s="2532" t="e">
        <f>IF(AX20=0,0,SUMPRODUCT($AY$7:$BH$7,AH20:AQ20)/AX20)</f>
        <v>#DIV/0!</v>
      </c>
      <c r="AX20" s="2531" t="e">
        <f>SUMPRODUCT($AY$7:$BH$7,AY20:BH20)</f>
        <v>#DIV/0!</v>
      </c>
      <c r="AY20" s="2517">
        <f t="shared" ref="AY20:BH20" si="12">IF(AH20&gt;0,1,0)</f>
        <v>1</v>
      </c>
      <c r="AZ20" s="2517">
        <f t="shared" si="12"/>
        <v>0</v>
      </c>
      <c r="BA20" s="2517">
        <f t="shared" si="12"/>
        <v>0</v>
      </c>
      <c r="BB20" s="2517">
        <f t="shared" si="12"/>
        <v>0</v>
      </c>
      <c r="BC20" s="2517">
        <f t="shared" si="12"/>
        <v>0</v>
      </c>
      <c r="BD20" s="2517">
        <f t="shared" si="12"/>
        <v>0</v>
      </c>
      <c r="BE20" s="2517">
        <f t="shared" si="12"/>
        <v>0</v>
      </c>
      <c r="BF20" s="2517">
        <f t="shared" si="12"/>
        <v>0</v>
      </c>
      <c r="BG20" s="2517">
        <f t="shared" si="12"/>
        <v>0</v>
      </c>
      <c r="BH20" s="2517">
        <f t="shared" si="12"/>
        <v>0</v>
      </c>
      <c r="BJ20" s="1"/>
      <c r="BK20" s="1"/>
      <c r="BL20" s="2950"/>
    </row>
    <row r="21" spans="1:64" ht="14.25" thickBot="1">
      <c r="A21" s="94"/>
      <c r="B21" s="643"/>
      <c r="C21" s="644">
        <v>2.1</v>
      </c>
      <c r="D21" s="685" t="s">
        <v>587</v>
      </c>
      <c r="E21" s="686"/>
      <c r="F21" s="687"/>
      <c r="G21" s="648">
        <v>5</v>
      </c>
      <c r="H21" s="648"/>
      <c r="I21" s="2764"/>
      <c r="J21" s="2930"/>
      <c r="K21" s="2931"/>
      <c r="L21" s="2931"/>
      <c r="M21" s="2931"/>
      <c r="N21" s="2932"/>
      <c r="O21" s="649" t="e">
        <f>ROUNDDOWN(X21,1)</f>
        <v>#DIV/0!</v>
      </c>
      <c r="P21" s="688" t="e">
        <f t="shared" si="5"/>
        <v>#DIV/0!</v>
      </c>
      <c r="Q21" s="689" t="e">
        <f>ROUNDDOWN(Z21,1)</f>
        <v>#DIV/0!</v>
      </c>
      <c r="R21" s="690" t="e">
        <f t="shared" si="6"/>
        <v>#DIV/0!</v>
      </c>
      <c r="S21" s="651"/>
      <c r="T21" s="559"/>
      <c r="U21" s="652"/>
      <c r="V21" s="652"/>
      <c r="X21" s="639" t="e">
        <f>SUMPRODUCT(X22:X29,Y22:Y29)</f>
        <v>#DIV/0!</v>
      </c>
      <c r="Y21" s="640" t="e">
        <f>重み!D21</f>
        <v>#DIV/0!</v>
      </c>
      <c r="Z21" s="639" t="e">
        <f>SUMPRODUCT(Z22:Z29,AA22:AA29)</f>
        <v>#DIV/0!</v>
      </c>
      <c r="AA21" s="640" t="e">
        <f>重み!E21</f>
        <v>#DIV/0!</v>
      </c>
      <c r="AB21" s="614"/>
      <c r="AC21" s="559"/>
      <c r="AD21" s="590" t="e">
        <f>重み!M21</f>
        <v>#DIV/0!</v>
      </c>
      <c r="AE21" s="574"/>
      <c r="AF21" s="590" t="e">
        <f>重み!N21</f>
        <v>#DIV/0!</v>
      </c>
      <c r="AR21" s="2565">
        <f t="shared" si="11"/>
        <v>0</v>
      </c>
      <c r="BJ21" s="1"/>
      <c r="BK21" s="1"/>
      <c r="BL21" s="2950"/>
    </row>
    <row r="22" spans="1:64">
      <c r="A22" s="94"/>
      <c r="B22" s="643"/>
      <c r="C22" s="691"/>
      <c r="D22" s="654">
        <v>1</v>
      </c>
      <c r="E22" s="646" t="s">
        <v>738</v>
      </c>
      <c r="F22" s="692"/>
      <c r="G22" s="648"/>
      <c r="H22" s="648"/>
      <c r="I22" s="2764"/>
      <c r="J22" s="3345"/>
      <c r="K22" s="3346"/>
      <c r="L22" s="3346"/>
      <c r="M22" s="3346"/>
      <c r="N22" s="3348"/>
      <c r="O22" s="657">
        <f t="shared" ref="O22:O33" si="13">ROUNDDOWN(U22,1)</f>
        <v>3</v>
      </c>
      <c r="P22" s="658" t="e">
        <f t="shared" si="5"/>
        <v>#DIV/0!</v>
      </c>
      <c r="Q22" s="657">
        <f t="shared" ref="Q22:Q30" si="14">ROUNDDOWN(V22,1)</f>
        <v>0</v>
      </c>
      <c r="R22" s="658" t="e">
        <f t="shared" si="6"/>
        <v>#DIV/0!</v>
      </c>
      <c r="S22" s="638"/>
      <c r="T22" s="559"/>
      <c r="U22" s="659">
        <f>IF(採点Q1!F144="対象外",0,採点Q1!F144)</f>
        <v>3</v>
      </c>
      <c r="V22" s="660">
        <f>採点Q1!M144</f>
        <v>0</v>
      </c>
      <c r="X22" s="661">
        <f>O22</f>
        <v>3</v>
      </c>
      <c r="Y22" s="640" t="e">
        <f>重み!D22</f>
        <v>#DIV/0!</v>
      </c>
      <c r="Z22" s="661">
        <f>Q22</f>
        <v>0</v>
      </c>
      <c r="AA22" s="640" t="e">
        <f>重み!E22</f>
        <v>#DIV/0!</v>
      </c>
      <c r="AB22" s="614"/>
      <c r="AC22" s="559"/>
      <c r="AD22" s="590" t="e">
        <f>重み!M22</f>
        <v>#DIV/0!</v>
      </c>
      <c r="AE22" s="574"/>
      <c r="AF22" s="590" t="e">
        <f>重み!N22</f>
        <v>#DIV/0!</v>
      </c>
      <c r="AR22" s="2565">
        <f t="shared" si="11"/>
        <v>0</v>
      </c>
      <c r="BJ22" s="1" t="s">
        <v>3515</v>
      </c>
      <c r="BK22" s="1">
        <f>IF(AND(ISERROR(O22)=FALSE,ISERROR(P22)=FALSE,ISERROR(Q22)=FALSE,ISERROR(R22)=FALSE),IF(OR(AND(O22&gt;3,P22&gt;0),AND(Q22&gt;3,R22&gt;0)),MAX(O22,Q22),0),0)</f>
        <v>0</v>
      </c>
      <c r="BL22" s="2950" t="str">
        <f t="shared" ref="BL22:BL30" si="15">IF(J22=0,"",J22)</f>
        <v/>
      </c>
    </row>
    <row r="23" spans="1:64" hidden="1">
      <c r="A23" s="94"/>
      <c r="B23" s="643"/>
      <c r="C23" s="691"/>
      <c r="D23" s="710">
        <v>2</v>
      </c>
      <c r="E23" s="711" t="s">
        <v>2433</v>
      </c>
      <c r="F23" s="712"/>
      <c r="G23" s="648"/>
      <c r="H23" s="648"/>
      <c r="I23" s="2764"/>
      <c r="J23" s="3345"/>
      <c r="K23" s="3346"/>
      <c r="L23" s="3346"/>
      <c r="M23" s="3346"/>
      <c r="N23" s="3348"/>
      <c r="O23" s="672">
        <f t="shared" si="13"/>
        <v>0</v>
      </c>
      <c r="P23" s="658" t="e">
        <f t="shared" si="5"/>
        <v>#DIV/0!</v>
      </c>
      <c r="Q23" s="672">
        <f t="shared" si="14"/>
        <v>0</v>
      </c>
      <c r="R23" s="658" t="e">
        <f t="shared" si="6"/>
        <v>#DIV/0!</v>
      </c>
      <c r="S23" s="638"/>
      <c r="T23" s="559"/>
      <c r="U23" s="673">
        <f>IF(採点Q1!F160="対象外",0,採点Q1!F160)</f>
        <v>0</v>
      </c>
      <c r="V23" s="674"/>
      <c r="X23" s="661">
        <f>O23</f>
        <v>0</v>
      </c>
      <c r="Y23" s="640" t="e">
        <f>重み!D23</f>
        <v>#DIV/0!</v>
      </c>
      <c r="Z23" s="693"/>
      <c r="AA23" s="640" t="e">
        <f>重み!E23</f>
        <v>#DIV/0!</v>
      </c>
      <c r="AB23" s="614"/>
      <c r="AC23" s="559"/>
      <c r="AD23" s="590" t="e">
        <f>重み!M23</f>
        <v>#DIV/0!</v>
      </c>
      <c r="AE23" s="574"/>
      <c r="AF23" s="590" t="e">
        <f>重み!N23</f>
        <v>#DIV/0!</v>
      </c>
      <c r="AR23" s="2565">
        <f t="shared" si="11"/>
        <v>0</v>
      </c>
      <c r="BJ23" s="1"/>
      <c r="BK23" s="1"/>
      <c r="BL23" s="2950" t="str">
        <f t="shared" si="15"/>
        <v/>
      </c>
    </row>
    <row r="24" spans="1:64">
      <c r="A24" s="94"/>
      <c r="B24" s="643"/>
      <c r="C24" s="691"/>
      <c r="D24" s="654">
        <v>2</v>
      </c>
      <c r="E24" s="646" t="s">
        <v>588</v>
      </c>
      <c r="F24" s="692"/>
      <c r="G24" s="648"/>
      <c r="H24" s="648"/>
      <c r="I24" s="2764"/>
      <c r="J24" s="3345"/>
      <c r="K24" s="3346"/>
      <c r="L24" s="3346"/>
      <c r="M24" s="3346"/>
      <c r="N24" s="3348"/>
      <c r="O24" s="672">
        <f t="shared" si="13"/>
        <v>3</v>
      </c>
      <c r="P24" s="658" t="e">
        <f t="shared" si="5"/>
        <v>#DIV/0!</v>
      </c>
      <c r="Q24" s="672">
        <f t="shared" si="14"/>
        <v>3</v>
      </c>
      <c r="R24" s="658" t="e">
        <f t="shared" si="6"/>
        <v>#DIV/0!</v>
      </c>
      <c r="S24" s="638"/>
      <c r="T24" s="559"/>
      <c r="U24" s="673">
        <f>IF(採点Q1!F169="対象外",0,採点Q1!F169)</f>
        <v>3</v>
      </c>
      <c r="V24" s="674">
        <f>採点Q1!K169</f>
        <v>3</v>
      </c>
      <c r="X24" s="661">
        <f>O24</f>
        <v>3</v>
      </c>
      <c r="Y24" s="640" t="e">
        <f>重み!D24</f>
        <v>#DIV/0!</v>
      </c>
      <c r="Z24" s="661">
        <f>Q24</f>
        <v>3</v>
      </c>
      <c r="AA24" s="640" t="e">
        <f>重み!E24</f>
        <v>#DIV/0!</v>
      </c>
      <c r="AB24" s="614"/>
      <c r="AC24" s="559"/>
      <c r="AD24" s="590" t="e">
        <f>重み!M24</f>
        <v>#DIV/0!</v>
      </c>
      <c r="AE24" s="574"/>
      <c r="AF24" s="590" t="e">
        <f>重み!N24</f>
        <v>#DIV/0!</v>
      </c>
      <c r="AR24" s="2565">
        <f t="shared" si="11"/>
        <v>0</v>
      </c>
      <c r="BJ24" s="1" t="s">
        <v>3516</v>
      </c>
      <c r="BK24" s="1">
        <f>IF(AND(ISERROR(O24)=FALSE,ISERROR(P24)=FALSE,ISERROR(Q24)=FALSE,ISERROR(R24)=FALSE),IF(OR(AND(O24&gt;3,P24&gt;0),AND(Q24&gt;3,R24&gt;0)),MAX(O24,Q24),0),0)</f>
        <v>0</v>
      </c>
      <c r="BL24" s="2950" t="str">
        <f t="shared" si="15"/>
        <v/>
      </c>
    </row>
    <row r="25" spans="1:64">
      <c r="A25" s="94"/>
      <c r="B25" s="643"/>
      <c r="C25" s="691"/>
      <c r="D25" s="654">
        <v>3</v>
      </c>
      <c r="E25" s="646" t="s">
        <v>589</v>
      </c>
      <c r="F25" s="692"/>
      <c r="G25" s="648"/>
      <c r="H25" s="648"/>
      <c r="I25" s="2764"/>
      <c r="J25" s="3345"/>
      <c r="K25" s="3346"/>
      <c r="L25" s="3346"/>
      <c r="M25" s="3346"/>
      <c r="N25" s="3348"/>
      <c r="O25" s="672">
        <f t="shared" si="13"/>
        <v>3</v>
      </c>
      <c r="P25" s="658" t="e">
        <f t="shared" si="5"/>
        <v>#DIV/0!</v>
      </c>
      <c r="Q25" s="672">
        <f t="shared" si="14"/>
        <v>0</v>
      </c>
      <c r="R25" s="658" t="e">
        <f t="shared" si="6"/>
        <v>#DIV/0!</v>
      </c>
      <c r="S25" s="638"/>
      <c r="T25" s="559"/>
      <c r="U25" s="673">
        <f>IF(採点Q1!F185="対象外",0,採点Q1!F185)</f>
        <v>3</v>
      </c>
      <c r="V25" s="674"/>
      <c r="X25" s="661">
        <f>O25</f>
        <v>3</v>
      </c>
      <c r="Y25" s="640" t="e">
        <f>重み!D25</f>
        <v>#DIV/0!</v>
      </c>
      <c r="Z25" s="693"/>
      <c r="AA25" s="640" t="e">
        <f>重み!E25</f>
        <v>#DIV/0!</v>
      </c>
      <c r="AB25" s="614"/>
      <c r="AC25" s="559"/>
      <c r="AD25" s="590" t="e">
        <f>重み!M25</f>
        <v>#DIV/0!</v>
      </c>
      <c r="AE25" s="574"/>
      <c r="AF25" s="590" t="e">
        <f>重み!N25</f>
        <v>#DIV/0!</v>
      </c>
      <c r="AR25" s="2565">
        <f t="shared" si="11"/>
        <v>0</v>
      </c>
      <c r="BJ25" s="1" t="s">
        <v>3517</v>
      </c>
      <c r="BK25" s="1">
        <f>IF(AND(ISERROR(O25)=FALSE,ISERROR(P25)=FALSE,ISERROR(Q25)=FALSE,ISERROR(R25)=FALSE),IF(OR(AND(O25&gt;3,P25&gt;0),AND(Q25&gt;3,R25&gt;0)),MAX(O25,Q25),0),0)</f>
        <v>0</v>
      </c>
      <c r="BL25" s="2950" t="str">
        <f t="shared" si="15"/>
        <v/>
      </c>
    </row>
    <row r="26" spans="1:64" hidden="1">
      <c r="A26" s="94"/>
      <c r="B26" s="643"/>
      <c r="C26" s="691"/>
      <c r="D26" s="710">
        <v>5</v>
      </c>
      <c r="E26" s="711" t="s">
        <v>1570</v>
      </c>
      <c r="F26" s="712"/>
      <c r="G26" s="648"/>
      <c r="H26" s="648"/>
      <c r="I26" s="2764"/>
      <c r="J26" s="3345"/>
      <c r="K26" s="3346"/>
      <c r="L26" s="3346"/>
      <c r="M26" s="3346"/>
      <c r="N26" s="3348"/>
      <c r="O26" s="672">
        <f t="shared" si="13"/>
        <v>0</v>
      </c>
      <c r="P26" s="658" t="e">
        <f t="shared" si="5"/>
        <v>#DIV/0!</v>
      </c>
      <c r="Q26" s="672">
        <f t="shared" si="14"/>
        <v>0</v>
      </c>
      <c r="R26" s="658" t="e">
        <f t="shared" si="6"/>
        <v>#DIV/0!</v>
      </c>
      <c r="S26" s="638"/>
      <c r="T26" s="559"/>
      <c r="U26" s="673">
        <f>IF(採点Q1!F194="対象外",0,採点Q1!F194)</f>
        <v>0</v>
      </c>
      <c r="V26" s="674">
        <f>採点Q1!K194</f>
        <v>0</v>
      </c>
      <c r="X26" s="661">
        <f>O26</f>
        <v>0</v>
      </c>
      <c r="Y26" s="640" t="e">
        <f>重み!D26</f>
        <v>#DIV/0!</v>
      </c>
      <c r="Z26" s="661">
        <f>Q26</f>
        <v>0</v>
      </c>
      <c r="AA26" s="640" t="e">
        <f>重み!E26</f>
        <v>#DIV/0!</v>
      </c>
      <c r="AB26" s="614"/>
      <c r="AC26" s="559"/>
      <c r="AD26" s="590" t="e">
        <f>重み!M26</f>
        <v>#DIV/0!</v>
      </c>
      <c r="AE26" s="574"/>
      <c r="AF26" s="590" t="e">
        <f>重み!N26</f>
        <v>#DIV/0!</v>
      </c>
      <c r="AR26" s="2565">
        <f t="shared" si="11"/>
        <v>0</v>
      </c>
      <c r="BJ26" s="1"/>
      <c r="BK26" s="1"/>
      <c r="BL26" s="2950" t="str">
        <f t="shared" si="15"/>
        <v/>
      </c>
    </row>
    <row r="27" spans="1:64" hidden="1">
      <c r="A27" s="94"/>
      <c r="B27" s="643"/>
      <c r="C27" s="691"/>
      <c r="D27" s="710">
        <v>6</v>
      </c>
      <c r="E27" s="711" t="s">
        <v>590</v>
      </c>
      <c r="F27" s="712"/>
      <c r="G27" s="648"/>
      <c r="H27" s="648"/>
      <c r="I27" s="2764"/>
      <c r="J27" s="3345"/>
      <c r="K27" s="3346"/>
      <c r="L27" s="3346"/>
      <c r="M27" s="3346"/>
      <c r="N27" s="3348"/>
      <c r="O27" s="672">
        <f t="shared" si="13"/>
        <v>0</v>
      </c>
      <c r="P27" s="658" t="e">
        <f t="shared" si="5"/>
        <v>#DIV/0!</v>
      </c>
      <c r="Q27" s="672">
        <f t="shared" si="14"/>
        <v>0</v>
      </c>
      <c r="R27" s="658" t="e">
        <f t="shared" si="6"/>
        <v>#DIV/0!</v>
      </c>
      <c r="S27" s="638"/>
      <c r="T27" s="559"/>
      <c r="U27" s="673"/>
      <c r="V27" s="674">
        <f>採点Q1!F203</f>
        <v>0</v>
      </c>
      <c r="X27" s="661"/>
      <c r="Y27" s="640" t="e">
        <f>重み!D27</f>
        <v>#DIV/0!</v>
      </c>
      <c r="Z27" s="661">
        <f>Q27</f>
        <v>0</v>
      </c>
      <c r="AA27" s="640" t="e">
        <f>重み!E27</f>
        <v>#DIV/0!</v>
      </c>
      <c r="AB27" s="614"/>
      <c r="AC27" s="559"/>
      <c r="AD27" s="590" t="e">
        <f>重み!M27</f>
        <v>#DIV/0!</v>
      </c>
      <c r="AE27" s="574"/>
      <c r="AF27" s="590" t="e">
        <f>重み!N27</f>
        <v>#DIV/0!</v>
      </c>
      <c r="AR27" s="2565">
        <f t="shared" si="11"/>
        <v>0</v>
      </c>
      <c r="BJ27" s="1"/>
      <c r="BK27" s="1"/>
      <c r="BL27" s="2950" t="str">
        <f t="shared" si="15"/>
        <v/>
      </c>
    </row>
    <row r="28" spans="1:64" hidden="1">
      <c r="A28" s="94"/>
      <c r="B28" s="643"/>
      <c r="C28" s="691"/>
      <c r="D28" s="710">
        <v>7</v>
      </c>
      <c r="E28" s="711" t="s">
        <v>203</v>
      </c>
      <c r="F28" s="712"/>
      <c r="G28" s="648"/>
      <c r="H28" s="648"/>
      <c r="I28" s="2764"/>
      <c r="J28" s="3345"/>
      <c r="K28" s="3346"/>
      <c r="L28" s="3346"/>
      <c r="M28" s="3346"/>
      <c r="N28" s="3348"/>
      <c r="O28" s="672">
        <f t="shared" si="13"/>
        <v>0</v>
      </c>
      <c r="P28" s="658" t="e">
        <f t="shared" si="5"/>
        <v>#DIV/0!</v>
      </c>
      <c r="Q28" s="672">
        <f t="shared" si="14"/>
        <v>0</v>
      </c>
      <c r="R28" s="658" t="e">
        <f t="shared" si="6"/>
        <v>#DIV/0!</v>
      </c>
      <c r="S28" s="638"/>
      <c r="T28" s="559"/>
      <c r="U28" s="673">
        <f>IF(採点Q1!F212="対象外",0,採点Q1!F212)</f>
        <v>0</v>
      </c>
      <c r="V28" s="674"/>
      <c r="X28" s="661">
        <f>O28</f>
        <v>0</v>
      </c>
      <c r="Y28" s="640" t="e">
        <f>重み!D28</f>
        <v>#DIV/0!</v>
      </c>
      <c r="Z28" s="693"/>
      <c r="AA28" s="640" t="e">
        <f>重み!E28</f>
        <v>#DIV/0!</v>
      </c>
      <c r="AB28" s="614"/>
      <c r="AC28" s="559"/>
      <c r="AD28" s="590" t="e">
        <f>重み!M28</f>
        <v>#DIV/0!</v>
      </c>
      <c r="AE28" s="574"/>
      <c r="AF28" s="590" t="e">
        <f>重み!N28</f>
        <v>#DIV/0!</v>
      </c>
      <c r="AR28" s="2565">
        <f t="shared" si="11"/>
        <v>0</v>
      </c>
      <c r="BJ28" s="1"/>
      <c r="BK28" s="1"/>
      <c r="BL28" s="2950" t="str">
        <f t="shared" si="15"/>
        <v/>
      </c>
    </row>
    <row r="29" spans="1:64" hidden="1">
      <c r="A29" s="94"/>
      <c r="B29" s="643"/>
      <c r="C29" s="691"/>
      <c r="D29" s="710">
        <v>8</v>
      </c>
      <c r="E29" s="711" t="s">
        <v>204</v>
      </c>
      <c r="F29" s="712"/>
      <c r="G29" s="648"/>
      <c r="H29" s="648"/>
      <c r="I29" s="2764"/>
      <c r="J29" s="3345"/>
      <c r="K29" s="3346"/>
      <c r="L29" s="3346"/>
      <c r="M29" s="3346"/>
      <c r="N29" s="3348"/>
      <c r="O29" s="672">
        <f t="shared" si="13"/>
        <v>0</v>
      </c>
      <c r="P29" s="658" t="e">
        <f t="shared" si="5"/>
        <v>#DIV/0!</v>
      </c>
      <c r="Q29" s="672">
        <f t="shared" si="14"/>
        <v>0</v>
      </c>
      <c r="R29" s="658" t="e">
        <f t="shared" si="6"/>
        <v>#DIV/0!</v>
      </c>
      <c r="S29" s="638"/>
      <c r="T29" s="559"/>
      <c r="U29" s="673">
        <f>IF(採点Q1!K212="対象外",0,採点Q1!K212)</f>
        <v>0</v>
      </c>
      <c r="V29" s="674"/>
      <c r="X29" s="661">
        <f>O29</f>
        <v>0</v>
      </c>
      <c r="Y29" s="640" t="e">
        <f>重み!D29</f>
        <v>#DIV/0!</v>
      </c>
      <c r="Z29" s="693"/>
      <c r="AA29" s="640" t="e">
        <f>重み!E29</f>
        <v>#DIV/0!</v>
      </c>
      <c r="AB29" s="614"/>
      <c r="AC29" s="559"/>
      <c r="AD29" s="590" t="e">
        <f>重み!M29</f>
        <v>#DIV/0!</v>
      </c>
      <c r="AE29" s="574"/>
      <c r="AF29" s="590" t="e">
        <f>重み!N29</f>
        <v>#DIV/0!</v>
      </c>
      <c r="AR29" s="2565">
        <f t="shared" si="11"/>
        <v>0</v>
      </c>
      <c r="BJ29" s="1"/>
      <c r="BK29" s="1"/>
      <c r="BL29" s="2950" t="str">
        <f t="shared" si="15"/>
        <v/>
      </c>
    </row>
    <row r="30" spans="1:64" ht="14.25" thickBot="1">
      <c r="A30" s="94"/>
      <c r="B30" s="643"/>
      <c r="C30" s="676">
        <v>2.2000000000000002</v>
      </c>
      <c r="D30" s="646" t="s">
        <v>205</v>
      </c>
      <c r="E30" s="694"/>
      <c r="F30" s="692"/>
      <c r="G30" s="648">
        <v>5</v>
      </c>
      <c r="H30" s="648"/>
      <c r="I30" s="2764"/>
      <c r="J30" s="3345"/>
      <c r="K30" s="3346"/>
      <c r="L30" s="3346"/>
      <c r="M30" s="3346"/>
      <c r="N30" s="3348"/>
      <c r="O30" s="677">
        <f t="shared" si="13"/>
        <v>3</v>
      </c>
      <c r="P30" s="658" t="e">
        <f t="shared" si="5"/>
        <v>#DIV/0!</v>
      </c>
      <c r="Q30" s="677">
        <f t="shared" si="14"/>
        <v>0</v>
      </c>
      <c r="R30" s="658" t="e">
        <f t="shared" si="6"/>
        <v>#DIV/0!</v>
      </c>
      <c r="S30" s="638"/>
      <c r="T30" s="559"/>
      <c r="U30" s="673">
        <f>IF(採点Q1!F221="対象外",0,採点Q1!F221)</f>
        <v>3</v>
      </c>
      <c r="V30" s="674">
        <f>採点Q1!K221</f>
        <v>0</v>
      </c>
      <c r="X30" s="661">
        <f>O30</f>
        <v>3</v>
      </c>
      <c r="Y30" s="640" t="e">
        <f>重み!D30</f>
        <v>#DIV/0!</v>
      </c>
      <c r="Z30" s="661">
        <f>Q30</f>
        <v>0</v>
      </c>
      <c r="AA30" s="640" t="e">
        <f>重み!E30</f>
        <v>#DIV/0!</v>
      </c>
      <c r="AB30" s="614"/>
      <c r="AC30" s="559"/>
      <c r="AD30" s="590" t="e">
        <f>重み!M30</f>
        <v>#DIV/0!</v>
      </c>
      <c r="AE30" s="574"/>
      <c r="AF30" s="590" t="e">
        <f>重み!N30</f>
        <v>#DIV/0!</v>
      </c>
      <c r="AR30" s="2565">
        <f t="shared" si="11"/>
        <v>0</v>
      </c>
      <c r="BJ30" s="1" t="s">
        <v>3518</v>
      </c>
      <c r="BK30" s="1">
        <f>IF(AND(ISERROR(O30)=FALSE,ISERROR(P30)=FALSE,ISERROR(Q30)=FALSE,ISERROR(R30)=FALSE),IF(OR(AND(O30&gt;3,P30&gt;0),AND(Q30&gt;3,R30&gt;0)),MAX(O30,Q30),0),0)</f>
        <v>0</v>
      </c>
      <c r="BL30" s="2950" t="str">
        <f t="shared" si="15"/>
        <v/>
      </c>
    </row>
    <row r="31" spans="1:64" ht="14.25" thickBot="1">
      <c r="A31" s="94"/>
      <c r="B31" s="643"/>
      <c r="C31" s="668">
        <v>2.2999999999999998</v>
      </c>
      <c r="D31" s="646" t="s">
        <v>206</v>
      </c>
      <c r="E31" s="694"/>
      <c r="F31" s="692"/>
      <c r="G31" s="648">
        <v>5</v>
      </c>
      <c r="H31" s="648"/>
      <c r="I31" s="2764"/>
      <c r="J31" s="2924"/>
      <c r="K31" s="2925"/>
      <c r="L31" s="2925"/>
      <c r="M31" s="2925"/>
      <c r="N31" s="2926"/>
      <c r="O31" s="865" t="e">
        <f>ROUNDDOWN(X31,1)</f>
        <v>#DIV/0!</v>
      </c>
      <c r="P31" s="636" t="e">
        <f t="shared" si="5"/>
        <v>#DIV/0!</v>
      </c>
      <c r="Q31" s="709" t="e">
        <f t="shared" ref="Q31:Q33" si="16">ROUNDDOWN(Z31,1)</f>
        <v>#DIV/0!</v>
      </c>
      <c r="R31" s="637" t="e">
        <f t="shared" si="6"/>
        <v>#DIV/0!</v>
      </c>
      <c r="S31" s="638"/>
      <c r="T31" s="559"/>
      <c r="U31" s="673">
        <f>IF(採点Q1!F238="対象外",0,採点Q1!F238)</f>
        <v>0</v>
      </c>
      <c r="V31" s="674">
        <f>採点Q1!K238</f>
        <v>0</v>
      </c>
      <c r="X31" s="639" t="e">
        <f>SUMPRODUCT(X32:X33,Y32:Y33)</f>
        <v>#DIV/0!</v>
      </c>
      <c r="Y31" s="640" t="e">
        <f>重み!D31</f>
        <v>#DIV/0!</v>
      </c>
      <c r="Z31" s="639" t="e">
        <f>SUMPRODUCT(Z32:Z33,AA32:AA33)</f>
        <v>#DIV/0!</v>
      </c>
      <c r="AA31" s="640" t="e">
        <f>重み!E31</f>
        <v>#DIV/0!</v>
      </c>
      <c r="AB31" s="614"/>
      <c r="AC31" s="559"/>
      <c r="AD31" s="590" t="e">
        <f>重み!M31</f>
        <v>#DIV/0!</v>
      </c>
      <c r="AE31" s="574"/>
      <c r="AF31" s="590" t="e">
        <f>重み!N31</f>
        <v>#DIV/0!</v>
      </c>
      <c r="AR31" s="2565">
        <f t="shared" si="11"/>
        <v>0</v>
      </c>
      <c r="BJ31" s="1"/>
      <c r="BK31" s="1"/>
      <c r="BL31" s="2950"/>
    </row>
    <row r="32" spans="1:64">
      <c r="A32" s="94"/>
      <c r="B32" s="643"/>
      <c r="C32" s="696"/>
      <c r="D32" s="654">
        <v>1</v>
      </c>
      <c r="E32" s="646" t="s">
        <v>207</v>
      </c>
      <c r="F32" s="692"/>
      <c r="G32" s="697"/>
      <c r="H32" s="697"/>
      <c r="I32" s="2766"/>
      <c r="J32" s="3345"/>
      <c r="K32" s="3346"/>
      <c r="L32" s="3346"/>
      <c r="M32" s="3346"/>
      <c r="N32" s="3348"/>
      <c r="O32" s="657">
        <f t="shared" si="13"/>
        <v>3</v>
      </c>
      <c r="P32" s="636" t="e">
        <f t="shared" si="5"/>
        <v>#DIV/0!</v>
      </c>
      <c r="Q32" s="709">
        <f t="shared" si="16"/>
        <v>0</v>
      </c>
      <c r="R32" s="637" t="e">
        <f t="shared" si="6"/>
        <v>#DIV/0!</v>
      </c>
      <c r="S32" s="698"/>
      <c r="T32" s="699"/>
      <c r="U32" s="673">
        <f>採点Q1!F255</f>
        <v>3</v>
      </c>
      <c r="V32" s="674"/>
      <c r="X32" s="661">
        <f>O32</f>
        <v>3</v>
      </c>
      <c r="Y32" s="640" t="e">
        <f>重み!D32</f>
        <v>#DIV/0!</v>
      </c>
      <c r="Z32" s="700"/>
      <c r="AA32" s="640" t="e">
        <f>重み!E32</f>
        <v>#DIV/0!</v>
      </c>
      <c r="AB32" s="701"/>
      <c r="AC32" s="699"/>
      <c r="AD32" s="702" t="e">
        <f>重み!M32</f>
        <v>#DIV/0!</v>
      </c>
      <c r="AE32" s="703"/>
      <c r="AF32" s="702" t="e">
        <f>重み!N32</f>
        <v>#DIV/0!</v>
      </c>
      <c r="AR32" s="2565">
        <f t="shared" si="11"/>
        <v>0</v>
      </c>
      <c r="BJ32" s="1" t="s">
        <v>3519</v>
      </c>
      <c r="BK32" s="1">
        <f>IF(AND(ISERROR(O32)=FALSE,ISERROR(P32)=FALSE,ISERROR(Q32)=FALSE,ISERROR(R32)=FALSE),IF(OR(AND(O32&gt;3,P32&gt;0),AND(Q32&gt;3,R32&gt;0)),MAX(O32,Q32),0),0)</f>
        <v>0</v>
      </c>
      <c r="BL32" s="2950" t="str">
        <f t="shared" ref="BL32:BL33" si="17">IF(J32=0,"",J32)</f>
        <v/>
      </c>
    </row>
    <row r="33" spans="1:64" ht="14.25" thickBot="1">
      <c r="A33" s="94"/>
      <c r="B33" s="704"/>
      <c r="C33" s="705"/>
      <c r="D33" s="654">
        <v>2</v>
      </c>
      <c r="E33" s="646" t="s">
        <v>1489</v>
      </c>
      <c r="F33" s="692"/>
      <c r="G33" s="697"/>
      <c r="H33" s="697"/>
      <c r="I33" s="2766"/>
      <c r="J33" s="3345"/>
      <c r="K33" s="3346"/>
      <c r="L33" s="3346"/>
      <c r="M33" s="3346"/>
      <c r="N33" s="3348"/>
      <c r="O33" s="665">
        <f t="shared" si="13"/>
        <v>3</v>
      </c>
      <c r="P33" s="636" t="e">
        <f t="shared" si="5"/>
        <v>#DIV/0!</v>
      </c>
      <c r="Q33" s="2733">
        <f t="shared" si="16"/>
        <v>0</v>
      </c>
      <c r="R33" s="637" t="e">
        <f t="shared" si="6"/>
        <v>#DIV/0!</v>
      </c>
      <c r="S33" s="698"/>
      <c r="T33" s="699"/>
      <c r="U33" s="673">
        <f>採点Q1!K255</f>
        <v>3</v>
      </c>
      <c r="V33" s="674"/>
      <c r="X33" s="2538">
        <f>O33</f>
        <v>3</v>
      </c>
      <c r="Y33" s="2539" t="e">
        <f>重み!D33</f>
        <v>#DIV/0!</v>
      </c>
      <c r="Z33" s="2540"/>
      <c r="AA33" s="2539" t="e">
        <f>重み!E33</f>
        <v>#DIV/0!</v>
      </c>
      <c r="AB33" s="701"/>
      <c r="AC33" s="699"/>
      <c r="AD33" s="702" t="e">
        <f>重み!M33</f>
        <v>#DIV/0!</v>
      </c>
      <c r="AE33" s="703"/>
      <c r="AF33" s="702" t="e">
        <f>重み!N33</f>
        <v>#DIV/0!</v>
      </c>
      <c r="AR33" s="2565">
        <f t="shared" si="11"/>
        <v>0</v>
      </c>
      <c r="BJ33" s="1" t="s">
        <v>3520</v>
      </c>
      <c r="BK33" s="1">
        <f>IF(AND(ISERROR(O33)=FALSE,ISERROR(P33)=FALSE,ISERROR(Q33)=FALSE,ISERROR(R33)=FALSE),IF(OR(AND(O33&gt;3,P33&gt;0),AND(Q33&gt;3,R33&gt;0)),MAX(O33,Q33),0),0)</f>
        <v>0</v>
      </c>
      <c r="BL33" s="2950" t="str">
        <f t="shared" si="17"/>
        <v/>
      </c>
    </row>
    <row r="34" spans="1:64">
      <c r="A34" s="94"/>
      <c r="B34" s="750">
        <v>3</v>
      </c>
      <c r="C34" s="678" t="s">
        <v>1490</v>
      </c>
      <c r="D34" s="770"/>
      <c r="E34" s="686"/>
      <c r="F34" s="687"/>
      <c r="G34" s="648"/>
      <c r="H34" s="719"/>
      <c r="I34" s="2765"/>
      <c r="J34" s="2927"/>
      <c r="K34" s="2928"/>
      <c r="L34" s="2928"/>
      <c r="M34" s="2928"/>
      <c r="N34" s="2929"/>
      <c r="O34" s="680" t="e">
        <f>ROUNDDOWN(X34,1)</f>
        <v>#DIV/0!</v>
      </c>
      <c r="P34" s="681" t="e">
        <f t="shared" si="5"/>
        <v>#DIV/0!</v>
      </c>
      <c r="Q34" s="680" t="e">
        <f>ROUNDDOWN(Z34,1)</f>
        <v>#DIV/0!</v>
      </c>
      <c r="R34" s="682" t="e">
        <f t="shared" si="6"/>
        <v>#DIV/0!</v>
      </c>
      <c r="S34" s="683" t="e">
        <f>ROUNDDOWN(AB34,1)</f>
        <v>#DIV/0!</v>
      </c>
      <c r="T34" s="559"/>
      <c r="U34" s="684"/>
      <c r="V34" s="684"/>
      <c r="X34" s="639" t="e">
        <f>X35*Y35+X39*Y39+X43*Y43+X46*Y46</f>
        <v>#DIV/0!</v>
      </c>
      <c r="Y34" s="640" t="e">
        <f>重み!D34</f>
        <v>#DIV/0!</v>
      </c>
      <c r="Z34" s="639" t="e">
        <f>Z35*AA35+Z39*AA39+Z43*AA43+Z46*AA46</f>
        <v>#DIV/0!</v>
      </c>
      <c r="AA34" s="641" t="e">
        <f>SUM(AA35,AA39,AA43,AA46)</f>
        <v>#DIV/0!</v>
      </c>
      <c r="AB34" s="614" t="e">
        <f>IF(Z34=0,X34,IF(X34=0,Z34,X34*AD$6+Z34*AF$6))</f>
        <v>#DIV/0!</v>
      </c>
      <c r="AC34" s="559"/>
      <c r="AD34" s="590" t="e">
        <f>重み!M34</f>
        <v>#DIV/0!</v>
      </c>
      <c r="AE34" s="574"/>
      <c r="AF34" s="642" t="e">
        <f>SUM(AF35,AF39,AF43,AF46)</f>
        <v>#DIV/0!</v>
      </c>
      <c r="AH34" s="2536">
        <v>3</v>
      </c>
      <c r="AI34" s="2536"/>
      <c r="AJ34" s="2536"/>
      <c r="AK34" s="2536"/>
      <c r="AL34" s="2536"/>
      <c r="AM34" s="2536">
        <v>0</v>
      </c>
      <c r="AN34" s="2536"/>
      <c r="AO34" s="2536"/>
      <c r="AP34" s="2536"/>
      <c r="AQ34" s="2536"/>
      <c r="AR34" s="2533" t="e">
        <f t="shared" si="11"/>
        <v>#DIV/0!</v>
      </c>
      <c r="AS34" s="855" t="e">
        <f>P34</f>
        <v>#DIV/0!</v>
      </c>
      <c r="AT34" s="683"/>
      <c r="AU34" s="2507"/>
      <c r="AV34" s="2532" t="e">
        <f>IF(AX34=0,0,SUMPRODUCT($AY$7:$BH$7,AH34:AQ34)/AX34)</f>
        <v>#DIV/0!</v>
      </c>
      <c r="AX34" s="2531" t="e">
        <f>SUMPRODUCT($AY$7:$BH$7,AY34:BH34)</f>
        <v>#DIV/0!</v>
      </c>
      <c r="AY34" s="2517">
        <f t="shared" ref="AY34:BH34" si="18">IF(AH34&gt;0,1,0)</f>
        <v>1</v>
      </c>
      <c r="AZ34" s="2517">
        <f t="shared" si="18"/>
        <v>0</v>
      </c>
      <c r="BA34" s="2517">
        <f t="shared" si="18"/>
        <v>0</v>
      </c>
      <c r="BB34" s="2517">
        <f t="shared" si="18"/>
        <v>0</v>
      </c>
      <c r="BC34" s="2517">
        <f t="shared" si="18"/>
        <v>0</v>
      </c>
      <c r="BD34" s="2517">
        <f t="shared" si="18"/>
        <v>0</v>
      </c>
      <c r="BE34" s="2517">
        <f t="shared" si="18"/>
        <v>0</v>
      </c>
      <c r="BF34" s="2517">
        <f t="shared" si="18"/>
        <v>0</v>
      </c>
      <c r="BG34" s="2517">
        <f t="shared" si="18"/>
        <v>0</v>
      </c>
      <c r="BH34" s="2517">
        <f t="shared" si="18"/>
        <v>0</v>
      </c>
      <c r="BJ34" s="1"/>
      <c r="BK34" s="1"/>
      <c r="BL34" s="2950"/>
    </row>
    <row r="35" spans="1:64" ht="14.25" thickBot="1">
      <c r="A35" s="94"/>
      <c r="B35" s="643"/>
      <c r="C35" s="644">
        <v>3.1</v>
      </c>
      <c r="D35" s="685" t="s">
        <v>1491</v>
      </c>
      <c r="E35" s="686"/>
      <c r="F35" s="687"/>
      <c r="G35" s="648">
        <v>5</v>
      </c>
      <c r="H35" s="648"/>
      <c r="I35" s="2764"/>
      <c r="J35" s="2930"/>
      <c r="K35" s="2931"/>
      <c r="L35" s="2931"/>
      <c r="M35" s="2931"/>
      <c r="N35" s="2932"/>
      <c r="O35" s="649" t="e">
        <f>ROUNDDOWN(X35,1)</f>
        <v>#DIV/0!</v>
      </c>
      <c r="P35" s="688" t="e">
        <f t="shared" si="5"/>
        <v>#DIV/0!</v>
      </c>
      <c r="Q35" s="689" t="e">
        <f>ROUNDDOWN(Z35,1)</f>
        <v>#DIV/0!</v>
      </c>
      <c r="R35" s="690" t="e">
        <f t="shared" si="6"/>
        <v>#DIV/0!</v>
      </c>
      <c r="S35" s="651"/>
      <c r="T35" s="559"/>
      <c r="U35" s="652"/>
      <c r="V35" s="652"/>
      <c r="X35" s="639" t="e">
        <f>SUMPRODUCT(X36:X38,Y36:Y38)</f>
        <v>#DIV/0!</v>
      </c>
      <c r="Y35" s="640" t="e">
        <f>重み!D35</f>
        <v>#DIV/0!</v>
      </c>
      <c r="Z35" s="639" t="e">
        <f>SUMPRODUCT(Z36:Z38,AA36:AA38)</f>
        <v>#DIV/0!</v>
      </c>
      <c r="AA35" s="640" t="e">
        <f>重み!E35</f>
        <v>#DIV/0!</v>
      </c>
      <c r="AB35" s="614"/>
      <c r="AC35" s="559"/>
      <c r="AD35" s="590" t="e">
        <f>重み!M35</f>
        <v>#DIV/0!</v>
      </c>
      <c r="AE35" s="574"/>
      <c r="AF35" s="590" t="e">
        <f>重み!N35</f>
        <v>#DIV/0!</v>
      </c>
      <c r="AR35" s="2565">
        <f t="shared" si="11"/>
        <v>0</v>
      </c>
      <c r="BJ35" s="1"/>
      <c r="BK35" s="1"/>
      <c r="BL35" s="2950"/>
    </row>
    <row r="36" spans="1:64">
      <c r="A36" s="94"/>
      <c r="B36" s="643"/>
      <c r="C36" s="691"/>
      <c r="D36" s="654">
        <v>1</v>
      </c>
      <c r="E36" s="646" t="s">
        <v>1492</v>
      </c>
      <c r="F36" s="692"/>
      <c r="G36" s="648"/>
      <c r="H36" s="2767" t="s">
        <v>3378</v>
      </c>
      <c r="I36" s="2768" t="s">
        <v>3379</v>
      </c>
      <c r="J36" s="3345"/>
      <c r="K36" s="3346"/>
      <c r="L36" s="3346"/>
      <c r="M36" s="3346"/>
      <c r="N36" s="3348"/>
      <c r="O36" s="657">
        <f>ROUNDDOWN(U36,1)</f>
        <v>3</v>
      </c>
      <c r="P36" s="658" t="e">
        <f t="shared" si="5"/>
        <v>#DIV/0!</v>
      </c>
      <c r="Q36" s="657">
        <f>ROUNDDOWN(V36,1)</f>
        <v>3</v>
      </c>
      <c r="R36" s="658" t="e">
        <f t="shared" si="6"/>
        <v>#DIV/0!</v>
      </c>
      <c r="S36" s="638"/>
      <c r="T36" s="559"/>
      <c r="U36" s="659">
        <f>IF(採点Q1!F266="対象外",0,採点Q1!F266)</f>
        <v>3</v>
      </c>
      <c r="V36" s="660">
        <f>採点Q1!K266</f>
        <v>3</v>
      </c>
      <c r="X36" s="661">
        <f>O36</f>
        <v>3</v>
      </c>
      <c r="Y36" s="640" t="e">
        <f>重み!D36</f>
        <v>#DIV/0!</v>
      </c>
      <c r="Z36" s="661">
        <f>Q36</f>
        <v>3</v>
      </c>
      <c r="AA36" s="640" t="e">
        <f>重み!E36</f>
        <v>#DIV/0!</v>
      </c>
      <c r="AB36" s="614"/>
      <c r="AC36" s="559"/>
      <c r="AD36" s="590" t="e">
        <f>重み!M36</f>
        <v>#DIV/0!</v>
      </c>
      <c r="AE36" s="574"/>
      <c r="AF36" s="590" t="e">
        <f>重み!N36</f>
        <v>#DIV/0!</v>
      </c>
      <c r="AR36" s="2565">
        <f t="shared" si="11"/>
        <v>0</v>
      </c>
      <c r="BJ36" s="1" t="s">
        <v>3521</v>
      </c>
      <c r="BK36" s="1">
        <f t="shared" ref="BK36:BK38" si="19">IF(AND(ISERROR(O36)=FALSE,ISERROR(P36)=FALSE,ISERROR(Q36)=FALSE,ISERROR(R36)=FALSE),IF(OR(AND(O36&gt;3,P36&gt;0),AND(Q36&gt;3,R36&gt;0)),MAX(O36,Q36),0),0)</f>
        <v>0</v>
      </c>
      <c r="BL36" s="2950" t="str">
        <f t="shared" ref="BL36:BL38" si="20">IF(J36=0,"",J36)</f>
        <v/>
      </c>
    </row>
    <row r="37" spans="1:64">
      <c r="A37" s="94"/>
      <c r="B37" s="643"/>
      <c r="C37" s="691"/>
      <c r="D37" s="654">
        <v>2</v>
      </c>
      <c r="E37" s="646" t="s">
        <v>1493</v>
      </c>
      <c r="F37" s="692"/>
      <c r="G37" s="648"/>
      <c r="H37" s="648"/>
      <c r="I37" s="2764"/>
      <c r="J37" s="3345"/>
      <c r="K37" s="3346"/>
      <c r="L37" s="3346"/>
      <c r="M37" s="3346"/>
      <c r="N37" s="3348"/>
      <c r="O37" s="672">
        <f>ROUNDDOWN(U37,1)</f>
        <v>0</v>
      </c>
      <c r="P37" s="658" t="e">
        <f t="shared" si="5"/>
        <v>#DIV/0!</v>
      </c>
      <c r="Q37" s="672">
        <f>ROUNDDOWN(V37,1)</f>
        <v>3</v>
      </c>
      <c r="R37" s="658" t="e">
        <f t="shared" si="6"/>
        <v>#DIV/0!</v>
      </c>
      <c r="S37" s="638"/>
      <c r="T37" s="559"/>
      <c r="U37" s="673"/>
      <c r="V37" s="674">
        <f>採点Q1!F275</f>
        <v>3</v>
      </c>
      <c r="X37" s="661"/>
      <c r="Y37" s="640" t="e">
        <f>重み!D37</f>
        <v>#DIV/0!</v>
      </c>
      <c r="Z37" s="661">
        <f>Q37</f>
        <v>3</v>
      </c>
      <c r="AA37" s="640" t="e">
        <f>重み!E37</f>
        <v>#DIV/0!</v>
      </c>
      <c r="AB37" s="614"/>
      <c r="AC37" s="559"/>
      <c r="AD37" s="590" t="e">
        <f>重み!M37</f>
        <v>#DIV/0!</v>
      </c>
      <c r="AE37" s="574"/>
      <c r="AF37" s="590" t="e">
        <f>重み!N37</f>
        <v>#DIV/0!</v>
      </c>
      <c r="AR37" s="2565">
        <f t="shared" si="11"/>
        <v>0</v>
      </c>
      <c r="BJ37" s="1" t="s">
        <v>3522</v>
      </c>
      <c r="BK37" s="1">
        <f t="shared" si="19"/>
        <v>0</v>
      </c>
      <c r="BL37" s="2950" t="str">
        <f t="shared" si="20"/>
        <v/>
      </c>
    </row>
    <row r="38" spans="1:64" ht="14.25" thickBot="1">
      <c r="A38" s="94"/>
      <c r="B38" s="643"/>
      <c r="C38" s="706"/>
      <c r="D38" s="654">
        <v>3</v>
      </c>
      <c r="E38" s="646" t="s">
        <v>1494</v>
      </c>
      <c r="F38" s="692"/>
      <c r="G38" s="648"/>
      <c r="H38" s="2767" t="s">
        <v>3378</v>
      </c>
      <c r="I38" s="2768" t="s">
        <v>3380</v>
      </c>
      <c r="J38" s="3345"/>
      <c r="K38" s="3346"/>
      <c r="L38" s="3346"/>
      <c r="M38" s="3346"/>
      <c r="N38" s="3348"/>
      <c r="O38" s="665">
        <f>ROUNDDOWN(U38,1)</f>
        <v>3</v>
      </c>
      <c r="P38" s="658" t="e">
        <f t="shared" si="5"/>
        <v>#DIV/0!</v>
      </c>
      <c r="Q38" s="665">
        <f>ROUNDDOWN(V38,1)</f>
        <v>3</v>
      </c>
      <c r="R38" s="658" t="e">
        <f t="shared" si="6"/>
        <v>#DIV/0!</v>
      </c>
      <c r="S38" s="638"/>
      <c r="T38" s="559"/>
      <c r="U38" s="666">
        <f>IF(採点Q1!F284="対象外",0,採点Q1!F284)</f>
        <v>3</v>
      </c>
      <c r="V38" s="667">
        <f>採点Q1!K284</f>
        <v>3</v>
      </c>
      <c r="X38" s="661">
        <f>O38</f>
        <v>3</v>
      </c>
      <c r="Y38" s="640" t="e">
        <f>重み!D38</f>
        <v>#DIV/0!</v>
      </c>
      <c r="Z38" s="661">
        <f>Q38</f>
        <v>3</v>
      </c>
      <c r="AA38" s="640" t="e">
        <f>重み!E38</f>
        <v>#DIV/0!</v>
      </c>
      <c r="AB38" s="614"/>
      <c r="AC38" s="559"/>
      <c r="AD38" s="590" t="e">
        <f>重み!M38</f>
        <v>#DIV/0!</v>
      </c>
      <c r="AE38" s="574"/>
      <c r="AF38" s="590" t="e">
        <f>重み!N38</f>
        <v>#DIV/0!</v>
      </c>
      <c r="AR38" s="2565">
        <f t="shared" si="11"/>
        <v>0</v>
      </c>
      <c r="BJ38" s="1" t="s">
        <v>3523</v>
      </c>
      <c r="BK38" s="1">
        <f t="shared" si="19"/>
        <v>0</v>
      </c>
      <c r="BL38" s="2950" t="str">
        <f t="shared" si="20"/>
        <v/>
      </c>
    </row>
    <row r="39" spans="1:64" ht="14.25" thickBot="1">
      <c r="A39" s="94"/>
      <c r="B39" s="707"/>
      <c r="C39" s="668">
        <v>3.2</v>
      </c>
      <c r="D39" s="645" t="s">
        <v>1495</v>
      </c>
      <c r="E39" s="686"/>
      <c r="F39" s="687"/>
      <c r="G39" s="648">
        <v>5</v>
      </c>
      <c r="H39" s="648"/>
      <c r="I39" s="2769"/>
      <c r="J39" s="2924"/>
      <c r="K39" s="2925"/>
      <c r="L39" s="2925"/>
      <c r="M39" s="2925"/>
      <c r="N39" s="2926"/>
      <c r="O39" s="2401" t="e">
        <f>ROUNDDOWN(X39,1)</f>
        <v>#DIV/0!</v>
      </c>
      <c r="P39" s="636" t="e">
        <f t="shared" si="5"/>
        <v>#DIV/0!</v>
      </c>
      <c r="Q39" s="709" t="e">
        <f>ROUNDDOWN(Z39,1)</f>
        <v>#DIV/0!</v>
      </c>
      <c r="R39" s="637" t="e">
        <f t="shared" si="6"/>
        <v>#DIV/0!</v>
      </c>
      <c r="S39" s="638"/>
      <c r="T39" s="559"/>
      <c r="U39" s="671"/>
      <c r="V39" s="671"/>
      <c r="X39" s="639" t="e">
        <f>SUMPRODUCT(X40:X42,Y40:Y42)</f>
        <v>#DIV/0!</v>
      </c>
      <c r="Y39" s="640" t="e">
        <f>重み!D39</f>
        <v>#DIV/0!</v>
      </c>
      <c r="Z39" s="639" t="e">
        <f>SUMPRODUCT(Z40:Z42,AA40:AA42)</f>
        <v>#DIV/0!</v>
      </c>
      <c r="AA39" s="640" t="e">
        <f>重み!E39</f>
        <v>#DIV/0!</v>
      </c>
      <c r="AB39" s="614"/>
      <c r="AC39" s="559"/>
      <c r="AD39" s="590" t="e">
        <f>重み!M39</f>
        <v>#DIV/0!</v>
      </c>
      <c r="AE39" s="574"/>
      <c r="AF39" s="590" t="e">
        <f>重み!N39</f>
        <v>#DIV/0!</v>
      </c>
      <c r="AR39" s="2565">
        <f t="shared" si="11"/>
        <v>0</v>
      </c>
      <c r="BJ39" s="1"/>
      <c r="BK39" s="1"/>
      <c r="BL39" s="2950"/>
    </row>
    <row r="40" spans="1:64" ht="14.25" hidden="1" thickBot="1">
      <c r="A40" s="94"/>
      <c r="B40" s="707"/>
      <c r="C40" s="691"/>
      <c r="D40" s="710">
        <v>1</v>
      </c>
      <c r="E40" s="711" t="s">
        <v>1496</v>
      </c>
      <c r="F40" s="712"/>
      <c r="G40" s="648"/>
      <c r="H40" s="648"/>
      <c r="I40" s="2769"/>
      <c r="J40" s="3345"/>
      <c r="K40" s="3346"/>
      <c r="L40" s="3346"/>
      <c r="M40" s="3346"/>
      <c r="N40" s="3348"/>
      <c r="O40" s="657">
        <f t="shared" ref="O40:O46" si="21">ROUNDDOWN(U40,1)</f>
        <v>0</v>
      </c>
      <c r="P40" s="658" t="e">
        <f t="shared" si="5"/>
        <v>#DIV/0!</v>
      </c>
      <c r="Q40" s="657">
        <f>ROUNDDOWN(V40,1)</f>
        <v>0</v>
      </c>
      <c r="R40" s="658" t="e">
        <f t="shared" si="6"/>
        <v>#DIV/0!</v>
      </c>
      <c r="S40" s="638"/>
      <c r="T40" s="559"/>
      <c r="U40" s="659">
        <f>IF(採点Q1!F297="対象外",0,採点Q1!F297)</f>
        <v>0</v>
      </c>
      <c r="V40" s="660">
        <f>採点Q1!K297</f>
        <v>0</v>
      </c>
      <c r="X40" s="661">
        <f>O40</f>
        <v>0</v>
      </c>
      <c r="Y40" s="640" t="e">
        <f>重み!D40</f>
        <v>#DIV/0!</v>
      </c>
      <c r="Z40" s="661">
        <f>Q40</f>
        <v>0</v>
      </c>
      <c r="AA40" s="640" t="e">
        <f>重み!E40</f>
        <v>#DIV/0!</v>
      </c>
      <c r="AB40" s="614"/>
      <c r="AC40" s="559"/>
      <c r="AD40" s="590" t="e">
        <f>重み!M40</f>
        <v>#DIV/0!</v>
      </c>
      <c r="AE40" s="574"/>
      <c r="AF40" s="590" t="e">
        <f>重み!N40</f>
        <v>#DIV/0!</v>
      </c>
      <c r="AR40" s="2565">
        <f t="shared" si="11"/>
        <v>0</v>
      </c>
      <c r="BJ40" s="1"/>
      <c r="BK40" s="1"/>
      <c r="BL40" s="2950">
        <f t="shared" ref="BL40:BL57" si="22">J40</f>
        <v>0</v>
      </c>
    </row>
    <row r="41" spans="1:64">
      <c r="A41" s="94"/>
      <c r="B41" s="707"/>
      <c r="C41" s="691"/>
      <c r="D41" s="654">
        <v>1</v>
      </c>
      <c r="E41" s="646" t="s">
        <v>1497</v>
      </c>
      <c r="F41" s="692"/>
      <c r="G41" s="648"/>
      <c r="H41" s="2767" t="s">
        <v>3381</v>
      </c>
      <c r="I41" s="2768" t="s">
        <v>3380</v>
      </c>
      <c r="J41" s="3345"/>
      <c r="K41" s="3346"/>
      <c r="L41" s="3346"/>
      <c r="M41" s="3346"/>
      <c r="N41" s="3348"/>
      <c r="O41" s="672">
        <f t="shared" si="21"/>
        <v>3</v>
      </c>
      <c r="P41" s="658" t="e">
        <f t="shared" si="5"/>
        <v>#DIV/0!</v>
      </c>
      <c r="Q41" s="784">
        <f>ROUNDDOWN(V41,1)</f>
        <v>3</v>
      </c>
      <c r="R41" s="658" t="e">
        <f t="shared" si="6"/>
        <v>#DIV/0!</v>
      </c>
      <c r="S41" s="638"/>
      <c r="T41" s="559"/>
      <c r="U41" s="673">
        <f>IF(採点Q1!F306="対象外",0,採点Q1!F306)</f>
        <v>3</v>
      </c>
      <c r="V41" s="674">
        <f>採点Q1!K306</f>
        <v>3</v>
      </c>
      <c r="X41" s="661">
        <f>O41</f>
        <v>3</v>
      </c>
      <c r="Y41" s="640" t="e">
        <f>重み!D41</f>
        <v>#DIV/0!</v>
      </c>
      <c r="Z41" s="661">
        <f>Q41</f>
        <v>3</v>
      </c>
      <c r="AA41" s="640" t="e">
        <f>重み!E41</f>
        <v>#DIV/0!</v>
      </c>
      <c r="AB41" s="614"/>
      <c r="AC41" s="559"/>
      <c r="AD41" s="590" t="e">
        <f>重み!M41</f>
        <v>#DIV/0!</v>
      </c>
      <c r="AE41" s="574"/>
      <c r="AF41" s="590" t="e">
        <f>重み!N41</f>
        <v>#DIV/0!</v>
      </c>
      <c r="AR41" s="2565">
        <f t="shared" si="11"/>
        <v>0</v>
      </c>
      <c r="BJ41" s="1" t="s">
        <v>3525</v>
      </c>
      <c r="BK41" s="1">
        <f>IF(AND(ISERROR(O41)=FALSE,ISERROR(P41)=FALSE,ISERROR(Q41)=FALSE,ISERROR(R41)=FALSE),IF(OR(AND(O41&gt;3,P41&gt;0),AND(Q41&gt;3,R41&gt;0)),MAX(O41,Q41),0),0)</f>
        <v>0</v>
      </c>
      <c r="BL41" s="2950" t="str">
        <f t="shared" ref="BL41:BL46" si="23">IF(J41=0,"",J41)</f>
        <v/>
      </c>
    </row>
    <row r="42" spans="1:64">
      <c r="A42" s="94"/>
      <c r="B42" s="707"/>
      <c r="C42" s="706"/>
      <c r="D42" s="654">
        <v>2</v>
      </c>
      <c r="E42" s="646" t="s">
        <v>800</v>
      </c>
      <c r="F42" s="692"/>
      <c r="G42" s="648"/>
      <c r="H42" s="648"/>
      <c r="I42" s="2764"/>
      <c r="J42" s="3345"/>
      <c r="K42" s="3346"/>
      <c r="L42" s="3346"/>
      <c r="M42" s="3346"/>
      <c r="N42" s="3348"/>
      <c r="O42" s="672">
        <f t="shared" si="21"/>
        <v>3</v>
      </c>
      <c r="P42" s="658"/>
      <c r="Q42" s="695"/>
      <c r="R42" s="658"/>
      <c r="S42" s="638"/>
      <c r="T42" s="559"/>
      <c r="U42" s="673">
        <f>採点Q1!F318</f>
        <v>3</v>
      </c>
      <c r="V42" s="674"/>
      <c r="X42" s="661">
        <f>O42</f>
        <v>3</v>
      </c>
      <c r="Y42" s="640" t="e">
        <f>重み!D42</f>
        <v>#DIV/0!</v>
      </c>
      <c r="Z42" s="661">
        <f>Q42</f>
        <v>0</v>
      </c>
      <c r="AA42" s="640" t="e">
        <f>重み!E42</f>
        <v>#DIV/0!</v>
      </c>
      <c r="AB42" s="614"/>
      <c r="AC42" s="559"/>
      <c r="AD42" s="590" t="e">
        <f>重み!M42</f>
        <v>#DIV/0!</v>
      </c>
      <c r="AE42" s="574"/>
      <c r="AF42" s="590" t="e">
        <f>重み!N42</f>
        <v>#DIV/0!</v>
      </c>
      <c r="AR42" s="2565">
        <f t="shared" si="11"/>
        <v>0</v>
      </c>
      <c r="BJ42" s="1" t="s">
        <v>3524</v>
      </c>
      <c r="BK42" s="1">
        <f>IF(AND(ISERROR(O42)=FALSE,ISERROR(P42)=FALSE,ISERROR(Q42)=FALSE,ISERROR(R42)=FALSE),IF(OR(AND(O42&gt;3,P42&gt;0),AND(Q42&gt;3,R42&gt;0)),MAX(O42,Q42),0),0)</f>
        <v>0</v>
      </c>
      <c r="BL42" s="2950" t="str">
        <f t="shared" si="23"/>
        <v/>
      </c>
    </row>
    <row r="43" spans="1:64">
      <c r="A43" s="94"/>
      <c r="B43" s="713"/>
      <c r="C43" s="644">
        <v>3.3</v>
      </c>
      <c r="D43" s="685" t="s">
        <v>801</v>
      </c>
      <c r="E43" s="685"/>
      <c r="F43" s="714"/>
      <c r="G43" s="648">
        <v>5</v>
      </c>
      <c r="H43" s="648"/>
      <c r="I43" s="2764"/>
      <c r="J43" s="3345"/>
      <c r="K43" s="3346"/>
      <c r="L43" s="3346"/>
      <c r="M43" s="3346"/>
      <c r="N43" s="3348"/>
      <c r="O43" s="695">
        <f t="shared" si="21"/>
        <v>3</v>
      </c>
      <c r="P43" s="636" t="e">
        <f t="shared" ref="P43:P74" si="24">Y43</f>
        <v>#DIV/0!</v>
      </c>
      <c r="Q43" s="695">
        <f>ROUNDDOWN(V43,1)</f>
        <v>3</v>
      </c>
      <c r="R43" s="637" t="e">
        <f t="shared" ref="R43:R74" si="25">AA43</f>
        <v>#DIV/0!</v>
      </c>
      <c r="S43" s="638"/>
      <c r="T43" s="559"/>
      <c r="U43" s="673">
        <f>IF(採点Q1!F332="対象外",0,採点Q1!F332)</f>
        <v>3</v>
      </c>
      <c r="V43" s="674">
        <f>採点Q1!M332</f>
        <v>3</v>
      </c>
      <c r="X43" s="715">
        <f>O43</f>
        <v>3</v>
      </c>
      <c r="Y43" s="640" t="e">
        <f>重み!D43</f>
        <v>#DIV/0!</v>
      </c>
      <c r="Z43" s="715">
        <f>Q43</f>
        <v>3</v>
      </c>
      <c r="AA43" s="640" t="e">
        <f>重み!E43</f>
        <v>#DIV/0!</v>
      </c>
      <c r="AB43" s="614"/>
      <c r="AC43" s="559"/>
      <c r="AD43" s="590" t="e">
        <f>重み!M43</f>
        <v>#DIV/0!</v>
      </c>
      <c r="AE43" s="574"/>
      <c r="AF43" s="590" t="e">
        <f>重み!N43</f>
        <v>#DIV/0!</v>
      </c>
      <c r="AR43" s="2565">
        <f t="shared" si="11"/>
        <v>0</v>
      </c>
      <c r="BJ43" s="1" t="s">
        <v>3526</v>
      </c>
      <c r="BK43" s="1">
        <f>IF(AND(ISERROR(O43)=FALSE,ISERROR(P43)=FALSE,ISERROR(Q43)=FALSE,ISERROR(R43)=FALSE),IF(OR(AND(O43&gt;3,P43&gt;0),AND(Q43&gt;3,R43&gt;0)),MAX(O43,Q43),0),0)</f>
        <v>0</v>
      </c>
      <c r="BL43" s="2950" t="str">
        <f t="shared" si="23"/>
        <v/>
      </c>
    </row>
    <row r="44" spans="1:64" hidden="1">
      <c r="A44" s="94"/>
      <c r="B44" s="713"/>
      <c r="C44" s="653"/>
      <c r="D44" s="710">
        <v>1</v>
      </c>
      <c r="E44" s="711" t="s">
        <v>802</v>
      </c>
      <c r="F44" s="712"/>
      <c r="G44" s="648"/>
      <c r="H44" s="648"/>
      <c r="I44" s="2764"/>
      <c r="J44" s="3345"/>
      <c r="K44" s="3346"/>
      <c r="L44" s="3346"/>
      <c r="M44" s="3346"/>
      <c r="N44" s="3348"/>
      <c r="O44" s="672">
        <f t="shared" si="21"/>
        <v>0</v>
      </c>
      <c r="P44" s="658" t="e">
        <f t="shared" si="24"/>
        <v>#DIV/0!</v>
      </c>
      <c r="Q44" s="672">
        <f>ROUNDDOWN(V44,1)</f>
        <v>0</v>
      </c>
      <c r="R44" s="658" t="e">
        <f t="shared" si="25"/>
        <v>#DIV/0!</v>
      </c>
      <c r="S44" s="638"/>
      <c r="T44" s="559"/>
      <c r="U44" s="673"/>
      <c r="V44" s="674"/>
      <c r="Y44" s="640" t="e">
        <f>重み!D44</f>
        <v>#DIV/0!</v>
      </c>
      <c r="AA44" s="640" t="e">
        <f>重み!E44</f>
        <v>#DIV/0!</v>
      </c>
      <c r="AB44" s="614"/>
      <c r="AC44" s="559"/>
      <c r="AD44" s="590" t="e">
        <f>重み!M44</f>
        <v>#DIV/0!</v>
      </c>
      <c r="AE44" s="574"/>
      <c r="AF44" s="590" t="e">
        <f>重み!N44</f>
        <v>#DIV/0!</v>
      </c>
      <c r="AR44" s="2565">
        <f t="shared" si="11"/>
        <v>0</v>
      </c>
      <c r="BJ44" s="1"/>
      <c r="BK44" s="1"/>
      <c r="BL44" s="2950" t="str">
        <f t="shared" si="23"/>
        <v/>
      </c>
    </row>
    <row r="45" spans="1:64" hidden="1">
      <c r="A45" s="94"/>
      <c r="B45" s="713"/>
      <c r="C45" s="662"/>
      <c r="D45" s="710">
        <v>2</v>
      </c>
      <c r="E45" s="711" t="s">
        <v>803</v>
      </c>
      <c r="F45" s="712"/>
      <c r="G45" s="648"/>
      <c r="H45" s="648"/>
      <c r="I45" s="2764"/>
      <c r="J45" s="3345"/>
      <c r="K45" s="3346"/>
      <c r="L45" s="3346"/>
      <c r="M45" s="3346"/>
      <c r="N45" s="3348"/>
      <c r="O45" s="672">
        <f t="shared" si="21"/>
        <v>0</v>
      </c>
      <c r="P45" s="658" t="e">
        <f t="shared" si="24"/>
        <v>#DIV/0!</v>
      </c>
      <c r="Q45" s="672">
        <f>ROUNDDOWN(V45,1)</f>
        <v>0</v>
      </c>
      <c r="R45" s="658" t="e">
        <f t="shared" si="25"/>
        <v>#DIV/0!</v>
      </c>
      <c r="S45" s="638"/>
      <c r="T45" s="559"/>
      <c r="U45" s="673"/>
      <c r="V45" s="674"/>
      <c r="Y45" s="640" t="e">
        <f>重み!D45</f>
        <v>#DIV/0!</v>
      </c>
      <c r="AA45" s="640" t="e">
        <f>重み!E45</f>
        <v>#DIV/0!</v>
      </c>
      <c r="AB45" s="614"/>
      <c r="AC45" s="559"/>
      <c r="AD45" s="590" t="e">
        <f>重み!M45</f>
        <v>#DIV/0!</v>
      </c>
      <c r="AE45" s="574"/>
      <c r="AF45" s="590" t="e">
        <f>重み!N45</f>
        <v>#DIV/0!</v>
      </c>
      <c r="AR45" s="2565">
        <f t="shared" si="11"/>
        <v>0</v>
      </c>
      <c r="BJ45" s="1"/>
      <c r="BK45" s="1"/>
      <c r="BL45" s="2950" t="str">
        <f t="shared" si="23"/>
        <v/>
      </c>
    </row>
    <row r="46" spans="1:64" ht="14.25" thickBot="1">
      <c r="A46" s="94"/>
      <c r="B46" s="716"/>
      <c r="C46" s="676">
        <v>3.4</v>
      </c>
      <c r="D46" s="3351" t="s">
        <v>804</v>
      </c>
      <c r="E46" s="3352"/>
      <c r="F46" s="692"/>
      <c r="G46" s="648">
        <v>5</v>
      </c>
      <c r="H46" s="648"/>
      <c r="I46" s="2764"/>
      <c r="J46" s="3345"/>
      <c r="K46" s="3346"/>
      <c r="L46" s="3346"/>
      <c r="M46" s="3346"/>
      <c r="N46" s="3348"/>
      <c r="O46" s="677">
        <f t="shared" si="21"/>
        <v>3</v>
      </c>
      <c r="P46" s="658" t="e">
        <f t="shared" si="24"/>
        <v>#DIV/0!</v>
      </c>
      <c r="Q46" s="677">
        <f>ROUNDDOWN(V46,1)</f>
        <v>3</v>
      </c>
      <c r="R46" s="658" t="e">
        <f t="shared" si="25"/>
        <v>#DIV/0!</v>
      </c>
      <c r="S46" s="638"/>
      <c r="T46" s="559"/>
      <c r="U46" s="666">
        <f>IF(採点Q1!F350="対象外",0,採点Q1!F350)</f>
        <v>3</v>
      </c>
      <c r="V46" s="667">
        <f>採点Q1!K350</f>
        <v>3</v>
      </c>
      <c r="X46" s="661">
        <f>O46</f>
        <v>3</v>
      </c>
      <c r="Y46" s="640" t="e">
        <f>重み!D46</f>
        <v>#DIV/0!</v>
      </c>
      <c r="Z46" s="661">
        <f>Q46</f>
        <v>3</v>
      </c>
      <c r="AA46" s="640" t="e">
        <f>重み!E46</f>
        <v>#DIV/0!</v>
      </c>
      <c r="AB46" s="614"/>
      <c r="AC46" s="559"/>
      <c r="AD46" s="590" t="e">
        <f>重み!M46</f>
        <v>#DIV/0!</v>
      </c>
      <c r="AE46" s="574"/>
      <c r="AF46" s="590" t="e">
        <f>重み!N46</f>
        <v>#DIV/0!</v>
      </c>
      <c r="AR46" s="2565">
        <f t="shared" si="11"/>
        <v>0</v>
      </c>
      <c r="BJ46" s="1" t="s">
        <v>3527</v>
      </c>
      <c r="BK46" s="1">
        <f>IF(AND(ISERROR(O46)=FALSE,ISERROR(P46)=FALSE,ISERROR(Q46)=FALSE,ISERROR(R46)=FALSE),IF(OR(AND(O46&gt;3,P46&gt;0),AND(Q46&gt;3,R46&gt;0)),MAX(O46,Q46),0),0)</f>
        <v>0</v>
      </c>
      <c r="BL46" s="2950" t="str">
        <f t="shared" si="23"/>
        <v/>
      </c>
    </row>
    <row r="47" spans="1:64">
      <c r="A47" s="94"/>
      <c r="B47" s="750">
        <v>4</v>
      </c>
      <c r="C47" s="678" t="s">
        <v>805</v>
      </c>
      <c r="D47" s="770"/>
      <c r="E47" s="686"/>
      <c r="F47" s="687"/>
      <c r="G47" s="648"/>
      <c r="H47" s="719"/>
      <c r="I47" s="2765"/>
      <c r="J47" s="2927"/>
      <c r="K47" s="2928"/>
      <c r="L47" s="2928"/>
      <c r="M47" s="2928"/>
      <c r="N47" s="2929"/>
      <c r="O47" s="680" t="e">
        <f>ROUNDDOWN(X47,1)</f>
        <v>#DIV/0!</v>
      </c>
      <c r="P47" s="681" t="e">
        <f t="shared" si="24"/>
        <v>#DIV/0!</v>
      </c>
      <c r="Q47" s="635" t="e">
        <f>ROUNDDOWN(Z47,1)</f>
        <v>#DIV/0!</v>
      </c>
      <c r="R47" s="682" t="e">
        <f t="shared" si="25"/>
        <v>#DIV/0!</v>
      </c>
      <c r="S47" s="683" t="e">
        <f>ROUNDDOWN(AB47,1)</f>
        <v>#DIV/0!</v>
      </c>
      <c r="T47" s="559"/>
      <c r="U47" s="684"/>
      <c r="V47" s="684"/>
      <c r="X47" s="639" t="e">
        <f>X48*Y48+X53*Y53+X58*Y58</f>
        <v>#DIV/0!</v>
      </c>
      <c r="Y47" s="640" t="e">
        <f>重み!D47</f>
        <v>#DIV/0!</v>
      </c>
      <c r="Z47" s="639" t="e">
        <f>Z48*AA48+Z53*AA53+Z58*AA58</f>
        <v>#DIV/0!</v>
      </c>
      <c r="AA47" s="641" t="e">
        <f>SUM(AA48,AA53,AA58)</f>
        <v>#DIV/0!</v>
      </c>
      <c r="AB47" s="614" t="e">
        <f>IF(Z47=0,X47,IF(X47=0,Z47,X47*AD$6+Z47*AF$6))</f>
        <v>#DIV/0!</v>
      </c>
      <c r="AC47" s="559"/>
      <c r="AD47" s="590" t="e">
        <f>重み!M47</f>
        <v>#DIV/0!</v>
      </c>
      <c r="AE47" s="574"/>
      <c r="AF47" s="642" t="e">
        <f>SUM(AF48,AF53,AF58)</f>
        <v>#DIV/0!</v>
      </c>
      <c r="AH47" s="2536">
        <v>3</v>
      </c>
      <c r="AI47" s="2536"/>
      <c r="AJ47" s="2536"/>
      <c r="AK47" s="2536"/>
      <c r="AL47" s="2536"/>
      <c r="AM47" s="2536">
        <v>0</v>
      </c>
      <c r="AN47" s="2536"/>
      <c r="AO47" s="2536"/>
      <c r="AP47" s="2536"/>
      <c r="AQ47" s="2536"/>
      <c r="AR47" s="2533" t="e">
        <f t="shared" si="11"/>
        <v>#DIV/0!</v>
      </c>
      <c r="AS47" s="855" t="e">
        <f>P47</f>
        <v>#DIV/0!</v>
      </c>
      <c r="AT47" s="683"/>
      <c r="AU47" s="2507"/>
      <c r="AV47" s="2532" t="e">
        <f>IF(AX47=0,0,SUMPRODUCT($AY$7:$BH$7,AH47:AQ47)/AX47)</f>
        <v>#DIV/0!</v>
      </c>
      <c r="AX47" s="2531" t="e">
        <f>SUMPRODUCT($AY$7:$BH$7,AY47:BH47)</f>
        <v>#DIV/0!</v>
      </c>
      <c r="AY47" s="2517">
        <f t="shared" ref="AY47:BH47" si="26">IF(AH47&gt;0,1,0)</f>
        <v>1</v>
      </c>
      <c r="AZ47" s="2517">
        <f t="shared" si="26"/>
        <v>0</v>
      </c>
      <c r="BA47" s="2517">
        <f t="shared" si="26"/>
        <v>0</v>
      </c>
      <c r="BB47" s="2517">
        <f t="shared" si="26"/>
        <v>0</v>
      </c>
      <c r="BC47" s="2517">
        <f t="shared" si="26"/>
        <v>0</v>
      </c>
      <c r="BD47" s="2517">
        <f t="shared" si="26"/>
        <v>0</v>
      </c>
      <c r="BE47" s="2517">
        <f t="shared" si="26"/>
        <v>0</v>
      </c>
      <c r="BF47" s="2517">
        <f t="shared" si="26"/>
        <v>0</v>
      </c>
      <c r="BG47" s="2517">
        <f t="shared" si="26"/>
        <v>0</v>
      </c>
      <c r="BH47" s="2517">
        <f t="shared" si="26"/>
        <v>0</v>
      </c>
      <c r="BJ47" s="1"/>
      <c r="BK47" s="1"/>
      <c r="BL47" s="2950"/>
    </row>
    <row r="48" spans="1:64" ht="14.25" thickBot="1">
      <c r="A48" s="94"/>
      <c r="B48" s="643"/>
      <c r="C48" s="644">
        <v>4.0999999999999996</v>
      </c>
      <c r="D48" s="685" t="s">
        <v>806</v>
      </c>
      <c r="E48" s="685"/>
      <c r="F48" s="714"/>
      <c r="G48" s="717" t="s">
        <v>806</v>
      </c>
      <c r="H48" s="2770"/>
      <c r="I48" s="2771"/>
      <c r="J48" s="2924"/>
      <c r="K48" s="2925"/>
      <c r="L48" s="2925"/>
      <c r="M48" s="2925"/>
      <c r="N48" s="2926"/>
      <c r="O48" s="708" t="e">
        <f>ROUNDDOWN(X48,1)</f>
        <v>#DIV/0!</v>
      </c>
      <c r="P48" s="636" t="e">
        <f t="shared" si="24"/>
        <v>#DIV/0!</v>
      </c>
      <c r="Q48" s="709" t="e">
        <f>ROUNDDOWN(Z48,1)</f>
        <v>#DIV/0!</v>
      </c>
      <c r="R48" s="637" t="e">
        <f t="shared" si="25"/>
        <v>#DIV/0!</v>
      </c>
      <c r="S48" s="638"/>
      <c r="T48" s="559"/>
      <c r="U48" s="652"/>
      <c r="V48" s="652"/>
      <c r="X48" s="639" t="e">
        <f>SUMPRODUCT(X49:X52,Y49:Y52)</f>
        <v>#DIV/0!</v>
      </c>
      <c r="Y48" s="640" t="e">
        <f>重み!D48</f>
        <v>#DIV/0!</v>
      </c>
      <c r="Z48" s="639" t="e">
        <f>SUMPRODUCT(Z49:Z52,AA49:AA52)</f>
        <v>#DIV/0!</v>
      </c>
      <c r="AA48" s="640" t="e">
        <f>重み!E48</f>
        <v>#DIV/0!</v>
      </c>
      <c r="AB48" s="614"/>
      <c r="AC48" s="559"/>
      <c r="AD48" s="590" t="e">
        <f>重み!M48</f>
        <v>#DIV/0!</v>
      </c>
      <c r="AE48" s="574"/>
      <c r="AF48" s="590" t="e">
        <f>重み!N48</f>
        <v>#DIV/0!</v>
      </c>
      <c r="BJ48" s="1"/>
      <c r="BK48" s="1"/>
      <c r="BL48" s="2950"/>
    </row>
    <row r="49" spans="1:64">
      <c r="A49" s="94"/>
      <c r="B49" s="643"/>
      <c r="C49" s="691"/>
      <c r="D49" s="654">
        <v>1</v>
      </c>
      <c r="E49" s="646" t="s">
        <v>807</v>
      </c>
      <c r="F49" s="692"/>
      <c r="G49" s="718">
        <v>2</v>
      </c>
      <c r="H49" s="2772"/>
      <c r="I49" s="2773"/>
      <c r="J49" s="3345"/>
      <c r="K49" s="3346"/>
      <c r="L49" s="3346"/>
      <c r="M49" s="3346"/>
      <c r="N49" s="3348"/>
      <c r="O49" s="657">
        <f>ROUNDDOWN(U49,1)</f>
        <v>3</v>
      </c>
      <c r="P49" s="658" t="e">
        <f t="shared" si="24"/>
        <v>#DIV/0!</v>
      </c>
      <c r="Q49" s="657">
        <f>ROUNDDOWN(V49,1)</f>
        <v>3</v>
      </c>
      <c r="R49" s="658" t="e">
        <f t="shared" si="25"/>
        <v>#DIV/0!</v>
      </c>
      <c r="S49" s="638"/>
      <c r="T49" s="559"/>
      <c r="U49" s="659">
        <f>IF(採点Q1!F368="対象外",0,採点Q1!F368)</f>
        <v>3</v>
      </c>
      <c r="V49" s="660">
        <f>採点Q1!K368</f>
        <v>3</v>
      </c>
      <c r="X49" s="661">
        <f>O49</f>
        <v>3</v>
      </c>
      <c r="Y49" s="640" t="e">
        <f>重み!D49</f>
        <v>#DIV/0!</v>
      </c>
      <c r="Z49" s="661">
        <f>Q49</f>
        <v>3</v>
      </c>
      <c r="AA49" s="640" t="e">
        <f>重み!E49</f>
        <v>#DIV/0!</v>
      </c>
      <c r="AB49" s="614"/>
      <c r="AC49" s="559"/>
      <c r="AD49" s="590" t="e">
        <f>重み!M49</f>
        <v>#DIV/0!</v>
      </c>
      <c r="AE49" s="574"/>
      <c r="AF49" s="590" t="e">
        <f>重み!N49</f>
        <v>#DIV/0!</v>
      </c>
      <c r="BJ49" s="1" t="s">
        <v>3528</v>
      </c>
      <c r="BK49" s="1">
        <f>IF(AND(ISERROR(O49)=FALSE,ISERROR(P49)=FALSE,ISERROR(Q49)=FALSE,ISERROR(R49)=FALSE),IF(OR(AND(O49&gt;3,P49&gt;0),AND(Q49&gt;3,R49&gt;0)),MAX(O49,Q49),0),0)</f>
        <v>0</v>
      </c>
      <c r="BL49" s="2950" t="str">
        <f t="shared" ref="BL49:BL50" si="27">IF(J49=0,"",J49)</f>
        <v/>
      </c>
    </row>
    <row r="50" spans="1:64" ht="14.25" thickBot="1">
      <c r="A50" s="94"/>
      <c r="B50" s="643"/>
      <c r="C50" s="691"/>
      <c r="D50" s="654">
        <v>2</v>
      </c>
      <c r="E50" s="646" t="s">
        <v>808</v>
      </c>
      <c r="F50" s="692"/>
      <c r="G50" s="648"/>
      <c r="H50" s="648"/>
      <c r="I50" s="2764"/>
      <c r="J50" s="3345"/>
      <c r="K50" s="3346"/>
      <c r="L50" s="3346"/>
      <c r="M50" s="3346"/>
      <c r="N50" s="3348"/>
      <c r="O50" s="665">
        <f>ROUNDDOWN(U50,1)</f>
        <v>3</v>
      </c>
      <c r="P50" s="658" t="e">
        <f t="shared" si="24"/>
        <v>#DIV/0!</v>
      </c>
      <c r="Q50" s="665">
        <f>ROUNDDOWN(V50,1)</f>
        <v>3</v>
      </c>
      <c r="R50" s="658" t="e">
        <f t="shared" si="25"/>
        <v>#DIV/0!</v>
      </c>
      <c r="S50" s="638"/>
      <c r="T50" s="559"/>
      <c r="U50" s="673">
        <f>採点Q1!F377</f>
        <v>3</v>
      </c>
      <c r="V50" s="674">
        <f>採点Q1!K377</f>
        <v>3</v>
      </c>
      <c r="X50" s="661">
        <f>O50</f>
        <v>3</v>
      </c>
      <c r="Y50" s="640" t="e">
        <f>重み!D50</f>
        <v>#DIV/0!</v>
      </c>
      <c r="Z50" s="661">
        <f>Q50</f>
        <v>3</v>
      </c>
      <c r="AA50" s="640" t="e">
        <f>重み!E50</f>
        <v>#DIV/0!</v>
      </c>
      <c r="AB50" s="614"/>
      <c r="AC50" s="559"/>
      <c r="AD50" s="590" t="e">
        <f>重み!M50</f>
        <v>#DIV/0!</v>
      </c>
      <c r="AE50" s="574"/>
      <c r="AF50" s="590" t="e">
        <f>重み!N50</f>
        <v>#DIV/0!</v>
      </c>
      <c r="BJ50" s="1" t="s">
        <v>3529</v>
      </c>
      <c r="BK50" s="1">
        <f>IF(AND(ISERROR(O50)=FALSE,ISERROR(P50)=FALSE,ISERROR(Q50)=FALSE,ISERROR(R50)=FALSE),IF(OR(AND(O50&gt;3,P50&gt;0),AND(Q50&gt;3,R50&gt;0)),MAX(O50,Q50),0),0)</f>
        <v>0</v>
      </c>
      <c r="BL50" s="2950" t="str">
        <f t="shared" si="27"/>
        <v/>
      </c>
    </row>
    <row r="51" spans="1:64" ht="14.25" hidden="1" thickBot="1">
      <c r="A51" s="94"/>
      <c r="B51" s="643"/>
      <c r="C51" s="691"/>
      <c r="D51" s="710">
        <v>3</v>
      </c>
      <c r="E51" s="711" t="s">
        <v>809</v>
      </c>
      <c r="F51" s="712"/>
      <c r="G51" s="648"/>
      <c r="H51" s="648"/>
      <c r="I51" s="2764"/>
      <c r="J51" s="3345"/>
      <c r="K51" s="3346"/>
      <c r="L51" s="3346"/>
      <c r="M51" s="3346"/>
      <c r="N51" s="3348"/>
      <c r="O51" s="672">
        <f>ROUNDDOWN(U51,1)</f>
        <v>0</v>
      </c>
      <c r="P51" s="658" t="e">
        <f t="shared" si="24"/>
        <v>#DIV/0!</v>
      </c>
      <c r="Q51" s="672">
        <f>ROUNDDOWN(V51,1)</f>
        <v>0</v>
      </c>
      <c r="R51" s="658" t="e">
        <f t="shared" si="25"/>
        <v>#DIV/0!</v>
      </c>
      <c r="S51" s="638"/>
      <c r="T51" s="559"/>
      <c r="U51" s="673">
        <f>IF(採点Q1!F386="対象外",0,採点Q1!F386)</f>
        <v>0</v>
      </c>
      <c r="V51" s="674">
        <f>採点Q1!K386</f>
        <v>0</v>
      </c>
      <c r="X51" s="661">
        <f>O51</f>
        <v>0</v>
      </c>
      <c r="Y51" s="640" t="e">
        <f>重み!D51</f>
        <v>#DIV/0!</v>
      </c>
      <c r="Z51" s="661">
        <f>Q51</f>
        <v>0</v>
      </c>
      <c r="AA51" s="640" t="e">
        <f>重み!E51</f>
        <v>#DIV/0!</v>
      </c>
      <c r="AB51" s="614"/>
      <c r="AC51" s="559"/>
      <c r="AD51" s="590" t="e">
        <f>重み!M51</f>
        <v>#DIV/0!</v>
      </c>
      <c r="AE51" s="574"/>
      <c r="AF51" s="590" t="e">
        <f>重み!N51</f>
        <v>#DIV/0!</v>
      </c>
      <c r="BJ51" s="1"/>
      <c r="BK51" s="1"/>
      <c r="BL51" s="2950">
        <f t="shared" si="22"/>
        <v>0</v>
      </c>
    </row>
    <row r="52" spans="1:64" ht="14.25" hidden="1" thickBot="1">
      <c r="A52" s="94"/>
      <c r="B52" s="643"/>
      <c r="C52" s="706"/>
      <c r="D52" s="710">
        <v>4</v>
      </c>
      <c r="E52" s="711" t="s">
        <v>810</v>
      </c>
      <c r="F52" s="712"/>
      <c r="G52" s="648"/>
      <c r="H52" s="648"/>
      <c r="I52" s="2764"/>
      <c r="J52" s="3345"/>
      <c r="K52" s="3346"/>
      <c r="L52" s="3346"/>
      <c r="M52" s="3346"/>
      <c r="N52" s="3348"/>
      <c r="O52" s="665">
        <f>ROUNDDOWN(U52,1)</f>
        <v>0</v>
      </c>
      <c r="P52" s="658" t="e">
        <f t="shared" si="24"/>
        <v>#DIV/0!</v>
      </c>
      <c r="Q52" s="665">
        <f>ROUNDDOWN(V52,1)</f>
        <v>0</v>
      </c>
      <c r="R52" s="658" t="e">
        <f t="shared" si="25"/>
        <v>#DIV/0!</v>
      </c>
      <c r="S52" s="638"/>
      <c r="T52" s="559"/>
      <c r="U52" s="666">
        <f>IF(採点Q1!F395="対象外",0,採点Q1!F395)</f>
        <v>0</v>
      </c>
      <c r="V52" s="667">
        <f>採点Q1!K395</f>
        <v>0</v>
      </c>
      <c r="X52" s="661">
        <f>O52</f>
        <v>0</v>
      </c>
      <c r="Y52" s="640" t="e">
        <f>重み!D52</f>
        <v>#DIV/0!</v>
      </c>
      <c r="Z52" s="661">
        <f>Q52</f>
        <v>0</v>
      </c>
      <c r="AA52" s="640" t="e">
        <f>重み!E52</f>
        <v>#DIV/0!</v>
      </c>
      <c r="AB52" s="614"/>
      <c r="AC52" s="559"/>
      <c r="AD52" s="590" t="e">
        <f>重み!M52</f>
        <v>#DIV/0!</v>
      </c>
      <c r="AE52" s="574"/>
      <c r="AF52" s="590" t="e">
        <f>重み!N52</f>
        <v>#DIV/0!</v>
      </c>
      <c r="BJ52" s="1"/>
      <c r="BK52" s="1"/>
      <c r="BL52" s="2950">
        <f t="shared" si="22"/>
        <v>0</v>
      </c>
    </row>
    <row r="53" spans="1:64" ht="14.25" thickBot="1">
      <c r="A53" s="94"/>
      <c r="B53" s="707"/>
      <c r="C53" s="644">
        <v>4.2</v>
      </c>
      <c r="D53" s="685" t="s">
        <v>811</v>
      </c>
      <c r="E53" s="686"/>
      <c r="F53" s="692"/>
      <c r="G53" s="719">
        <v>5</v>
      </c>
      <c r="H53" s="648"/>
      <c r="I53" s="2764"/>
      <c r="J53" s="2924"/>
      <c r="K53" s="2925"/>
      <c r="L53" s="2925"/>
      <c r="M53" s="2925"/>
      <c r="N53" s="2926"/>
      <c r="O53" s="708" t="e">
        <f>ROUNDDOWN(X53,1)</f>
        <v>#DIV/0!</v>
      </c>
      <c r="P53" s="636" t="e">
        <f t="shared" si="24"/>
        <v>#DIV/0!</v>
      </c>
      <c r="Q53" s="709" t="e">
        <f>ROUNDDOWN(Z53,1)</f>
        <v>#DIV/0!</v>
      </c>
      <c r="R53" s="637" t="e">
        <f t="shared" si="25"/>
        <v>#DIV/0!</v>
      </c>
      <c r="S53" s="638"/>
      <c r="T53" s="559"/>
      <c r="U53" s="671"/>
      <c r="V53" s="671"/>
      <c r="X53" s="639" t="e">
        <f>SUMPRODUCT(X54:X57,Y54:Y57)</f>
        <v>#DIV/0!</v>
      </c>
      <c r="Y53" s="640" t="e">
        <f>重み!D53</f>
        <v>#DIV/0!</v>
      </c>
      <c r="Z53" s="639" t="e">
        <f>SUMPRODUCT(Z54:Z57,AA54:AA57)</f>
        <v>#DIV/0!</v>
      </c>
      <c r="AA53" s="640" t="e">
        <f>重み!E53</f>
        <v>#DIV/0!</v>
      </c>
      <c r="AB53" s="614"/>
      <c r="AC53" s="559"/>
      <c r="AD53" s="590" t="e">
        <f>重み!M53</f>
        <v>#DIV/0!</v>
      </c>
      <c r="AE53" s="574"/>
      <c r="AF53" s="590" t="e">
        <f>重み!N53</f>
        <v>#DIV/0!</v>
      </c>
      <c r="BJ53" s="1"/>
      <c r="BK53" s="1"/>
      <c r="BL53" s="2950"/>
    </row>
    <row r="54" spans="1:64">
      <c r="A54" s="94"/>
      <c r="B54" s="707"/>
      <c r="C54" s="653"/>
      <c r="D54" s="654">
        <v>1</v>
      </c>
      <c r="E54" s="646" t="s">
        <v>812</v>
      </c>
      <c r="F54" s="720"/>
      <c r="G54" s="648"/>
      <c r="H54" s="648"/>
      <c r="I54" s="2764"/>
      <c r="J54" s="3345"/>
      <c r="K54" s="3346"/>
      <c r="L54" s="3346"/>
      <c r="M54" s="3346"/>
      <c r="N54" s="3348"/>
      <c r="O54" s="657">
        <f>ROUNDDOWN(U54,1)</f>
        <v>3</v>
      </c>
      <c r="P54" s="658" t="e">
        <f t="shared" si="24"/>
        <v>#DIV/0!</v>
      </c>
      <c r="Q54" s="657">
        <f>ROUNDDOWN(V54,1)</f>
        <v>3</v>
      </c>
      <c r="R54" s="658" t="e">
        <f t="shared" si="25"/>
        <v>#DIV/0!</v>
      </c>
      <c r="S54" s="638"/>
      <c r="T54" s="559"/>
      <c r="U54" s="659">
        <f>IF(採点Q1!F405="対象外",0,採点Q1!F405)</f>
        <v>3</v>
      </c>
      <c r="V54" s="660">
        <f>採点Q1!K405</f>
        <v>3</v>
      </c>
      <c r="X54" s="661">
        <f>O54</f>
        <v>3</v>
      </c>
      <c r="Y54" s="640" t="e">
        <f>重み!D54</f>
        <v>#DIV/0!</v>
      </c>
      <c r="Z54" s="661">
        <f>Q54</f>
        <v>3</v>
      </c>
      <c r="AA54" s="640" t="e">
        <f>重み!E54</f>
        <v>#DIV/0!</v>
      </c>
      <c r="AB54" s="614"/>
      <c r="AC54" s="559"/>
      <c r="AD54" s="590" t="e">
        <f>重み!M54</f>
        <v>#DIV/0!</v>
      </c>
      <c r="AE54" s="574"/>
      <c r="AF54" s="590" t="e">
        <f>重み!N54</f>
        <v>#DIV/0!</v>
      </c>
      <c r="BJ54" s="1" t="s">
        <v>3530</v>
      </c>
      <c r="BK54" s="1">
        <f>IF(AND(ISERROR(O54)=FALSE,ISERROR(P54)=FALSE,ISERROR(Q54)=FALSE,ISERROR(R54)=FALSE),IF(OR(AND(O54&gt;3,P54&gt;0),AND(Q54&gt;3,R54&gt;0)),MAX(O54,Q54),0),0)</f>
        <v>0</v>
      </c>
      <c r="BL54" s="2950" t="str">
        <f t="shared" ref="BL54:BL56" si="28">IF(J54=0,"",J54)</f>
        <v/>
      </c>
    </row>
    <row r="55" spans="1:64">
      <c r="A55" s="94"/>
      <c r="B55" s="707"/>
      <c r="C55" s="653"/>
      <c r="D55" s="654">
        <v>2</v>
      </c>
      <c r="E55" s="646" t="s">
        <v>1979</v>
      </c>
      <c r="F55" s="692"/>
      <c r="G55" s="648"/>
      <c r="H55" s="2767" t="s">
        <v>3381</v>
      </c>
      <c r="I55" s="2768" t="s">
        <v>3379</v>
      </c>
      <c r="J55" s="3345"/>
      <c r="K55" s="3346"/>
      <c r="L55" s="3346"/>
      <c r="M55" s="3346"/>
      <c r="N55" s="3348"/>
      <c r="O55" s="672">
        <f>ROUNDDOWN(U55,1)</f>
        <v>3</v>
      </c>
      <c r="P55" s="658" t="e">
        <f t="shared" si="24"/>
        <v>#DIV/0!</v>
      </c>
      <c r="Q55" s="672">
        <f>ROUNDDOWN(V55,1)</f>
        <v>3</v>
      </c>
      <c r="R55" s="658" t="e">
        <f t="shared" si="25"/>
        <v>#DIV/0!</v>
      </c>
      <c r="S55" s="638"/>
      <c r="T55" s="559"/>
      <c r="U55" s="673">
        <f>IF(採点Q1!F414="対象外",0,採点Q1!F414)</f>
        <v>3</v>
      </c>
      <c r="V55" s="674">
        <f>採点Q1!K414</f>
        <v>3</v>
      </c>
      <c r="X55" s="661">
        <f>O55</f>
        <v>3</v>
      </c>
      <c r="Y55" s="640" t="e">
        <f>重み!D55</f>
        <v>#DIV/0!</v>
      </c>
      <c r="Z55" s="661">
        <f>Q55</f>
        <v>3</v>
      </c>
      <c r="AA55" s="640" t="e">
        <f>重み!E55</f>
        <v>#DIV/0!</v>
      </c>
      <c r="AB55" s="614"/>
      <c r="AC55" s="559"/>
      <c r="AD55" s="590" t="e">
        <f>重み!M55</f>
        <v>#DIV/0!</v>
      </c>
      <c r="AE55" s="574"/>
      <c r="AF55" s="590" t="e">
        <f>重み!N55</f>
        <v>#DIV/0!</v>
      </c>
      <c r="BJ55" s="1" t="s">
        <v>3531</v>
      </c>
      <c r="BK55" s="1">
        <f>IF(AND(ISERROR(O55)=FALSE,ISERROR(P55)=FALSE,ISERROR(Q55)=FALSE,ISERROR(R55)=FALSE),IF(OR(AND(O55&gt;3,P55&gt;0),AND(Q55&gt;3,R55&gt;0)),MAX(O55,Q55),0),0)</f>
        <v>0</v>
      </c>
      <c r="BL55" s="2950" t="str">
        <f t="shared" si="28"/>
        <v/>
      </c>
    </row>
    <row r="56" spans="1:64" ht="14.25" thickBot="1">
      <c r="A56" s="94"/>
      <c r="B56" s="707"/>
      <c r="C56" s="653"/>
      <c r="D56" s="654">
        <v>3</v>
      </c>
      <c r="E56" s="646" t="s">
        <v>1980</v>
      </c>
      <c r="F56" s="692"/>
      <c r="G56" s="648"/>
      <c r="H56" s="648"/>
      <c r="I56" s="2764"/>
      <c r="J56" s="3345"/>
      <c r="K56" s="3346"/>
      <c r="L56" s="3346"/>
      <c r="M56" s="3346"/>
      <c r="N56" s="3348"/>
      <c r="O56" s="665">
        <f>ROUNDDOWN(U56,1)</f>
        <v>3</v>
      </c>
      <c r="P56" s="658" t="e">
        <f t="shared" si="24"/>
        <v>#DIV/0!</v>
      </c>
      <c r="Q56" s="665">
        <f>ROUNDDOWN(V56,1)</f>
        <v>3</v>
      </c>
      <c r="R56" s="658" t="e">
        <f t="shared" si="25"/>
        <v>#DIV/0!</v>
      </c>
      <c r="S56" s="638"/>
      <c r="T56" s="559"/>
      <c r="U56" s="673">
        <f>IF(採点Q1!F423="対象外",0,採点Q1!F423)</f>
        <v>3</v>
      </c>
      <c r="V56" s="674">
        <f>採点Q1!K423</f>
        <v>3</v>
      </c>
      <c r="X56" s="661">
        <f>O56</f>
        <v>3</v>
      </c>
      <c r="Y56" s="640" t="e">
        <f>重み!D56</f>
        <v>#DIV/0!</v>
      </c>
      <c r="Z56" s="661">
        <f>Q56</f>
        <v>3</v>
      </c>
      <c r="AA56" s="640" t="e">
        <f>重み!E56</f>
        <v>#DIV/0!</v>
      </c>
      <c r="AB56" s="614"/>
      <c r="AC56" s="559"/>
      <c r="AD56" s="590" t="e">
        <f>重み!M56</f>
        <v>#DIV/0!</v>
      </c>
      <c r="AE56" s="574"/>
      <c r="AF56" s="590" t="e">
        <f>重み!N56</f>
        <v>#DIV/0!</v>
      </c>
      <c r="BJ56" s="1" t="s">
        <v>3532</v>
      </c>
      <c r="BK56" s="1">
        <f>IF(AND(ISERROR(O56)=FALSE,ISERROR(P56)=FALSE,ISERROR(Q56)=FALSE,ISERROR(R56)=FALSE),IF(OR(AND(O56&gt;3,P56&gt;0),AND(Q56&gt;3,R56&gt;0)),MAX(O56,Q56),0),0)</f>
        <v>0</v>
      </c>
      <c r="BL56" s="2950" t="str">
        <f t="shared" si="28"/>
        <v/>
      </c>
    </row>
    <row r="57" spans="1:64" ht="14.25" hidden="1" thickBot="1">
      <c r="A57" s="94"/>
      <c r="B57" s="707"/>
      <c r="C57" s="662"/>
      <c r="D57" s="710">
        <v>4</v>
      </c>
      <c r="E57" s="711" t="s">
        <v>1981</v>
      </c>
      <c r="F57" s="712"/>
      <c r="G57" s="648"/>
      <c r="H57" s="648"/>
      <c r="I57" s="2764"/>
      <c r="J57" s="3345"/>
      <c r="K57" s="3346"/>
      <c r="L57" s="3346"/>
      <c r="M57" s="3346"/>
      <c r="N57" s="3348"/>
      <c r="O57" s="665">
        <f>ROUNDDOWN(U57,1)</f>
        <v>0</v>
      </c>
      <c r="P57" s="658" t="e">
        <f t="shared" si="24"/>
        <v>#DIV/0!</v>
      </c>
      <c r="Q57" s="665">
        <f>ROUNDDOWN(V57,1)</f>
        <v>0</v>
      </c>
      <c r="R57" s="658" t="e">
        <f t="shared" si="25"/>
        <v>#DIV/0!</v>
      </c>
      <c r="S57" s="638"/>
      <c r="T57" s="559"/>
      <c r="U57" s="666">
        <f>IF(採点Q1!F432="対象外",0,採点Q1!F432)</f>
        <v>0</v>
      </c>
      <c r="V57" s="667">
        <f>採点Q1!K432</f>
        <v>0</v>
      </c>
      <c r="X57" s="661">
        <f>O57</f>
        <v>0</v>
      </c>
      <c r="Y57" s="640" t="e">
        <f>重み!D57</f>
        <v>#DIV/0!</v>
      </c>
      <c r="Z57" s="661">
        <f>Q57</f>
        <v>0</v>
      </c>
      <c r="AA57" s="640" t="e">
        <f>重み!E57</f>
        <v>#DIV/0!</v>
      </c>
      <c r="AB57" s="614"/>
      <c r="AC57" s="559"/>
      <c r="AD57" s="590" t="e">
        <f>重み!M57</f>
        <v>#DIV/0!</v>
      </c>
      <c r="AE57" s="574"/>
      <c r="AF57" s="590" t="e">
        <f>重み!N57</f>
        <v>#DIV/0!</v>
      </c>
      <c r="BJ57" s="1"/>
      <c r="BK57" s="1"/>
      <c r="BL57" s="2950">
        <f t="shared" si="22"/>
        <v>0</v>
      </c>
    </row>
    <row r="58" spans="1:64" ht="14.25" thickBot="1">
      <c r="A58" s="94"/>
      <c r="B58" s="707"/>
      <c r="C58" s="644">
        <v>4.3</v>
      </c>
      <c r="D58" s="685" t="s">
        <v>1982</v>
      </c>
      <c r="E58" s="686"/>
      <c r="F58" s="687"/>
      <c r="G58" s="648">
        <v>5</v>
      </c>
      <c r="H58" s="648"/>
      <c r="I58" s="2764"/>
      <c r="J58" s="2924"/>
      <c r="K58" s="2925"/>
      <c r="L58" s="2925"/>
      <c r="M58" s="2925"/>
      <c r="N58" s="2926"/>
      <c r="O58" s="708" t="e">
        <f>ROUNDDOWN(X58,1)</f>
        <v>#DIV/0!</v>
      </c>
      <c r="P58" s="636" t="e">
        <f t="shared" si="24"/>
        <v>#DIV/0!</v>
      </c>
      <c r="Q58" s="709" t="e">
        <f t="shared" ref="Q58:Q63" si="29">ROUNDDOWN(Z58,1)</f>
        <v>#DIV/0!</v>
      </c>
      <c r="R58" s="637" t="e">
        <f t="shared" si="25"/>
        <v>#DIV/0!</v>
      </c>
      <c r="S58" s="638"/>
      <c r="T58" s="559"/>
      <c r="U58" s="671"/>
      <c r="V58" s="684"/>
      <c r="X58" s="639" t="e">
        <f>SUMPRODUCT(X59:X60,Y59:Y60)</f>
        <v>#DIV/0!</v>
      </c>
      <c r="Y58" s="640" t="e">
        <f>重み!D58</f>
        <v>#DIV/0!</v>
      </c>
      <c r="Z58" s="639" t="e">
        <f>SUMPRODUCT(Z59:Z60,AA59:AA60)</f>
        <v>#DIV/0!</v>
      </c>
      <c r="AA58" s="640" t="e">
        <f>重み!E58</f>
        <v>#DIV/0!</v>
      </c>
      <c r="AB58" s="614"/>
      <c r="AC58" s="559"/>
      <c r="AD58" s="590" t="e">
        <f>重み!M58</f>
        <v>#DIV/0!</v>
      </c>
      <c r="AE58" s="574"/>
      <c r="AF58" s="590" t="e">
        <f>重み!N58</f>
        <v>#DIV/0!</v>
      </c>
      <c r="BJ58" s="1"/>
      <c r="BK58" s="1"/>
      <c r="BL58" s="2950"/>
    </row>
    <row r="59" spans="1:64">
      <c r="A59" s="94"/>
      <c r="B59" s="707"/>
      <c r="C59" s="653"/>
      <c r="D59" s="654">
        <v>1</v>
      </c>
      <c r="E59" s="646" t="s">
        <v>1983</v>
      </c>
      <c r="F59" s="692"/>
      <c r="G59" s="648"/>
      <c r="H59" s="648"/>
      <c r="I59" s="2764"/>
      <c r="J59" s="3345"/>
      <c r="K59" s="3346"/>
      <c r="L59" s="3346"/>
      <c r="M59" s="3346"/>
      <c r="N59" s="3348"/>
      <c r="O59" s="657">
        <f>ROUNDDOWN(U59,1)</f>
        <v>3</v>
      </c>
      <c r="P59" s="636" t="e">
        <f t="shared" si="24"/>
        <v>#DIV/0!</v>
      </c>
      <c r="Q59" s="709">
        <f t="shared" si="29"/>
        <v>0</v>
      </c>
      <c r="R59" s="637" t="e">
        <f t="shared" si="25"/>
        <v>#DIV/0!</v>
      </c>
      <c r="S59" s="638"/>
      <c r="T59" s="559"/>
      <c r="U59" s="721">
        <f>IF(採点Q1!F442="対象外",0,採点Q1!F442)</f>
        <v>3</v>
      </c>
      <c r="V59" s="722"/>
      <c r="X59" s="661">
        <f>O59</f>
        <v>3</v>
      </c>
      <c r="Y59" s="640" t="e">
        <f>重み!D59</f>
        <v>#DIV/0!</v>
      </c>
      <c r="Z59" s="700"/>
      <c r="AA59" s="640" t="e">
        <f>重み!E59</f>
        <v>#DIV/0!</v>
      </c>
      <c r="AB59" s="614"/>
      <c r="AC59" s="559"/>
      <c r="AD59" s="590" t="e">
        <f>重み!M59</f>
        <v>#DIV/0!</v>
      </c>
      <c r="AE59" s="574"/>
      <c r="AF59" s="590" t="e">
        <f>重み!N59</f>
        <v>#DIV/0!</v>
      </c>
      <c r="BJ59" s="1" t="s">
        <v>3533</v>
      </c>
      <c r="BK59" s="1">
        <f>IF(AND(ISERROR(O59)=FALSE,ISERROR(P59)=FALSE,ISERROR(Q59)=FALSE,ISERROR(R59)=FALSE),IF(OR(AND(O59&gt;3,P59&gt;0),AND(Q59&gt;3,R59&gt;0)),MAX(O59,Q59),0),0)</f>
        <v>0</v>
      </c>
      <c r="BL59" s="2950" t="str">
        <f t="shared" ref="BL59:BL60" si="30">IF(J59=0,"",J59)</f>
        <v/>
      </c>
    </row>
    <row r="60" spans="1:64" ht="14.25" thickBot="1">
      <c r="A60" s="94"/>
      <c r="B60" s="707"/>
      <c r="C60" s="653"/>
      <c r="D60" s="773">
        <v>2</v>
      </c>
      <c r="E60" s="645" t="s">
        <v>1984</v>
      </c>
      <c r="F60" s="687"/>
      <c r="G60" s="648"/>
      <c r="H60" s="648"/>
      <c r="I60" s="2764"/>
      <c r="J60" s="3345"/>
      <c r="K60" s="3346"/>
      <c r="L60" s="3346"/>
      <c r="M60" s="3346"/>
      <c r="N60" s="3348"/>
      <c r="O60" s="672">
        <f>ROUNDDOWN(U60,1)</f>
        <v>3</v>
      </c>
      <c r="P60" s="636" t="e">
        <f t="shared" si="24"/>
        <v>#DIV/0!</v>
      </c>
      <c r="Q60" s="709">
        <f t="shared" si="29"/>
        <v>0</v>
      </c>
      <c r="R60" s="637" t="e">
        <f t="shared" si="25"/>
        <v>#DIV/0!</v>
      </c>
      <c r="S60" s="638"/>
      <c r="T60" s="559"/>
      <c r="U60" s="749">
        <f>IF(採点Q1!K442="対象外",0,採点Q1!K442)</f>
        <v>3</v>
      </c>
      <c r="V60" s="722"/>
      <c r="X60" s="2538">
        <f>O60</f>
        <v>3</v>
      </c>
      <c r="Y60" s="2539" t="e">
        <f>重み!D60</f>
        <v>#DIV/0!</v>
      </c>
      <c r="Z60" s="2540"/>
      <c r="AA60" s="2539" t="e">
        <f>重み!E60</f>
        <v>#DIV/0!</v>
      </c>
      <c r="AB60" s="2541"/>
      <c r="AC60" s="559"/>
      <c r="AD60" s="628" t="e">
        <f>重み!M60</f>
        <v>#DIV/0!</v>
      </c>
      <c r="AE60" s="574"/>
      <c r="AF60" s="628" t="e">
        <f>重み!N60</f>
        <v>#DIV/0!</v>
      </c>
      <c r="BJ60" s="1" t="s">
        <v>3534</v>
      </c>
      <c r="BK60" s="1">
        <f>IF(AND(ISERROR(O60)=FALSE,ISERROR(P60)=FALSE,ISERROR(Q60)=FALSE,ISERROR(R60)=FALSE),IF(OR(AND(O60&gt;3,P60&gt;0),AND(Q60&gt;3,R60&gt;0)),MAX(O60,Q60),0),0)</f>
        <v>0</v>
      </c>
      <c r="BL60" s="2950" t="str">
        <f t="shared" si="30"/>
        <v/>
      </c>
    </row>
    <row r="61" spans="1:64" ht="15.75" thickBot="1">
      <c r="A61" s="94"/>
      <c r="B61" s="730" t="s">
        <v>1571</v>
      </c>
      <c r="C61" s="731" t="s">
        <v>1572</v>
      </c>
      <c r="D61" s="732"/>
      <c r="E61" s="732"/>
      <c r="F61" s="733"/>
      <c r="G61" s="734"/>
      <c r="H61" s="734"/>
      <c r="I61" s="2774"/>
      <c r="J61" s="3231"/>
      <c r="K61" s="3232"/>
      <c r="L61" s="3232"/>
      <c r="M61" s="3232"/>
      <c r="N61" s="3233"/>
      <c r="O61" s="735">
        <f>ROUNDDOWN(X61,1)</f>
        <v>0</v>
      </c>
      <c r="P61" s="736" t="e">
        <f t="shared" si="24"/>
        <v>#DIV/0!</v>
      </c>
      <c r="Q61" s="737">
        <f t="shared" si="29"/>
        <v>0</v>
      </c>
      <c r="R61" s="738">
        <f t="shared" si="25"/>
        <v>0</v>
      </c>
      <c r="S61" s="739" t="e">
        <f>ROUNDDOWN(AB61,1)</f>
        <v>#DIV/0!</v>
      </c>
      <c r="T61" s="559"/>
      <c r="U61" s="684"/>
      <c r="V61" s="684"/>
      <c r="W61" s="2543"/>
      <c r="X61" s="2544"/>
      <c r="Y61" s="2545" t="e">
        <f>重み!D61</f>
        <v>#DIV/0!</v>
      </c>
      <c r="Z61" s="2544"/>
      <c r="AA61" s="2545"/>
      <c r="AB61" s="2546" t="e">
        <f>AB62*Y62+AB75*Y75+AB97*Y97</f>
        <v>#DIV/0!</v>
      </c>
      <c r="AC61" s="2542"/>
      <c r="AD61" s="2547" t="e">
        <f>重み!M61</f>
        <v>#DIV/0!</v>
      </c>
      <c r="AE61" s="2548"/>
      <c r="AF61" s="2547" t="e">
        <f>重み!N61</f>
        <v>#DIV/0!</v>
      </c>
      <c r="AG61" s="2543"/>
      <c r="AH61" s="2549"/>
      <c r="AI61" s="2549"/>
      <c r="AJ61" s="2549"/>
      <c r="AK61" s="2549"/>
      <c r="AL61" s="2549"/>
      <c r="AM61" s="2549"/>
      <c r="AN61" s="2549"/>
      <c r="AO61" s="2549"/>
      <c r="AP61" s="2549"/>
      <c r="AQ61" s="2550"/>
      <c r="AR61" s="2551"/>
      <c r="AS61" s="2552" t="e">
        <f>P61</f>
        <v>#DIV/0!</v>
      </c>
      <c r="AT61" s="739" t="e">
        <f t="shared" ref="AT61" si="31">ROUNDDOWN(AV61,1)</f>
        <v>#DIV/0!</v>
      </c>
      <c r="AU61" s="2507"/>
      <c r="AV61" s="2532" t="e">
        <f>SUMPRODUCT(AS62:AS108,AV62:AV108)</f>
        <v>#DIV/0!</v>
      </c>
      <c r="AX61" s="2531" t="e">
        <f>SUMPRODUCT($AY$7:$BH$7,AY61:BH61)</f>
        <v>#DIV/0!</v>
      </c>
      <c r="AY61" s="2517">
        <f t="shared" ref="AY61:BH62" si="32">IF(AH61&gt;0,1,0)</f>
        <v>0</v>
      </c>
      <c r="AZ61" s="2517">
        <f t="shared" si="32"/>
        <v>0</v>
      </c>
      <c r="BA61" s="2517">
        <f t="shared" si="32"/>
        <v>0</v>
      </c>
      <c r="BB61" s="2517">
        <f t="shared" si="32"/>
        <v>0</v>
      </c>
      <c r="BC61" s="2517">
        <f t="shared" si="32"/>
        <v>0</v>
      </c>
      <c r="BD61" s="2517">
        <f t="shared" si="32"/>
        <v>0</v>
      </c>
      <c r="BE61" s="2517">
        <f t="shared" si="32"/>
        <v>0</v>
      </c>
      <c r="BF61" s="2517">
        <f t="shared" si="32"/>
        <v>0</v>
      </c>
      <c r="BG61" s="2517">
        <f t="shared" si="32"/>
        <v>0</v>
      </c>
      <c r="BH61" s="2517">
        <f t="shared" si="32"/>
        <v>0</v>
      </c>
      <c r="BJ61" s="1"/>
      <c r="BK61" s="1"/>
      <c r="BL61" s="2950"/>
    </row>
    <row r="62" spans="1:64">
      <c r="A62" s="94"/>
      <c r="B62" s="629">
        <v>1</v>
      </c>
      <c r="C62" s="740" t="s">
        <v>1985</v>
      </c>
      <c r="D62" s="741"/>
      <c r="E62" s="679"/>
      <c r="F62" s="633"/>
      <c r="G62" s="634"/>
      <c r="H62" s="2775"/>
      <c r="I62" s="2776"/>
      <c r="J62" s="2933"/>
      <c r="K62" s="2934"/>
      <c r="L62" s="2934"/>
      <c r="M62" s="2934"/>
      <c r="N62" s="2935"/>
      <c r="O62" s="680" t="e">
        <f>ROUNDDOWN(X62,1)</f>
        <v>#DIV/0!</v>
      </c>
      <c r="P62" s="742" t="e">
        <f t="shared" si="24"/>
        <v>#DIV/0!</v>
      </c>
      <c r="Q62" s="635" t="e">
        <f t="shared" si="29"/>
        <v>#DIV/0!</v>
      </c>
      <c r="R62" s="743" t="e">
        <f t="shared" si="25"/>
        <v>#DIV/0!</v>
      </c>
      <c r="S62" s="744" t="e">
        <f>ROUNDDOWN(AB62,1)</f>
        <v>#DIV/0!</v>
      </c>
      <c r="T62" s="559"/>
      <c r="U62" s="558"/>
      <c r="V62" s="558"/>
      <c r="X62" s="639" t="e">
        <f>X63*Y63+X67*Y67+X71*Y71</f>
        <v>#DIV/0!</v>
      </c>
      <c r="Y62" s="640" t="e">
        <f>重み!D62</f>
        <v>#DIV/0!</v>
      </c>
      <c r="Z62" s="639" t="e">
        <f>Z63*AA63+Z67*AA67+Z71*AA71</f>
        <v>#DIV/0!</v>
      </c>
      <c r="AA62" s="641" t="e">
        <f>SUM(AA63,AA67,AA71)</f>
        <v>#DIV/0!</v>
      </c>
      <c r="AB62" s="614" t="e">
        <f>IF(Z62=0,X62,IF(X62=0,Z62,X62*AD$6+Z62*AF$6))</f>
        <v>#DIV/0!</v>
      </c>
      <c r="AC62" s="559"/>
      <c r="AD62" s="590" t="e">
        <f>重み!M62</f>
        <v>#DIV/0!</v>
      </c>
      <c r="AE62" s="574"/>
      <c r="AF62" s="642" t="e">
        <f>SUM(AF63,AF67)</f>
        <v>#DIV/0!</v>
      </c>
      <c r="AH62" s="2536">
        <v>5</v>
      </c>
      <c r="AI62" s="2536"/>
      <c r="AJ62" s="2536"/>
      <c r="AK62" s="2536"/>
      <c r="AL62" s="2536"/>
      <c r="AM62" s="2536">
        <v>0</v>
      </c>
      <c r="AN62" s="2536"/>
      <c r="AO62" s="2536"/>
      <c r="AP62" s="2536"/>
      <c r="AQ62" s="2536"/>
      <c r="AR62" s="2533" t="e">
        <f t="shared" ref="AR62:AR97" si="33">ROUNDDOWN(AV62,1)</f>
        <v>#DIV/0!</v>
      </c>
      <c r="AS62" s="855" t="e">
        <f>P62</f>
        <v>#DIV/0!</v>
      </c>
      <c r="AT62" s="683"/>
      <c r="AU62" s="2507"/>
      <c r="AV62" s="2532" t="e">
        <f>IF(AX62=0,0,SUMPRODUCT($AY$7:$BH$7,AH62:AQ62)/AX62)</f>
        <v>#DIV/0!</v>
      </c>
      <c r="AX62" s="2531" t="e">
        <f>SUMPRODUCT($AY$7:$BH$7,AY62:BH62)</f>
        <v>#DIV/0!</v>
      </c>
      <c r="AY62" s="2517">
        <f t="shared" si="32"/>
        <v>1</v>
      </c>
      <c r="AZ62" s="2517">
        <f t="shared" si="32"/>
        <v>0</v>
      </c>
      <c r="BA62" s="2517">
        <f t="shared" si="32"/>
        <v>0</v>
      </c>
      <c r="BB62" s="2517">
        <f t="shared" si="32"/>
        <v>0</v>
      </c>
      <c r="BC62" s="2517">
        <f t="shared" si="32"/>
        <v>0</v>
      </c>
      <c r="BD62" s="2517">
        <f t="shared" si="32"/>
        <v>0</v>
      </c>
      <c r="BE62" s="2517">
        <f t="shared" si="32"/>
        <v>0</v>
      </c>
      <c r="BF62" s="2517">
        <f t="shared" si="32"/>
        <v>0</v>
      </c>
      <c r="BG62" s="2517">
        <f t="shared" si="32"/>
        <v>0</v>
      </c>
      <c r="BH62" s="2517">
        <f t="shared" si="32"/>
        <v>0</v>
      </c>
      <c r="BJ62" s="1"/>
      <c r="BK62" s="1"/>
      <c r="BL62" s="2950"/>
    </row>
    <row r="63" spans="1:64" ht="14.25" thickBot="1">
      <c r="A63" s="94"/>
      <c r="B63" s="707"/>
      <c r="C63" s="668">
        <v>1.1000000000000001</v>
      </c>
      <c r="D63" s="645" t="s">
        <v>1986</v>
      </c>
      <c r="E63" s="686"/>
      <c r="F63" s="687"/>
      <c r="G63" s="648">
        <v>5</v>
      </c>
      <c r="H63" s="648"/>
      <c r="I63" s="2764"/>
      <c r="J63" s="2924"/>
      <c r="K63" s="2925"/>
      <c r="L63" s="2925"/>
      <c r="M63" s="2925"/>
      <c r="N63" s="2926"/>
      <c r="O63" s="708" t="e">
        <f>ROUNDDOWN(X63,1)</f>
        <v>#DIV/0!</v>
      </c>
      <c r="P63" s="636" t="e">
        <f t="shared" si="24"/>
        <v>#DIV/0!</v>
      </c>
      <c r="Q63" s="709" t="e">
        <f t="shared" si="29"/>
        <v>#DIV/0!</v>
      </c>
      <c r="R63" s="637" t="e">
        <f t="shared" si="25"/>
        <v>#DIV/0!</v>
      </c>
      <c r="S63" s="638"/>
      <c r="T63" s="559"/>
      <c r="U63" s="652"/>
      <c r="V63" s="652"/>
      <c r="X63" s="639" t="e">
        <f>SUMPRODUCT(X64:X66,Y64:Y66)</f>
        <v>#DIV/0!</v>
      </c>
      <c r="Y63" s="640" t="e">
        <f>重み!D63</f>
        <v>#DIV/0!</v>
      </c>
      <c r="Z63" s="639" t="e">
        <f>SUMPRODUCT(Z64:Z66,AA64:AA66)</f>
        <v>#DIV/0!</v>
      </c>
      <c r="AA63" s="640" t="e">
        <f>重み!E63</f>
        <v>#DIV/0!</v>
      </c>
      <c r="AB63" s="614"/>
      <c r="AC63" s="559"/>
      <c r="AD63" s="590" t="e">
        <f>重み!M63</f>
        <v>#DIV/0!</v>
      </c>
      <c r="AE63" s="574"/>
      <c r="AF63" s="590" t="e">
        <f>重み!N63</f>
        <v>#DIV/0!</v>
      </c>
      <c r="AR63" s="2565">
        <f t="shared" si="33"/>
        <v>0</v>
      </c>
      <c r="BJ63" s="1"/>
      <c r="BK63" s="1"/>
      <c r="BL63" s="2950"/>
    </row>
    <row r="64" spans="1:64">
      <c r="A64" s="94"/>
      <c r="B64" s="707"/>
      <c r="C64" s="653"/>
      <c r="D64" s="654">
        <v>1</v>
      </c>
      <c r="E64" s="646" t="s">
        <v>1786</v>
      </c>
      <c r="F64" s="692"/>
      <c r="G64" s="648"/>
      <c r="H64" s="648"/>
      <c r="I64" s="2764"/>
      <c r="J64" s="3345"/>
      <c r="K64" s="3346"/>
      <c r="L64" s="3346"/>
      <c r="M64" s="3346"/>
      <c r="N64" s="3348"/>
      <c r="O64" s="657">
        <f>ROUNDDOWN(U64,1)</f>
        <v>3</v>
      </c>
      <c r="P64" s="658" t="e">
        <f t="shared" si="24"/>
        <v>#DIV/0!</v>
      </c>
      <c r="Q64" s="657">
        <f>ROUNDDOWN(V64,1)</f>
        <v>3</v>
      </c>
      <c r="R64" s="658" t="e">
        <f t="shared" si="25"/>
        <v>#DIV/0!</v>
      </c>
      <c r="S64" s="638"/>
      <c r="T64" s="559"/>
      <c r="U64" s="659">
        <f>IF(採点Q2!F9="対象外",0,採点Q2!F9)</f>
        <v>3</v>
      </c>
      <c r="V64" s="660">
        <f>採点Q2!K9</f>
        <v>3</v>
      </c>
      <c r="X64" s="661">
        <f>O64</f>
        <v>3</v>
      </c>
      <c r="Y64" s="640" t="e">
        <f>重み!D64</f>
        <v>#DIV/0!</v>
      </c>
      <c r="Z64" s="661">
        <f>Q64</f>
        <v>3</v>
      </c>
      <c r="AA64" s="640" t="e">
        <f>重み!E64</f>
        <v>#DIV/0!</v>
      </c>
      <c r="AB64" s="614"/>
      <c r="AC64" s="559"/>
      <c r="AD64" s="590" t="e">
        <f>重み!M64</f>
        <v>#DIV/0!</v>
      </c>
      <c r="AE64" s="574"/>
      <c r="AF64" s="590" t="e">
        <f>重み!N64</f>
        <v>#DIV/0!</v>
      </c>
      <c r="AR64" s="2565">
        <f t="shared" si="33"/>
        <v>0</v>
      </c>
      <c r="BJ64" s="1" t="s">
        <v>3535</v>
      </c>
      <c r="BK64" s="1">
        <f t="shared" ref="BK64:BK66" si="34">IF(AND(ISERROR(O64)=FALSE,ISERROR(P64)=FALSE,ISERROR(Q64)=FALSE,ISERROR(R64)=FALSE),IF(OR(AND(O64&gt;3,P64&gt;0),AND(Q64&gt;3,R64&gt;0)),MAX(O64,Q64),0),0)</f>
        <v>0</v>
      </c>
      <c r="BL64" s="2950" t="str">
        <f t="shared" ref="BL64:BL66" si="35">IF(J64=0,"",J64)</f>
        <v/>
      </c>
    </row>
    <row r="65" spans="1:64">
      <c r="A65" s="94"/>
      <c r="B65" s="707"/>
      <c r="C65" s="653"/>
      <c r="D65" s="654">
        <v>2</v>
      </c>
      <c r="E65" s="646" t="s">
        <v>1787</v>
      </c>
      <c r="F65" s="692"/>
      <c r="G65" s="648"/>
      <c r="H65" s="648"/>
      <c r="I65" s="2764"/>
      <c r="J65" s="3345"/>
      <c r="K65" s="3346"/>
      <c r="L65" s="3346"/>
      <c r="M65" s="3346"/>
      <c r="N65" s="3348"/>
      <c r="O65" s="672">
        <f>ROUNDDOWN(U65,1)</f>
        <v>3</v>
      </c>
      <c r="P65" s="658" t="e">
        <f t="shared" si="24"/>
        <v>#DIV/0!</v>
      </c>
      <c r="Q65" s="672">
        <f>ROUNDDOWN(V65,1)</f>
        <v>3</v>
      </c>
      <c r="R65" s="658" t="e">
        <f t="shared" si="25"/>
        <v>#DIV/0!</v>
      </c>
      <c r="S65" s="638"/>
      <c r="T65" s="559"/>
      <c r="U65" s="673">
        <f>IF(採点Q2!F18="対象外",0,採点Q2!F18)</f>
        <v>3</v>
      </c>
      <c r="V65" s="674">
        <f>採点Q2!K18</f>
        <v>3</v>
      </c>
      <c r="X65" s="661">
        <f>O65</f>
        <v>3</v>
      </c>
      <c r="Y65" s="640" t="e">
        <f>重み!D65</f>
        <v>#DIV/0!</v>
      </c>
      <c r="Z65" s="661">
        <f>Q65</f>
        <v>3</v>
      </c>
      <c r="AA65" s="640" t="e">
        <f>重み!E65</f>
        <v>#DIV/0!</v>
      </c>
      <c r="AB65" s="614"/>
      <c r="AC65" s="559"/>
      <c r="AD65" s="590" t="e">
        <f>重み!M65</f>
        <v>#DIV/0!</v>
      </c>
      <c r="AE65" s="574"/>
      <c r="AF65" s="590" t="e">
        <f>重み!N65</f>
        <v>#DIV/0!</v>
      </c>
      <c r="AR65" s="2565">
        <f t="shared" si="33"/>
        <v>0</v>
      </c>
      <c r="BJ65" s="1" t="s">
        <v>3537</v>
      </c>
      <c r="BK65" s="1">
        <f t="shared" si="34"/>
        <v>0</v>
      </c>
      <c r="BL65" s="2950" t="str">
        <f t="shared" si="35"/>
        <v/>
      </c>
    </row>
    <row r="66" spans="1:64" ht="14.25" thickBot="1">
      <c r="A66" s="94"/>
      <c r="B66" s="707"/>
      <c r="C66" s="662"/>
      <c r="D66" s="654">
        <v>3</v>
      </c>
      <c r="E66" s="646" t="s">
        <v>1788</v>
      </c>
      <c r="F66" s="692"/>
      <c r="G66" s="648"/>
      <c r="H66" s="2767" t="s">
        <v>3382</v>
      </c>
      <c r="I66" s="2768" t="s">
        <v>3383</v>
      </c>
      <c r="J66" s="3345"/>
      <c r="K66" s="3346"/>
      <c r="L66" s="3346"/>
      <c r="M66" s="3346"/>
      <c r="N66" s="3348"/>
      <c r="O66" s="665">
        <f>ROUNDDOWN(U66,1)</f>
        <v>3</v>
      </c>
      <c r="P66" s="658" t="e">
        <f t="shared" si="24"/>
        <v>#DIV/0!</v>
      </c>
      <c r="Q66" s="665">
        <f>ROUNDDOWN(V66,1)</f>
        <v>0</v>
      </c>
      <c r="R66" s="658" t="e">
        <f t="shared" si="25"/>
        <v>#DIV/0!</v>
      </c>
      <c r="S66" s="638"/>
      <c r="T66" s="559"/>
      <c r="U66" s="666">
        <f>IF(採点Q2!F27="対象外",0,採点Q2!F27)</f>
        <v>3</v>
      </c>
      <c r="V66" s="745"/>
      <c r="X66" s="661">
        <f>O66</f>
        <v>3</v>
      </c>
      <c r="Y66" s="640" t="e">
        <f>重み!D66</f>
        <v>#DIV/0!</v>
      </c>
      <c r="Z66" s="693"/>
      <c r="AA66" s="640" t="e">
        <f>重み!E66</f>
        <v>#DIV/0!</v>
      </c>
      <c r="AB66" s="614"/>
      <c r="AC66" s="559"/>
      <c r="AD66" s="590" t="e">
        <f>重み!M66</f>
        <v>#DIV/0!</v>
      </c>
      <c r="AE66" s="574"/>
      <c r="AF66" s="590" t="e">
        <f>重み!N66</f>
        <v>#DIV/0!</v>
      </c>
      <c r="AR66" s="2565">
        <f t="shared" si="33"/>
        <v>0</v>
      </c>
      <c r="BJ66" s="1" t="s">
        <v>3536</v>
      </c>
      <c r="BK66" s="1">
        <f t="shared" si="34"/>
        <v>0</v>
      </c>
      <c r="BL66" s="2950" t="str">
        <f t="shared" si="35"/>
        <v/>
      </c>
    </row>
    <row r="67" spans="1:64" ht="14.25" thickBot="1">
      <c r="A67" s="94"/>
      <c r="B67" s="707"/>
      <c r="C67" s="644">
        <v>1.2</v>
      </c>
      <c r="D67" s="645" t="s">
        <v>2226</v>
      </c>
      <c r="E67" s="686"/>
      <c r="F67" s="687"/>
      <c r="G67" s="648">
        <v>5</v>
      </c>
      <c r="H67" s="648"/>
      <c r="I67" s="2769"/>
      <c r="J67" s="2924"/>
      <c r="K67" s="2925"/>
      <c r="L67" s="2925"/>
      <c r="M67" s="2925"/>
      <c r="N67" s="2926"/>
      <c r="O67" s="708" t="e">
        <f>ROUNDDOWN(X67,1)</f>
        <v>#DIV/0!</v>
      </c>
      <c r="P67" s="636" t="e">
        <f t="shared" si="24"/>
        <v>#DIV/0!</v>
      </c>
      <c r="Q67" s="709" t="e">
        <f>ROUNDDOWN(Z67,1)</f>
        <v>#DIV/0!</v>
      </c>
      <c r="R67" s="637" t="e">
        <f t="shared" si="25"/>
        <v>#DIV/0!</v>
      </c>
      <c r="S67" s="638"/>
      <c r="T67" s="559"/>
      <c r="U67" s="671"/>
      <c r="V67" s="671"/>
      <c r="X67" s="639" t="e">
        <f>SUMPRODUCT(X68:X70,Y68:Y70)</f>
        <v>#DIV/0!</v>
      </c>
      <c r="Y67" s="640" t="e">
        <f>重み!D67</f>
        <v>#DIV/0!</v>
      </c>
      <c r="Z67" s="639" t="e">
        <f>SUMPRODUCT(Z68:Z70,AA68:AA70)</f>
        <v>#DIV/0!</v>
      </c>
      <c r="AA67" s="640" t="e">
        <f>重み!E67</f>
        <v>#DIV/0!</v>
      </c>
      <c r="AB67" s="614"/>
      <c r="AC67" s="559"/>
      <c r="AD67" s="590" t="e">
        <f>重み!M67</f>
        <v>#DIV/0!</v>
      </c>
      <c r="AE67" s="574"/>
      <c r="AF67" s="590" t="e">
        <f>重み!N67</f>
        <v>#DIV/0!</v>
      </c>
      <c r="AR67" s="2565">
        <f t="shared" si="33"/>
        <v>0</v>
      </c>
      <c r="BJ67" s="1"/>
      <c r="BK67" s="1"/>
      <c r="BL67" s="2950"/>
    </row>
    <row r="68" spans="1:64">
      <c r="A68" s="94"/>
      <c r="B68" s="707"/>
      <c r="C68" s="653"/>
      <c r="D68" s="654">
        <v>1</v>
      </c>
      <c r="E68" s="646" t="s">
        <v>674</v>
      </c>
      <c r="F68" s="692"/>
      <c r="G68" s="648"/>
      <c r="H68" s="2767" t="s">
        <v>3384</v>
      </c>
      <c r="I68" s="2768" t="s">
        <v>3385</v>
      </c>
      <c r="J68" s="3345"/>
      <c r="K68" s="3346"/>
      <c r="L68" s="3346"/>
      <c r="M68" s="3346"/>
      <c r="N68" s="3348"/>
      <c r="O68" s="657">
        <f>ROUNDDOWN(U68,1)</f>
        <v>3</v>
      </c>
      <c r="P68" s="658" t="e">
        <f t="shared" si="24"/>
        <v>#DIV/0!</v>
      </c>
      <c r="Q68" s="657">
        <f>ROUNDDOWN(V68,1)</f>
        <v>0</v>
      </c>
      <c r="R68" s="658" t="e">
        <f t="shared" si="25"/>
        <v>#DIV/0!</v>
      </c>
      <c r="S68" s="638"/>
      <c r="T68" s="559"/>
      <c r="U68" s="659">
        <f>IF(採点Q2!F37="対象外",0,採点Q2!F37)</f>
        <v>3</v>
      </c>
      <c r="V68" s="660">
        <f>採点Q2!M37</f>
        <v>0</v>
      </c>
      <c r="X68" s="661">
        <f>O68</f>
        <v>3</v>
      </c>
      <c r="Y68" s="640" t="e">
        <f>重み!D68</f>
        <v>#DIV/0!</v>
      </c>
      <c r="Z68" s="661">
        <f>Q68</f>
        <v>0</v>
      </c>
      <c r="AA68" s="640" t="e">
        <f>重み!E68</f>
        <v>#DIV/0!</v>
      </c>
      <c r="AB68" s="614"/>
      <c r="AC68" s="559"/>
      <c r="AD68" s="590" t="e">
        <f>重み!M68</f>
        <v>#DIV/0!</v>
      </c>
      <c r="AE68" s="574"/>
      <c r="AF68" s="590" t="e">
        <f>重み!N68</f>
        <v>#DIV/0!</v>
      </c>
      <c r="AR68" s="2565">
        <f t="shared" si="33"/>
        <v>0</v>
      </c>
      <c r="BJ68" s="1" t="s">
        <v>3538</v>
      </c>
      <c r="BK68" s="1">
        <f t="shared" ref="BK68:BK70" si="36">IF(AND(ISERROR(O68)=FALSE,ISERROR(P68)=FALSE,ISERROR(Q68)=FALSE,ISERROR(R68)=FALSE),IF(OR(AND(O68&gt;3,P68&gt;0),AND(Q68&gt;3,R68&gt;0)),MAX(O68,Q68),0),0)</f>
        <v>0</v>
      </c>
      <c r="BL68" s="2950" t="str">
        <f t="shared" ref="BL68:BL70" si="37">IF(J68=0,"",J68)</f>
        <v/>
      </c>
    </row>
    <row r="69" spans="1:64">
      <c r="A69" s="94"/>
      <c r="B69" s="707"/>
      <c r="C69" s="653"/>
      <c r="D69" s="654">
        <v>2</v>
      </c>
      <c r="E69" s="646" t="s">
        <v>1573</v>
      </c>
      <c r="F69" s="692"/>
      <c r="G69" s="648"/>
      <c r="H69" s="648"/>
      <c r="I69" s="2769"/>
      <c r="J69" s="3345"/>
      <c r="K69" s="3346"/>
      <c r="L69" s="3346"/>
      <c r="M69" s="3346"/>
      <c r="N69" s="3348"/>
      <c r="O69" s="672">
        <f>ROUNDDOWN(U69,1)</f>
        <v>3</v>
      </c>
      <c r="P69" s="658" t="e">
        <f t="shared" si="24"/>
        <v>#DIV/0!</v>
      </c>
      <c r="Q69" s="672">
        <f>ROUNDDOWN(V69,1)</f>
        <v>0</v>
      </c>
      <c r="R69" s="658" t="e">
        <f t="shared" si="25"/>
        <v>#DIV/0!</v>
      </c>
      <c r="S69" s="638"/>
      <c r="T69" s="559"/>
      <c r="U69" s="673">
        <f>IF(採点Q2!F55="対象外",0,採点Q2!F55)</f>
        <v>3</v>
      </c>
      <c r="V69" s="746"/>
      <c r="X69" s="661">
        <f>O69</f>
        <v>3</v>
      </c>
      <c r="Y69" s="640" t="e">
        <f>重み!D69</f>
        <v>#DIV/0!</v>
      </c>
      <c r="Z69" s="693"/>
      <c r="AA69" s="640" t="e">
        <f>重み!E69</f>
        <v>#DIV/0!</v>
      </c>
      <c r="AB69" s="614"/>
      <c r="AC69" s="559"/>
      <c r="AD69" s="590" t="e">
        <f>重み!M69</f>
        <v>#DIV/0!</v>
      </c>
      <c r="AE69" s="574"/>
      <c r="AF69" s="590" t="e">
        <f>重み!N69</f>
        <v>#DIV/0!</v>
      </c>
      <c r="AR69" s="2565">
        <f t="shared" si="33"/>
        <v>0</v>
      </c>
      <c r="BJ69" s="1" t="s">
        <v>3539</v>
      </c>
      <c r="BK69" s="1">
        <f t="shared" si="36"/>
        <v>0</v>
      </c>
      <c r="BL69" s="2950" t="str">
        <f t="shared" si="37"/>
        <v/>
      </c>
    </row>
    <row r="70" spans="1:64" ht="14.25" thickBot="1">
      <c r="A70" s="94"/>
      <c r="B70" s="707"/>
      <c r="C70" s="662"/>
      <c r="D70" s="654">
        <v>3</v>
      </c>
      <c r="E70" s="646" t="s">
        <v>0</v>
      </c>
      <c r="F70" s="692"/>
      <c r="G70" s="648"/>
      <c r="H70" s="2777" t="s">
        <v>3386</v>
      </c>
      <c r="I70" s="2768" t="s">
        <v>3383</v>
      </c>
      <c r="J70" s="3345"/>
      <c r="K70" s="3346"/>
      <c r="L70" s="3346"/>
      <c r="M70" s="3346"/>
      <c r="N70" s="3348"/>
      <c r="O70" s="665" t="e">
        <f>ROUNDDOWN(U70,1)</f>
        <v>#DIV/0!</v>
      </c>
      <c r="P70" s="658" t="e">
        <f t="shared" si="24"/>
        <v>#DIV/0!</v>
      </c>
      <c r="Q70" s="665" t="e">
        <f>ROUNDDOWN(V70,1)</f>
        <v>#DIV/0!</v>
      </c>
      <c r="R70" s="658" t="e">
        <f t="shared" si="25"/>
        <v>#DIV/0!</v>
      </c>
      <c r="S70" s="638"/>
      <c r="T70" s="559"/>
      <c r="U70" s="666" t="e">
        <f>IF(採点Q2!F64="対象外",0,採点Q2!F64)</f>
        <v>#DIV/0!</v>
      </c>
      <c r="V70" s="667" t="e">
        <f>採点Q2!K64</f>
        <v>#DIV/0!</v>
      </c>
      <c r="X70" s="661" t="e">
        <f>O70</f>
        <v>#DIV/0!</v>
      </c>
      <c r="Y70" s="640" t="e">
        <f>重み!D70</f>
        <v>#DIV/0!</v>
      </c>
      <c r="Z70" s="661" t="e">
        <f>Q70</f>
        <v>#DIV/0!</v>
      </c>
      <c r="AA70" s="640" t="e">
        <f>重み!E70</f>
        <v>#DIV/0!</v>
      </c>
      <c r="AB70" s="614"/>
      <c r="AC70" s="559"/>
      <c r="AD70" s="590" t="e">
        <f>重み!M70</f>
        <v>#DIV/0!</v>
      </c>
      <c r="AE70" s="574"/>
      <c r="AF70" s="590" t="e">
        <f>重み!N70</f>
        <v>#DIV/0!</v>
      </c>
      <c r="AR70" s="2565">
        <f t="shared" si="33"/>
        <v>0</v>
      </c>
      <c r="BJ70" s="1" t="s">
        <v>3540</v>
      </c>
      <c r="BK70" s="1">
        <f t="shared" si="36"/>
        <v>0</v>
      </c>
      <c r="BL70" s="2950" t="str">
        <f t="shared" si="37"/>
        <v/>
      </c>
    </row>
    <row r="71" spans="1:64" ht="14.25" thickBot="1">
      <c r="A71" s="94"/>
      <c r="B71" s="747"/>
      <c r="C71" s="668">
        <v>1.3</v>
      </c>
      <c r="D71" s="645" t="s">
        <v>1</v>
      </c>
      <c r="E71" s="686"/>
      <c r="F71" s="687"/>
      <c r="G71" s="748"/>
      <c r="H71" s="648"/>
      <c r="I71" s="2764"/>
      <c r="J71" s="2924"/>
      <c r="K71" s="2925"/>
      <c r="L71" s="2925"/>
      <c r="M71" s="2925"/>
      <c r="N71" s="2926"/>
      <c r="O71" s="708" t="e">
        <f>ROUNDDOWN(X71,1)</f>
        <v>#DIV/0!</v>
      </c>
      <c r="P71" s="658" t="e">
        <f t="shared" si="24"/>
        <v>#DIV/0!</v>
      </c>
      <c r="Q71" s="709" t="e">
        <f>ROUNDDOWN(Z71,1)</f>
        <v>#DIV/0!</v>
      </c>
      <c r="R71" s="658" t="e">
        <f t="shared" si="25"/>
        <v>#DIV/0!</v>
      </c>
      <c r="S71" s="638"/>
      <c r="T71" s="559"/>
      <c r="U71" s="684"/>
      <c r="V71" s="684"/>
      <c r="X71" s="639" t="e">
        <f>SUMPRODUCT(X72:X74,Y72:Y74)</f>
        <v>#DIV/0!</v>
      </c>
      <c r="Y71" s="640" t="e">
        <f>重み!D71</f>
        <v>#DIV/0!</v>
      </c>
      <c r="Z71" s="639" t="e">
        <f>SUMPRODUCT(Z72:Z74,AA72:AA74)</f>
        <v>#DIV/0!</v>
      </c>
      <c r="AA71" s="640" t="e">
        <f>重み!E71</f>
        <v>#DIV/0!</v>
      </c>
      <c r="AB71" s="614"/>
      <c r="AC71" s="559"/>
      <c r="AD71" s="590" t="e">
        <f>重み!M71</f>
        <v>#DIV/0!</v>
      </c>
      <c r="AE71" s="574"/>
      <c r="AF71" s="590" t="e">
        <f>重み!N71</f>
        <v>#DIV/0!</v>
      </c>
      <c r="AR71" s="2565">
        <f t="shared" si="33"/>
        <v>0</v>
      </c>
      <c r="BJ71" s="1"/>
      <c r="BK71" s="1"/>
      <c r="BL71" s="2950"/>
    </row>
    <row r="72" spans="1:64">
      <c r="A72" s="94"/>
      <c r="B72" s="747"/>
      <c r="C72" s="653"/>
      <c r="D72" s="654">
        <v>1</v>
      </c>
      <c r="E72" s="646" t="s">
        <v>3742</v>
      </c>
      <c r="F72" s="692"/>
      <c r="G72" s="748"/>
      <c r="H72" s="648"/>
      <c r="I72" s="2764"/>
      <c r="J72" s="3345"/>
      <c r="K72" s="3346"/>
      <c r="L72" s="3346"/>
      <c r="M72" s="3346"/>
      <c r="N72" s="3348"/>
      <c r="O72" s="657" t="e">
        <f>ROUNDDOWN(U72,1)</f>
        <v>#DIV/0!</v>
      </c>
      <c r="P72" s="658" t="e">
        <f t="shared" si="24"/>
        <v>#DIV/0!</v>
      </c>
      <c r="Q72" s="657">
        <f>ROUNDDOWN(V72,1)</f>
        <v>0</v>
      </c>
      <c r="R72" s="658" t="e">
        <f t="shared" si="25"/>
        <v>#DIV/0!</v>
      </c>
      <c r="S72" s="638"/>
      <c r="T72" s="559"/>
      <c r="U72" s="721" t="e">
        <f>IF(採点Q2!F81="対象外",0,採点Q2!F81)</f>
        <v>#DIV/0!</v>
      </c>
      <c r="V72" s="558"/>
      <c r="X72" s="661" t="e">
        <f>O72</f>
        <v>#DIV/0!</v>
      </c>
      <c r="Y72" s="640" t="e">
        <f>重み!D72</f>
        <v>#DIV/0!</v>
      </c>
      <c r="Z72" s="693"/>
      <c r="AA72" s="640" t="e">
        <f>重み!E72</f>
        <v>#DIV/0!</v>
      </c>
      <c r="AB72" s="614"/>
      <c r="AC72" s="559"/>
      <c r="AD72" s="590" t="e">
        <f>重み!M72</f>
        <v>#DIV/0!</v>
      </c>
      <c r="AE72" s="574"/>
      <c r="AF72" s="590" t="e">
        <f>重み!N72</f>
        <v>#DIV/0!</v>
      </c>
      <c r="AR72" s="2565">
        <f t="shared" si="33"/>
        <v>0</v>
      </c>
      <c r="BJ72" s="1" t="s">
        <v>3541</v>
      </c>
      <c r="BK72" s="1">
        <f t="shared" ref="BK72:BK74" si="38">IF(AND(ISERROR(O72)=FALSE,ISERROR(P72)=FALSE,ISERROR(Q72)=FALSE,ISERROR(R72)=FALSE),IF(OR(AND(O72&gt;3,P72&gt;0),AND(Q72&gt;3,R72&gt;0)),MAX(O72,Q72),0),0)</f>
        <v>0</v>
      </c>
      <c r="BL72" s="2950" t="str">
        <f t="shared" ref="BL72:BL74" si="39">IF(J72=0,"",J72)</f>
        <v/>
      </c>
    </row>
    <row r="73" spans="1:64">
      <c r="A73" s="94"/>
      <c r="B73" s="707"/>
      <c r="C73" s="653"/>
      <c r="D73" s="654">
        <v>2</v>
      </c>
      <c r="E73" s="646" t="s">
        <v>3743</v>
      </c>
      <c r="F73" s="692"/>
      <c r="G73" s="748"/>
      <c r="H73" s="648"/>
      <c r="I73" s="2764"/>
      <c r="J73" s="3345"/>
      <c r="K73" s="3346"/>
      <c r="L73" s="3346"/>
      <c r="M73" s="3346"/>
      <c r="N73" s="3348"/>
      <c r="O73" s="672" t="e">
        <f>ROUNDDOWN(U73,1)</f>
        <v>#DIV/0!</v>
      </c>
      <c r="P73" s="658" t="e">
        <f t="shared" si="24"/>
        <v>#DIV/0!</v>
      </c>
      <c r="Q73" s="672">
        <f>ROUNDDOWN(V73,1)</f>
        <v>0</v>
      </c>
      <c r="R73" s="658" t="e">
        <f t="shared" si="25"/>
        <v>#DIV/0!</v>
      </c>
      <c r="S73" s="638"/>
      <c r="T73" s="559"/>
      <c r="U73" s="749" t="e">
        <f>IF(採点Q2!F125="対象外",0,採点Q2!F125)</f>
        <v>#DIV/0!</v>
      </c>
      <c r="V73" s="558"/>
      <c r="X73" s="661" t="e">
        <f>O73</f>
        <v>#DIV/0!</v>
      </c>
      <c r="Y73" s="640" t="e">
        <f>重み!D73</f>
        <v>#DIV/0!</v>
      </c>
      <c r="Z73" s="693"/>
      <c r="AA73" s="640" t="e">
        <f>重み!E73</f>
        <v>#DIV/0!</v>
      </c>
      <c r="AB73" s="614"/>
      <c r="AC73" s="559"/>
      <c r="AD73" s="590" t="e">
        <f>重み!M73</f>
        <v>#DIV/0!</v>
      </c>
      <c r="AE73" s="574"/>
      <c r="AF73" s="590" t="e">
        <f>重み!N73</f>
        <v>#DIV/0!</v>
      </c>
      <c r="AR73" s="2565">
        <f t="shared" si="33"/>
        <v>0</v>
      </c>
      <c r="BJ73" s="1" t="s">
        <v>3542</v>
      </c>
      <c r="BK73" s="1">
        <f t="shared" si="38"/>
        <v>0</v>
      </c>
      <c r="BL73" s="2950" t="str">
        <f t="shared" si="39"/>
        <v/>
      </c>
    </row>
    <row r="74" spans="1:64" ht="14.25" thickBot="1">
      <c r="A74" s="94"/>
      <c r="B74" s="707"/>
      <c r="C74" s="662"/>
      <c r="D74" s="654">
        <v>3</v>
      </c>
      <c r="E74" s="646" t="s">
        <v>2</v>
      </c>
      <c r="F74" s="692"/>
      <c r="G74" s="748"/>
      <c r="H74" s="648"/>
      <c r="I74" s="2764"/>
      <c r="J74" s="3345"/>
      <c r="K74" s="3346"/>
      <c r="L74" s="3346"/>
      <c r="M74" s="3346"/>
      <c r="N74" s="3348"/>
      <c r="O74" s="665" t="e">
        <f>ROUNDDOWN(U74,1)</f>
        <v>#DIV/0!</v>
      </c>
      <c r="P74" s="658" t="e">
        <f t="shared" si="24"/>
        <v>#DIV/0!</v>
      </c>
      <c r="Q74" s="665">
        <f>ROUNDDOWN(V74,1)</f>
        <v>0</v>
      </c>
      <c r="R74" s="658" t="e">
        <f t="shared" si="25"/>
        <v>#DIV/0!</v>
      </c>
      <c r="S74" s="638"/>
      <c r="T74" s="559"/>
      <c r="U74" s="729" t="e">
        <f>採点Q2!F178</f>
        <v>#DIV/0!</v>
      </c>
      <c r="V74" s="558"/>
      <c r="X74" s="661" t="e">
        <f>O74</f>
        <v>#DIV/0!</v>
      </c>
      <c r="Y74" s="640" t="e">
        <f>重み!D74</f>
        <v>#DIV/0!</v>
      </c>
      <c r="Z74" s="693"/>
      <c r="AA74" s="640" t="e">
        <f>重み!E74</f>
        <v>#DIV/0!</v>
      </c>
      <c r="AB74" s="614"/>
      <c r="AC74" s="559"/>
      <c r="AD74" s="590" t="e">
        <f>重み!M74</f>
        <v>#DIV/0!</v>
      </c>
      <c r="AE74" s="574"/>
      <c r="AF74" s="590" t="e">
        <f>重み!N74</f>
        <v>#DIV/0!</v>
      </c>
      <c r="AR74" s="2565">
        <f t="shared" si="33"/>
        <v>0</v>
      </c>
      <c r="BJ74" s="1" t="s">
        <v>3543</v>
      </c>
      <c r="BK74" s="1">
        <f t="shared" si="38"/>
        <v>0</v>
      </c>
      <c r="BL74" s="2950" t="str">
        <f t="shared" si="39"/>
        <v/>
      </c>
    </row>
    <row r="75" spans="1:64">
      <c r="A75" s="94"/>
      <c r="B75" s="750">
        <v>2</v>
      </c>
      <c r="C75" s="678" t="s">
        <v>3</v>
      </c>
      <c r="D75" s="770"/>
      <c r="E75" s="770"/>
      <c r="F75" s="687"/>
      <c r="G75" s="648"/>
      <c r="H75" s="719"/>
      <c r="I75" s="2765"/>
      <c r="J75" s="2927"/>
      <c r="K75" s="2928"/>
      <c r="L75" s="2928"/>
      <c r="M75" s="2928"/>
      <c r="N75" s="2929"/>
      <c r="O75" s="680" t="e">
        <f>ROUNDDOWN(X75,1)</f>
        <v>#DIV/0!</v>
      </c>
      <c r="P75" s="681" t="e">
        <f t="shared" ref="P75:P106" si="40">Y75</f>
        <v>#DIV/0!</v>
      </c>
      <c r="Q75" s="635" t="e">
        <f>ROUNDDOWN(Z75,1)</f>
        <v>#DIV/0!</v>
      </c>
      <c r="R75" s="682" t="e">
        <f t="shared" ref="R75:R106" si="41">AA75</f>
        <v>#DIV/0!</v>
      </c>
      <c r="S75" s="683" t="e">
        <f>ROUNDDOWN(AB75,1)</f>
        <v>#DIV/0!</v>
      </c>
      <c r="T75" s="559"/>
      <c r="U75" s="684"/>
      <c r="V75" s="558"/>
      <c r="X75" s="639" t="e">
        <f>X76*Y76+X79*Y79+X86*Y86+X90*Y90</f>
        <v>#DIV/0!</v>
      </c>
      <c r="Y75" s="640" t="e">
        <f>重み!D75</f>
        <v>#DIV/0!</v>
      </c>
      <c r="Z75" s="639" t="e">
        <f>Z76*AA76+Z79*AA79+Z90*AA90</f>
        <v>#DIV/0!</v>
      </c>
      <c r="AA75" s="641" t="e">
        <f>SUM(AA76,AA79,AA90)</f>
        <v>#DIV/0!</v>
      </c>
      <c r="AB75" s="614" t="e">
        <f>IF(Z75=0,X75,IF(X75=0,Z75,X75*AD$6+Z75*AF$6))</f>
        <v>#DIV/0!</v>
      </c>
      <c r="AC75" s="559"/>
      <c r="AD75" s="590" t="e">
        <f>重み!M75</f>
        <v>#DIV/0!</v>
      </c>
      <c r="AE75" s="574"/>
      <c r="AF75" s="642" t="e">
        <f>SUM(AF76,AF79,AF90)</f>
        <v>#DIV/0!</v>
      </c>
      <c r="AH75" s="2536">
        <v>3</v>
      </c>
      <c r="AI75" s="2536"/>
      <c r="AJ75" s="2536"/>
      <c r="AK75" s="2536"/>
      <c r="AL75" s="2536"/>
      <c r="AM75" s="2536">
        <v>4</v>
      </c>
      <c r="AN75" s="2536"/>
      <c r="AO75" s="2536"/>
      <c r="AP75" s="2536"/>
      <c r="AQ75" s="2536"/>
      <c r="AR75" s="2533" t="e">
        <f t="shared" si="33"/>
        <v>#DIV/0!</v>
      </c>
      <c r="AS75" s="855" t="e">
        <f>P75</f>
        <v>#DIV/0!</v>
      </c>
      <c r="AT75" s="683"/>
      <c r="AU75" s="2507"/>
      <c r="AV75" s="2532" t="e">
        <f>SUMPRODUCT($AY$7:$BH$7,AH75:AQ75)/AX75</f>
        <v>#DIV/0!</v>
      </c>
      <c r="AX75" s="2531" t="e">
        <f>SUMPRODUCT($AY$7:$BH$7,AY75:BH75)</f>
        <v>#DIV/0!</v>
      </c>
      <c r="AY75" s="2517">
        <f>IF(AH75&gt;0,1,0)</f>
        <v>1</v>
      </c>
      <c r="AZ75" s="2517">
        <f t="shared" ref="AZ75:BH75" si="42">IF(AI75&gt;0,1,0)</f>
        <v>0</v>
      </c>
      <c r="BA75" s="2517">
        <f t="shared" si="42"/>
        <v>0</v>
      </c>
      <c r="BB75" s="2517">
        <f t="shared" si="42"/>
        <v>0</v>
      </c>
      <c r="BC75" s="2517">
        <f t="shared" si="42"/>
        <v>0</v>
      </c>
      <c r="BD75" s="2517">
        <f t="shared" si="42"/>
        <v>1</v>
      </c>
      <c r="BE75" s="2517">
        <f t="shared" si="42"/>
        <v>0</v>
      </c>
      <c r="BF75" s="2517">
        <f t="shared" si="42"/>
        <v>0</v>
      </c>
      <c r="BG75" s="2517">
        <f t="shared" si="42"/>
        <v>0</v>
      </c>
      <c r="BH75" s="2517">
        <f t="shared" si="42"/>
        <v>0</v>
      </c>
      <c r="BJ75" s="1"/>
      <c r="BK75" s="1"/>
      <c r="BL75" s="2950"/>
    </row>
    <row r="76" spans="1:64" ht="14.25" thickBot="1">
      <c r="A76" s="94"/>
      <c r="B76" s="707"/>
      <c r="C76" s="644">
        <v>2.1</v>
      </c>
      <c r="D76" s="685" t="s">
        <v>1834</v>
      </c>
      <c r="E76" s="686"/>
      <c r="F76" s="687"/>
      <c r="G76" s="648">
        <v>5</v>
      </c>
      <c r="H76" s="648"/>
      <c r="I76" s="2764"/>
      <c r="J76" s="2924"/>
      <c r="K76" s="2925"/>
      <c r="L76" s="2925"/>
      <c r="M76" s="2925"/>
      <c r="N76" s="2926"/>
      <c r="O76" s="708" t="e">
        <f>ROUNDDOWN(X76,1)</f>
        <v>#DIV/0!</v>
      </c>
      <c r="P76" s="636" t="e">
        <f t="shared" si="40"/>
        <v>#DIV/0!</v>
      </c>
      <c r="Q76" s="751" t="e">
        <f>ROUNDDOWN(Z76,1)</f>
        <v>#DIV/0!</v>
      </c>
      <c r="R76" s="637" t="e">
        <f t="shared" si="41"/>
        <v>#DIV/0!</v>
      </c>
      <c r="S76" s="638"/>
      <c r="T76" s="559"/>
      <c r="U76" s="752"/>
      <c r="V76" s="558"/>
      <c r="X76" s="639" t="e">
        <f>SUMPRODUCT(X77:X78,Y77:Y78)</f>
        <v>#DIV/0!</v>
      </c>
      <c r="Y76" s="640" t="e">
        <f>重み!D76</f>
        <v>#DIV/0!</v>
      </c>
      <c r="Z76" s="639" t="e">
        <f>SUMPRODUCT(Z77:Z78,AA77:AA78)</f>
        <v>#DIV/0!</v>
      </c>
      <c r="AA76" s="640" t="e">
        <f>重み!E76</f>
        <v>#DIV/0!</v>
      </c>
      <c r="AB76" s="614"/>
      <c r="AC76" s="559"/>
      <c r="AD76" s="590" t="e">
        <f>重み!M76</f>
        <v>#DIV/0!</v>
      </c>
      <c r="AE76" s="574"/>
      <c r="AF76" s="590" t="e">
        <f>重み!N76</f>
        <v>#DIV/0!</v>
      </c>
      <c r="AR76" s="2565">
        <f t="shared" si="33"/>
        <v>0</v>
      </c>
      <c r="BJ76" s="1"/>
      <c r="BK76" s="1"/>
      <c r="BL76" s="2950"/>
    </row>
    <row r="77" spans="1:64">
      <c r="A77" s="94"/>
      <c r="B77" s="707"/>
      <c r="C77" s="691"/>
      <c r="D77" s="654">
        <v>1</v>
      </c>
      <c r="E77" s="646" t="s">
        <v>1835</v>
      </c>
      <c r="F77" s="692"/>
      <c r="G77" s="648"/>
      <c r="H77" s="648"/>
      <c r="I77" s="2764"/>
      <c r="J77" s="3345"/>
      <c r="K77" s="3346"/>
      <c r="L77" s="3346"/>
      <c r="M77" s="3346"/>
      <c r="N77" s="3348"/>
      <c r="O77" s="657">
        <f>ROUNDDOWN(U77,1)</f>
        <v>3</v>
      </c>
      <c r="P77" s="753" t="e">
        <f t="shared" si="40"/>
        <v>#DIV/0!</v>
      </c>
      <c r="Q77" s="754">
        <f>ROUNDDOWN(V77,1)</f>
        <v>0</v>
      </c>
      <c r="R77" s="637" t="e">
        <f t="shared" si="41"/>
        <v>#DIV/0!</v>
      </c>
      <c r="S77" s="638"/>
      <c r="T77" s="559"/>
      <c r="U77" s="749">
        <f>IF(採点Q2!F202="対象外",0,採点Q2!F202)</f>
        <v>3</v>
      </c>
      <c r="V77" s="558"/>
      <c r="X77" s="661">
        <f>O77</f>
        <v>3</v>
      </c>
      <c r="Y77" s="640" t="e">
        <f>重み!D77</f>
        <v>#DIV/0!</v>
      </c>
      <c r="Z77" s="700"/>
      <c r="AA77" s="640" t="e">
        <f>重み!E77</f>
        <v>#DIV/0!</v>
      </c>
      <c r="AB77" s="614"/>
      <c r="AC77" s="559"/>
      <c r="AD77" s="590" t="e">
        <f>重み!M77</f>
        <v>#DIV/0!</v>
      </c>
      <c r="AE77" s="574"/>
      <c r="AF77" s="590" t="e">
        <f>重み!N77</f>
        <v>#DIV/0!</v>
      </c>
      <c r="AR77" s="2565">
        <f t="shared" si="33"/>
        <v>0</v>
      </c>
      <c r="BJ77" s="1" t="s">
        <v>3544</v>
      </c>
      <c r="BK77" s="1">
        <f t="shared" ref="BK77:BK78" si="43">IF(AND(ISERROR(O77)=FALSE,ISERROR(P77)=FALSE,ISERROR(Q77)=FALSE,ISERROR(R77)=FALSE),IF(OR(AND(O77&gt;3,P77&gt;0),AND(Q77&gt;3,R77&gt;0)),MAX(O77,Q77),0),0)</f>
        <v>0</v>
      </c>
      <c r="BL77" s="2950" t="str">
        <f t="shared" ref="BL77:BL78" si="44">IF(J77=0,"",J77)</f>
        <v/>
      </c>
    </row>
    <row r="78" spans="1:64" ht="14.25" thickBot="1">
      <c r="A78" s="94"/>
      <c r="B78" s="707"/>
      <c r="C78" s="706"/>
      <c r="D78" s="654">
        <v>2</v>
      </c>
      <c r="E78" s="646" t="s">
        <v>1836</v>
      </c>
      <c r="F78" s="692"/>
      <c r="G78" s="648"/>
      <c r="H78" s="648"/>
      <c r="I78" s="2764"/>
      <c r="J78" s="3345"/>
      <c r="K78" s="3346"/>
      <c r="L78" s="3346"/>
      <c r="M78" s="3346"/>
      <c r="N78" s="3348"/>
      <c r="O78" s="665">
        <f>ROUNDDOWN(U78,1)</f>
        <v>3</v>
      </c>
      <c r="P78" s="753" t="e">
        <f t="shared" si="40"/>
        <v>#DIV/0!</v>
      </c>
      <c r="Q78" s="754">
        <f>ROUNDDOWN(V78,1)</f>
        <v>0</v>
      </c>
      <c r="R78" s="637" t="e">
        <f t="shared" si="41"/>
        <v>#DIV/0!</v>
      </c>
      <c r="S78" s="638"/>
      <c r="T78" s="559"/>
      <c r="U78" s="749">
        <f>IF(採点Q2!K202="対象外",0,採点Q2!K202)</f>
        <v>3</v>
      </c>
      <c r="V78" s="558"/>
      <c r="X78" s="661">
        <f>O78</f>
        <v>3</v>
      </c>
      <c r="Y78" s="640" t="e">
        <f>重み!D78</f>
        <v>#DIV/0!</v>
      </c>
      <c r="Z78" s="700"/>
      <c r="AA78" s="640" t="e">
        <f>重み!E78</f>
        <v>#DIV/0!</v>
      </c>
      <c r="AB78" s="614"/>
      <c r="AC78" s="559"/>
      <c r="AD78" s="590" t="e">
        <f>重み!M78</f>
        <v>#DIV/0!</v>
      </c>
      <c r="AE78" s="574"/>
      <c r="AF78" s="590" t="e">
        <f>重み!N78</f>
        <v>#DIV/0!</v>
      </c>
      <c r="AR78" s="2565">
        <f t="shared" si="33"/>
        <v>0</v>
      </c>
      <c r="BJ78" s="1" t="s">
        <v>3545</v>
      </c>
      <c r="BK78" s="1">
        <f t="shared" si="43"/>
        <v>0</v>
      </c>
      <c r="BL78" s="2950" t="str">
        <f t="shared" si="44"/>
        <v/>
      </c>
    </row>
    <row r="79" spans="1:64" ht="14.25" thickBot="1">
      <c r="A79" s="94"/>
      <c r="B79" s="707"/>
      <c r="C79" s="668">
        <v>2.2000000000000002</v>
      </c>
      <c r="D79" s="685" t="s">
        <v>1837</v>
      </c>
      <c r="E79" s="686"/>
      <c r="F79" s="687"/>
      <c r="G79" s="648">
        <v>5</v>
      </c>
      <c r="H79" s="648"/>
      <c r="I79" s="2764"/>
      <c r="J79" s="2924"/>
      <c r="K79" s="2925"/>
      <c r="L79" s="2925"/>
      <c r="M79" s="2925"/>
      <c r="N79" s="2926"/>
      <c r="O79" s="708" t="e">
        <f>ROUNDDOWN(X79,1)</f>
        <v>#DIV/0!</v>
      </c>
      <c r="P79" s="636" t="e">
        <f t="shared" si="40"/>
        <v>#DIV/0!</v>
      </c>
      <c r="Q79" s="751" t="e">
        <f>ROUNDDOWN(Z79,1)</f>
        <v>#DIV/0!</v>
      </c>
      <c r="R79" s="637" t="e">
        <f t="shared" si="41"/>
        <v>#DIV/0!</v>
      </c>
      <c r="S79" s="638"/>
      <c r="T79" s="559"/>
      <c r="U79" s="755"/>
      <c r="V79" s="558"/>
      <c r="X79" s="639" t="e">
        <f>SUMPRODUCT(X80:X85,Y80:Y85)</f>
        <v>#DIV/0!</v>
      </c>
      <c r="Y79" s="640" t="e">
        <f>重み!D79</f>
        <v>#DIV/0!</v>
      </c>
      <c r="Z79" s="639" t="e">
        <f>SUMPRODUCT(Z80:Z85,AA80:AA85)</f>
        <v>#DIV/0!</v>
      </c>
      <c r="AA79" s="640" t="e">
        <f>重み!E79</f>
        <v>#DIV/0!</v>
      </c>
      <c r="AB79" s="614"/>
      <c r="AC79" s="559"/>
      <c r="AD79" s="590" t="e">
        <f>重み!M79</f>
        <v>#DIV/0!</v>
      </c>
      <c r="AE79" s="574"/>
      <c r="AF79" s="590" t="e">
        <f>重み!N79</f>
        <v>#DIV/0!</v>
      </c>
      <c r="AR79" s="2565">
        <f t="shared" si="33"/>
        <v>0</v>
      </c>
      <c r="BJ79" s="1"/>
      <c r="BK79" s="1"/>
      <c r="BL79" s="2950"/>
    </row>
    <row r="80" spans="1:64">
      <c r="A80" s="94"/>
      <c r="B80" s="707"/>
      <c r="C80" s="691"/>
      <c r="D80" s="654">
        <v>1</v>
      </c>
      <c r="E80" s="646" t="s">
        <v>628</v>
      </c>
      <c r="F80" s="692"/>
      <c r="G80" s="648"/>
      <c r="H80" s="2767" t="s">
        <v>3382</v>
      </c>
      <c r="I80" s="2768" t="s">
        <v>3379</v>
      </c>
      <c r="J80" s="3345"/>
      <c r="K80" s="3346"/>
      <c r="L80" s="3346"/>
      <c r="M80" s="3346"/>
      <c r="N80" s="3348"/>
      <c r="O80" s="657">
        <f t="shared" ref="O80:O85" si="45">ROUNDDOWN(U80,1)</f>
        <v>3</v>
      </c>
      <c r="P80" s="753" t="e">
        <f t="shared" si="40"/>
        <v>#DIV/0!</v>
      </c>
      <c r="Q80" s="754">
        <f t="shared" ref="Q80:Q85" si="46">ROUNDDOWN(V80,1)</f>
        <v>0</v>
      </c>
      <c r="R80" s="637" t="e">
        <f t="shared" si="41"/>
        <v>#DIV/0!</v>
      </c>
      <c r="S80" s="638"/>
      <c r="T80" s="559"/>
      <c r="U80" s="721">
        <f>IF(採点Q2!F212="対象外",0,採点Q2!F212)</f>
        <v>3</v>
      </c>
      <c r="V80" s="558"/>
      <c r="X80" s="661">
        <f t="shared" ref="X80:X85" si="47">O80</f>
        <v>3</v>
      </c>
      <c r="Y80" s="640" t="e">
        <f>重み!D80</f>
        <v>#DIV/0!</v>
      </c>
      <c r="Z80" s="700"/>
      <c r="AA80" s="640" t="e">
        <f>重み!E80</f>
        <v>#DIV/0!</v>
      </c>
      <c r="AB80" s="614"/>
      <c r="AC80" s="559"/>
      <c r="AD80" s="590" t="e">
        <f>重み!M80</f>
        <v>#DIV/0!</v>
      </c>
      <c r="AE80" s="574"/>
      <c r="AF80" s="590" t="e">
        <f>重み!N80</f>
        <v>#DIV/0!</v>
      </c>
      <c r="AR80" s="2565">
        <f t="shared" si="33"/>
        <v>0</v>
      </c>
      <c r="BJ80" s="1" t="s">
        <v>3546</v>
      </c>
      <c r="BK80" s="1">
        <f t="shared" ref="BK80:BK85" si="48">IF(AND(ISERROR(O80)=FALSE,ISERROR(P80)=FALSE,ISERROR(Q80)=FALSE,ISERROR(R80)=FALSE),IF(OR(AND(O80&gt;3,P80&gt;0),AND(Q80&gt;3,R80&gt;0)),MAX(O80,Q80),0),0)</f>
        <v>0</v>
      </c>
      <c r="BL80" s="2950" t="str">
        <f t="shared" ref="BL80:BL85" si="49">IF(J80=0,"",J80)</f>
        <v/>
      </c>
    </row>
    <row r="81" spans="1:64">
      <c r="A81" s="94"/>
      <c r="B81" s="707"/>
      <c r="C81" s="691"/>
      <c r="D81" s="654">
        <v>2</v>
      </c>
      <c r="E81" s="646" t="s">
        <v>629</v>
      </c>
      <c r="F81" s="692"/>
      <c r="G81" s="648"/>
      <c r="H81" s="648"/>
      <c r="I81" s="2764"/>
      <c r="J81" s="3345"/>
      <c r="K81" s="3346"/>
      <c r="L81" s="3346"/>
      <c r="M81" s="3346"/>
      <c r="N81" s="3348"/>
      <c r="O81" s="672">
        <f t="shared" si="45"/>
        <v>3</v>
      </c>
      <c r="P81" s="753" t="e">
        <f t="shared" si="40"/>
        <v>#DIV/0!</v>
      </c>
      <c r="Q81" s="754">
        <f t="shared" si="46"/>
        <v>0</v>
      </c>
      <c r="R81" s="637" t="e">
        <f t="shared" si="41"/>
        <v>#DIV/0!</v>
      </c>
      <c r="S81" s="638"/>
      <c r="T81" s="559"/>
      <c r="U81" s="749">
        <f>IF(採点Q2!K212="対象外",0,採点Q2!K212)</f>
        <v>3</v>
      </c>
      <c r="V81" s="558"/>
      <c r="X81" s="661">
        <f t="shared" si="47"/>
        <v>3</v>
      </c>
      <c r="Y81" s="640" t="e">
        <f>重み!D81</f>
        <v>#DIV/0!</v>
      </c>
      <c r="Z81" s="700"/>
      <c r="AA81" s="640" t="e">
        <f>重み!E81</f>
        <v>#DIV/0!</v>
      </c>
      <c r="AB81" s="614"/>
      <c r="AC81" s="559"/>
      <c r="AD81" s="590" t="e">
        <f>重み!M81</f>
        <v>#DIV/0!</v>
      </c>
      <c r="AE81" s="574"/>
      <c r="AF81" s="590" t="e">
        <f>重み!N81</f>
        <v>#DIV/0!</v>
      </c>
      <c r="AR81" s="2565">
        <f t="shared" si="33"/>
        <v>0</v>
      </c>
      <c r="BJ81" s="1" t="s">
        <v>3547</v>
      </c>
      <c r="BK81" s="1">
        <f t="shared" si="48"/>
        <v>0</v>
      </c>
      <c r="BL81" s="2950" t="str">
        <f t="shared" si="49"/>
        <v/>
      </c>
    </row>
    <row r="82" spans="1:64">
      <c r="A82" s="94"/>
      <c r="B82" s="707"/>
      <c r="C82" s="691"/>
      <c r="D82" s="710">
        <v>3</v>
      </c>
      <c r="E82" s="3364" t="s">
        <v>630</v>
      </c>
      <c r="F82" s="3365"/>
      <c r="G82" s="648"/>
      <c r="H82" s="648"/>
      <c r="I82" s="2764"/>
      <c r="J82" s="3345"/>
      <c r="K82" s="3346"/>
      <c r="L82" s="3346"/>
      <c r="M82" s="3346"/>
      <c r="N82" s="3348"/>
      <c r="O82" s="672">
        <f t="shared" si="45"/>
        <v>0</v>
      </c>
      <c r="P82" s="753" t="e">
        <f t="shared" si="40"/>
        <v>#DIV/0!</v>
      </c>
      <c r="Q82" s="754">
        <f t="shared" si="46"/>
        <v>0</v>
      </c>
      <c r="R82" s="637" t="e">
        <f t="shared" si="41"/>
        <v>#DIV/0!</v>
      </c>
      <c r="S82" s="638"/>
      <c r="T82" s="559"/>
      <c r="U82" s="749">
        <f>IF(採点Q2!F221="対象外",0,採点Q2!F221)</f>
        <v>0</v>
      </c>
      <c r="V82" s="558"/>
      <c r="X82" s="661">
        <f t="shared" si="47"/>
        <v>0</v>
      </c>
      <c r="Y82" s="640" t="e">
        <f>重み!D82</f>
        <v>#DIV/0!</v>
      </c>
      <c r="Z82" s="700"/>
      <c r="AA82" s="640" t="e">
        <f>重み!E82</f>
        <v>#DIV/0!</v>
      </c>
      <c r="AB82" s="614"/>
      <c r="AC82" s="559"/>
      <c r="AD82" s="590" t="e">
        <f>重み!M82</f>
        <v>#DIV/0!</v>
      </c>
      <c r="AE82" s="574"/>
      <c r="AF82" s="590" t="e">
        <f>重み!N82</f>
        <v>#DIV/0!</v>
      </c>
      <c r="AR82" s="2565">
        <f t="shared" si="33"/>
        <v>0</v>
      </c>
      <c r="BJ82" s="1" t="s">
        <v>3548</v>
      </c>
      <c r="BK82" s="1">
        <f t="shared" si="48"/>
        <v>0</v>
      </c>
      <c r="BL82" s="2950" t="str">
        <f t="shared" si="49"/>
        <v/>
      </c>
    </row>
    <row r="83" spans="1:64">
      <c r="A83" s="94"/>
      <c r="B83" s="707"/>
      <c r="C83" s="691"/>
      <c r="D83" s="654">
        <v>4</v>
      </c>
      <c r="E83" s="646" t="s">
        <v>631</v>
      </c>
      <c r="F83" s="692"/>
      <c r="G83" s="648"/>
      <c r="H83" s="648"/>
      <c r="I83" s="2764"/>
      <c r="J83" s="3345"/>
      <c r="K83" s="3346"/>
      <c r="L83" s="3346"/>
      <c r="M83" s="3346"/>
      <c r="N83" s="3348"/>
      <c r="O83" s="672">
        <f t="shared" si="45"/>
        <v>3</v>
      </c>
      <c r="P83" s="753" t="e">
        <f t="shared" si="40"/>
        <v>#DIV/0!</v>
      </c>
      <c r="Q83" s="756">
        <f t="shared" si="46"/>
        <v>0</v>
      </c>
      <c r="R83" s="637" t="e">
        <f t="shared" si="41"/>
        <v>#DIV/0!</v>
      </c>
      <c r="S83" s="638"/>
      <c r="T83" s="559"/>
      <c r="U83" s="749">
        <f>IF(採点Q2!K221="対象外",0,採点Q2!K221)</f>
        <v>3</v>
      </c>
      <c r="V83" s="558"/>
      <c r="X83" s="661">
        <f t="shared" si="47"/>
        <v>3</v>
      </c>
      <c r="Y83" s="640" t="e">
        <f>重み!D83</f>
        <v>#DIV/0!</v>
      </c>
      <c r="Z83" s="700"/>
      <c r="AA83" s="640" t="e">
        <f>重み!E83</f>
        <v>#DIV/0!</v>
      </c>
      <c r="AB83" s="614"/>
      <c r="AC83" s="559"/>
      <c r="AD83" s="590" t="e">
        <f>重み!M83</f>
        <v>#DIV/0!</v>
      </c>
      <c r="AE83" s="574"/>
      <c r="AF83" s="590" t="e">
        <f>重み!N83</f>
        <v>#DIV/0!</v>
      </c>
      <c r="AR83" s="2565">
        <f t="shared" si="33"/>
        <v>0</v>
      </c>
      <c r="BJ83" s="1" t="s">
        <v>3549</v>
      </c>
      <c r="BK83" s="1">
        <f t="shared" si="48"/>
        <v>0</v>
      </c>
      <c r="BL83" s="2950" t="str">
        <f t="shared" si="49"/>
        <v/>
      </c>
    </row>
    <row r="84" spans="1:64">
      <c r="A84" s="94"/>
      <c r="B84" s="707"/>
      <c r="C84" s="691"/>
      <c r="D84" s="654">
        <v>5</v>
      </c>
      <c r="E84" s="3349" t="s">
        <v>632</v>
      </c>
      <c r="F84" s="3350"/>
      <c r="G84" s="648"/>
      <c r="H84" s="648"/>
      <c r="I84" s="2764"/>
      <c r="J84" s="3345"/>
      <c r="K84" s="3346"/>
      <c r="L84" s="3346"/>
      <c r="M84" s="3346"/>
      <c r="N84" s="3348"/>
      <c r="O84" s="672">
        <f t="shared" si="45"/>
        <v>3</v>
      </c>
      <c r="P84" s="753" t="e">
        <f t="shared" si="40"/>
        <v>#DIV/0!</v>
      </c>
      <c r="Q84" s="756">
        <f t="shared" si="46"/>
        <v>0</v>
      </c>
      <c r="R84" s="637" t="e">
        <f t="shared" si="41"/>
        <v>#DIV/0!</v>
      </c>
      <c r="S84" s="638"/>
      <c r="T84" s="559"/>
      <c r="U84" s="749">
        <f>IF(採点Q2!F230="対象外",0,採点Q2!F230)</f>
        <v>3</v>
      </c>
      <c r="V84" s="558"/>
      <c r="X84" s="661">
        <f t="shared" si="47"/>
        <v>3</v>
      </c>
      <c r="Y84" s="640" t="e">
        <f>重み!D84</f>
        <v>#DIV/0!</v>
      </c>
      <c r="Z84" s="700"/>
      <c r="AA84" s="640" t="e">
        <f>重み!E84</f>
        <v>#DIV/0!</v>
      </c>
      <c r="AB84" s="614"/>
      <c r="AC84" s="559"/>
      <c r="AD84" s="590" t="e">
        <f>重み!M84</f>
        <v>#DIV/0!</v>
      </c>
      <c r="AE84" s="574"/>
      <c r="AF84" s="590" t="e">
        <f>重み!N84</f>
        <v>#DIV/0!</v>
      </c>
      <c r="AR84" s="2565">
        <f t="shared" si="33"/>
        <v>0</v>
      </c>
      <c r="BJ84" s="1" t="s">
        <v>3550</v>
      </c>
      <c r="BK84" s="1">
        <f t="shared" si="48"/>
        <v>0</v>
      </c>
      <c r="BL84" s="2950" t="str">
        <f t="shared" si="49"/>
        <v/>
      </c>
    </row>
    <row r="85" spans="1:64" ht="14.25" thickBot="1">
      <c r="A85" s="94"/>
      <c r="B85" s="707"/>
      <c r="C85" s="706"/>
      <c r="D85" s="654">
        <v>6</v>
      </c>
      <c r="E85" s="646" t="s">
        <v>633</v>
      </c>
      <c r="F85" s="692"/>
      <c r="G85" s="664"/>
      <c r="H85" s="648"/>
      <c r="I85" s="2764"/>
      <c r="J85" s="3345"/>
      <c r="K85" s="3346"/>
      <c r="L85" s="3346"/>
      <c r="M85" s="3346"/>
      <c r="N85" s="3348"/>
      <c r="O85" s="665">
        <f t="shared" si="45"/>
        <v>3</v>
      </c>
      <c r="P85" s="753" t="e">
        <f t="shared" si="40"/>
        <v>#DIV/0!</v>
      </c>
      <c r="Q85" s="756">
        <f t="shared" si="46"/>
        <v>0</v>
      </c>
      <c r="R85" s="637" t="e">
        <f t="shared" si="41"/>
        <v>#DIV/0!</v>
      </c>
      <c r="S85" s="638"/>
      <c r="T85" s="559"/>
      <c r="U85" s="729">
        <f>IF(採点Q2!K230="対象外",0,採点Q2!K230)</f>
        <v>3</v>
      </c>
      <c r="V85" s="558"/>
      <c r="X85" s="661">
        <f t="shared" si="47"/>
        <v>3</v>
      </c>
      <c r="Y85" s="640" t="e">
        <f>重み!D85</f>
        <v>#DIV/0!</v>
      </c>
      <c r="Z85" s="700"/>
      <c r="AA85" s="640" t="e">
        <f>重み!E85</f>
        <v>#DIV/0!</v>
      </c>
      <c r="AB85" s="614"/>
      <c r="AC85" s="559"/>
      <c r="AD85" s="590" t="e">
        <f>重み!M85</f>
        <v>#DIV/0!</v>
      </c>
      <c r="AE85" s="574"/>
      <c r="AF85" s="590" t="e">
        <f>重み!N85</f>
        <v>#DIV/0!</v>
      </c>
      <c r="AR85" s="2565">
        <f t="shared" si="33"/>
        <v>0</v>
      </c>
      <c r="BJ85" s="1" t="s">
        <v>3551</v>
      </c>
      <c r="BK85" s="1">
        <f t="shared" si="48"/>
        <v>0</v>
      </c>
      <c r="BL85" s="2950" t="str">
        <f t="shared" si="49"/>
        <v/>
      </c>
    </row>
    <row r="86" spans="1:64" ht="14.25" thickBot="1">
      <c r="A86" s="94"/>
      <c r="B86" s="707"/>
      <c r="C86" s="668">
        <v>2.2999999999999998</v>
      </c>
      <c r="D86" s="645" t="s">
        <v>634</v>
      </c>
      <c r="E86" s="686"/>
      <c r="F86" s="687"/>
      <c r="G86" s="760"/>
      <c r="H86" s="648"/>
      <c r="I86" s="2764"/>
      <c r="J86" s="2924"/>
      <c r="K86" s="2925"/>
      <c r="L86" s="2925"/>
      <c r="M86" s="2925"/>
      <c r="N86" s="2926"/>
      <c r="O86" s="708" t="e">
        <f>ROUNDDOWN(X86,1)</f>
        <v>#DIV/0!</v>
      </c>
      <c r="P86" s="753" t="e">
        <f t="shared" si="40"/>
        <v>#DIV/0!</v>
      </c>
      <c r="Q86" s="756" t="e">
        <f>ROUNDDOWN(Z86,1)</f>
        <v>#DIV/0!</v>
      </c>
      <c r="R86" s="637" t="e">
        <f t="shared" si="41"/>
        <v>#DIV/0!</v>
      </c>
      <c r="S86" s="638"/>
      <c r="T86" s="559"/>
      <c r="U86" s="755"/>
      <c r="V86" s="558"/>
      <c r="X86" s="639" t="e">
        <f>SUMPRODUCT(X87:X89,Y87:Y89)</f>
        <v>#DIV/0!</v>
      </c>
      <c r="Y86" s="640" t="e">
        <f>重み!D86</f>
        <v>#DIV/0!</v>
      </c>
      <c r="Z86" s="639" t="e">
        <f>SUMPRODUCT(Z87:Z89,AA87:AA89)</f>
        <v>#DIV/0!</v>
      </c>
      <c r="AA86" s="640" t="e">
        <f>重み!E86</f>
        <v>#DIV/0!</v>
      </c>
      <c r="AB86" s="614"/>
      <c r="AC86" s="559"/>
      <c r="AD86" s="590" t="e">
        <f>重み!M86</f>
        <v>#DIV/0!</v>
      </c>
      <c r="AE86" s="574"/>
      <c r="AF86" s="590" t="e">
        <f>重み!N86</f>
        <v>#DIV/0!</v>
      </c>
      <c r="AR86" s="2565">
        <f t="shared" si="33"/>
        <v>0</v>
      </c>
      <c r="BJ86" s="1"/>
      <c r="BK86" s="1"/>
      <c r="BL86" s="2950"/>
    </row>
    <row r="87" spans="1:64">
      <c r="A87" s="94"/>
      <c r="B87" s="707"/>
      <c r="C87" s="653"/>
      <c r="D87" s="654">
        <v>1</v>
      </c>
      <c r="E87" s="646" t="s">
        <v>51</v>
      </c>
      <c r="F87" s="692"/>
      <c r="G87" s="648"/>
      <c r="H87" s="648"/>
      <c r="I87" s="2764"/>
      <c r="J87" s="3345"/>
      <c r="K87" s="3346"/>
      <c r="L87" s="3346"/>
      <c r="M87" s="3346"/>
      <c r="N87" s="3348"/>
      <c r="O87" s="657">
        <f>ROUNDDOWN(U87,1)</f>
        <v>3</v>
      </c>
      <c r="P87" s="753" t="e">
        <f t="shared" si="40"/>
        <v>#DIV/0!</v>
      </c>
      <c r="Q87" s="754">
        <f>ROUNDDOWN(V87,1)</f>
        <v>0</v>
      </c>
      <c r="R87" s="637" t="e">
        <f t="shared" si="41"/>
        <v>#DIV/0!</v>
      </c>
      <c r="S87" s="638"/>
      <c r="T87" s="559"/>
      <c r="U87" s="721">
        <f>採点Q2!F240</f>
        <v>3</v>
      </c>
      <c r="V87" s="558"/>
      <c r="X87" s="661">
        <f>O87</f>
        <v>3</v>
      </c>
      <c r="Y87" s="640" t="e">
        <f>重み!D87</f>
        <v>#DIV/0!</v>
      </c>
      <c r="Z87" s="693"/>
      <c r="AA87" s="640" t="e">
        <f>重み!E87</f>
        <v>#DIV/0!</v>
      </c>
      <c r="AB87" s="614"/>
      <c r="AC87" s="559"/>
      <c r="AD87" s="590" t="e">
        <f>重み!M87</f>
        <v>#DIV/0!</v>
      </c>
      <c r="AE87" s="574"/>
      <c r="AF87" s="590" t="e">
        <f>重み!N87</f>
        <v>#DIV/0!</v>
      </c>
      <c r="AR87" s="2565">
        <f t="shared" si="33"/>
        <v>0</v>
      </c>
      <c r="BJ87" s="1" t="s">
        <v>3552</v>
      </c>
      <c r="BK87" s="1">
        <f t="shared" ref="BK87:BK89" si="50">IF(AND(ISERROR(O87)=FALSE,ISERROR(P87)=FALSE,ISERROR(Q87)=FALSE,ISERROR(R87)=FALSE),IF(OR(AND(O87&gt;3,P87&gt;0),AND(Q87&gt;3,R87&gt;0)),MAX(O87,Q87),0),0)</f>
        <v>0</v>
      </c>
      <c r="BL87" s="2950" t="str">
        <f t="shared" ref="BL87:BL89" si="51">IF(J87=0,"",J87)</f>
        <v/>
      </c>
    </row>
    <row r="88" spans="1:64">
      <c r="A88" s="94"/>
      <c r="B88" s="707"/>
      <c r="C88" s="653"/>
      <c r="D88" s="654">
        <v>2</v>
      </c>
      <c r="E88" s="646" t="s">
        <v>52</v>
      </c>
      <c r="F88" s="692"/>
      <c r="G88" s="648"/>
      <c r="H88" s="648"/>
      <c r="I88" s="2764"/>
      <c r="J88" s="3345"/>
      <c r="K88" s="3346"/>
      <c r="L88" s="3346"/>
      <c r="M88" s="3346"/>
      <c r="N88" s="3348"/>
      <c r="O88" s="672">
        <f>ROUNDDOWN(U88,1)</f>
        <v>3</v>
      </c>
      <c r="P88" s="753" t="e">
        <f t="shared" si="40"/>
        <v>#DIV/0!</v>
      </c>
      <c r="Q88" s="754">
        <f>ROUNDDOWN(V88,1)</f>
        <v>0</v>
      </c>
      <c r="R88" s="637" t="e">
        <f t="shared" si="41"/>
        <v>#DIV/0!</v>
      </c>
      <c r="S88" s="638"/>
      <c r="T88" s="559"/>
      <c r="U88" s="749">
        <f>採点Q2!K240</f>
        <v>3</v>
      </c>
      <c r="V88" s="558"/>
      <c r="X88" s="661">
        <f>O88</f>
        <v>3</v>
      </c>
      <c r="Y88" s="640" t="e">
        <f>重み!D88</f>
        <v>#DIV/0!</v>
      </c>
      <c r="Z88" s="693"/>
      <c r="AA88" s="640" t="e">
        <f>重み!E88</f>
        <v>#DIV/0!</v>
      </c>
      <c r="AB88" s="614"/>
      <c r="AC88" s="559"/>
      <c r="AD88" s="590" t="e">
        <f>重み!M88</f>
        <v>#DIV/0!</v>
      </c>
      <c r="AE88" s="574"/>
      <c r="AF88" s="590" t="e">
        <f>重み!N88</f>
        <v>#DIV/0!</v>
      </c>
      <c r="AR88" s="2565">
        <f t="shared" si="33"/>
        <v>0</v>
      </c>
      <c r="BJ88" s="1" t="s">
        <v>3553</v>
      </c>
      <c r="BK88" s="1">
        <f t="shared" si="50"/>
        <v>0</v>
      </c>
      <c r="BL88" s="2950" t="str">
        <f t="shared" si="51"/>
        <v/>
      </c>
    </row>
    <row r="89" spans="1:64" ht="14.25" thickBot="1">
      <c r="A89" s="94"/>
      <c r="B89" s="2728"/>
      <c r="C89" s="662"/>
      <c r="D89" s="654">
        <v>3</v>
      </c>
      <c r="E89" s="646" t="s">
        <v>1711</v>
      </c>
      <c r="F89" s="692"/>
      <c r="G89" s="664"/>
      <c r="H89" s="664"/>
      <c r="I89" s="2778"/>
      <c r="J89" s="3361"/>
      <c r="K89" s="3362"/>
      <c r="L89" s="3362"/>
      <c r="M89" s="3362"/>
      <c r="N89" s="3363"/>
      <c r="O89" s="3221">
        <f>ROUNDDOWN(U89,1)</f>
        <v>3</v>
      </c>
      <c r="P89" s="758" t="e">
        <f t="shared" si="40"/>
        <v>#DIV/0!</v>
      </c>
      <c r="Q89" s="759">
        <f>ROUNDDOWN(V89,1)</f>
        <v>0</v>
      </c>
      <c r="R89" s="743" t="e">
        <f t="shared" si="41"/>
        <v>#DIV/0!</v>
      </c>
      <c r="S89" s="744"/>
      <c r="T89" s="559"/>
      <c r="U89" s="729">
        <f>採点Q2!F249</f>
        <v>3</v>
      </c>
      <c r="V89" s="558"/>
      <c r="X89" s="661">
        <f>O89</f>
        <v>3</v>
      </c>
      <c r="Y89" s="640" t="e">
        <f>重み!D89</f>
        <v>#DIV/0!</v>
      </c>
      <c r="Z89" s="693"/>
      <c r="AA89" s="640" t="e">
        <f>重み!E89</f>
        <v>#DIV/0!</v>
      </c>
      <c r="AB89" s="614"/>
      <c r="AC89" s="559"/>
      <c r="AD89" s="590" t="e">
        <f>重み!M89</f>
        <v>#DIV/0!</v>
      </c>
      <c r="AE89" s="574"/>
      <c r="AF89" s="590" t="e">
        <f>重み!N89</f>
        <v>#DIV/0!</v>
      </c>
      <c r="AR89" s="2565">
        <f t="shared" si="33"/>
        <v>0</v>
      </c>
      <c r="BJ89" s="1" t="s">
        <v>3554</v>
      </c>
      <c r="BK89" s="1">
        <f t="shared" si="50"/>
        <v>0</v>
      </c>
      <c r="BL89" s="2950" t="str">
        <f t="shared" si="51"/>
        <v/>
      </c>
    </row>
    <row r="90" spans="1:64" ht="14.25" thickBot="1">
      <c r="A90" s="94"/>
      <c r="B90" s="2729"/>
      <c r="C90" s="644">
        <v>2.4</v>
      </c>
      <c r="D90" s="685" t="s">
        <v>53</v>
      </c>
      <c r="E90" s="686"/>
      <c r="F90" s="687"/>
      <c r="G90" s="760"/>
      <c r="H90" s="760"/>
      <c r="I90" s="2779"/>
      <c r="J90" s="2936"/>
      <c r="K90" s="2937"/>
      <c r="L90" s="2937"/>
      <c r="M90" s="2937"/>
      <c r="N90" s="2937"/>
      <c r="O90" s="649" t="e">
        <f>ROUNDDOWN(X90,1)</f>
        <v>#DIV/0!</v>
      </c>
      <c r="P90" s="688" t="e">
        <f t="shared" si="40"/>
        <v>#DIV/0!</v>
      </c>
      <c r="Q90" s="761" t="e">
        <f>ROUNDDOWN(Z90,1)</f>
        <v>#DIV/0!</v>
      </c>
      <c r="R90" s="690" t="e">
        <f t="shared" si="41"/>
        <v>#DIV/0!</v>
      </c>
      <c r="S90" s="651"/>
      <c r="T90" s="559"/>
      <c r="U90" s="558"/>
      <c r="V90" s="558"/>
      <c r="X90" s="639" t="e">
        <f>SUMPRODUCT(X91:X95,Y91:Y95)</f>
        <v>#DIV/0!</v>
      </c>
      <c r="Y90" s="640" t="e">
        <f>重み!D90</f>
        <v>#DIV/0!</v>
      </c>
      <c r="Z90" s="639" t="e">
        <f>SUMPRODUCT(Z91:Z95,AA91:AA95)</f>
        <v>#DIV/0!</v>
      </c>
      <c r="AA90" s="640" t="e">
        <f>重み!E90</f>
        <v>#DIV/0!</v>
      </c>
      <c r="AB90" s="614"/>
      <c r="AC90" s="559"/>
      <c r="AD90" s="590" t="e">
        <f>重み!M90</f>
        <v>#DIV/0!</v>
      </c>
      <c r="AE90" s="574"/>
      <c r="AF90" s="590" t="e">
        <f>重み!N90</f>
        <v>#DIV/0!</v>
      </c>
      <c r="AR90" s="2565">
        <f t="shared" si="33"/>
        <v>0</v>
      </c>
      <c r="AV90"/>
      <c r="AW90"/>
      <c r="AX90"/>
      <c r="BJ90" s="1"/>
      <c r="BK90" s="1"/>
      <c r="BL90" s="2950"/>
    </row>
    <row r="91" spans="1:64">
      <c r="A91" s="94"/>
      <c r="B91" s="643"/>
      <c r="C91" s="691"/>
      <c r="D91" s="654">
        <v>1</v>
      </c>
      <c r="E91" s="646" t="s">
        <v>54</v>
      </c>
      <c r="F91" s="692"/>
      <c r="G91" s="648"/>
      <c r="H91" s="648"/>
      <c r="I91" s="2764"/>
      <c r="J91" s="3345"/>
      <c r="K91" s="3347"/>
      <c r="L91" s="3347"/>
      <c r="M91" s="3347"/>
      <c r="N91" s="3348"/>
      <c r="O91" s="657" t="e">
        <f>ROUNDDOWN(U91,1)</f>
        <v>#DIV/0!</v>
      </c>
      <c r="P91" s="753" t="e">
        <f t="shared" si="40"/>
        <v>#DIV/0!</v>
      </c>
      <c r="Q91" s="754">
        <f>ROUNDDOWN(V91,1)</f>
        <v>0</v>
      </c>
      <c r="R91" s="637" t="e">
        <f t="shared" si="41"/>
        <v>#DIV/0!</v>
      </c>
      <c r="S91" s="638"/>
      <c r="T91" s="559"/>
      <c r="U91" s="721" t="e">
        <f>IF(採点Q2!F259="対象外",0,採点Q2!F259)</f>
        <v>#DIV/0!</v>
      </c>
      <c r="V91" s="558"/>
      <c r="X91" s="661" t="e">
        <f>O91</f>
        <v>#DIV/0!</v>
      </c>
      <c r="Y91" s="640" t="e">
        <f>重み!D91</f>
        <v>#DIV/0!</v>
      </c>
      <c r="Z91" s="700"/>
      <c r="AA91" s="640" t="e">
        <f>重み!E91</f>
        <v>#DIV/0!</v>
      </c>
      <c r="AB91" s="614"/>
      <c r="AC91" s="559"/>
      <c r="AD91" s="590" t="e">
        <f>重み!M91</f>
        <v>#DIV/0!</v>
      </c>
      <c r="AE91" s="574"/>
      <c r="AF91" s="590" t="e">
        <f>重み!N91</f>
        <v>#DIV/0!</v>
      </c>
      <c r="AR91" s="2565">
        <f t="shared" si="33"/>
        <v>0</v>
      </c>
      <c r="BJ91" s="1" t="s">
        <v>3555</v>
      </c>
      <c r="BK91" s="1">
        <f t="shared" ref="BK91:BK95" si="52">IF(AND(ISERROR(O91)=FALSE,ISERROR(P91)=FALSE,ISERROR(Q91)=FALSE,ISERROR(R91)=FALSE),IF(OR(AND(O91&gt;3,P91&gt;0),AND(Q91&gt;3,R91&gt;0)),MAX(O91,Q91),0),0)</f>
        <v>0</v>
      </c>
      <c r="BL91" s="2950" t="str">
        <f t="shared" ref="BL91:BL95" si="53">IF(J91=0,"",J91)</f>
        <v/>
      </c>
    </row>
    <row r="92" spans="1:64">
      <c r="A92" s="94"/>
      <c r="B92" s="643"/>
      <c r="C92" s="691"/>
      <c r="D92" s="654">
        <v>2</v>
      </c>
      <c r="E92" s="646" t="s">
        <v>55</v>
      </c>
      <c r="F92" s="692"/>
      <c r="G92" s="648"/>
      <c r="H92" s="648"/>
      <c r="I92" s="2764"/>
      <c r="J92" s="3345"/>
      <c r="K92" s="3347"/>
      <c r="L92" s="3347"/>
      <c r="M92" s="3347"/>
      <c r="N92" s="3348"/>
      <c r="O92" s="672" t="e">
        <f>ROUNDDOWN(U92,1)</f>
        <v>#DIV/0!</v>
      </c>
      <c r="P92" s="753" t="e">
        <f t="shared" si="40"/>
        <v>#DIV/0!</v>
      </c>
      <c r="Q92" s="754">
        <f>ROUNDDOWN(V92,1)</f>
        <v>0</v>
      </c>
      <c r="R92" s="637" t="e">
        <f t="shared" si="41"/>
        <v>#DIV/0!</v>
      </c>
      <c r="S92" s="638"/>
      <c r="T92" s="559"/>
      <c r="U92" s="749" t="e">
        <f>IF(採点Q2!F277="対象外",0,採点Q2!F277)</f>
        <v>#DIV/0!</v>
      </c>
      <c r="V92" s="558"/>
      <c r="X92" s="661" t="e">
        <f>O92</f>
        <v>#DIV/0!</v>
      </c>
      <c r="Y92" s="640" t="e">
        <f>重み!D92</f>
        <v>#DIV/0!</v>
      </c>
      <c r="Z92" s="700"/>
      <c r="AA92" s="640" t="e">
        <f>重み!E92</f>
        <v>#DIV/0!</v>
      </c>
      <c r="AB92" s="614"/>
      <c r="AC92" s="559"/>
      <c r="AD92" s="590" t="e">
        <f>重み!M92</f>
        <v>#DIV/0!</v>
      </c>
      <c r="AE92" s="574"/>
      <c r="AF92" s="590" t="e">
        <f>重み!N92</f>
        <v>#DIV/0!</v>
      </c>
      <c r="AR92" s="2565">
        <f t="shared" si="33"/>
        <v>0</v>
      </c>
      <c r="BJ92" s="1" t="s">
        <v>3556</v>
      </c>
      <c r="BK92" s="1">
        <f t="shared" si="52"/>
        <v>0</v>
      </c>
      <c r="BL92" s="2950" t="str">
        <f t="shared" si="53"/>
        <v/>
      </c>
    </row>
    <row r="93" spans="1:64">
      <c r="A93" s="94"/>
      <c r="B93" s="643"/>
      <c r="C93" s="691"/>
      <c r="D93" s="654">
        <v>3</v>
      </c>
      <c r="E93" s="646" t="s">
        <v>56</v>
      </c>
      <c r="F93" s="692"/>
      <c r="G93" s="648"/>
      <c r="H93" s="648"/>
      <c r="I93" s="2764"/>
      <c r="J93" s="3345"/>
      <c r="K93" s="3347"/>
      <c r="L93" s="3347"/>
      <c r="M93" s="3347"/>
      <c r="N93" s="3348"/>
      <c r="O93" s="672">
        <f>ROUNDDOWN(U93,1)</f>
        <v>3</v>
      </c>
      <c r="P93" s="753" t="e">
        <f t="shared" si="40"/>
        <v>#DIV/0!</v>
      </c>
      <c r="Q93" s="754">
        <f>ROUNDDOWN(V93,1)</f>
        <v>0</v>
      </c>
      <c r="R93" s="637" t="e">
        <f t="shared" si="41"/>
        <v>#DIV/0!</v>
      </c>
      <c r="S93" s="638"/>
      <c r="T93" s="559"/>
      <c r="U93" s="749">
        <f>IF(採点Q2!F299="対象外",0,採点Q2!F299)</f>
        <v>3</v>
      </c>
      <c r="V93" s="762"/>
      <c r="X93" s="661">
        <f>O93</f>
        <v>3</v>
      </c>
      <c r="Y93" s="640" t="e">
        <f>重み!D93</f>
        <v>#DIV/0!</v>
      </c>
      <c r="Z93" s="700"/>
      <c r="AA93" s="640" t="e">
        <f>重み!E93</f>
        <v>#DIV/0!</v>
      </c>
      <c r="AB93" s="614"/>
      <c r="AC93" s="559"/>
      <c r="AD93" s="590" t="e">
        <f>重み!M93</f>
        <v>#DIV/0!</v>
      </c>
      <c r="AE93" s="574"/>
      <c r="AF93" s="590" t="e">
        <f>重み!N93</f>
        <v>#DIV/0!</v>
      </c>
      <c r="AR93" s="2565">
        <f t="shared" si="33"/>
        <v>0</v>
      </c>
      <c r="BJ93" s="1" t="s">
        <v>3557</v>
      </c>
      <c r="BK93" s="1">
        <f t="shared" si="52"/>
        <v>0</v>
      </c>
      <c r="BL93" s="2950" t="str">
        <f t="shared" si="53"/>
        <v/>
      </c>
    </row>
    <row r="94" spans="1:64">
      <c r="A94" s="94"/>
      <c r="B94" s="643"/>
      <c r="C94" s="691"/>
      <c r="D94" s="654">
        <v>4</v>
      </c>
      <c r="E94" s="646" t="s">
        <v>1023</v>
      </c>
      <c r="F94" s="692"/>
      <c r="G94" s="648"/>
      <c r="H94" s="648"/>
      <c r="I94" s="2764"/>
      <c r="J94" s="3345"/>
      <c r="K94" s="3347"/>
      <c r="L94" s="3347"/>
      <c r="M94" s="3347"/>
      <c r="N94" s="3348"/>
      <c r="O94" s="672">
        <f>ROUNDDOWN(U94,1)</f>
        <v>3</v>
      </c>
      <c r="P94" s="753" t="e">
        <f t="shared" si="40"/>
        <v>#DIV/0!</v>
      </c>
      <c r="Q94" s="754">
        <f>ROUNDDOWN(V94,1)</f>
        <v>0</v>
      </c>
      <c r="R94" s="637" t="e">
        <f t="shared" si="41"/>
        <v>#DIV/0!</v>
      </c>
      <c r="S94" s="638"/>
      <c r="T94" s="559"/>
      <c r="U94" s="749">
        <f>IF(採点Q2!F318="対象外",0,採点Q2!F318)</f>
        <v>3</v>
      </c>
      <c r="V94" s="762"/>
      <c r="X94" s="661">
        <f>O94</f>
        <v>3</v>
      </c>
      <c r="Y94" s="640" t="e">
        <f>重み!D94</f>
        <v>#DIV/0!</v>
      </c>
      <c r="Z94" s="700"/>
      <c r="AA94" s="640" t="e">
        <f>重み!E94</f>
        <v>#DIV/0!</v>
      </c>
      <c r="AB94" s="614"/>
      <c r="AC94" s="559"/>
      <c r="AD94" s="590" t="e">
        <f>重み!M94</f>
        <v>#DIV/0!</v>
      </c>
      <c r="AE94" s="574"/>
      <c r="AF94" s="590" t="e">
        <f>重み!N94</f>
        <v>#DIV/0!</v>
      </c>
      <c r="AR94" s="2565">
        <f t="shared" si="33"/>
        <v>0</v>
      </c>
      <c r="BJ94" s="1" t="s">
        <v>3558</v>
      </c>
      <c r="BK94" s="1">
        <f t="shared" si="52"/>
        <v>0</v>
      </c>
      <c r="BL94" s="2950" t="str">
        <f t="shared" si="53"/>
        <v/>
      </c>
    </row>
    <row r="95" spans="1:64" ht="14.25" thickBot="1">
      <c r="A95" s="94"/>
      <c r="B95" s="763"/>
      <c r="C95" s="706"/>
      <c r="D95" s="654">
        <v>5</v>
      </c>
      <c r="E95" s="646" t="s">
        <v>1024</v>
      </c>
      <c r="F95" s="692"/>
      <c r="G95" s="664"/>
      <c r="H95" s="664"/>
      <c r="I95" s="2778"/>
      <c r="J95" s="3345"/>
      <c r="K95" s="3347"/>
      <c r="L95" s="3347"/>
      <c r="M95" s="3347"/>
      <c r="N95" s="3348"/>
      <c r="O95" s="665">
        <f>ROUNDDOWN(U95,1)</f>
        <v>3</v>
      </c>
      <c r="P95" s="764" t="e">
        <f t="shared" si="40"/>
        <v>#DIV/0!</v>
      </c>
      <c r="Q95" s="765">
        <f>ROUNDDOWN(V95,1)</f>
        <v>0</v>
      </c>
      <c r="R95" s="743" t="e">
        <f t="shared" si="41"/>
        <v>#DIV/0!</v>
      </c>
      <c r="S95" s="744"/>
      <c r="T95" s="559"/>
      <c r="U95" s="729">
        <f>IF(採点Q2!F327="対象外",0,採点Q2!F327)</f>
        <v>3</v>
      </c>
      <c r="V95" s="762"/>
      <c r="X95" s="661">
        <f>O95</f>
        <v>3</v>
      </c>
      <c r="Y95" s="640" t="e">
        <f>重み!D95</f>
        <v>#DIV/0!</v>
      </c>
      <c r="Z95" s="700"/>
      <c r="AA95" s="640" t="e">
        <f>重み!E95</f>
        <v>#DIV/0!</v>
      </c>
      <c r="AB95" s="614"/>
      <c r="AC95" s="559"/>
      <c r="AD95" s="590" t="e">
        <f>重み!M95</f>
        <v>#DIV/0!</v>
      </c>
      <c r="AE95" s="574"/>
      <c r="AF95" s="590" t="e">
        <f>重み!N95</f>
        <v>#DIV/0!</v>
      </c>
      <c r="AR95" s="2565">
        <f t="shared" si="33"/>
        <v>0</v>
      </c>
      <c r="BJ95" s="1" t="s">
        <v>3559</v>
      </c>
      <c r="BK95" s="1">
        <f t="shared" si="52"/>
        <v>0</v>
      </c>
      <c r="BL95" s="2950" t="str">
        <f t="shared" si="53"/>
        <v/>
      </c>
    </row>
    <row r="96" spans="1:64" hidden="1">
      <c r="A96" s="94"/>
      <c r="B96" s="643"/>
      <c r="C96" s="766"/>
      <c r="D96" s="767"/>
      <c r="E96" s="768"/>
      <c r="F96" s="633"/>
      <c r="G96" s="648"/>
      <c r="H96" s="648"/>
      <c r="I96" s="2764"/>
      <c r="J96" s="2924"/>
      <c r="K96" s="2925"/>
      <c r="L96" s="2925"/>
      <c r="M96" s="2925"/>
      <c r="N96" s="2926"/>
      <c r="O96" s="769">
        <f>ROUNDDOWN(X96,1)</f>
        <v>0</v>
      </c>
      <c r="P96" s="636">
        <f t="shared" si="40"/>
        <v>0</v>
      </c>
      <c r="Q96" s="754">
        <f>ROUNDDOWN(Z96,1)</f>
        <v>0</v>
      </c>
      <c r="R96" s="637">
        <f t="shared" si="41"/>
        <v>0</v>
      </c>
      <c r="S96" s="638"/>
      <c r="T96" s="559"/>
      <c r="U96" s="755"/>
      <c r="V96" s="558"/>
      <c r="X96" s="700"/>
      <c r="Y96" s="640">
        <f>重み!D96</f>
        <v>0</v>
      </c>
      <c r="Z96" s="700"/>
      <c r="AA96" s="640">
        <f>重み!E96</f>
        <v>0</v>
      </c>
      <c r="AB96" s="614"/>
      <c r="AC96" s="559"/>
      <c r="AD96" s="590" t="e">
        <f>重み!M96</f>
        <v>#DIV/0!</v>
      </c>
      <c r="AE96" s="574"/>
      <c r="AF96" s="590">
        <f>重み!N96</f>
        <v>0</v>
      </c>
      <c r="AR96" s="2565">
        <f t="shared" si="33"/>
        <v>0</v>
      </c>
      <c r="BJ96" s="1"/>
      <c r="BK96" s="1"/>
      <c r="BL96" s="2950">
        <f t="shared" ref="BL96:BL123" si="54">J96</f>
        <v>0</v>
      </c>
    </row>
    <row r="97" spans="1:64">
      <c r="A97" s="94"/>
      <c r="B97" s="750">
        <v>3</v>
      </c>
      <c r="C97" s="770" t="s">
        <v>1025</v>
      </c>
      <c r="D97" s="770"/>
      <c r="E97" s="770"/>
      <c r="F97" s="687"/>
      <c r="G97" s="760"/>
      <c r="H97" s="719"/>
      <c r="I97" s="2765"/>
      <c r="J97" s="2927"/>
      <c r="K97" s="2928"/>
      <c r="L97" s="2928"/>
      <c r="M97" s="2928"/>
      <c r="N97" s="2929"/>
      <c r="O97" s="771" t="e">
        <f>ROUNDDOWN(X97,1)</f>
        <v>#DIV/0!</v>
      </c>
      <c r="P97" s="681" t="e">
        <f t="shared" si="40"/>
        <v>#DIV/0!</v>
      </c>
      <c r="Q97" s="771" t="e">
        <f>ROUNDDOWN(Z97,1)</f>
        <v>#DIV/0!</v>
      </c>
      <c r="R97" s="682" t="e">
        <f t="shared" si="41"/>
        <v>#DIV/0!</v>
      </c>
      <c r="S97" s="683" t="e">
        <f>ROUNDDOWN(AB97,1)</f>
        <v>#DIV/0!</v>
      </c>
      <c r="T97" s="559"/>
      <c r="U97" s="772"/>
      <c r="V97" s="559"/>
      <c r="X97" s="639" t="e">
        <f>X98*Y98+X101*Y101+X102*Y102</f>
        <v>#DIV/0!</v>
      </c>
      <c r="Y97" s="640" t="e">
        <f>重み!D97</f>
        <v>#DIV/0!</v>
      </c>
      <c r="Z97" s="639" t="e">
        <f>Z98*AA98+Z101*AA101+Z102*AA102</f>
        <v>#DIV/0!</v>
      </c>
      <c r="AA97" s="641" t="e">
        <f>SUM(AA98,AA101,AA102)</f>
        <v>#DIV/0!</v>
      </c>
      <c r="AB97" s="614" t="e">
        <f>IF(Z97=0,X97,IF(X97=0,Z97,X97*AD$6+Z97*AF$6))</f>
        <v>#DIV/0!</v>
      </c>
      <c r="AC97" s="559"/>
      <c r="AD97" s="590" t="e">
        <f>重み!M97</f>
        <v>#DIV/0!</v>
      </c>
      <c r="AE97" s="574"/>
      <c r="AF97" s="642" t="e">
        <f>SUM(AF98,AF101,AF102)</f>
        <v>#DIV/0!</v>
      </c>
      <c r="AH97" s="2536">
        <v>3</v>
      </c>
      <c r="AI97" s="2536"/>
      <c r="AJ97" s="2536"/>
      <c r="AK97" s="2536"/>
      <c r="AL97" s="2536"/>
      <c r="AM97" s="2536">
        <v>3</v>
      </c>
      <c r="AN97" s="2536"/>
      <c r="AO97" s="2536"/>
      <c r="AP97" s="2536"/>
      <c r="AQ97" s="2536"/>
      <c r="AR97" s="2533" t="e">
        <f t="shared" si="33"/>
        <v>#DIV/0!</v>
      </c>
      <c r="AS97" s="855" t="e">
        <f>P97</f>
        <v>#DIV/0!</v>
      </c>
      <c r="AT97" s="683"/>
      <c r="AU97" s="2507"/>
      <c r="AV97" s="2532" t="e">
        <f>SUMPRODUCT($AY$7:$BH$7,AH97:AQ97)/AX97</f>
        <v>#DIV/0!</v>
      </c>
      <c r="AX97" s="2531" t="e">
        <f>SUMPRODUCT($AY$7:$BH$7,AY97:BH97)</f>
        <v>#DIV/0!</v>
      </c>
      <c r="AY97" s="2517">
        <f t="shared" ref="AY97:BH97" si="55">IF(AH97&gt;0,1,0)</f>
        <v>1</v>
      </c>
      <c r="AZ97" s="2517">
        <f t="shared" si="55"/>
        <v>0</v>
      </c>
      <c r="BA97" s="2517">
        <f t="shared" si="55"/>
        <v>0</v>
      </c>
      <c r="BB97" s="2517">
        <f t="shared" si="55"/>
        <v>0</v>
      </c>
      <c r="BC97" s="2517">
        <f t="shared" si="55"/>
        <v>0</v>
      </c>
      <c r="BD97" s="2517">
        <f t="shared" si="55"/>
        <v>1</v>
      </c>
      <c r="BE97" s="2517">
        <f t="shared" si="55"/>
        <v>0</v>
      </c>
      <c r="BF97" s="2517">
        <f t="shared" si="55"/>
        <v>0</v>
      </c>
      <c r="BG97" s="2517">
        <f t="shared" si="55"/>
        <v>0</v>
      </c>
      <c r="BH97" s="2517">
        <f t="shared" si="55"/>
        <v>0</v>
      </c>
      <c r="BJ97" s="1"/>
      <c r="BK97" s="1"/>
      <c r="BL97" s="2950"/>
    </row>
    <row r="98" spans="1:64" ht="14.25" thickBot="1">
      <c r="A98" s="94"/>
      <c r="B98" s="707"/>
      <c r="C98" s="644">
        <v>3.1</v>
      </c>
      <c r="D98" s="685" t="s">
        <v>1026</v>
      </c>
      <c r="E98" s="645"/>
      <c r="F98" s="687"/>
      <c r="G98" s="648">
        <v>5</v>
      </c>
      <c r="H98" s="648"/>
      <c r="I98" s="2764"/>
      <c r="J98" s="2924"/>
      <c r="K98" s="2925"/>
      <c r="L98" s="2925"/>
      <c r="M98" s="2925"/>
      <c r="N98" s="2926"/>
      <c r="O98" s="708" t="e">
        <f>ROUNDDOWN(X98,1)</f>
        <v>#DIV/0!</v>
      </c>
      <c r="P98" s="636" t="e">
        <f t="shared" si="40"/>
        <v>#DIV/0!</v>
      </c>
      <c r="Q98" s="709" t="e">
        <f>ROUNDDOWN(Z98,1)</f>
        <v>#DIV/0!</v>
      </c>
      <c r="R98" s="637" t="e">
        <f t="shared" si="41"/>
        <v>#DIV/0!</v>
      </c>
      <c r="S98" s="638"/>
      <c r="T98" s="559"/>
      <c r="U98" s="752"/>
      <c r="V98" s="559"/>
      <c r="X98" s="639" t="e">
        <f>SUMPRODUCT(X99:X100,Y99:Y100)</f>
        <v>#DIV/0!</v>
      </c>
      <c r="Y98" s="640" t="e">
        <f>重み!D98</f>
        <v>#DIV/0!</v>
      </c>
      <c r="Z98" s="639" t="e">
        <f>SUMPRODUCT(Z99:Z100,AA99:AA100)</f>
        <v>#DIV/0!</v>
      </c>
      <c r="AA98" s="640" t="e">
        <f>重み!E98</f>
        <v>#DIV/0!</v>
      </c>
      <c r="AB98" s="614"/>
      <c r="AC98" s="559"/>
      <c r="AD98" s="590" t="e">
        <f>重み!M98</f>
        <v>#DIV/0!</v>
      </c>
      <c r="AE98" s="574"/>
      <c r="AF98" s="590" t="e">
        <f>重み!N98</f>
        <v>#DIV/0!</v>
      </c>
      <c r="BJ98" s="1"/>
      <c r="BK98" s="1"/>
      <c r="BL98" s="2950"/>
    </row>
    <row r="99" spans="1:64">
      <c r="A99" s="94"/>
      <c r="B99" s="707"/>
      <c r="C99" s="691"/>
      <c r="D99" s="654">
        <v>1</v>
      </c>
      <c r="E99" s="646" t="s">
        <v>1027</v>
      </c>
      <c r="F99" s="692"/>
      <c r="G99" s="648"/>
      <c r="H99" s="648"/>
      <c r="I99" s="2764"/>
      <c r="J99" s="3345"/>
      <c r="K99" s="3346"/>
      <c r="L99" s="3346"/>
      <c r="M99" s="3346"/>
      <c r="N99" s="3348"/>
      <c r="O99" s="657">
        <f>ROUNDDOWN(U99,1)</f>
        <v>3</v>
      </c>
      <c r="P99" s="658" t="e">
        <f t="shared" si="40"/>
        <v>#DIV/0!</v>
      </c>
      <c r="Q99" s="657">
        <f>ROUNDDOWN(V99,1)</f>
        <v>3</v>
      </c>
      <c r="R99" s="658" t="e">
        <f t="shared" si="41"/>
        <v>#DIV/0!</v>
      </c>
      <c r="S99" s="638"/>
      <c r="T99" s="559"/>
      <c r="U99" s="762">
        <f>IF(採点Q2!F347="対象外",0,採点Q2!F347)</f>
        <v>3</v>
      </c>
      <c r="V99" s="660">
        <f>採点Q2!K347</f>
        <v>3</v>
      </c>
      <c r="X99" s="661">
        <f>O99</f>
        <v>3</v>
      </c>
      <c r="Y99" s="640" t="e">
        <f>重み!D99</f>
        <v>#DIV/0!</v>
      </c>
      <c r="Z99" s="661">
        <f>Q99</f>
        <v>3</v>
      </c>
      <c r="AA99" s="640" t="e">
        <f>重み!E99</f>
        <v>#DIV/0!</v>
      </c>
      <c r="AB99" s="614"/>
      <c r="AC99" s="559"/>
      <c r="AD99" s="590" t="e">
        <f>重み!M99</f>
        <v>#DIV/0!</v>
      </c>
      <c r="AE99" s="574"/>
      <c r="AF99" s="590" t="e">
        <f>重み!N99</f>
        <v>#DIV/0!</v>
      </c>
      <c r="BJ99" s="1" t="s">
        <v>3560</v>
      </c>
      <c r="BK99" s="1">
        <f t="shared" ref="BK99:BK101" si="56">IF(AND(ISERROR(O99)=FALSE,ISERROR(P99)=FALSE,ISERROR(Q99)=FALSE,ISERROR(R99)=FALSE),IF(OR(AND(O99&gt;3,P99&gt;0),AND(Q99&gt;3,R99&gt;0)),MAX(O99,Q99),0),0)</f>
        <v>0</v>
      </c>
      <c r="BL99" s="2950" t="str">
        <f t="shared" ref="BL99:BL101" si="57">IF(J99=0,"",J99)</f>
        <v/>
      </c>
    </row>
    <row r="100" spans="1:64">
      <c r="A100" s="94"/>
      <c r="B100" s="707"/>
      <c r="C100" s="691"/>
      <c r="D100" s="773">
        <v>2</v>
      </c>
      <c r="E100" s="645" t="s">
        <v>1028</v>
      </c>
      <c r="F100" s="687"/>
      <c r="G100" s="648"/>
      <c r="H100" s="2767" t="s">
        <v>3382</v>
      </c>
      <c r="I100" s="2768" t="s">
        <v>3379</v>
      </c>
      <c r="J100" s="3345"/>
      <c r="K100" s="3346"/>
      <c r="L100" s="3346"/>
      <c r="M100" s="3346"/>
      <c r="N100" s="3348"/>
      <c r="O100" s="672">
        <f>ROUNDDOWN(U100,1)</f>
        <v>3</v>
      </c>
      <c r="P100" s="658" t="e">
        <f t="shared" si="40"/>
        <v>#DIV/0!</v>
      </c>
      <c r="Q100" s="672">
        <f>ROUNDDOWN(V100,1)</f>
        <v>3</v>
      </c>
      <c r="R100" s="658" t="e">
        <f t="shared" si="41"/>
        <v>#DIV/0!</v>
      </c>
      <c r="S100" s="638"/>
      <c r="T100" s="559"/>
      <c r="U100" s="762">
        <f>IF(採点Q2!F356="対象外",0,採点Q2!F356)</f>
        <v>3</v>
      </c>
      <c r="V100" s="674">
        <f>採点Q2!K356</f>
        <v>3</v>
      </c>
      <c r="X100" s="661">
        <f>O100</f>
        <v>3</v>
      </c>
      <c r="Y100" s="640" t="e">
        <f>重み!D100</f>
        <v>#DIV/0!</v>
      </c>
      <c r="Z100" s="661">
        <f>Q100</f>
        <v>3</v>
      </c>
      <c r="AA100" s="640" t="e">
        <f>重み!E100</f>
        <v>#DIV/0!</v>
      </c>
      <c r="AB100" s="614"/>
      <c r="AC100" s="559"/>
      <c r="AD100" s="590" t="e">
        <f>重み!M100</f>
        <v>#DIV/0!</v>
      </c>
      <c r="AE100" s="574"/>
      <c r="AF100" s="590" t="e">
        <f>重み!N100</f>
        <v>#DIV/0!</v>
      </c>
      <c r="BJ100" s="1" t="s">
        <v>3561</v>
      </c>
      <c r="BK100" s="1">
        <f t="shared" si="56"/>
        <v>0</v>
      </c>
      <c r="BL100" s="2950" t="str">
        <f t="shared" si="57"/>
        <v/>
      </c>
    </row>
    <row r="101" spans="1:64" ht="14.25" thickBot="1">
      <c r="A101" s="94"/>
      <c r="B101" s="707"/>
      <c r="C101" s="676">
        <v>3.2</v>
      </c>
      <c r="D101" s="774" t="s">
        <v>1029</v>
      </c>
      <c r="E101" s="646"/>
      <c r="F101" s="692"/>
      <c r="G101" s="648">
        <v>5</v>
      </c>
      <c r="H101" s="648"/>
      <c r="I101" s="2769"/>
      <c r="J101" s="3345"/>
      <c r="K101" s="3346"/>
      <c r="L101" s="3346"/>
      <c r="M101" s="3346"/>
      <c r="N101" s="3348"/>
      <c r="O101" s="677">
        <f>ROUNDDOWN(U101,1)</f>
        <v>3</v>
      </c>
      <c r="P101" s="658" t="e">
        <f t="shared" si="40"/>
        <v>#DIV/0!</v>
      </c>
      <c r="Q101" s="677">
        <f>ROUNDDOWN(V101,1)</f>
        <v>3</v>
      </c>
      <c r="R101" s="658" t="e">
        <f t="shared" si="41"/>
        <v>#DIV/0!</v>
      </c>
      <c r="S101" s="638"/>
      <c r="T101" s="559"/>
      <c r="U101" s="762">
        <f>IF(採点Q2!F367="対象外",0,採点Q2!F367)</f>
        <v>3</v>
      </c>
      <c r="V101" s="667">
        <f>採点Q2!M367</f>
        <v>3</v>
      </c>
      <c r="X101" s="661">
        <f>O101</f>
        <v>3</v>
      </c>
      <c r="Y101" s="640" t="e">
        <f>重み!D101</f>
        <v>#DIV/0!</v>
      </c>
      <c r="Z101" s="661">
        <f>Q101</f>
        <v>3</v>
      </c>
      <c r="AA101" s="640" t="e">
        <f>重み!E101</f>
        <v>#DIV/0!</v>
      </c>
      <c r="AB101" s="614"/>
      <c r="AC101" s="559"/>
      <c r="AD101" s="590" t="e">
        <f>重み!M101</f>
        <v>#DIV/0!</v>
      </c>
      <c r="AE101" s="574"/>
      <c r="AF101" s="590" t="e">
        <f>重み!N101</f>
        <v>#DIV/0!</v>
      </c>
      <c r="BJ101" s="1" t="s">
        <v>3562</v>
      </c>
      <c r="BK101" s="1">
        <f t="shared" si="56"/>
        <v>0</v>
      </c>
      <c r="BL101" s="2950" t="str">
        <f t="shared" si="57"/>
        <v/>
      </c>
    </row>
    <row r="102" spans="1:64" ht="14.25" thickBot="1">
      <c r="A102" s="94"/>
      <c r="B102" s="707"/>
      <c r="C102" s="668">
        <v>3.3</v>
      </c>
      <c r="D102" s="685" t="s">
        <v>1030</v>
      </c>
      <c r="E102" s="645"/>
      <c r="F102" s="687"/>
      <c r="G102" s="648">
        <v>5</v>
      </c>
      <c r="H102" s="648"/>
      <c r="I102" s="2769"/>
      <c r="J102" s="2924"/>
      <c r="K102" s="2925"/>
      <c r="L102" s="2925"/>
      <c r="M102" s="2925"/>
      <c r="N102" s="2926"/>
      <c r="O102" s="708" t="e">
        <f>ROUNDDOWN(X102,1)</f>
        <v>#DIV/0!</v>
      </c>
      <c r="P102" s="636" t="e">
        <f t="shared" si="40"/>
        <v>#DIV/0!</v>
      </c>
      <c r="Q102" s="709" t="e">
        <f>ROUNDDOWN(Z102,1)</f>
        <v>#DIV/0!</v>
      </c>
      <c r="R102" s="637" t="e">
        <f t="shared" si="41"/>
        <v>#DIV/0!</v>
      </c>
      <c r="S102" s="638"/>
      <c r="T102" s="559"/>
      <c r="U102" s="755"/>
      <c r="V102" s="559"/>
      <c r="X102" s="639" t="e">
        <f>SUMPRODUCT(X103:X108,Y103:Y108)</f>
        <v>#DIV/0!</v>
      </c>
      <c r="Y102" s="640" t="e">
        <f>重み!D102</f>
        <v>#DIV/0!</v>
      </c>
      <c r="Z102" s="639" t="e">
        <f>SUMPRODUCT(Z103:Z108,AA103:AA108)</f>
        <v>#DIV/0!</v>
      </c>
      <c r="AA102" s="640" t="e">
        <f>重み!E102</f>
        <v>#DIV/0!</v>
      </c>
      <c r="AB102" s="614"/>
      <c r="AC102" s="559"/>
      <c r="AD102" s="590" t="e">
        <f>重み!M102</f>
        <v>#DIV/0!</v>
      </c>
      <c r="AE102" s="574"/>
      <c r="AF102" s="590" t="e">
        <f>重み!N102</f>
        <v>#DIV/0!</v>
      </c>
      <c r="BJ102" s="1"/>
      <c r="BK102" s="1"/>
      <c r="BL102" s="2950"/>
    </row>
    <row r="103" spans="1:64" ht="14.25" thickBot="1">
      <c r="A103" s="94"/>
      <c r="B103" s="707"/>
      <c r="C103" s="691"/>
      <c r="D103" s="654">
        <v>1</v>
      </c>
      <c r="E103" s="646" t="s">
        <v>1574</v>
      </c>
      <c r="F103" s="692"/>
      <c r="G103" s="648"/>
      <c r="H103" s="2780" t="s">
        <v>3382</v>
      </c>
      <c r="I103" s="2781" t="s">
        <v>3379</v>
      </c>
      <c r="J103" s="3345"/>
      <c r="K103" s="3346"/>
      <c r="L103" s="3346"/>
      <c r="M103" s="3346"/>
      <c r="N103" s="3348"/>
      <c r="O103" s="657">
        <f t="shared" ref="O103:O108" si="58">ROUNDDOWN(U103,1)</f>
        <v>3</v>
      </c>
      <c r="P103" s="753" t="e">
        <f t="shared" si="40"/>
        <v>#DIV/0!</v>
      </c>
      <c r="Q103" s="754">
        <f t="shared" ref="Q103:Q108" si="59">ROUNDDOWN(V103,1)</f>
        <v>0</v>
      </c>
      <c r="R103" s="637" t="e">
        <f t="shared" si="41"/>
        <v>#DIV/0!</v>
      </c>
      <c r="S103" s="638"/>
      <c r="T103" s="559"/>
      <c r="U103" s="721">
        <f>IF(採点Q2!F377="対象外",0,採点Q2!F377)</f>
        <v>3</v>
      </c>
      <c r="V103" s="559"/>
      <c r="X103" s="661">
        <f t="shared" ref="X103:X108" si="60">O103</f>
        <v>3</v>
      </c>
      <c r="Y103" s="640" t="e">
        <f>重み!D103</f>
        <v>#DIV/0!</v>
      </c>
      <c r="Z103" s="700"/>
      <c r="AA103" s="640" t="e">
        <f>重み!E103</f>
        <v>#DIV/0!</v>
      </c>
      <c r="AB103" s="614"/>
      <c r="AC103" s="559"/>
      <c r="AD103" s="590" t="e">
        <f>重み!M103</f>
        <v>#DIV/0!</v>
      </c>
      <c r="AE103" s="574"/>
      <c r="AF103" s="590" t="e">
        <f>重み!N103</f>
        <v>#DIV/0!</v>
      </c>
      <c r="BJ103" s="1" t="s">
        <v>3563</v>
      </c>
      <c r="BK103" s="1">
        <f t="shared" ref="BK103:BK108" si="61">IF(AND(ISERROR(O103)=FALSE,ISERROR(P103)=FALSE,ISERROR(Q103)=FALSE,ISERROR(R103)=FALSE),IF(OR(AND(O103&gt;3,P103&gt;0),AND(Q103&gt;3,R103&gt;0)),MAX(O103,Q103),0),0)</f>
        <v>0</v>
      </c>
      <c r="BL103" s="2950" t="str">
        <f t="shared" ref="BL103:BL108" si="62">IF(J103=0,"",J103)</f>
        <v/>
      </c>
    </row>
    <row r="104" spans="1:64" ht="14.25" thickBot="1">
      <c r="A104" s="94"/>
      <c r="B104" s="707"/>
      <c r="C104" s="691"/>
      <c r="D104" s="773">
        <v>2</v>
      </c>
      <c r="E104" s="645" t="s">
        <v>1031</v>
      </c>
      <c r="F104" s="687"/>
      <c r="G104" s="648"/>
      <c r="H104" s="2780" t="s">
        <v>3382</v>
      </c>
      <c r="I104" s="2782" t="s">
        <v>3379</v>
      </c>
      <c r="J104" s="3345"/>
      <c r="K104" s="3346"/>
      <c r="L104" s="3346"/>
      <c r="M104" s="3346"/>
      <c r="N104" s="3348"/>
      <c r="O104" s="672">
        <f t="shared" si="58"/>
        <v>3</v>
      </c>
      <c r="P104" s="753" t="e">
        <f t="shared" si="40"/>
        <v>#DIV/0!</v>
      </c>
      <c r="Q104" s="754">
        <f t="shared" si="59"/>
        <v>0</v>
      </c>
      <c r="R104" s="637" t="e">
        <f t="shared" si="41"/>
        <v>#DIV/0!</v>
      </c>
      <c r="S104" s="638"/>
      <c r="T104" s="559"/>
      <c r="U104" s="749">
        <f>IF(採点Q2!K377="対象外",0,採点Q2!K377)</f>
        <v>3</v>
      </c>
      <c r="V104" s="559"/>
      <c r="X104" s="661">
        <f t="shared" si="60"/>
        <v>3</v>
      </c>
      <c r="Y104" s="640" t="e">
        <f>重み!D104</f>
        <v>#DIV/0!</v>
      </c>
      <c r="Z104" s="700"/>
      <c r="AA104" s="640" t="e">
        <f>重み!E104</f>
        <v>#DIV/0!</v>
      </c>
      <c r="AB104" s="614"/>
      <c r="AC104" s="559"/>
      <c r="AD104" s="590" t="e">
        <f>重み!M104</f>
        <v>#DIV/0!</v>
      </c>
      <c r="AE104" s="574"/>
      <c r="AF104" s="590" t="e">
        <f>重み!N104</f>
        <v>#DIV/0!</v>
      </c>
      <c r="BJ104" s="1" t="s">
        <v>3564</v>
      </c>
      <c r="BK104" s="1">
        <f t="shared" si="61"/>
        <v>0</v>
      </c>
      <c r="BL104" s="2950" t="str">
        <f t="shared" si="62"/>
        <v/>
      </c>
    </row>
    <row r="105" spans="1:64" ht="14.25" thickBot="1">
      <c r="A105" s="94"/>
      <c r="B105" s="707"/>
      <c r="C105" s="691"/>
      <c r="D105" s="654">
        <v>3</v>
      </c>
      <c r="E105" s="646" t="s">
        <v>1032</v>
      </c>
      <c r="F105" s="692"/>
      <c r="G105" s="648"/>
      <c r="H105" s="2780" t="s">
        <v>3382</v>
      </c>
      <c r="I105" s="2782" t="s">
        <v>3379</v>
      </c>
      <c r="J105" s="3345"/>
      <c r="K105" s="3346"/>
      <c r="L105" s="3346"/>
      <c r="M105" s="3346"/>
      <c r="N105" s="3348"/>
      <c r="O105" s="672">
        <f t="shared" si="58"/>
        <v>3</v>
      </c>
      <c r="P105" s="753" t="e">
        <f t="shared" si="40"/>
        <v>#DIV/0!</v>
      </c>
      <c r="Q105" s="754">
        <f t="shared" si="59"/>
        <v>0</v>
      </c>
      <c r="R105" s="637" t="e">
        <f t="shared" si="41"/>
        <v>#DIV/0!</v>
      </c>
      <c r="S105" s="638"/>
      <c r="T105" s="559"/>
      <c r="U105" s="749">
        <f>IF(採点Q2!F386="対象外",0,採点Q2!F386)</f>
        <v>3</v>
      </c>
      <c r="V105" s="559"/>
      <c r="X105" s="661">
        <f t="shared" si="60"/>
        <v>3</v>
      </c>
      <c r="Y105" s="640" t="e">
        <f>重み!D105</f>
        <v>#DIV/0!</v>
      </c>
      <c r="Z105" s="700"/>
      <c r="AA105" s="640" t="e">
        <f>重み!E105</f>
        <v>#DIV/0!</v>
      </c>
      <c r="AB105" s="614"/>
      <c r="AC105" s="559"/>
      <c r="AD105" s="590" t="e">
        <f>重み!M105</f>
        <v>#DIV/0!</v>
      </c>
      <c r="AE105" s="574"/>
      <c r="AF105" s="590" t="e">
        <f>重み!N105</f>
        <v>#DIV/0!</v>
      </c>
      <c r="BJ105" s="1" t="s">
        <v>3565</v>
      </c>
      <c r="BK105" s="1">
        <f t="shared" si="61"/>
        <v>0</v>
      </c>
      <c r="BL105" s="2950" t="str">
        <f t="shared" si="62"/>
        <v/>
      </c>
    </row>
    <row r="106" spans="1:64" ht="14.25" thickBot="1">
      <c r="A106" s="94"/>
      <c r="B106" s="707"/>
      <c r="C106" s="691"/>
      <c r="D106" s="773">
        <v>4</v>
      </c>
      <c r="E106" s="645" t="s">
        <v>1033</v>
      </c>
      <c r="F106" s="687"/>
      <c r="G106" s="648"/>
      <c r="H106" s="2780" t="s">
        <v>3382</v>
      </c>
      <c r="I106" s="2782" t="s">
        <v>3379</v>
      </c>
      <c r="J106" s="3345"/>
      <c r="K106" s="3346"/>
      <c r="L106" s="3346"/>
      <c r="M106" s="3346"/>
      <c r="N106" s="3348"/>
      <c r="O106" s="672">
        <f t="shared" si="58"/>
        <v>3</v>
      </c>
      <c r="P106" s="753" t="e">
        <f t="shared" si="40"/>
        <v>#DIV/0!</v>
      </c>
      <c r="Q106" s="754">
        <f t="shared" si="59"/>
        <v>0</v>
      </c>
      <c r="R106" s="637" t="e">
        <f t="shared" si="41"/>
        <v>#DIV/0!</v>
      </c>
      <c r="S106" s="638"/>
      <c r="T106" s="559"/>
      <c r="U106" s="749">
        <f>IF(採点Q2!K386="対象外",0,採点Q2!K386)</f>
        <v>3</v>
      </c>
      <c r="V106" s="559"/>
      <c r="X106" s="661">
        <f t="shared" si="60"/>
        <v>3</v>
      </c>
      <c r="Y106" s="640" t="e">
        <f>重み!D106</f>
        <v>#DIV/0!</v>
      </c>
      <c r="Z106" s="700"/>
      <c r="AA106" s="640" t="e">
        <f>重み!E106</f>
        <v>#DIV/0!</v>
      </c>
      <c r="AB106" s="614"/>
      <c r="AC106" s="559"/>
      <c r="AD106" s="590" t="e">
        <f>重み!M106</f>
        <v>#DIV/0!</v>
      </c>
      <c r="AE106" s="574"/>
      <c r="AF106" s="590" t="e">
        <f>重み!N106</f>
        <v>#DIV/0!</v>
      </c>
      <c r="BJ106" s="1" t="s">
        <v>3566</v>
      </c>
      <c r="BK106" s="1">
        <f t="shared" si="61"/>
        <v>0</v>
      </c>
      <c r="BL106" s="2950" t="str">
        <f t="shared" si="62"/>
        <v/>
      </c>
    </row>
    <row r="107" spans="1:64" ht="14.25" thickBot="1">
      <c r="A107" s="94"/>
      <c r="B107" s="707"/>
      <c r="C107" s="691"/>
      <c r="D107" s="654">
        <v>5</v>
      </c>
      <c r="E107" s="646" t="s">
        <v>1034</v>
      </c>
      <c r="F107" s="692"/>
      <c r="G107" s="648"/>
      <c r="H107" s="2780" t="s">
        <v>3382</v>
      </c>
      <c r="I107" s="2782" t="s">
        <v>3379</v>
      </c>
      <c r="J107" s="3345"/>
      <c r="K107" s="3346"/>
      <c r="L107" s="3346"/>
      <c r="M107" s="3346"/>
      <c r="N107" s="3348"/>
      <c r="O107" s="672">
        <f t="shared" si="58"/>
        <v>3</v>
      </c>
      <c r="P107" s="753" t="e">
        <f t="shared" ref="P107:P142" si="63">Y107</f>
        <v>#DIV/0!</v>
      </c>
      <c r="Q107" s="754">
        <f t="shared" si="59"/>
        <v>0</v>
      </c>
      <c r="R107" s="637" t="e">
        <f t="shared" ref="R107:R142" si="64">AA107</f>
        <v>#DIV/0!</v>
      </c>
      <c r="S107" s="638"/>
      <c r="T107" s="559"/>
      <c r="U107" s="749">
        <f>IF(採点Q2!F395="対象外",0,採点Q2!F395)</f>
        <v>3</v>
      </c>
      <c r="V107" s="559"/>
      <c r="X107" s="661">
        <f t="shared" si="60"/>
        <v>3</v>
      </c>
      <c r="Y107" s="640" t="e">
        <f>重み!D107</f>
        <v>#DIV/0!</v>
      </c>
      <c r="Z107" s="700"/>
      <c r="AA107" s="640" t="e">
        <f>重み!E107</f>
        <v>#DIV/0!</v>
      </c>
      <c r="AB107" s="614"/>
      <c r="AC107" s="559"/>
      <c r="AD107" s="590" t="e">
        <f>重み!M107</f>
        <v>#DIV/0!</v>
      </c>
      <c r="AE107" s="574"/>
      <c r="AF107" s="590" t="e">
        <f>重み!N107</f>
        <v>#DIV/0!</v>
      </c>
      <c r="BJ107" s="1" t="s">
        <v>3567</v>
      </c>
      <c r="BK107" s="1">
        <f t="shared" si="61"/>
        <v>0</v>
      </c>
      <c r="BL107" s="2950" t="str">
        <f t="shared" si="62"/>
        <v/>
      </c>
    </row>
    <row r="108" spans="1:64" ht="14.25" thickBot="1">
      <c r="A108" s="94"/>
      <c r="B108" s="723"/>
      <c r="C108" s="775"/>
      <c r="D108" s="776">
        <v>6</v>
      </c>
      <c r="E108" s="725" t="s">
        <v>1035</v>
      </c>
      <c r="F108" s="726"/>
      <c r="G108" s="648"/>
      <c r="H108" s="648"/>
      <c r="I108" s="2764"/>
      <c r="J108" s="3345"/>
      <c r="K108" s="3346"/>
      <c r="L108" s="3346"/>
      <c r="M108" s="3346"/>
      <c r="N108" s="3348"/>
      <c r="O108" s="665">
        <f t="shared" si="58"/>
        <v>3</v>
      </c>
      <c r="P108" s="777" t="e">
        <f t="shared" si="63"/>
        <v>#DIV/0!</v>
      </c>
      <c r="Q108" s="778">
        <f t="shared" si="59"/>
        <v>0</v>
      </c>
      <c r="R108" s="779" t="e">
        <f t="shared" si="64"/>
        <v>#DIV/0!</v>
      </c>
      <c r="S108" s="728"/>
      <c r="T108" s="559"/>
      <c r="U108" s="729">
        <f>IF(採点Q2!K395="対象外",0,採点Q2!K395)</f>
        <v>3</v>
      </c>
      <c r="V108" s="559"/>
      <c r="X108" s="661">
        <f t="shared" si="60"/>
        <v>3</v>
      </c>
      <c r="Y108" s="640" t="e">
        <f>重み!D108</f>
        <v>#DIV/0!</v>
      </c>
      <c r="Z108" s="700"/>
      <c r="AA108" s="640" t="e">
        <f>重み!E108</f>
        <v>#DIV/0!</v>
      </c>
      <c r="AB108" s="614"/>
      <c r="AC108" s="559"/>
      <c r="AD108" s="590" t="e">
        <f>重み!M108</f>
        <v>#DIV/0!</v>
      </c>
      <c r="AE108" s="574"/>
      <c r="AF108" s="590" t="e">
        <f>重み!N108</f>
        <v>#DIV/0!</v>
      </c>
      <c r="BJ108" s="1" t="s">
        <v>3568</v>
      </c>
      <c r="BK108" s="1">
        <f t="shared" si="61"/>
        <v>0</v>
      </c>
      <c r="BL108" s="2950" t="str">
        <f t="shared" si="62"/>
        <v/>
      </c>
    </row>
    <row r="109" spans="1:64" ht="15.75" thickBot="1">
      <c r="A109" s="94"/>
      <c r="B109" s="730" t="s">
        <v>1575</v>
      </c>
      <c r="C109" s="780" t="s">
        <v>1576</v>
      </c>
      <c r="D109" s="780"/>
      <c r="E109" s="780"/>
      <c r="F109" s="781"/>
      <c r="G109" s="782"/>
      <c r="H109" s="782"/>
      <c r="I109" s="2783"/>
      <c r="J109" s="3231"/>
      <c r="K109" s="3232"/>
      <c r="L109" s="3232"/>
      <c r="M109" s="3232"/>
      <c r="N109" s="3233"/>
      <c r="O109" s="783">
        <f>ROUNDDOWN(X109,1)</f>
        <v>0</v>
      </c>
      <c r="P109" s="736" t="e">
        <f t="shared" si="63"/>
        <v>#DIV/0!</v>
      </c>
      <c r="Q109" s="737">
        <f>ROUNDDOWN(Z109,1)</f>
        <v>0</v>
      </c>
      <c r="R109" s="738">
        <f t="shared" si="64"/>
        <v>0</v>
      </c>
      <c r="S109" s="739" t="e">
        <f>ROUNDDOWN(AB109,1)</f>
        <v>#DIV/0!</v>
      </c>
      <c r="T109" s="559"/>
      <c r="U109" s="684"/>
      <c r="V109" s="559"/>
      <c r="X109" s="700"/>
      <c r="Y109" s="627" t="e">
        <f>重み!D109</f>
        <v>#DIV/0!</v>
      </c>
      <c r="Z109" s="700"/>
      <c r="AA109" s="627"/>
      <c r="AB109" s="614" t="e">
        <f>AB110*Y110+AB111*Y111+AB112*Y112</f>
        <v>#DIV/0!</v>
      </c>
      <c r="AC109" s="559"/>
      <c r="AD109" s="590" t="e">
        <f>重み!M109</f>
        <v>#DIV/0!</v>
      </c>
      <c r="AE109" s="574"/>
      <c r="AF109" s="590" t="e">
        <f>重み!N109</f>
        <v>#DIV/0!</v>
      </c>
      <c r="AH109" s="2563"/>
      <c r="AI109" s="2549"/>
      <c r="AJ109" s="2549"/>
      <c r="AK109" s="2549"/>
      <c r="AL109" s="2549"/>
      <c r="AM109" s="2549"/>
      <c r="AN109" s="2549"/>
      <c r="AO109" s="2549"/>
      <c r="AP109" s="2549"/>
      <c r="AQ109" s="2550"/>
      <c r="AR109" s="2551"/>
      <c r="AS109" s="2552" t="e">
        <f>P109</f>
        <v>#DIV/0!</v>
      </c>
      <c r="AT109" s="739" t="e">
        <f t="shared" ref="AT109" si="65">ROUNDDOWN(AV109,1)</f>
        <v>#DIV/0!</v>
      </c>
      <c r="AV109" s="2532" t="e">
        <f>SUMPRODUCT(AS110:AS114,AV110:AV114)</f>
        <v>#DIV/0!</v>
      </c>
      <c r="BJ109" s="1"/>
      <c r="BK109" s="1"/>
      <c r="BL109" s="2950"/>
    </row>
    <row r="110" spans="1:64">
      <c r="A110" s="94"/>
      <c r="B110" s="629">
        <v>1</v>
      </c>
      <c r="C110" s="741" t="s">
        <v>1036</v>
      </c>
      <c r="D110" s="669"/>
      <c r="E110" s="669"/>
      <c r="F110" s="633"/>
      <c r="G110" s="648">
        <v>5</v>
      </c>
      <c r="H110" s="2784" t="s">
        <v>3384</v>
      </c>
      <c r="I110" s="2785" t="s">
        <v>3387</v>
      </c>
      <c r="J110" s="3358"/>
      <c r="K110" s="3359"/>
      <c r="L110" s="3359"/>
      <c r="M110" s="3359"/>
      <c r="N110" s="3360"/>
      <c r="O110" s="784">
        <f>ROUNDDOWN(U110,1)</f>
        <v>3</v>
      </c>
      <c r="P110" s="753" t="e">
        <f t="shared" si="63"/>
        <v>#DIV/0!</v>
      </c>
      <c r="Q110" s="751">
        <f>ROUNDDOWN(V110,1)</f>
        <v>0</v>
      </c>
      <c r="R110" s="637" t="e">
        <f t="shared" si="64"/>
        <v>#DIV/0!</v>
      </c>
      <c r="S110" s="638">
        <f>ROUNDDOWN(AB110,1)</f>
        <v>3</v>
      </c>
      <c r="T110" s="559"/>
      <c r="U110" s="721">
        <f>IF(採点Q3!F7="対象外",0,採点Q3!F7)</f>
        <v>3</v>
      </c>
      <c r="V110" s="559"/>
      <c r="X110" s="661">
        <f>O110</f>
        <v>3</v>
      </c>
      <c r="Y110" s="640" t="e">
        <f>重み!D110</f>
        <v>#DIV/0!</v>
      </c>
      <c r="Z110" s="700"/>
      <c r="AA110" s="640" t="e">
        <f>重み!E110</f>
        <v>#DIV/0!</v>
      </c>
      <c r="AB110" s="614">
        <f>IF(Z110=0,X110,IF(X110=0,Z110,X110*AD$6+Z110*AF$6))</f>
        <v>3</v>
      </c>
      <c r="AC110" s="559"/>
      <c r="AD110" s="590" t="e">
        <f>重み!M110</f>
        <v>#DIV/0!</v>
      </c>
      <c r="AE110" s="574"/>
      <c r="AF110" s="590" t="e">
        <f>重み!N110</f>
        <v>#DIV/0!</v>
      </c>
      <c r="AH110" s="2536">
        <v>3</v>
      </c>
      <c r="AI110" s="2536"/>
      <c r="AJ110" s="2536"/>
      <c r="AK110" s="2536"/>
      <c r="AL110" s="2536"/>
      <c r="AM110" s="2536">
        <v>3</v>
      </c>
      <c r="AN110" s="2536"/>
      <c r="AO110" s="2536"/>
      <c r="AP110" s="2536"/>
      <c r="AQ110" s="2536"/>
      <c r="AR110" s="2533" t="e">
        <f t="shared" ref="AR110:AR112" si="66">ROUNDDOWN(AV110,1)</f>
        <v>#DIV/0!</v>
      </c>
      <c r="AS110" s="855" t="e">
        <f>P110</f>
        <v>#DIV/0!</v>
      </c>
      <c r="AT110" s="683"/>
      <c r="AU110" s="2507"/>
      <c r="AV110" s="2532" t="e">
        <f>SUMPRODUCT($AY$7:$BH$7,AH110:AQ110)/AX110</f>
        <v>#DIV/0!</v>
      </c>
      <c r="AX110" s="2531" t="e">
        <f>SUMPRODUCT($AY$7:$BH$7,AY110:BH110)</f>
        <v>#DIV/0!</v>
      </c>
      <c r="AY110" s="2517">
        <f t="shared" ref="AY110:BH112" si="67">IF(AH110&gt;0,1,0)</f>
        <v>1</v>
      </c>
      <c r="AZ110" s="2517">
        <f t="shared" si="67"/>
        <v>0</v>
      </c>
      <c r="BA110" s="2517">
        <f t="shared" si="67"/>
        <v>0</v>
      </c>
      <c r="BB110" s="2517">
        <f t="shared" si="67"/>
        <v>0</v>
      </c>
      <c r="BC110" s="2517">
        <f t="shared" si="67"/>
        <v>0</v>
      </c>
      <c r="BD110" s="2517">
        <f t="shared" si="67"/>
        <v>1</v>
      </c>
      <c r="BE110" s="2517">
        <f t="shared" si="67"/>
        <v>0</v>
      </c>
      <c r="BF110" s="2517">
        <f t="shared" si="67"/>
        <v>0</v>
      </c>
      <c r="BG110" s="2517">
        <f t="shared" si="67"/>
        <v>0</v>
      </c>
      <c r="BH110" s="2517">
        <f t="shared" si="67"/>
        <v>0</v>
      </c>
      <c r="BJ110" s="1" t="s">
        <v>3569</v>
      </c>
      <c r="BK110" s="1">
        <f t="shared" ref="BK110:BK111" si="68">IF(AND(ISERROR(O110)=FALSE,ISERROR(P110)=FALSE,ISERROR(Q110)=FALSE,ISERROR(R110)=FALSE),IF(OR(AND(O110&gt;3,P110&gt;0),AND(Q110&gt;3,R110&gt;0)),MAX(O110,Q110),0),0)</f>
        <v>0</v>
      </c>
      <c r="BL110" s="2950" t="str">
        <f t="shared" ref="BL110:BL111" si="69">IF(J110=0,"",J110)</f>
        <v/>
      </c>
    </row>
    <row r="111" spans="1:64" ht="21.75" thickBot="1">
      <c r="A111" s="94"/>
      <c r="B111" s="785">
        <v>2</v>
      </c>
      <c r="C111" s="786" t="s">
        <v>1037</v>
      </c>
      <c r="D111" s="646"/>
      <c r="E111" s="646"/>
      <c r="F111" s="692"/>
      <c r="G111" s="648">
        <v>5</v>
      </c>
      <c r="H111" s="2786" t="s">
        <v>3388</v>
      </c>
      <c r="I111" s="2787" t="s">
        <v>3389</v>
      </c>
      <c r="J111" s="3345"/>
      <c r="K111" s="3346"/>
      <c r="L111" s="3346"/>
      <c r="M111" s="3346"/>
      <c r="N111" s="3348"/>
      <c r="O111" s="787">
        <f>ROUNDDOWN(U111,1)</f>
        <v>3</v>
      </c>
      <c r="P111" s="788" t="e">
        <f t="shared" si="63"/>
        <v>#DIV/0!</v>
      </c>
      <c r="Q111" s="789">
        <f>ROUNDDOWN(V111,1)</f>
        <v>0</v>
      </c>
      <c r="R111" s="682" t="e">
        <f t="shared" si="64"/>
        <v>#DIV/0!</v>
      </c>
      <c r="S111" s="683">
        <f>ROUNDDOWN(AB111,1)</f>
        <v>3</v>
      </c>
      <c r="T111" s="559"/>
      <c r="U111" s="729">
        <f>IF(採点Q3!F34="対象外",0,採点Q3!F34)</f>
        <v>3</v>
      </c>
      <c r="V111" s="559"/>
      <c r="X111" s="661">
        <f>O111</f>
        <v>3</v>
      </c>
      <c r="Y111" s="640" t="e">
        <f>重み!D111</f>
        <v>#DIV/0!</v>
      </c>
      <c r="Z111" s="700"/>
      <c r="AA111" s="640" t="e">
        <f>重み!E111</f>
        <v>#DIV/0!</v>
      </c>
      <c r="AB111" s="614">
        <f>IF(Z111=0,X111,IF(X111=0,Z111,X111*AD$6+Z111*AF$6))</f>
        <v>3</v>
      </c>
      <c r="AC111" s="559"/>
      <c r="AD111" s="590" t="e">
        <f>重み!M111</f>
        <v>#DIV/0!</v>
      </c>
      <c r="AE111" s="574"/>
      <c r="AF111" s="590" t="e">
        <f>重み!N111</f>
        <v>#DIV/0!</v>
      </c>
      <c r="AH111" s="2536">
        <v>3</v>
      </c>
      <c r="AI111" s="2536"/>
      <c r="AJ111" s="2536"/>
      <c r="AK111" s="2536"/>
      <c r="AL111" s="2536"/>
      <c r="AM111" s="2536">
        <v>3</v>
      </c>
      <c r="AN111" s="2536"/>
      <c r="AO111" s="2536"/>
      <c r="AP111" s="2536"/>
      <c r="AQ111" s="2536"/>
      <c r="AR111" s="2533" t="e">
        <f t="shared" si="66"/>
        <v>#DIV/0!</v>
      </c>
      <c r="AS111" s="855" t="e">
        <f>P111</f>
        <v>#DIV/0!</v>
      </c>
      <c r="AT111" s="683"/>
      <c r="AU111" s="2507"/>
      <c r="AV111" s="2532" t="e">
        <f>SUMPRODUCT($AY$7:$BH$7,AH111:AQ111)/AX111</f>
        <v>#DIV/0!</v>
      </c>
      <c r="AX111" s="2531" t="e">
        <f>SUMPRODUCT($AY$7:$BH$7,AY111:BH111)</f>
        <v>#DIV/0!</v>
      </c>
      <c r="AY111" s="2517">
        <f t="shared" si="67"/>
        <v>1</v>
      </c>
      <c r="AZ111" s="2517">
        <f t="shared" si="67"/>
        <v>0</v>
      </c>
      <c r="BA111" s="2517">
        <f t="shared" si="67"/>
        <v>0</v>
      </c>
      <c r="BB111" s="2517">
        <f t="shared" si="67"/>
        <v>0</v>
      </c>
      <c r="BC111" s="2517">
        <f t="shared" si="67"/>
        <v>0</v>
      </c>
      <c r="BD111" s="2517">
        <f t="shared" si="67"/>
        <v>1</v>
      </c>
      <c r="BE111" s="2517">
        <f t="shared" si="67"/>
        <v>0</v>
      </c>
      <c r="BF111" s="2517">
        <f t="shared" si="67"/>
        <v>0</v>
      </c>
      <c r="BG111" s="2517">
        <f t="shared" si="67"/>
        <v>0</v>
      </c>
      <c r="BH111" s="2517">
        <f t="shared" si="67"/>
        <v>0</v>
      </c>
      <c r="BJ111" s="1" t="s">
        <v>3570</v>
      </c>
      <c r="BK111" s="1">
        <f t="shared" si="68"/>
        <v>0</v>
      </c>
      <c r="BL111" s="2950" t="str">
        <f t="shared" si="69"/>
        <v/>
      </c>
    </row>
    <row r="112" spans="1:64" ht="14.25" thickBot="1">
      <c r="A112" s="94"/>
      <c r="B112" s="750">
        <v>3</v>
      </c>
      <c r="C112" s="790" t="s">
        <v>1038</v>
      </c>
      <c r="D112" s="655"/>
      <c r="E112" s="655"/>
      <c r="F112" s="720"/>
      <c r="G112" s="664">
        <v>5</v>
      </c>
      <c r="H112" s="664"/>
      <c r="I112" s="2778"/>
      <c r="J112" s="2927"/>
      <c r="K112" s="2928"/>
      <c r="L112" s="2928"/>
      <c r="M112" s="2928"/>
      <c r="N112" s="2929"/>
      <c r="O112" s="708" t="e">
        <f>ROUNDDOWN(X112,1)</f>
        <v>#DIV/0!</v>
      </c>
      <c r="P112" s="788" t="e">
        <f t="shared" si="63"/>
        <v>#DIV/0!</v>
      </c>
      <c r="Q112" s="680" t="e">
        <f>ROUNDDOWN(Z112,1)</f>
        <v>#DIV/0!</v>
      </c>
      <c r="R112" s="682" t="e">
        <f t="shared" si="64"/>
        <v>#DIV/0!</v>
      </c>
      <c r="S112" s="683" t="e">
        <f>ROUNDDOWN(AB112,1)</f>
        <v>#DIV/0!</v>
      </c>
      <c r="T112" s="559"/>
      <c r="U112" s="755"/>
      <c r="V112" s="559"/>
      <c r="X112" s="639" t="e">
        <f>X113*Y113+X114*Y114</f>
        <v>#DIV/0!</v>
      </c>
      <c r="Y112" s="640" t="e">
        <f>重み!D112</f>
        <v>#DIV/0!</v>
      </c>
      <c r="Z112" s="639" t="e">
        <f>Z113*AA113+Z114*AA114</f>
        <v>#DIV/0!</v>
      </c>
      <c r="AA112" s="640" t="e">
        <f>重み!E112</f>
        <v>#DIV/0!</v>
      </c>
      <c r="AB112" s="614" t="e">
        <f>IF(Z112=0,X112,IF(X112=0,Z112,X112*AD$6+Z112*AF$6))</f>
        <v>#DIV/0!</v>
      </c>
      <c r="AC112" s="559"/>
      <c r="AD112" s="590" t="e">
        <f>重み!M112</f>
        <v>#DIV/0!</v>
      </c>
      <c r="AE112" s="574"/>
      <c r="AF112" s="590" t="e">
        <f>重み!N112</f>
        <v>#DIV/0!</v>
      </c>
      <c r="AH112" s="2536">
        <v>3</v>
      </c>
      <c r="AI112" s="2536"/>
      <c r="AJ112" s="2536"/>
      <c r="AK112" s="2536"/>
      <c r="AL112" s="2536"/>
      <c r="AM112" s="2536">
        <v>3</v>
      </c>
      <c r="AN112" s="2536"/>
      <c r="AO112" s="2536"/>
      <c r="AP112" s="2536"/>
      <c r="AQ112" s="2536"/>
      <c r="AR112" s="2533" t="e">
        <f t="shared" si="66"/>
        <v>#DIV/0!</v>
      </c>
      <c r="AS112" s="855" t="e">
        <f>P112</f>
        <v>#DIV/0!</v>
      </c>
      <c r="AT112" s="683"/>
      <c r="AU112" s="2507"/>
      <c r="AV112" s="2532" t="e">
        <f>SUMPRODUCT($AY$7:$BH$7,AH112:AQ112)/AX112</f>
        <v>#DIV/0!</v>
      </c>
      <c r="AX112" s="2531" t="e">
        <f>SUMPRODUCT($AY$7:$BH$7,AY112:BH112)</f>
        <v>#DIV/0!</v>
      </c>
      <c r="AY112" s="2517">
        <f t="shared" si="67"/>
        <v>1</v>
      </c>
      <c r="AZ112" s="2517">
        <f t="shared" si="67"/>
        <v>0</v>
      </c>
      <c r="BA112" s="2517">
        <f t="shared" si="67"/>
        <v>0</v>
      </c>
      <c r="BB112" s="2517">
        <f t="shared" si="67"/>
        <v>0</v>
      </c>
      <c r="BC112" s="2517">
        <f t="shared" si="67"/>
        <v>0</v>
      </c>
      <c r="BD112" s="2517">
        <f t="shared" si="67"/>
        <v>1</v>
      </c>
      <c r="BE112" s="2517">
        <f t="shared" si="67"/>
        <v>0</v>
      </c>
      <c r="BF112" s="2517">
        <f t="shared" si="67"/>
        <v>0</v>
      </c>
      <c r="BG112" s="2517">
        <f t="shared" si="67"/>
        <v>0</v>
      </c>
      <c r="BH112" s="2517">
        <f t="shared" si="67"/>
        <v>0</v>
      </c>
      <c r="BJ112" s="1"/>
      <c r="BK112" s="1"/>
      <c r="BL112" s="2950"/>
    </row>
    <row r="113" spans="1:64">
      <c r="A113" s="94"/>
      <c r="B113" s="629"/>
      <c r="C113" s="791">
        <v>3.1</v>
      </c>
      <c r="D113" s="792" t="s">
        <v>2815</v>
      </c>
      <c r="E113" s="793"/>
      <c r="F113" s="720"/>
      <c r="G113" s="648"/>
      <c r="H113" s="2788" t="s">
        <v>3390</v>
      </c>
      <c r="I113" s="2789" t="s">
        <v>3387</v>
      </c>
      <c r="J113" s="3345"/>
      <c r="K113" s="3346"/>
      <c r="L113" s="3346"/>
      <c r="M113" s="3346"/>
      <c r="N113" s="3348"/>
      <c r="O113" s="784">
        <f>ROUNDDOWN(U113,1)</f>
        <v>3</v>
      </c>
      <c r="P113" s="753" t="e">
        <f t="shared" si="63"/>
        <v>#DIV/0!</v>
      </c>
      <c r="Q113" s="751">
        <f>ROUNDDOWN(V113,1)</f>
        <v>0</v>
      </c>
      <c r="R113" s="637" t="e">
        <f t="shared" si="64"/>
        <v>#DIV/0!</v>
      </c>
      <c r="S113" s="638"/>
      <c r="T113" s="559"/>
      <c r="U113" s="721">
        <f>IF(採点Q3!F58="対象外",0,採点Q3!F58)</f>
        <v>3</v>
      </c>
      <c r="V113" s="559"/>
      <c r="X113" s="661">
        <f>O113</f>
        <v>3</v>
      </c>
      <c r="Y113" s="640" t="e">
        <f>重み!D113</f>
        <v>#DIV/0!</v>
      </c>
      <c r="Z113" s="700"/>
      <c r="AA113" s="640" t="e">
        <f>重み!E113</f>
        <v>#DIV/0!</v>
      </c>
      <c r="AB113" s="614"/>
      <c r="AC113" s="559"/>
      <c r="AD113" s="590" t="e">
        <f>重み!M113</f>
        <v>#DIV/0!</v>
      </c>
      <c r="AE113" s="574"/>
      <c r="AF113" s="590" t="e">
        <f>重み!N113</f>
        <v>#DIV/0!</v>
      </c>
      <c r="BJ113" s="1" t="s">
        <v>3571</v>
      </c>
      <c r="BK113" s="1">
        <f t="shared" ref="BK113:BK114" si="70">IF(AND(ISERROR(O113)=FALSE,ISERROR(P113)=FALSE,ISERROR(Q113)=FALSE,ISERROR(R113)=FALSE),IF(OR(AND(O113&gt;3,P113&gt;0),AND(Q113&gt;3,R113&gt;0)),MAX(O113,Q113),0),0)</f>
        <v>0</v>
      </c>
      <c r="BL113" s="2950" t="str">
        <f t="shared" ref="BL113:BL114" si="71">IF(J113=0,"",J113)</f>
        <v/>
      </c>
    </row>
    <row r="114" spans="1:64" ht="14.25" thickBot="1">
      <c r="A114" s="94"/>
      <c r="B114" s="629"/>
      <c r="C114" s="794">
        <v>3.2</v>
      </c>
      <c r="D114" s="774" t="s">
        <v>1039</v>
      </c>
      <c r="E114" s="795"/>
      <c r="F114" s="692"/>
      <c r="G114" s="648"/>
      <c r="H114" s="2790" t="s">
        <v>3391</v>
      </c>
      <c r="I114" s="2791" t="s">
        <v>3379</v>
      </c>
      <c r="J114" s="3345"/>
      <c r="K114" s="3346"/>
      <c r="L114" s="3346"/>
      <c r="M114" s="3346"/>
      <c r="N114" s="3348"/>
      <c r="O114" s="677">
        <f>ROUNDDOWN(U114,1)</f>
        <v>3</v>
      </c>
      <c r="P114" s="753" t="e">
        <f t="shared" si="63"/>
        <v>#DIV/0!</v>
      </c>
      <c r="Q114" s="751">
        <f>ROUNDDOWN(V114,1)</f>
        <v>0</v>
      </c>
      <c r="R114" s="796" t="e">
        <f t="shared" si="64"/>
        <v>#DIV/0!</v>
      </c>
      <c r="S114" s="638"/>
      <c r="T114" s="559"/>
      <c r="U114" s="729">
        <f>IF(採点Q3!F91="対象外",0,採点Q3!F91)</f>
        <v>3</v>
      </c>
      <c r="V114" s="559"/>
      <c r="X114" s="661">
        <f>O114</f>
        <v>3</v>
      </c>
      <c r="Y114" s="640" t="e">
        <f>重み!D114</f>
        <v>#DIV/0!</v>
      </c>
      <c r="Z114" s="700"/>
      <c r="AA114" s="640" t="e">
        <f>重み!E114</f>
        <v>#DIV/0!</v>
      </c>
      <c r="AB114" s="614"/>
      <c r="AC114" s="559"/>
      <c r="AD114" s="590" t="e">
        <f>重み!M114</f>
        <v>#DIV/0!</v>
      </c>
      <c r="AE114" s="574"/>
      <c r="AF114" s="590" t="e">
        <f>重み!N114</f>
        <v>#DIV/0!</v>
      </c>
      <c r="BJ114" s="1" t="s">
        <v>3572</v>
      </c>
      <c r="BK114" s="1">
        <f t="shared" si="70"/>
        <v>0</v>
      </c>
      <c r="BL114" s="2950" t="str">
        <f t="shared" si="71"/>
        <v/>
      </c>
    </row>
    <row r="115" spans="1:64" ht="14.25" hidden="1" thickBot="1">
      <c r="A115" s="94"/>
      <c r="B115" s="797"/>
      <c r="C115" s="798"/>
      <c r="D115" s="799"/>
      <c r="E115" s="800"/>
      <c r="F115" s="801"/>
      <c r="G115" s="802"/>
      <c r="H115" s="802"/>
      <c r="I115" s="2792"/>
      <c r="J115" s="3234"/>
      <c r="K115" s="3235"/>
      <c r="L115" s="3235"/>
      <c r="M115" s="3235"/>
      <c r="N115" s="3236"/>
      <c r="O115" s="769">
        <f>ROUNDDOWN(X115,1)</f>
        <v>0</v>
      </c>
      <c r="P115" s="803">
        <f t="shared" si="63"/>
        <v>0</v>
      </c>
      <c r="Q115" s="754">
        <f>ROUNDDOWN(Z115,1)</f>
        <v>0</v>
      </c>
      <c r="R115" s="804">
        <f t="shared" si="64"/>
        <v>0</v>
      </c>
      <c r="S115" s="638"/>
      <c r="T115" s="559"/>
      <c r="U115" s="558"/>
      <c r="V115" s="559"/>
      <c r="X115" s="700"/>
      <c r="Y115" s="627">
        <f>重み!D115</f>
        <v>0</v>
      </c>
      <c r="Z115" s="700"/>
      <c r="AA115" s="627">
        <f>重み!E115</f>
        <v>0</v>
      </c>
      <c r="AB115" s="614"/>
      <c r="AC115" s="559"/>
      <c r="AD115" s="590" t="e">
        <f>重み!M115</f>
        <v>#DIV/0!</v>
      </c>
      <c r="AE115" s="574"/>
      <c r="AF115" s="590">
        <f>重み!N115</f>
        <v>0</v>
      </c>
      <c r="BJ115" s="1"/>
      <c r="BK115" s="1"/>
      <c r="BL115" s="2950">
        <f t="shared" si="54"/>
        <v>0</v>
      </c>
    </row>
    <row r="116" spans="1:64" ht="16.5" thickBot="1">
      <c r="A116" s="94"/>
      <c r="B116" s="805" t="s">
        <v>1040</v>
      </c>
      <c r="C116" s="806"/>
      <c r="D116" s="806"/>
      <c r="E116" s="806"/>
      <c r="F116" s="807"/>
      <c r="G116" s="808"/>
      <c r="H116" s="808"/>
      <c r="I116" s="2793"/>
      <c r="J116" s="3237"/>
      <c r="K116" s="3238"/>
      <c r="L116" s="3238"/>
      <c r="M116" s="3238"/>
      <c r="N116" s="3239"/>
      <c r="O116" s="809">
        <f>ROUNDDOWN(X116,1)</f>
        <v>0</v>
      </c>
      <c r="P116" s="810">
        <f t="shared" si="63"/>
        <v>0</v>
      </c>
      <c r="Q116" s="811">
        <f>ROUNDDOWN(Z116,1)</f>
        <v>0</v>
      </c>
      <c r="R116" s="812">
        <f t="shared" si="64"/>
        <v>0</v>
      </c>
      <c r="S116" s="813" t="e">
        <f>ROUNDDOWN(AB116,1)</f>
        <v>#DIV/0!</v>
      </c>
      <c r="T116" s="559"/>
      <c r="U116" s="772"/>
      <c r="V116" s="559"/>
      <c r="X116" s="700"/>
      <c r="Y116" s="640">
        <f>重み!D116</f>
        <v>0</v>
      </c>
      <c r="Z116" s="700"/>
      <c r="AA116" s="640"/>
      <c r="AB116" s="614" t="e">
        <f>Y117*AB117+Y140*AB140+Y159*AB159</f>
        <v>#DIV/0!</v>
      </c>
      <c r="AC116" s="559"/>
      <c r="AD116" s="590" t="e">
        <f>重み!M116</f>
        <v>#DIV/0!</v>
      </c>
      <c r="AE116" s="574"/>
      <c r="AF116" s="590" t="e">
        <f>重み!N116</f>
        <v>#DIV/0!</v>
      </c>
      <c r="AH116" s="2512"/>
      <c r="AI116" s="2512"/>
      <c r="AJ116" s="2512"/>
      <c r="AK116" s="2512"/>
      <c r="AL116" s="2512"/>
      <c r="AM116" s="2512"/>
      <c r="AN116" s="2512"/>
      <c r="AO116" s="2512"/>
      <c r="AP116" s="2512"/>
      <c r="AQ116" s="2519"/>
      <c r="AR116" s="2525"/>
      <c r="AS116" s="2526"/>
      <c r="AT116" s="2513" t="e">
        <f t="shared" ref="AT116:AT117" si="72">ROUNDDOWN(AV116,1)</f>
        <v>#DIV/0!</v>
      </c>
      <c r="AV116" s="2532" t="e">
        <f>AS117*AV117+AS140*AV140+AS159*AV159</f>
        <v>#DIV/0!</v>
      </c>
      <c r="BJ116" s="1"/>
      <c r="BK116" s="1"/>
      <c r="BL116" s="2950"/>
    </row>
    <row r="117" spans="1:64" ht="15.75" thickBot="1">
      <c r="A117" s="94"/>
      <c r="B117" s="814" t="s">
        <v>1041</v>
      </c>
      <c r="C117" s="616" t="s">
        <v>1042</v>
      </c>
      <c r="D117" s="616"/>
      <c r="E117" s="616"/>
      <c r="F117" s="815"/>
      <c r="G117" s="618"/>
      <c r="H117" s="618"/>
      <c r="I117" s="2763"/>
      <c r="J117" s="3240"/>
      <c r="K117" s="3241"/>
      <c r="L117" s="3241"/>
      <c r="M117" s="3241"/>
      <c r="N117" s="3242"/>
      <c r="O117" s="816">
        <f>ROUNDDOWN(X117,1)</f>
        <v>0</v>
      </c>
      <c r="P117" s="623" t="e">
        <f t="shared" si="63"/>
        <v>#DIV/0!</v>
      </c>
      <c r="Q117" s="624">
        <f>ROUNDDOWN(Z117,1)</f>
        <v>0</v>
      </c>
      <c r="R117" s="625">
        <f t="shared" si="64"/>
        <v>0</v>
      </c>
      <c r="S117" s="626" t="e">
        <f>ROUNDDOWN(AB117,1)</f>
        <v>#DIV/0!</v>
      </c>
      <c r="T117" s="559"/>
      <c r="U117" s="772"/>
      <c r="V117" s="559"/>
      <c r="X117" s="700"/>
      <c r="Y117" s="627" t="e">
        <f>重み!D117</f>
        <v>#DIV/0!</v>
      </c>
      <c r="Z117" s="700"/>
      <c r="AA117" s="627"/>
      <c r="AB117" s="614" t="e">
        <f>AB118*Y118+AB119*Y119+AB124*Y124+AB133*Y133</f>
        <v>#DIV/0!</v>
      </c>
      <c r="AC117" s="559"/>
      <c r="AD117" s="590" t="e">
        <f>重み!M117</f>
        <v>#DIV/0!</v>
      </c>
      <c r="AE117" s="574"/>
      <c r="AF117" s="590" t="e">
        <f>重み!N117</f>
        <v>#DIV/0!</v>
      </c>
      <c r="AH117" s="2514"/>
      <c r="AI117" s="2514"/>
      <c r="AJ117" s="2514"/>
      <c r="AK117" s="2514"/>
      <c r="AL117" s="2514"/>
      <c r="AM117" s="2514"/>
      <c r="AN117" s="2514"/>
      <c r="AO117" s="2514"/>
      <c r="AP117" s="2514"/>
      <c r="AQ117" s="2520"/>
      <c r="AR117" s="2527"/>
      <c r="AS117" s="2528" t="e">
        <f>P117</f>
        <v>#DIV/0!</v>
      </c>
      <c r="AT117" s="626" t="e">
        <f t="shared" si="72"/>
        <v>#DIV/0!</v>
      </c>
      <c r="AV117" s="2532" t="e">
        <f>SUMPRODUCT(AS118:AS139,AV118:AV139)</f>
        <v>#DIV/0!</v>
      </c>
      <c r="BJ117" s="1"/>
      <c r="BK117" s="1"/>
      <c r="BL117" s="2950"/>
    </row>
    <row r="118" spans="1:64" ht="14.25" thickBot="1">
      <c r="A118" s="94"/>
      <c r="B118" s="629">
        <v>1</v>
      </c>
      <c r="C118" s="631" t="s">
        <v>1806</v>
      </c>
      <c r="D118" s="631"/>
      <c r="E118" s="631"/>
      <c r="F118" s="817"/>
      <c r="G118" s="634"/>
      <c r="H118" s="2775"/>
      <c r="I118" s="2776"/>
      <c r="J118" s="3358"/>
      <c r="K118" s="3359"/>
      <c r="L118" s="3359"/>
      <c r="M118" s="3359"/>
      <c r="N118" s="3360"/>
      <c r="O118" s="818">
        <f>ROUNDDOWN(U118,1)</f>
        <v>0</v>
      </c>
      <c r="P118" s="753" t="e">
        <f t="shared" si="63"/>
        <v>#DIV/0!</v>
      </c>
      <c r="Q118" s="2387">
        <f>ROUNDDOWN(V118,1)</f>
        <v>0</v>
      </c>
      <c r="R118" s="637" t="e">
        <f t="shared" si="64"/>
        <v>#DIV/0!</v>
      </c>
      <c r="S118" s="638">
        <f>ROUNDDOWN(AB118,1)</f>
        <v>0</v>
      </c>
      <c r="T118" s="559"/>
      <c r="U118" s="721">
        <f>採点LR1!F16</f>
        <v>0</v>
      </c>
      <c r="V118" s="559"/>
      <c r="X118" s="661">
        <f>O118</f>
        <v>0</v>
      </c>
      <c r="Y118" s="640" t="e">
        <f>重み!D118</f>
        <v>#DIV/0!</v>
      </c>
      <c r="Z118" s="700"/>
      <c r="AA118" s="640" t="e">
        <f>重み!E118</f>
        <v>#DIV/0!</v>
      </c>
      <c r="AB118" s="614">
        <f>IF(Z118=0,X118,X118*AD$6+Z118*AF$6)</f>
        <v>0</v>
      </c>
      <c r="AC118" s="559"/>
      <c r="AD118" s="590" t="e">
        <f>重み!M118</f>
        <v>#DIV/0!</v>
      </c>
      <c r="AE118" s="574"/>
      <c r="AF118" s="590" t="e">
        <f>重み!N118</f>
        <v>#DIV/0!</v>
      </c>
      <c r="AH118" s="2536"/>
      <c r="AI118" s="2536"/>
      <c r="AJ118" s="2536"/>
      <c r="AK118" s="2536"/>
      <c r="AL118" s="2536"/>
      <c r="AM118" s="2536"/>
      <c r="AN118" s="2536"/>
      <c r="AO118" s="2536"/>
      <c r="AP118" s="2536"/>
      <c r="AQ118" s="2536"/>
      <c r="AR118" s="2533">
        <f t="shared" ref="AR118:AR133" si="73">ROUNDDOWN(AV118,1)</f>
        <v>0</v>
      </c>
      <c r="AS118" s="855" t="e">
        <f>P118</f>
        <v>#DIV/0!</v>
      </c>
      <c r="AT118" s="683"/>
      <c r="AU118" s="2507"/>
      <c r="AV118" s="2566">
        <f>U118</f>
        <v>0</v>
      </c>
      <c r="AX118" s="2531" t="e">
        <f>SUMPRODUCT($AY$7:$BH$7,AY118:BH118)</f>
        <v>#DIV/0!</v>
      </c>
      <c r="AY118" s="2517">
        <f t="shared" ref="AY118:BH119" si="74">IF(AH118&gt;0,1,0)</f>
        <v>0</v>
      </c>
      <c r="AZ118" s="2517">
        <f t="shared" si="74"/>
        <v>0</v>
      </c>
      <c r="BA118" s="2517">
        <f t="shared" si="74"/>
        <v>0</v>
      </c>
      <c r="BB118" s="2517">
        <f t="shared" si="74"/>
        <v>0</v>
      </c>
      <c r="BC118" s="2517">
        <f t="shared" si="74"/>
        <v>0</v>
      </c>
      <c r="BD118" s="2517">
        <f t="shared" si="74"/>
        <v>0</v>
      </c>
      <c r="BE118" s="2517">
        <f t="shared" si="74"/>
        <v>0</v>
      </c>
      <c r="BF118" s="2517">
        <f t="shared" si="74"/>
        <v>0</v>
      </c>
      <c r="BG118" s="2517">
        <f t="shared" si="74"/>
        <v>0</v>
      </c>
      <c r="BH118" s="2517">
        <f t="shared" si="74"/>
        <v>0</v>
      </c>
      <c r="BJ118" s="1" t="s">
        <v>3573</v>
      </c>
      <c r="BK118" s="1">
        <f t="shared" ref="BK118:BK119" si="75">IF(AND(ISERROR(O118)=FALSE,ISERROR(P118)=FALSE,ISERROR(Q118)=FALSE,ISERROR(R118)=FALSE),IF(OR(AND(O118&gt;3,P118&gt;0),AND(Q118&gt;3,R118&gt;0)),MAX(O118,Q118),0),0)</f>
        <v>0</v>
      </c>
      <c r="BL118" s="2950" t="str">
        <f t="shared" ref="BL118:BL119" si="76">IF(J118=0,"",J118)</f>
        <v/>
      </c>
    </row>
    <row r="119" spans="1:64" ht="14.25" thickBot="1">
      <c r="A119" s="94"/>
      <c r="B119" s="819">
        <v>2</v>
      </c>
      <c r="C119" s="678" t="s">
        <v>1043</v>
      </c>
      <c r="D119" s="678"/>
      <c r="E119" s="678"/>
      <c r="F119" s="820"/>
      <c r="G119" s="648"/>
      <c r="H119" s="2794" t="s">
        <v>3381</v>
      </c>
      <c r="I119" s="2795" t="s">
        <v>3379</v>
      </c>
      <c r="J119" s="3345"/>
      <c r="K119" s="3346"/>
      <c r="L119" s="3346"/>
      <c r="M119" s="3346"/>
      <c r="N119" s="3348"/>
      <c r="O119" s="845" t="e">
        <f>ROUNDDOWN(X119,1)</f>
        <v>#DIV/0!</v>
      </c>
      <c r="P119" s="788" t="e">
        <f t="shared" si="63"/>
        <v>#DIV/0!</v>
      </c>
      <c r="Q119" s="680" t="e">
        <f t="shared" ref="Q119:Q126" si="77">ROUNDDOWN(Z119,1)</f>
        <v>#DIV/0!</v>
      </c>
      <c r="R119" s="682" t="e">
        <f t="shared" si="64"/>
        <v>#DIV/0!</v>
      </c>
      <c r="S119" s="683" t="e">
        <f>ROUNDDOWN(AB119,1)</f>
        <v>#DIV/0!</v>
      </c>
      <c r="T119" s="559"/>
      <c r="U119" s="755"/>
      <c r="V119" s="559"/>
      <c r="X119" s="639" t="e">
        <f>X120*Y120+X121*Y121</f>
        <v>#DIV/0!</v>
      </c>
      <c r="Y119" s="640" t="e">
        <f>重み!D119</f>
        <v>#DIV/0!</v>
      </c>
      <c r="Z119" s="639" t="e">
        <f>Z120*AA120+Z121*AA121</f>
        <v>#DIV/0!</v>
      </c>
      <c r="AA119" s="640" t="e">
        <f>重み!E119</f>
        <v>#DIV/0!</v>
      </c>
      <c r="AB119" s="614" t="e">
        <f>IF(Z119=0,X119,IF(X119=0,Z119,X119*AD$6+Z119*AF$6))</f>
        <v>#DIV/0!</v>
      </c>
      <c r="AC119" s="559"/>
      <c r="AD119" s="590" t="e">
        <f>重み!M119</f>
        <v>#DIV/0!</v>
      </c>
      <c r="AE119" s="574"/>
      <c r="AF119" s="590" t="e">
        <f>重み!N119</f>
        <v>#DIV/0!</v>
      </c>
      <c r="AH119" s="2536">
        <v>3</v>
      </c>
      <c r="AI119" s="2536"/>
      <c r="AJ119" s="2536"/>
      <c r="AK119" s="2536"/>
      <c r="AL119" s="2536"/>
      <c r="AM119" s="2536">
        <v>3</v>
      </c>
      <c r="AN119" s="2536"/>
      <c r="AO119" s="2536"/>
      <c r="AP119" s="2536"/>
      <c r="AQ119" s="2536"/>
      <c r="AR119" s="2533" t="e">
        <f t="shared" si="73"/>
        <v>#DIV/0!</v>
      </c>
      <c r="AS119" s="855" t="e">
        <f>P119</f>
        <v>#DIV/0!</v>
      </c>
      <c r="AT119" s="683"/>
      <c r="AU119" s="2507"/>
      <c r="AV119" s="2532" t="e">
        <f>SUMPRODUCT($AY$7:$BH$7,AH119:AQ119)/AX119</f>
        <v>#DIV/0!</v>
      </c>
      <c r="AX119" s="2531" t="e">
        <f>SUMPRODUCT($AY$7:$BH$7,AY119:BH119)</f>
        <v>#DIV/0!</v>
      </c>
      <c r="AY119" s="2517">
        <f t="shared" si="74"/>
        <v>1</v>
      </c>
      <c r="AZ119" s="2517">
        <f t="shared" si="74"/>
        <v>0</v>
      </c>
      <c r="BA119" s="2517">
        <f t="shared" si="74"/>
        <v>0</v>
      </c>
      <c r="BB119" s="2517">
        <f t="shared" si="74"/>
        <v>0</v>
      </c>
      <c r="BC119" s="2517">
        <f t="shared" si="74"/>
        <v>0</v>
      </c>
      <c r="BD119" s="2517">
        <f t="shared" si="74"/>
        <v>1</v>
      </c>
      <c r="BE119" s="2517">
        <f t="shared" si="74"/>
        <v>0</v>
      </c>
      <c r="BF119" s="2517">
        <f t="shared" si="74"/>
        <v>0</v>
      </c>
      <c r="BG119" s="2517">
        <f t="shared" si="74"/>
        <v>0</v>
      </c>
      <c r="BH119" s="2517">
        <f t="shared" si="74"/>
        <v>0</v>
      </c>
      <c r="BJ119" s="1" t="s">
        <v>3574</v>
      </c>
      <c r="BK119" s="1">
        <f t="shared" si="75"/>
        <v>0</v>
      </c>
      <c r="BL119" s="2950" t="str">
        <f t="shared" si="76"/>
        <v/>
      </c>
    </row>
    <row r="120" spans="1:64" ht="14.25" hidden="1" thickBot="1">
      <c r="A120" s="94"/>
      <c r="B120" s="821"/>
      <c r="C120" s="676"/>
      <c r="D120" s="678"/>
      <c r="E120" s="678"/>
      <c r="F120" s="820"/>
      <c r="G120" s="648"/>
      <c r="H120" s="648"/>
      <c r="I120" s="2764"/>
      <c r="J120" s="3345"/>
      <c r="K120" s="3346"/>
      <c r="L120" s="3346"/>
      <c r="M120" s="3346"/>
      <c r="N120" s="3348"/>
      <c r="O120" s="657">
        <f t="shared" ref="O120:O126" si="78">ROUNDDOWN(U120,1)</f>
        <v>3</v>
      </c>
      <c r="P120" s="658" t="e">
        <f t="shared" ref="P120:P126" si="79">Y120</f>
        <v>#DIV/0!</v>
      </c>
      <c r="Q120" s="769">
        <f t="shared" si="77"/>
        <v>0</v>
      </c>
      <c r="R120" s="637" t="e">
        <f t="shared" ref="R120:R126" si="80">AA120</f>
        <v>#DIV/0!</v>
      </c>
      <c r="S120" s="651"/>
      <c r="T120" s="559"/>
      <c r="U120" s="721">
        <f>採点LR1!F37</f>
        <v>3</v>
      </c>
      <c r="V120" s="559"/>
      <c r="X120" s="715">
        <f>O120</f>
        <v>3</v>
      </c>
      <c r="Y120" s="640" t="e">
        <f>重み!D120</f>
        <v>#DIV/0!</v>
      </c>
      <c r="Z120" s="700"/>
      <c r="AA120" s="640" t="e">
        <f>重み!E120</f>
        <v>#DIV/0!</v>
      </c>
      <c r="AB120" s="614"/>
      <c r="AC120" s="559"/>
      <c r="AD120" s="590" t="e">
        <f>重み!M120</f>
        <v>#DIV/0!</v>
      </c>
      <c r="AE120" s="574"/>
      <c r="AF120" s="590" t="e">
        <f>重み!N120</f>
        <v>#DIV/0!</v>
      </c>
      <c r="AR120" s="2565">
        <f t="shared" si="73"/>
        <v>0</v>
      </c>
      <c r="BJ120" s="1"/>
      <c r="BK120" s="1"/>
      <c r="BL120" s="2950">
        <f t="shared" si="54"/>
        <v>0</v>
      </c>
    </row>
    <row r="121" spans="1:64" ht="14.25" hidden="1" thickBot="1">
      <c r="A121" s="94"/>
      <c r="B121" s="821"/>
      <c r="C121" s="676"/>
      <c r="D121" s="774" t="s">
        <v>2450</v>
      </c>
      <c r="E121" s="678"/>
      <c r="F121" s="820"/>
      <c r="G121" s="648"/>
      <c r="H121" s="648"/>
      <c r="I121" s="2764"/>
      <c r="J121" s="3345"/>
      <c r="K121" s="3346"/>
      <c r="L121" s="3346"/>
      <c r="M121" s="3346"/>
      <c r="N121" s="3348"/>
      <c r="O121" s="845">
        <f t="shared" si="78"/>
        <v>0</v>
      </c>
      <c r="P121" s="658" t="e">
        <f t="shared" si="79"/>
        <v>#DIV/0!</v>
      </c>
      <c r="Q121" s="769" t="e">
        <f t="shared" si="77"/>
        <v>#DIV/0!</v>
      </c>
      <c r="R121" s="637" t="e">
        <f t="shared" si="80"/>
        <v>#DIV/0!</v>
      </c>
      <c r="S121" s="638"/>
      <c r="T121" s="559"/>
      <c r="U121" s="2408">
        <f>採点LR1!F47</f>
        <v>0</v>
      </c>
      <c r="V121" s="559"/>
      <c r="X121" s="715">
        <f>O121</f>
        <v>0</v>
      </c>
      <c r="Y121" s="640" t="e">
        <f>重み!D121</f>
        <v>#DIV/0!</v>
      </c>
      <c r="Z121" s="639" t="e">
        <f>Z122*AA122+Z123*AA123</f>
        <v>#DIV/0!</v>
      </c>
      <c r="AA121" s="640" t="e">
        <f>重み!E121</f>
        <v>#DIV/0!</v>
      </c>
      <c r="AB121" s="614"/>
      <c r="AC121" s="559"/>
      <c r="AD121" s="590" t="e">
        <f>重み!M121</f>
        <v>#DIV/0!</v>
      </c>
      <c r="AE121" s="574"/>
      <c r="AF121" s="590" t="e">
        <f>重み!N121</f>
        <v>#DIV/0!</v>
      </c>
      <c r="AR121" s="2565">
        <f t="shared" si="73"/>
        <v>0</v>
      </c>
      <c r="BJ121" s="1"/>
      <c r="BK121" s="1"/>
      <c r="BL121" s="2950">
        <f t="shared" si="54"/>
        <v>0</v>
      </c>
    </row>
    <row r="122" spans="1:64" ht="14.25" hidden="1" thickBot="1">
      <c r="A122" s="94"/>
      <c r="B122" s="821"/>
      <c r="C122" s="823"/>
      <c r="D122" s="774"/>
      <c r="E122" s="678"/>
      <c r="F122" s="820"/>
      <c r="G122" s="648"/>
      <c r="H122" s="2794" t="s">
        <v>3381</v>
      </c>
      <c r="I122" s="2795" t="s">
        <v>3379</v>
      </c>
      <c r="J122" s="3345"/>
      <c r="K122" s="3346"/>
      <c r="L122" s="3346"/>
      <c r="M122" s="3346"/>
      <c r="N122" s="3348"/>
      <c r="O122" s="784">
        <f t="shared" si="78"/>
        <v>0</v>
      </c>
      <c r="P122" s="658" t="e">
        <f t="shared" si="79"/>
        <v>#DIV/0!</v>
      </c>
      <c r="Q122" s="769">
        <f t="shared" si="77"/>
        <v>0</v>
      </c>
      <c r="R122" s="637" t="e">
        <f t="shared" si="80"/>
        <v>#DIV/0!</v>
      </c>
      <c r="S122" s="638"/>
      <c r="T122" s="559"/>
      <c r="V122" s="559"/>
      <c r="X122" s="661">
        <f>O122</f>
        <v>0</v>
      </c>
      <c r="Y122" s="640" t="e">
        <f>重み!D122</f>
        <v>#DIV/0!</v>
      </c>
      <c r="Z122" s="700"/>
      <c r="AA122" s="640" t="e">
        <f>重み!E122</f>
        <v>#DIV/0!</v>
      </c>
      <c r="AB122" s="614"/>
      <c r="AC122" s="559"/>
      <c r="AD122" s="590" t="e">
        <f>重み!M122</f>
        <v>#DIV/0!</v>
      </c>
      <c r="AE122" s="574"/>
      <c r="AF122" s="590" t="e">
        <f>重み!N122</f>
        <v>#DIV/0!</v>
      </c>
      <c r="AR122" s="2565">
        <f t="shared" si="73"/>
        <v>0</v>
      </c>
      <c r="BJ122" s="1"/>
      <c r="BK122" s="1"/>
      <c r="BL122" s="2950">
        <f t="shared" si="54"/>
        <v>0</v>
      </c>
    </row>
    <row r="123" spans="1:64" ht="14.25" hidden="1" thickBot="1">
      <c r="A123" s="94"/>
      <c r="B123" s="825"/>
      <c r="C123" s="823"/>
      <c r="D123" s="774"/>
      <c r="E123" s="678"/>
      <c r="F123" s="820"/>
      <c r="G123" s="648"/>
      <c r="H123" s="2796" t="s">
        <v>3381</v>
      </c>
      <c r="I123" s="2797" t="s">
        <v>3379</v>
      </c>
      <c r="J123" s="3345"/>
      <c r="K123" s="3346"/>
      <c r="L123" s="3346"/>
      <c r="M123" s="3346"/>
      <c r="N123" s="3348"/>
      <c r="O123" s="677">
        <f t="shared" si="78"/>
        <v>0</v>
      </c>
      <c r="P123" s="658" t="e">
        <f t="shared" si="79"/>
        <v>#DIV/0!</v>
      </c>
      <c r="Q123" s="765">
        <f t="shared" si="77"/>
        <v>0</v>
      </c>
      <c r="R123" s="637" t="e">
        <f t="shared" si="80"/>
        <v>#DIV/0!</v>
      </c>
      <c r="S123" s="744"/>
      <c r="T123" s="559"/>
      <c r="V123" s="559"/>
      <c r="X123" s="661">
        <f>O123</f>
        <v>0</v>
      </c>
      <c r="Y123" s="640" t="e">
        <f>重み!D123</f>
        <v>#DIV/0!</v>
      </c>
      <c r="Z123" s="700"/>
      <c r="AA123" s="640" t="e">
        <f>重み!E123</f>
        <v>#DIV/0!</v>
      </c>
      <c r="AB123" s="614"/>
      <c r="AC123" s="559"/>
      <c r="AD123" s="590" t="e">
        <f>重み!M123</f>
        <v>#DIV/0!</v>
      </c>
      <c r="AE123" s="574"/>
      <c r="AF123" s="590" t="e">
        <f>重み!N123</f>
        <v>#DIV/0!</v>
      </c>
      <c r="AR123" s="2565">
        <f t="shared" si="73"/>
        <v>0</v>
      </c>
      <c r="BJ123" s="1"/>
      <c r="BK123" s="1"/>
      <c r="BL123" s="2950">
        <f t="shared" si="54"/>
        <v>0</v>
      </c>
    </row>
    <row r="124" spans="1:64" ht="14.25" thickBot="1">
      <c r="A124" s="94"/>
      <c r="B124" s="819">
        <v>3</v>
      </c>
      <c r="C124" s="678" t="s">
        <v>1048</v>
      </c>
      <c r="D124" s="678"/>
      <c r="E124" s="678"/>
      <c r="F124" s="820"/>
      <c r="G124" s="648"/>
      <c r="H124" s="2794" t="s">
        <v>3381</v>
      </c>
      <c r="I124" s="2768" t="s">
        <v>3385</v>
      </c>
      <c r="J124" s="2938" t="s">
        <v>1118</v>
      </c>
      <c r="K124" s="2939" t="s">
        <v>1678</v>
      </c>
      <c r="L124" s="2940">
        <f>計画書!I25</f>
        <v>0</v>
      </c>
      <c r="M124" s="2939" t="s">
        <v>1117</v>
      </c>
      <c r="N124" s="2940">
        <f>計画書!N25</f>
        <v>1</v>
      </c>
      <c r="O124" s="708" t="e">
        <f t="shared" si="78"/>
        <v>#DIV/0!</v>
      </c>
      <c r="P124" s="788" t="e">
        <f t="shared" si="79"/>
        <v>#DIV/0!</v>
      </c>
      <c r="Q124" s="771">
        <f t="shared" si="77"/>
        <v>0</v>
      </c>
      <c r="R124" s="682">
        <f t="shared" si="80"/>
        <v>0</v>
      </c>
      <c r="S124" s="683" t="e">
        <f>ROUNDDOWN(AB124,1)</f>
        <v>#DIV/0!</v>
      </c>
      <c r="T124" s="559"/>
      <c r="U124" s="721" t="e">
        <f>採点LR1!F65</f>
        <v>#DIV/0!</v>
      </c>
      <c r="V124" s="559"/>
      <c r="X124" s="661" t="e">
        <f>O124</f>
        <v>#DIV/0!</v>
      </c>
      <c r="Y124" s="640" t="e">
        <f>重み!D124</f>
        <v>#DIV/0!</v>
      </c>
      <c r="Z124" s="639">
        <f>Z125*AA125+Z126*AA126</f>
        <v>0</v>
      </c>
      <c r="AA124" s="640">
        <f>重み!F124</f>
        <v>0</v>
      </c>
      <c r="AB124" s="614" t="e">
        <f>IF(Z124=0,X124,X124*AD$6+Z124*AF$6)</f>
        <v>#DIV/0!</v>
      </c>
      <c r="AC124" s="559"/>
      <c r="AD124" s="590" t="e">
        <f>重み!M124</f>
        <v>#DIV/0!</v>
      </c>
      <c r="AE124" s="574"/>
      <c r="AF124" s="590" t="e">
        <f>重み!N124</f>
        <v>#DIV/0!</v>
      </c>
      <c r="AH124" s="2536"/>
      <c r="AI124" s="2536"/>
      <c r="AJ124" s="2536"/>
      <c r="AK124" s="2536"/>
      <c r="AL124" s="2536"/>
      <c r="AM124" s="2536"/>
      <c r="AN124" s="2536"/>
      <c r="AO124" s="2536"/>
      <c r="AP124" s="2536"/>
      <c r="AQ124" s="2536"/>
      <c r="AR124" s="2533" t="e">
        <f t="shared" si="73"/>
        <v>#DIV/0!</v>
      </c>
      <c r="AS124" s="855" t="e">
        <f>P124</f>
        <v>#DIV/0!</v>
      </c>
      <c r="AT124" s="683"/>
      <c r="AU124" s="2507"/>
      <c r="AV124" s="2566" t="e">
        <f>U124</f>
        <v>#DIV/0!</v>
      </c>
      <c r="AX124" s="2531" t="e">
        <f>SUMPRODUCT($AY$7:$BH$7,AY124:BH124)</f>
        <v>#DIV/0!</v>
      </c>
      <c r="AY124" s="2517">
        <f t="shared" ref="AY124:BH124" si="81">IF(AH124&gt;0,1,0)</f>
        <v>0</v>
      </c>
      <c r="AZ124" s="2517">
        <f t="shared" si="81"/>
        <v>0</v>
      </c>
      <c r="BA124" s="2517">
        <f t="shared" si="81"/>
        <v>0</v>
      </c>
      <c r="BB124" s="2517">
        <f t="shared" si="81"/>
        <v>0</v>
      </c>
      <c r="BC124" s="2517">
        <f t="shared" si="81"/>
        <v>0</v>
      </c>
      <c r="BD124" s="2517">
        <f t="shared" si="81"/>
        <v>0</v>
      </c>
      <c r="BE124" s="2517">
        <f t="shared" si="81"/>
        <v>0</v>
      </c>
      <c r="BF124" s="2517">
        <f t="shared" si="81"/>
        <v>0</v>
      </c>
      <c r="BG124" s="2517">
        <f t="shared" si="81"/>
        <v>0</v>
      </c>
      <c r="BH124" s="2517">
        <f t="shared" si="81"/>
        <v>0</v>
      </c>
      <c r="BJ124" s="1"/>
      <c r="BK124" s="1"/>
      <c r="BL124" s="2950"/>
    </row>
    <row r="125" spans="1:64">
      <c r="A125" s="94"/>
      <c r="B125" s="821"/>
      <c r="C125" s="794">
        <v>3.1</v>
      </c>
      <c r="D125" s="774" t="s">
        <v>2741</v>
      </c>
      <c r="E125" s="678"/>
      <c r="F125" s="2146"/>
      <c r="G125" s="2146"/>
      <c r="H125" s="2765"/>
      <c r="I125" s="2765"/>
      <c r="J125" s="3345"/>
      <c r="K125" s="3346"/>
      <c r="L125" s="3346"/>
      <c r="M125" s="3346"/>
      <c r="N125" s="3348"/>
      <c r="O125" s="657">
        <f t="shared" si="78"/>
        <v>0</v>
      </c>
      <c r="P125" s="658" t="s">
        <v>2781</v>
      </c>
      <c r="Q125" s="769">
        <f t="shared" si="77"/>
        <v>0</v>
      </c>
      <c r="R125" s="637">
        <f t="shared" si="80"/>
        <v>0</v>
      </c>
      <c r="S125" s="638"/>
      <c r="T125" s="559"/>
      <c r="U125" s="721">
        <f>採点LR1!G65</f>
        <v>0</v>
      </c>
      <c r="V125" s="559"/>
      <c r="X125" s="715">
        <f t="shared" ref="X125:X131" si="82">O125</f>
        <v>0</v>
      </c>
      <c r="Y125" s="640" t="e">
        <f>重み!D125</f>
        <v>#DIV/0!</v>
      </c>
      <c r="Z125" s="700"/>
      <c r="AA125" s="640">
        <f>重み!F125</f>
        <v>0</v>
      </c>
      <c r="AB125" s="614"/>
      <c r="AC125" s="559"/>
      <c r="AD125" s="590" t="e">
        <f>重み!M125</f>
        <v>#DIV/0!</v>
      </c>
      <c r="AE125" s="574"/>
      <c r="AF125" s="590" t="e">
        <f>重み!N125</f>
        <v>#DIV/0!</v>
      </c>
      <c r="AR125" s="2565">
        <f t="shared" si="73"/>
        <v>0</v>
      </c>
      <c r="BJ125" s="1197" t="s">
        <v>3772</v>
      </c>
      <c r="BK125" s="1">
        <f>IF(AND(ISERROR(O125)=FALSE,ISERROR(P125)=FALSE,ISERROR(Q125)=FALSE,ISERROR(R125)=FALSE),IF(OR(AND(O125&gt;3,P125&gt;0),AND(Q125&gt;3,R125&gt;0)),MAX(O125,Q125),0),0)</f>
        <v>0</v>
      </c>
      <c r="BL125" s="2950" t="str">
        <f t="shared" ref="BL125:BL132" si="83">IF(J125=0,"",J125)</f>
        <v/>
      </c>
    </row>
    <row r="126" spans="1:64" ht="14.25" thickBot="1">
      <c r="A126" s="94"/>
      <c r="B126" s="821"/>
      <c r="C126" s="791">
        <v>3.1</v>
      </c>
      <c r="D126" s="774" t="s">
        <v>2742</v>
      </c>
      <c r="E126" s="678"/>
      <c r="F126" s="2146"/>
      <c r="G126" s="2146"/>
      <c r="H126" s="2765"/>
      <c r="I126" s="2765"/>
      <c r="J126" s="3345"/>
      <c r="K126" s="3346"/>
      <c r="L126" s="3346"/>
      <c r="M126" s="3346"/>
      <c r="N126" s="3348"/>
      <c r="O126" s="672">
        <f t="shared" si="78"/>
        <v>0</v>
      </c>
      <c r="P126" s="658" t="e">
        <f t="shared" si="79"/>
        <v>#DIV/0!</v>
      </c>
      <c r="Q126" s="769">
        <f t="shared" si="77"/>
        <v>0</v>
      </c>
      <c r="R126" s="637">
        <f t="shared" si="80"/>
        <v>0</v>
      </c>
      <c r="S126" s="638"/>
      <c r="T126" s="559"/>
      <c r="U126" s="729">
        <f>採点LR1!F74</f>
        <v>0</v>
      </c>
      <c r="V126" s="559"/>
      <c r="X126" s="715">
        <f t="shared" si="82"/>
        <v>0</v>
      </c>
      <c r="Y126" s="640" t="e">
        <f>重み!D126</f>
        <v>#DIV/0!</v>
      </c>
      <c r="Z126" s="700"/>
      <c r="AA126" s="640">
        <f>重み!F126</f>
        <v>0</v>
      </c>
      <c r="AB126" s="614"/>
      <c r="AC126" s="559"/>
      <c r="AD126" s="590" t="e">
        <f>重み!M126</f>
        <v>#DIV/0!</v>
      </c>
      <c r="AE126" s="574"/>
      <c r="AF126" s="590" t="e">
        <f>重み!N126</f>
        <v>#DIV/0!</v>
      </c>
      <c r="AR126" s="2565">
        <f t="shared" si="73"/>
        <v>0</v>
      </c>
      <c r="BJ126" s="1197" t="s">
        <v>3772</v>
      </c>
      <c r="BK126" s="1">
        <f>IF(AND(ISERROR(O126)=FALSE,ISERROR(P126)=FALSE,ISERROR(Q126)=FALSE,ISERROR(R126)=FALSE),IF(OR(AND(O126&gt;3,P126&gt;0),AND(Q126&gt;3,R126&gt;0)),MAX(O126,Q126),0),0)</f>
        <v>0</v>
      </c>
      <c r="BL126" s="2950" t="str">
        <f t="shared" si="83"/>
        <v/>
      </c>
    </row>
    <row r="127" spans="1:64" ht="14.25" hidden="1" thickBot="1">
      <c r="A127" s="94"/>
      <c r="B127" s="829"/>
      <c r="C127" s="830">
        <v>3.1</v>
      </c>
      <c r="D127" s="827" t="s">
        <v>1049</v>
      </c>
      <c r="E127" s="711"/>
      <c r="F127" s="712"/>
      <c r="G127" s="648"/>
      <c r="H127" s="719"/>
      <c r="I127" s="2765"/>
      <c r="J127" s="3345"/>
      <c r="K127" s="3346"/>
      <c r="L127" s="3346"/>
      <c r="M127" s="3346"/>
      <c r="N127" s="3347"/>
      <c r="O127" s="672">
        <f t="shared" ref="O127:O131" si="84">ROUNDDOWN(U127,1)</f>
        <v>0</v>
      </c>
      <c r="P127" s="658" t="e">
        <f t="shared" si="63"/>
        <v>#DIV/0!</v>
      </c>
      <c r="Q127" s="769">
        <f t="shared" ref="Q127:Q133" si="85">ROUNDDOWN(Z127,1)</f>
        <v>0</v>
      </c>
      <c r="R127" s="637" t="e">
        <f t="shared" si="64"/>
        <v>#DIV/0!</v>
      </c>
      <c r="S127" s="638"/>
      <c r="T127" s="559"/>
      <c r="U127" s="721">
        <f>採点LR1!F113</f>
        <v>0</v>
      </c>
      <c r="V127" s="559"/>
      <c r="X127" s="715">
        <f t="shared" si="82"/>
        <v>0</v>
      </c>
      <c r="Y127" s="640" t="e">
        <f>重み!D127</f>
        <v>#DIV/0!</v>
      </c>
      <c r="Z127" s="700"/>
      <c r="AA127" s="640" t="e">
        <f>重み!E127</f>
        <v>#DIV/0!</v>
      </c>
      <c r="AB127" s="614"/>
      <c r="AC127" s="559"/>
      <c r="AD127" s="590" t="e">
        <f>重み!M127</f>
        <v>#DIV/0!</v>
      </c>
      <c r="AE127" s="574"/>
      <c r="AF127" s="590" t="e">
        <f>重み!N127</f>
        <v>#DIV/0!</v>
      </c>
      <c r="AR127" s="2565">
        <f t="shared" si="73"/>
        <v>0</v>
      </c>
      <c r="BJ127" s="1197"/>
      <c r="BK127" s="3185"/>
      <c r="BL127" s="2950" t="str">
        <f t="shared" si="83"/>
        <v/>
      </c>
    </row>
    <row r="128" spans="1:64" hidden="1">
      <c r="A128" s="94"/>
      <c r="B128" s="829"/>
      <c r="C128" s="830">
        <v>3.2</v>
      </c>
      <c r="D128" s="827" t="s">
        <v>1050</v>
      </c>
      <c r="E128" s="711"/>
      <c r="F128" s="712"/>
      <c r="G128" s="648"/>
      <c r="H128" s="719"/>
      <c r="I128" s="2765"/>
      <c r="J128" s="3345"/>
      <c r="K128" s="3346"/>
      <c r="L128" s="3346"/>
      <c r="M128" s="3346"/>
      <c r="N128" s="3347"/>
      <c r="O128" s="672">
        <f t="shared" si="84"/>
        <v>0</v>
      </c>
      <c r="P128" s="658" t="e">
        <f t="shared" si="63"/>
        <v>#DIV/0!</v>
      </c>
      <c r="Q128" s="769">
        <f t="shared" si="85"/>
        <v>0</v>
      </c>
      <c r="R128" s="637" t="e">
        <f t="shared" si="64"/>
        <v>#DIV/0!</v>
      </c>
      <c r="S128" s="638"/>
      <c r="T128" s="559"/>
      <c r="U128" s="831"/>
      <c r="V128" s="831"/>
      <c r="X128" s="715">
        <f t="shared" si="82"/>
        <v>0</v>
      </c>
      <c r="Y128" s="640" t="e">
        <f>重み!D128</f>
        <v>#DIV/0!</v>
      </c>
      <c r="Z128" s="700"/>
      <c r="AA128" s="640" t="e">
        <f>重み!E128</f>
        <v>#DIV/0!</v>
      </c>
      <c r="AB128" s="614"/>
      <c r="AC128" s="559"/>
      <c r="AD128" s="590" t="e">
        <f>重み!M128</f>
        <v>#DIV/0!</v>
      </c>
      <c r="AE128" s="574"/>
      <c r="AF128" s="590" t="e">
        <f>重み!N128</f>
        <v>#DIV/0!</v>
      </c>
      <c r="AR128" s="2565">
        <f t="shared" si="73"/>
        <v>0</v>
      </c>
      <c r="BJ128" s="1197"/>
      <c r="BK128" s="3185"/>
      <c r="BL128" s="2950" t="str">
        <f t="shared" si="83"/>
        <v/>
      </c>
    </row>
    <row r="129" spans="1:64" ht="14.25" hidden="1" thickBot="1">
      <c r="A129" s="94"/>
      <c r="B129" s="829"/>
      <c r="C129" s="830">
        <v>3.3</v>
      </c>
      <c r="D129" s="827" t="s">
        <v>1051</v>
      </c>
      <c r="E129" s="711"/>
      <c r="F129" s="712"/>
      <c r="G129" s="648"/>
      <c r="H129" s="719"/>
      <c r="I129" s="2765"/>
      <c r="J129" s="3345"/>
      <c r="K129" s="3346"/>
      <c r="L129" s="3346"/>
      <c r="M129" s="3346"/>
      <c r="N129" s="3347"/>
      <c r="O129" s="672">
        <f t="shared" si="84"/>
        <v>0</v>
      </c>
      <c r="P129" s="658" t="e">
        <f t="shared" si="63"/>
        <v>#DIV/0!</v>
      </c>
      <c r="Q129" s="769">
        <f t="shared" si="85"/>
        <v>0</v>
      </c>
      <c r="R129" s="637" t="e">
        <f t="shared" si="64"/>
        <v>#DIV/0!</v>
      </c>
      <c r="S129" s="638"/>
      <c r="T129" s="559"/>
      <c r="U129" s="729">
        <f>採点LR1!F124</f>
        <v>0</v>
      </c>
      <c r="V129" s="831"/>
      <c r="X129" s="715">
        <f t="shared" si="82"/>
        <v>0</v>
      </c>
      <c r="Y129" s="640" t="e">
        <f>重み!D129</f>
        <v>#DIV/0!</v>
      </c>
      <c r="Z129" s="700"/>
      <c r="AA129" s="640" t="e">
        <f>重み!E129</f>
        <v>#DIV/0!</v>
      </c>
      <c r="AB129" s="614"/>
      <c r="AC129" s="559"/>
      <c r="AD129" s="590" t="e">
        <f>重み!M129</f>
        <v>#DIV/0!</v>
      </c>
      <c r="AE129" s="574"/>
      <c r="AF129" s="590" t="e">
        <f>重み!N129</f>
        <v>#DIV/0!</v>
      </c>
      <c r="AR129" s="2565">
        <f t="shared" si="73"/>
        <v>0</v>
      </c>
      <c r="BJ129" s="1197"/>
      <c r="BK129" s="3185"/>
      <c r="BL129" s="2950" t="str">
        <f t="shared" si="83"/>
        <v/>
      </c>
    </row>
    <row r="130" spans="1:64" hidden="1">
      <c r="A130" s="94"/>
      <c r="B130" s="829"/>
      <c r="C130" s="830">
        <v>3.4</v>
      </c>
      <c r="D130" s="827" t="s">
        <v>1052</v>
      </c>
      <c r="E130" s="711"/>
      <c r="F130" s="712"/>
      <c r="G130" s="648"/>
      <c r="H130" s="719"/>
      <c r="I130" s="2765"/>
      <c r="J130" s="3345"/>
      <c r="K130" s="3346"/>
      <c r="L130" s="3346"/>
      <c r="M130" s="3346"/>
      <c r="N130" s="3347"/>
      <c r="O130" s="672">
        <f t="shared" si="84"/>
        <v>0</v>
      </c>
      <c r="P130" s="658" t="e">
        <f t="shared" si="63"/>
        <v>#DIV/0!</v>
      </c>
      <c r="Q130" s="769">
        <f t="shared" si="85"/>
        <v>0</v>
      </c>
      <c r="R130" s="637" t="e">
        <f t="shared" si="64"/>
        <v>#DIV/0!</v>
      </c>
      <c r="S130" s="638"/>
      <c r="T130" s="559"/>
      <c r="U130" s="684"/>
      <c r="V130" s="559"/>
      <c r="X130" s="715">
        <f t="shared" si="82"/>
        <v>0</v>
      </c>
      <c r="Y130" s="640" t="e">
        <f>重み!D130</f>
        <v>#DIV/0!</v>
      </c>
      <c r="Z130" s="700"/>
      <c r="AA130" s="640" t="e">
        <f>重み!E130</f>
        <v>#DIV/0!</v>
      </c>
      <c r="AB130" s="614"/>
      <c r="AC130" s="559"/>
      <c r="AD130" s="590" t="e">
        <f>重み!M130</f>
        <v>#DIV/0!</v>
      </c>
      <c r="AE130" s="574"/>
      <c r="AF130" s="590" t="e">
        <f>重み!N130</f>
        <v>#DIV/0!</v>
      </c>
      <c r="AR130" s="2565">
        <f t="shared" si="73"/>
        <v>0</v>
      </c>
      <c r="BJ130" s="1197"/>
      <c r="BK130" s="3185"/>
      <c r="BL130" s="2950" t="str">
        <f t="shared" si="83"/>
        <v/>
      </c>
    </row>
    <row r="131" spans="1:64" ht="14.25" hidden="1" thickBot="1">
      <c r="A131" s="94"/>
      <c r="B131" s="829"/>
      <c r="C131" s="830">
        <v>3.5</v>
      </c>
      <c r="D131" s="827" t="s">
        <v>1053</v>
      </c>
      <c r="E131" s="711"/>
      <c r="F131" s="712"/>
      <c r="G131" s="648"/>
      <c r="H131" s="719"/>
      <c r="I131" s="2765"/>
      <c r="J131" s="3345"/>
      <c r="K131" s="3346"/>
      <c r="L131" s="3346"/>
      <c r="M131" s="3346"/>
      <c r="N131" s="3347"/>
      <c r="O131" s="672">
        <f t="shared" si="84"/>
        <v>0</v>
      </c>
      <c r="P131" s="753" t="e">
        <f t="shared" si="63"/>
        <v>#DIV/0!</v>
      </c>
      <c r="Q131" s="769">
        <f t="shared" si="85"/>
        <v>0</v>
      </c>
      <c r="R131" s="637" t="e">
        <f t="shared" si="64"/>
        <v>#DIV/0!</v>
      </c>
      <c r="S131" s="638"/>
      <c r="T131" s="559"/>
      <c r="U131" s="652"/>
      <c r="V131" s="559"/>
      <c r="X131" s="715">
        <f t="shared" si="82"/>
        <v>0</v>
      </c>
      <c r="Y131" s="640" t="e">
        <f>重み!D131</f>
        <v>#DIV/0!</v>
      </c>
      <c r="Z131" s="700"/>
      <c r="AA131" s="640" t="e">
        <f>重み!E131</f>
        <v>#DIV/0!</v>
      </c>
      <c r="AB131" s="614"/>
      <c r="AC131" s="559"/>
      <c r="AD131" s="590" t="e">
        <f>重み!M131</f>
        <v>#DIV/0!</v>
      </c>
      <c r="AE131" s="574"/>
      <c r="AF131" s="590" t="e">
        <f>重み!N131</f>
        <v>#DIV/0!</v>
      </c>
      <c r="AR131" s="2565">
        <f t="shared" si="73"/>
        <v>0</v>
      </c>
      <c r="BJ131" s="1197"/>
      <c r="BK131" s="3185"/>
      <c r="BL131" s="2950" t="str">
        <f t="shared" si="83"/>
        <v/>
      </c>
    </row>
    <row r="132" spans="1:64" ht="14.25" thickBot="1">
      <c r="A132" s="94"/>
      <c r="B132" s="832"/>
      <c r="C132" s="794">
        <v>3.2</v>
      </c>
      <c r="D132" s="774" t="s">
        <v>2744</v>
      </c>
      <c r="E132" s="646"/>
      <c r="F132" s="692"/>
      <c r="G132" s="648"/>
      <c r="H132" s="719"/>
      <c r="I132" s="2765"/>
      <c r="J132" s="3345"/>
      <c r="K132" s="3346"/>
      <c r="L132" s="3346"/>
      <c r="M132" s="3346"/>
      <c r="N132" s="3347"/>
      <c r="O132" s="665">
        <f>ROUNDDOWN(U132,1)</f>
        <v>1</v>
      </c>
      <c r="P132" s="636" t="e">
        <f>Y125</f>
        <v>#DIV/0!</v>
      </c>
      <c r="Q132" s="751">
        <f t="shared" si="85"/>
        <v>0</v>
      </c>
      <c r="R132" s="637" t="e">
        <f t="shared" si="64"/>
        <v>#DIV/0!</v>
      </c>
      <c r="S132" s="638"/>
      <c r="T132" s="559"/>
      <c r="U132" s="833">
        <f>採点LR1!F103</f>
        <v>1</v>
      </c>
      <c r="V132" s="831"/>
      <c r="X132" s="715">
        <f>O132</f>
        <v>1</v>
      </c>
      <c r="Y132" s="640" t="e">
        <f>重み!D132</f>
        <v>#DIV/0!</v>
      </c>
      <c r="Z132" s="700"/>
      <c r="AA132" s="640" t="e">
        <f>重み!E132</f>
        <v>#DIV/0!</v>
      </c>
      <c r="AB132" s="614"/>
      <c r="AC132" s="559"/>
      <c r="AD132" s="590" t="e">
        <f>重み!M132</f>
        <v>#DIV/0!</v>
      </c>
      <c r="AE132" s="574"/>
      <c r="AF132" s="590" t="e">
        <f>重み!N132</f>
        <v>#DIV/0!</v>
      </c>
      <c r="AR132" s="2565">
        <f t="shared" si="73"/>
        <v>0</v>
      </c>
      <c r="BJ132" s="1197" t="s">
        <v>3772</v>
      </c>
      <c r="BK132" s="1">
        <f>IF(AND(ISERROR(O132)=FALSE,ISERROR(P132)=FALSE,ISERROR(Q132)=FALSE,ISERROR(R132)=FALSE),IF(OR(AND(O132&gt;3,P132&gt;0),AND(Q132&gt;3,R132&gt;0)),MAX(O132,Q132),0),0)</f>
        <v>0</v>
      </c>
      <c r="BL132" s="2950" t="str">
        <f t="shared" si="83"/>
        <v/>
      </c>
    </row>
    <row r="133" spans="1:64">
      <c r="A133" s="94"/>
      <c r="B133" s="819">
        <v>4</v>
      </c>
      <c r="C133" s="678" t="s">
        <v>1054</v>
      </c>
      <c r="D133" s="631"/>
      <c r="E133" s="631"/>
      <c r="F133" s="633"/>
      <c r="G133" s="648"/>
      <c r="H133" s="719"/>
      <c r="I133" s="2765"/>
      <c r="J133" s="2927"/>
      <c r="K133" s="2928"/>
      <c r="L133" s="2928"/>
      <c r="M133" s="2928"/>
      <c r="N133" s="2941"/>
      <c r="O133" s="2388" t="e">
        <f>ROUNDDOWN(X133,1)</f>
        <v>#DIV/0!</v>
      </c>
      <c r="P133" s="681" t="e">
        <f t="shared" si="63"/>
        <v>#DIV/0!</v>
      </c>
      <c r="Q133" s="771" t="e">
        <f t="shared" si="85"/>
        <v>#DIV/0!</v>
      </c>
      <c r="R133" s="682" t="e">
        <f t="shared" si="64"/>
        <v>#DIV/0!</v>
      </c>
      <c r="S133" s="683" t="e">
        <f>ROUNDDOWN(AB133,1)</f>
        <v>#DIV/0!</v>
      </c>
      <c r="T133" s="559"/>
      <c r="U133" s="772"/>
      <c r="V133" s="559"/>
      <c r="X133" s="639" t="e">
        <f>X134*Y134+X137*Y137</f>
        <v>#DIV/0!</v>
      </c>
      <c r="Y133" s="640" t="e">
        <f>重み!D133</f>
        <v>#DIV/0!</v>
      </c>
      <c r="Z133" s="639" t="e">
        <f>Z134*AA134+Z137*AA137</f>
        <v>#DIV/0!</v>
      </c>
      <c r="AA133" s="640" t="e">
        <f>重み!E133</f>
        <v>#DIV/0!</v>
      </c>
      <c r="AB133" s="614" t="e">
        <f>IF(Z133=0,X133,X133*AD$6+Z133*AF$6)</f>
        <v>#DIV/0!</v>
      </c>
      <c r="AC133" s="559"/>
      <c r="AD133" s="590" t="e">
        <f>重み!M133</f>
        <v>#DIV/0!</v>
      </c>
      <c r="AE133" s="574"/>
      <c r="AF133" s="590" t="e">
        <f>重み!N133</f>
        <v>#DIV/0!</v>
      </c>
      <c r="AH133" s="2536">
        <v>3</v>
      </c>
      <c r="AI133" s="2536"/>
      <c r="AJ133" s="2536"/>
      <c r="AK133" s="2536"/>
      <c r="AL133" s="2536"/>
      <c r="AM133" s="2536">
        <v>3</v>
      </c>
      <c r="AN133" s="2536"/>
      <c r="AO133" s="2536"/>
      <c r="AP133" s="2536"/>
      <c r="AQ133" s="2536"/>
      <c r="AR133" s="2533" t="e">
        <f t="shared" si="73"/>
        <v>#DIV/0!</v>
      </c>
      <c r="AS133" s="855" t="e">
        <f>P133</f>
        <v>#DIV/0!</v>
      </c>
      <c r="AT133" s="683"/>
      <c r="AU133" s="2507"/>
      <c r="AV133" s="2532" t="e">
        <f>SUMPRODUCT($AY$7:$BH$7,AH133:AQ133)/AX133</f>
        <v>#DIV/0!</v>
      </c>
      <c r="AX133" s="2531" t="e">
        <f>SUMPRODUCT($AY$7:$BH$7,AY133:BH133)</f>
        <v>#DIV/0!</v>
      </c>
      <c r="AY133" s="2517">
        <f t="shared" ref="AY133:BH133" si="86">IF(AH133&gt;0,1,0)</f>
        <v>1</v>
      </c>
      <c r="AZ133" s="2517">
        <f t="shared" si="86"/>
        <v>0</v>
      </c>
      <c r="BA133" s="2517">
        <f t="shared" si="86"/>
        <v>0</v>
      </c>
      <c r="BB133" s="2517">
        <f t="shared" si="86"/>
        <v>0</v>
      </c>
      <c r="BC133" s="2517">
        <f t="shared" si="86"/>
        <v>0</v>
      </c>
      <c r="BD133" s="2517">
        <f t="shared" si="86"/>
        <v>1</v>
      </c>
      <c r="BE133" s="2517">
        <f t="shared" si="86"/>
        <v>0</v>
      </c>
      <c r="BF133" s="2517">
        <f t="shared" si="86"/>
        <v>0</v>
      </c>
      <c r="BG133" s="2517">
        <f t="shared" si="86"/>
        <v>0</v>
      </c>
      <c r="BH133" s="2517">
        <f t="shared" si="86"/>
        <v>0</v>
      </c>
      <c r="BJ133" s="1197"/>
      <c r="BK133" s="1"/>
      <c r="BL133" s="2950"/>
    </row>
    <row r="134" spans="1:64" ht="14.25" thickBot="1">
      <c r="A134" s="94"/>
      <c r="B134" s="707"/>
      <c r="C134" s="668"/>
      <c r="D134" s="685" t="s">
        <v>832</v>
      </c>
      <c r="E134" s="645"/>
      <c r="F134" s="687"/>
      <c r="G134" s="648">
        <v>5</v>
      </c>
      <c r="H134" s="719"/>
      <c r="I134" s="2765"/>
      <c r="J134" s="2924"/>
      <c r="K134" s="2925"/>
      <c r="L134" s="2925"/>
      <c r="M134" s="2925"/>
      <c r="N134" s="2926"/>
      <c r="O134" s="708" t="e">
        <f>ROUNDDOWN(X134,1)</f>
        <v>#DIV/0!</v>
      </c>
      <c r="P134" s="636" t="e">
        <f t="shared" si="63"/>
        <v>#DIV/0!</v>
      </c>
      <c r="Q134" s="751" t="e">
        <f>ROUNDDOWN(Z134,1)</f>
        <v>#DIV/0!</v>
      </c>
      <c r="R134" s="637" t="e">
        <f t="shared" si="64"/>
        <v>#DIV/0!</v>
      </c>
      <c r="S134" s="638"/>
      <c r="T134" s="559"/>
      <c r="U134" s="772"/>
      <c r="V134" s="559"/>
      <c r="X134" s="639" t="e">
        <f>SUMPRODUCT(X135:X136,Y135:Y136)</f>
        <v>#DIV/0!</v>
      </c>
      <c r="Y134" s="640" t="e">
        <f>重み!D134</f>
        <v>#DIV/0!</v>
      </c>
      <c r="Z134" s="639" t="e">
        <f>SUMPRODUCT(Z135:Z136,AA135:AA136)</f>
        <v>#DIV/0!</v>
      </c>
      <c r="AA134" s="640" t="e">
        <f>重み!E134</f>
        <v>#DIV/0!</v>
      </c>
      <c r="AB134" s="614"/>
      <c r="AC134" s="559"/>
      <c r="AD134" s="590" t="e">
        <f>重み!M134</f>
        <v>#DIV/0!</v>
      </c>
      <c r="AE134" s="574"/>
      <c r="AF134" s="590" t="e">
        <f>重み!N134</f>
        <v>#DIV/0!</v>
      </c>
      <c r="BJ134" s="1197"/>
      <c r="BK134" s="1"/>
      <c r="BL134" s="2950"/>
    </row>
    <row r="135" spans="1:64">
      <c r="A135" s="94"/>
      <c r="B135" s="707"/>
      <c r="C135" s="837"/>
      <c r="D135" s="654">
        <v>4.0999999999999996</v>
      </c>
      <c r="E135" s="646" t="s">
        <v>822</v>
      </c>
      <c r="F135" s="692"/>
      <c r="G135" s="648"/>
      <c r="H135" s="719"/>
      <c r="I135" s="2765"/>
      <c r="J135" s="3345"/>
      <c r="K135" s="3346"/>
      <c r="L135" s="3346"/>
      <c r="M135" s="3346"/>
      <c r="N135" s="3348"/>
      <c r="O135" s="657">
        <f>ROUNDDOWN(U135,1)</f>
        <v>3</v>
      </c>
      <c r="P135" s="753" t="e">
        <f t="shared" si="63"/>
        <v>#DIV/0!</v>
      </c>
      <c r="Q135" s="754">
        <f>ROUNDDOWN(V135,1)</f>
        <v>0</v>
      </c>
      <c r="R135" s="637" t="e">
        <f t="shared" si="64"/>
        <v>#DIV/0!</v>
      </c>
      <c r="S135" s="638"/>
      <c r="T135" s="559"/>
      <c r="U135" s="721">
        <f>採点LR1!F138</f>
        <v>3</v>
      </c>
      <c r="V135" s="831"/>
      <c r="X135" s="661">
        <f>O135</f>
        <v>3</v>
      </c>
      <c r="Y135" s="640" t="e">
        <f>重み!D135</f>
        <v>#DIV/0!</v>
      </c>
      <c r="Z135" s="700"/>
      <c r="AA135" s="640" t="e">
        <f>重み!E135</f>
        <v>#DIV/0!</v>
      </c>
      <c r="AB135" s="614"/>
      <c r="AC135" s="559"/>
      <c r="AD135" s="590" t="e">
        <f>重み!M135</f>
        <v>#DIV/0!</v>
      </c>
      <c r="AE135" s="574"/>
      <c r="AF135" s="590"/>
      <c r="BJ135" s="1197" t="s">
        <v>3773</v>
      </c>
      <c r="BK135" s="1">
        <f>IF(AND(ISERROR(O135)=FALSE,ISERROR(P135)=FALSE,ISERROR(Q135)=FALSE,ISERROR(R135)=FALSE),IF(OR(AND(O135&gt;3,P135&gt;0),AND(Q135&gt;3,R135&gt;0)),MAX(O135,Q135),0),0)</f>
        <v>0</v>
      </c>
      <c r="BL135" s="2950" t="str">
        <f t="shared" ref="BL135:BL136" si="87">IF(J135=0,"",J135)</f>
        <v/>
      </c>
    </row>
    <row r="136" spans="1:64" ht="14.25" thickBot="1">
      <c r="A136" s="94"/>
      <c r="B136" s="707"/>
      <c r="C136" s="838"/>
      <c r="D136" s="654">
        <v>4.2</v>
      </c>
      <c r="E136" s="646" t="s">
        <v>827</v>
      </c>
      <c r="F136" s="692"/>
      <c r="G136" s="648"/>
      <c r="H136" s="719"/>
      <c r="I136" s="2765"/>
      <c r="J136" s="3345"/>
      <c r="K136" s="3346"/>
      <c r="L136" s="3346"/>
      <c r="M136" s="3346"/>
      <c r="N136" s="3348"/>
      <c r="O136" s="665">
        <f>ROUNDDOWN(U136,1)</f>
        <v>3</v>
      </c>
      <c r="P136" s="753" t="e">
        <f t="shared" si="63"/>
        <v>#DIV/0!</v>
      </c>
      <c r="Q136" s="754">
        <f>ROUNDDOWN(V136,1)</f>
        <v>0</v>
      </c>
      <c r="R136" s="637" t="e">
        <f t="shared" si="64"/>
        <v>#DIV/0!</v>
      </c>
      <c r="S136" s="638"/>
      <c r="T136" s="559"/>
      <c r="U136" s="729">
        <f>採点LR1!F168</f>
        <v>3</v>
      </c>
      <c r="V136" s="831"/>
      <c r="X136" s="661">
        <f>O136</f>
        <v>3</v>
      </c>
      <c r="Y136" s="640" t="e">
        <f>重み!D136</f>
        <v>#DIV/0!</v>
      </c>
      <c r="Z136" s="700"/>
      <c r="AA136" s="640" t="e">
        <f>重み!E136</f>
        <v>#DIV/0!</v>
      </c>
      <c r="AB136" s="614"/>
      <c r="AC136" s="559"/>
      <c r="AD136" s="590" t="e">
        <f>重み!M136</f>
        <v>#DIV/0!</v>
      </c>
      <c r="AE136" s="574"/>
      <c r="AF136" s="590"/>
      <c r="BJ136" s="1197" t="s">
        <v>3774</v>
      </c>
      <c r="BK136" s="1">
        <f>IF(AND(ISERROR(O136)=FALSE,ISERROR(P136)=FALSE,ISERROR(Q136)=FALSE,ISERROR(R136)=FALSE),IF(OR(AND(O136&gt;3,P136&gt;0),AND(Q136&gt;3,R136&gt;0)),MAX(O136,Q136),0),0)</f>
        <v>0</v>
      </c>
      <c r="BL136" s="2950" t="str">
        <f t="shared" si="87"/>
        <v/>
      </c>
    </row>
    <row r="137" spans="1:64" ht="14.25" thickBot="1">
      <c r="A137" s="94"/>
      <c r="B137" s="707"/>
      <c r="C137" s="668"/>
      <c r="D137" s="685" t="s">
        <v>833</v>
      </c>
      <c r="E137" s="645"/>
      <c r="F137" s="687"/>
      <c r="G137" s="727">
        <v>5</v>
      </c>
      <c r="H137" s="719"/>
      <c r="I137" s="2765"/>
      <c r="J137" s="2924"/>
      <c r="K137" s="2925"/>
      <c r="L137" s="2925"/>
      <c r="M137" s="2925"/>
      <c r="N137" s="2926"/>
      <c r="O137" s="708" t="e">
        <f>ROUNDDOWN(X137,1)</f>
        <v>#DIV/0!</v>
      </c>
      <c r="P137" s="636" t="e">
        <f t="shared" si="63"/>
        <v>#DIV/0!</v>
      </c>
      <c r="Q137" s="751" t="e">
        <f>ROUNDDOWN(Z137,1)</f>
        <v>#DIV/0!</v>
      </c>
      <c r="R137" s="637" t="e">
        <f t="shared" si="64"/>
        <v>#DIV/0!</v>
      </c>
      <c r="S137" s="638"/>
      <c r="T137" s="559"/>
      <c r="U137" s="772"/>
      <c r="V137" s="559"/>
      <c r="X137" s="639" t="e">
        <f>SUMPRODUCT(X138:X139,Y138:Y139)</f>
        <v>#DIV/0!</v>
      </c>
      <c r="Y137" s="640" t="e">
        <f>重み!D137</f>
        <v>#DIV/0!</v>
      </c>
      <c r="Z137" s="639" t="e">
        <f>SUMPRODUCT(Z138:Z139,AA138:AA139)</f>
        <v>#DIV/0!</v>
      </c>
      <c r="AA137" s="640" t="e">
        <f>重み!E137</f>
        <v>#DIV/0!</v>
      </c>
      <c r="AB137" s="614"/>
      <c r="AC137" s="559"/>
      <c r="AD137" s="590" t="e">
        <f>重み!M137</f>
        <v>#DIV/0!</v>
      </c>
      <c r="AE137" s="574"/>
      <c r="AF137" s="590" t="e">
        <f>重み!N137</f>
        <v>#DIV/0!</v>
      </c>
      <c r="BJ137" s="1197"/>
      <c r="BK137" s="1"/>
      <c r="BL137" s="2950"/>
    </row>
    <row r="138" spans="1:64">
      <c r="A138" s="94"/>
      <c r="B138" s="707"/>
      <c r="C138" s="837"/>
      <c r="D138" s="654">
        <v>4.0999999999999996</v>
      </c>
      <c r="E138" s="646" t="s">
        <v>822</v>
      </c>
      <c r="F138" s="692"/>
      <c r="G138" s="648"/>
      <c r="H138" s="719"/>
      <c r="I138" s="2765"/>
      <c r="J138" s="3345"/>
      <c r="K138" s="3346"/>
      <c r="L138" s="3346"/>
      <c r="M138" s="3346"/>
      <c r="N138" s="3348"/>
      <c r="O138" s="657">
        <f>ROUNDDOWN(U138,1)</f>
        <v>3</v>
      </c>
      <c r="P138" s="753" t="e">
        <f t="shared" si="63"/>
        <v>#DIV/0!</v>
      </c>
      <c r="Q138" s="754">
        <f>ROUNDDOWN(V138,1)</f>
        <v>0</v>
      </c>
      <c r="R138" s="637" t="e">
        <f t="shared" si="64"/>
        <v>#DIV/0!</v>
      </c>
      <c r="S138" s="638"/>
      <c r="T138" s="559"/>
      <c r="U138" s="721">
        <f>採点LR1!K138</f>
        <v>3</v>
      </c>
      <c r="V138" s="559"/>
      <c r="X138" s="661">
        <f>O138</f>
        <v>3</v>
      </c>
      <c r="Y138" s="640" t="e">
        <f>重み!D138</f>
        <v>#DIV/0!</v>
      </c>
      <c r="Z138" s="700"/>
      <c r="AA138" s="640" t="e">
        <f>重み!E138</f>
        <v>#DIV/0!</v>
      </c>
      <c r="AB138" s="614"/>
      <c r="AC138" s="559"/>
      <c r="AD138" s="590" t="e">
        <f>重み!M138</f>
        <v>#DIV/0!</v>
      </c>
      <c r="AE138" s="574"/>
      <c r="AF138" s="590"/>
      <c r="BJ138" s="1197" t="s">
        <v>3773</v>
      </c>
      <c r="BK138" s="1">
        <f>IF(AND(ISERROR(O138)=FALSE,ISERROR(P138)=FALSE,ISERROR(Q138)=FALSE,ISERROR(R138)=FALSE),IF(OR(AND(O138&gt;3,P138&gt;0),AND(Q138&gt;3,R138&gt;0)),MAX(O138,Q138),0),0)</f>
        <v>0</v>
      </c>
      <c r="BL138" s="2950" t="str">
        <f t="shared" ref="BL138:BL139" si="88">IF(J138=0,"",J138)</f>
        <v/>
      </c>
    </row>
    <row r="139" spans="1:64" ht="14.25" thickBot="1">
      <c r="A139" s="94"/>
      <c r="B139" s="757"/>
      <c r="C139" s="838"/>
      <c r="D139" s="654">
        <v>4.2</v>
      </c>
      <c r="E139" s="646" t="s">
        <v>827</v>
      </c>
      <c r="F139" s="692"/>
      <c r="G139" s="648"/>
      <c r="H139" s="719"/>
      <c r="I139" s="2765"/>
      <c r="J139" s="3345"/>
      <c r="K139" s="3346"/>
      <c r="L139" s="3346"/>
      <c r="M139" s="3346"/>
      <c r="N139" s="3348"/>
      <c r="O139" s="665">
        <f>ROUNDDOWN(U139,1)</f>
        <v>3</v>
      </c>
      <c r="P139" s="753" t="e">
        <f t="shared" si="63"/>
        <v>#DIV/0!</v>
      </c>
      <c r="Q139" s="754">
        <f>ROUNDDOWN(V139,1)</f>
        <v>0</v>
      </c>
      <c r="R139" s="637" t="e">
        <f t="shared" si="64"/>
        <v>#DIV/0!</v>
      </c>
      <c r="S139" s="638"/>
      <c r="T139" s="559"/>
      <c r="U139" s="729">
        <f>採点LR1!K168</f>
        <v>3</v>
      </c>
      <c r="V139" s="559"/>
      <c r="X139" s="661">
        <f>O139</f>
        <v>3</v>
      </c>
      <c r="Y139" s="640" t="e">
        <f>重み!D139</f>
        <v>#DIV/0!</v>
      </c>
      <c r="Z139" s="700"/>
      <c r="AA139" s="640" t="e">
        <f>重み!E139</f>
        <v>#DIV/0!</v>
      </c>
      <c r="AB139" s="614"/>
      <c r="AC139" s="559"/>
      <c r="AD139" s="590" t="e">
        <f>重み!M139</f>
        <v>#DIV/0!</v>
      </c>
      <c r="AE139" s="574"/>
      <c r="AF139" s="590"/>
      <c r="BJ139" s="1197" t="s">
        <v>3774</v>
      </c>
      <c r="BK139" s="1">
        <f>IF(AND(ISERROR(O139)=FALSE,ISERROR(P139)=FALSE,ISERROR(Q139)=FALSE,ISERROR(R139)=FALSE),IF(OR(AND(O139&gt;3,P139&gt;0),AND(Q139&gt;3,R139&gt;0)),MAX(O139,Q139),0),0)</f>
        <v>0</v>
      </c>
      <c r="BL139" s="2950" t="str">
        <f t="shared" si="88"/>
        <v/>
      </c>
    </row>
    <row r="140" spans="1:64" ht="15.75" thickBot="1">
      <c r="A140" s="94"/>
      <c r="B140" s="730" t="s">
        <v>1579</v>
      </c>
      <c r="C140" s="780" t="s">
        <v>1580</v>
      </c>
      <c r="D140" s="780"/>
      <c r="E140" s="780"/>
      <c r="F140" s="781"/>
      <c r="G140" s="782"/>
      <c r="H140" s="782"/>
      <c r="I140" s="2783"/>
      <c r="J140" s="3231"/>
      <c r="K140" s="3232"/>
      <c r="L140" s="3232"/>
      <c r="M140" s="3232"/>
      <c r="N140" s="3233"/>
      <c r="O140" s="735">
        <f>ROUNDDOWN(X140,1)</f>
        <v>0</v>
      </c>
      <c r="P140" s="736" t="e">
        <f t="shared" si="63"/>
        <v>#DIV/0!</v>
      </c>
      <c r="Q140" s="737">
        <f>ROUNDDOWN(Z140,1)</f>
        <v>0</v>
      </c>
      <c r="R140" s="738">
        <f t="shared" si="64"/>
        <v>0</v>
      </c>
      <c r="S140" s="739" t="e">
        <f>ROUNDDOWN(AB140,1)</f>
        <v>#DIV/0!</v>
      </c>
      <c r="T140" s="559"/>
      <c r="U140" s="558"/>
      <c r="V140" s="559"/>
      <c r="X140" s="700"/>
      <c r="Y140" s="627" t="e">
        <f>重み!D140</f>
        <v>#DIV/0!</v>
      </c>
      <c r="Z140" s="700"/>
      <c r="AA140" s="627"/>
      <c r="AB140" s="614" t="e">
        <f>AB141*Y141+AB146*Y146+Y153*AB153</f>
        <v>#DIV/0!</v>
      </c>
      <c r="AC140" s="559"/>
      <c r="AD140" s="590" t="e">
        <f>重み!M140</f>
        <v>#DIV/0!</v>
      </c>
      <c r="AE140" s="574"/>
      <c r="AF140" s="590" t="e">
        <f>重み!N140</f>
        <v>#DIV/0!</v>
      </c>
      <c r="AH140" s="2563"/>
      <c r="AI140" s="2549"/>
      <c r="AJ140" s="2549"/>
      <c r="AK140" s="2549"/>
      <c r="AL140" s="2549"/>
      <c r="AM140" s="2549"/>
      <c r="AN140" s="2549"/>
      <c r="AO140" s="2549"/>
      <c r="AP140" s="2549"/>
      <c r="AQ140" s="2550"/>
      <c r="AR140" s="2551"/>
      <c r="AS140" s="2552" t="e">
        <f>P140</f>
        <v>#DIV/0!</v>
      </c>
      <c r="AT140" s="739" t="e">
        <f t="shared" ref="AT140" si="89">ROUNDDOWN(AV140,1)</f>
        <v>#DIV/0!</v>
      </c>
      <c r="AV140" s="2532" t="e">
        <f>SUMPRODUCT(AS141:AS158,AV141:AV158)</f>
        <v>#DIV/0!</v>
      </c>
      <c r="BJ140" s="1"/>
      <c r="BK140" s="1"/>
      <c r="BL140" s="2950"/>
    </row>
    <row r="141" spans="1:64" ht="14.25" thickBot="1">
      <c r="A141" s="94"/>
      <c r="B141" s="834">
        <v>1</v>
      </c>
      <c r="C141" s="631" t="s">
        <v>1056</v>
      </c>
      <c r="D141" s="631"/>
      <c r="E141" s="631"/>
      <c r="F141" s="633"/>
      <c r="G141" s="634"/>
      <c r="H141" s="2775"/>
      <c r="I141" s="2776"/>
      <c r="J141" s="2921"/>
      <c r="K141" s="2922"/>
      <c r="L141" s="2922"/>
      <c r="M141" s="2922"/>
      <c r="N141" s="2923"/>
      <c r="O141" s="708" t="e">
        <f>ROUNDDOWN(X141,1)</f>
        <v>#DIV/0!</v>
      </c>
      <c r="P141" s="636" t="e">
        <f t="shared" si="63"/>
        <v>#DIV/0!</v>
      </c>
      <c r="Q141" s="751" t="e">
        <f>ROUNDDOWN(Z141,1)</f>
        <v>#DIV/0!</v>
      </c>
      <c r="R141" s="637" t="e">
        <f t="shared" si="64"/>
        <v>#DIV/0!</v>
      </c>
      <c r="S141" s="638" t="e">
        <f>ROUNDDOWN(AB141,1)</f>
        <v>#DIV/0!</v>
      </c>
      <c r="T141" s="559"/>
      <c r="U141" s="652"/>
      <c r="V141" s="559"/>
      <c r="X141" s="639" t="e">
        <f>X142*Y142+X143*Y143</f>
        <v>#DIV/0!</v>
      </c>
      <c r="Y141" s="640" t="e">
        <f>重み!D141</f>
        <v>#DIV/0!</v>
      </c>
      <c r="Z141" s="639" t="e">
        <f>Z142*AA142+Z143*AA143</f>
        <v>#DIV/0!</v>
      </c>
      <c r="AA141" s="640" t="e">
        <f>重み!E141</f>
        <v>#DIV/0!</v>
      </c>
      <c r="AB141" s="614" t="e">
        <f>IF(Z141=0,X141,IF(X141=0,Z141,X141*AD$6+Z141*AF$6))</f>
        <v>#DIV/0!</v>
      </c>
      <c r="AC141" s="559"/>
      <c r="AD141" s="590" t="e">
        <f>重み!M141</f>
        <v>#DIV/0!</v>
      </c>
      <c r="AE141" s="574"/>
      <c r="AF141" s="590" t="e">
        <f>重み!N141</f>
        <v>#DIV/0!</v>
      </c>
      <c r="AH141" s="2536">
        <v>3</v>
      </c>
      <c r="AI141" s="2536"/>
      <c r="AJ141" s="2536"/>
      <c r="AK141" s="2536"/>
      <c r="AL141" s="2536"/>
      <c r="AM141" s="2536">
        <v>4</v>
      </c>
      <c r="AN141" s="2536"/>
      <c r="AO141" s="2536"/>
      <c r="AP141" s="2536"/>
      <c r="AQ141" s="2536"/>
      <c r="AR141" s="2533" t="e">
        <f t="shared" ref="AR141:AR153" si="90">ROUNDDOWN(AV141,1)</f>
        <v>#DIV/0!</v>
      </c>
      <c r="AS141" s="855" t="e">
        <f>P141</f>
        <v>#DIV/0!</v>
      </c>
      <c r="AT141" s="683"/>
      <c r="AU141" s="2507"/>
      <c r="AV141" s="2532" t="e">
        <f>SUMPRODUCT($AY$7:$BH$7,AH141:AQ141)/AX141</f>
        <v>#DIV/0!</v>
      </c>
      <c r="AX141" s="2531" t="e">
        <f>SUMPRODUCT($AY$7:$BH$7,AY141:BH141)</f>
        <v>#DIV/0!</v>
      </c>
      <c r="AY141" s="2517">
        <f t="shared" ref="AY141:BH141" si="91">IF(AH141&gt;0,1,0)</f>
        <v>1</v>
      </c>
      <c r="AZ141" s="2517">
        <f t="shared" si="91"/>
        <v>0</v>
      </c>
      <c r="BA141" s="2517">
        <f t="shared" si="91"/>
        <v>0</v>
      </c>
      <c r="BB141" s="2517">
        <f t="shared" si="91"/>
        <v>0</v>
      </c>
      <c r="BC141" s="2517">
        <f t="shared" si="91"/>
        <v>0</v>
      </c>
      <c r="BD141" s="2517">
        <f t="shared" si="91"/>
        <v>1</v>
      </c>
      <c r="BE141" s="2517">
        <f t="shared" si="91"/>
        <v>0</v>
      </c>
      <c r="BF141" s="2517">
        <f t="shared" si="91"/>
        <v>0</v>
      </c>
      <c r="BG141" s="2517">
        <f t="shared" si="91"/>
        <v>0</v>
      </c>
      <c r="BH141" s="2517">
        <f t="shared" si="91"/>
        <v>0</v>
      </c>
      <c r="BJ141" s="1"/>
      <c r="BK141" s="1"/>
      <c r="BL141" s="2950"/>
    </row>
    <row r="142" spans="1:64" ht="14.25" thickBot="1">
      <c r="A142" s="94"/>
      <c r="B142" s="707"/>
      <c r="C142" s="676">
        <v>1.1000000000000001</v>
      </c>
      <c r="D142" s="646" t="s">
        <v>1057</v>
      </c>
      <c r="E142" s="646"/>
      <c r="F142" s="692"/>
      <c r="G142" s="648">
        <v>5</v>
      </c>
      <c r="H142" s="648"/>
      <c r="I142" s="2764"/>
      <c r="J142" s="3345"/>
      <c r="K142" s="3346"/>
      <c r="L142" s="3346"/>
      <c r="M142" s="3346"/>
      <c r="N142" s="3348"/>
      <c r="O142" s="818">
        <f>ROUNDDOWN(U142,1)</f>
        <v>3</v>
      </c>
      <c r="P142" s="822" t="e">
        <f t="shared" si="63"/>
        <v>#DIV/0!</v>
      </c>
      <c r="Q142" s="761">
        <f>ROUNDDOWN(V142,1)</f>
        <v>0</v>
      </c>
      <c r="R142" s="690" t="e">
        <f t="shared" si="64"/>
        <v>#DIV/0!</v>
      </c>
      <c r="S142" s="651"/>
      <c r="T142" s="559"/>
      <c r="U142" s="721">
        <f>採点LR2!F8</f>
        <v>3</v>
      </c>
      <c r="V142" s="831"/>
      <c r="X142" s="661">
        <f>O142</f>
        <v>3</v>
      </c>
      <c r="Y142" s="640" t="e">
        <f>重み!D142</f>
        <v>#DIV/0!</v>
      </c>
      <c r="Z142" s="700"/>
      <c r="AA142" s="640" t="e">
        <f>重み!E142</f>
        <v>#DIV/0!</v>
      </c>
      <c r="AB142" s="614"/>
      <c r="AC142" s="559"/>
      <c r="AD142" s="590" t="e">
        <f>重み!M142</f>
        <v>#DIV/0!</v>
      </c>
      <c r="AE142" s="574"/>
      <c r="AF142" s="590" t="e">
        <f>重み!N142</f>
        <v>#DIV/0!</v>
      </c>
      <c r="AR142" s="2565">
        <f t="shared" si="90"/>
        <v>0</v>
      </c>
      <c r="BJ142" s="1" t="s">
        <v>3575</v>
      </c>
      <c r="BK142" s="1">
        <f>IF(AND(ISERROR(O142)=FALSE,ISERROR(P142)=FALSE,ISERROR(Q142)=FALSE,ISERROR(R142)=FALSE),IF(OR(AND(O142&gt;3,P142&gt;0),AND(Q142&gt;3,R142&gt;0)),MAX(O142,Q142),0),0)</f>
        <v>0</v>
      </c>
      <c r="BL142" s="2950" t="str">
        <f>IF(J142=0,"",J142)</f>
        <v/>
      </c>
    </row>
    <row r="143" spans="1:64" ht="14.25" thickBot="1">
      <c r="A143" s="94"/>
      <c r="B143" s="707"/>
      <c r="C143" s="835">
        <v>1.2</v>
      </c>
      <c r="D143" s="685" t="s">
        <v>1058</v>
      </c>
      <c r="E143" s="645"/>
      <c r="F143" s="687"/>
      <c r="G143" s="648">
        <v>5</v>
      </c>
      <c r="H143" s="648"/>
      <c r="I143" s="2764"/>
      <c r="J143" s="2924"/>
      <c r="K143" s="2925"/>
      <c r="L143" s="2925"/>
      <c r="M143" s="2925"/>
      <c r="N143" s="2926"/>
      <c r="O143" s="708" t="e">
        <f>ROUNDDOWN(X143,1)</f>
        <v>#DIV/0!</v>
      </c>
      <c r="P143" s="636" t="e">
        <f t="shared" ref="P143:P174" si="92">Y143</f>
        <v>#DIV/0!</v>
      </c>
      <c r="Q143" s="751" t="e">
        <f>ROUNDDOWN(Z143,1)</f>
        <v>#DIV/0!</v>
      </c>
      <c r="R143" s="637" t="e">
        <f t="shared" ref="R143:R175" si="93">AA143</f>
        <v>#DIV/0!</v>
      </c>
      <c r="S143" s="638"/>
      <c r="T143" s="559"/>
      <c r="U143" s="836"/>
      <c r="V143" s="559"/>
      <c r="X143" s="639" t="e">
        <f>SUMPRODUCT(X144:X145,Y144:Y145)</f>
        <v>#DIV/0!</v>
      </c>
      <c r="Y143" s="640" t="e">
        <f>重み!D143</f>
        <v>#DIV/0!</v>
      </c>
      <c r="Z143" s="639" t="e">
        <f>SUMPRODUCT(Z144:Z145,AA144:AA145)</f>
        <v>#DIV/0!</v>
      </c>
      <c r="AA143" s="640" t="e">
        <f>重み!E143</f>
        <v>#DIV/0!</v>
      </c>
      <c r="AB143" s="614"/>
      <c r="AC143" s="559"/>
      <c r="AD143" s="590" t="e">
        <f>重み!M143</f>
        <v>#DIV/0!</v>
      </c>
      <c r="AE143" s="574"/>
      <c r="AF143" s="590" t="e">
        <f>重み!N143</f>
        <v>#DIV/0!</v>
      </c>
      <c r="AR143" s="2565">
        <f t="shared" si="90"/>
        <v>0</v>
      </c>
      <c r="BJ143" s="1"/>
      <c r="BK143" s="1"/>
      <c r="BL143" s="2950"/>
    </row>
    <row r="144" spans="1:64">
      <c r="A144" s="94"/>
      <c r="B144" s="707"/>
      <c r="C144" s="837"/>
      <c r="D144" s="654">
        <v>1</v>
      </c>
      <c r="E144" s="646" t="s">
        <v>1059</v>
      </c>
      <c r="F144" s="692"/>
      <c r="G144" s="648"/>
      <c r="H144" s="2798" t="s">
        <v>3381</v>
      </c>
      <c r="I144" s="2768" t="s">
        <v>3379</v>
      </c>
      <c r="J144" s="3345"/>
      <c r="K144" s="3346"/>
      <c r="L144" s="3346"/>
      <c r="M144" s="3346"/>
      <c r="N144" s="3348"/>
      <c r="O144" s="657">
        <f>ROUNDDOWN(U144,1)</f>
        <v>3</v>
      </c>
      <c r="P144" s="753" t="e">
        <f t="shared" si="92"/>
        <v>#DIV/0!</v>
      </c>
      <c r="Q144" s="754">
        <f>ROUNDDOWN(V144,1)</f>
        <v>0</v>
      </c>
      <c r="R144" s="637" t="e">
        <f t="shared" si="93"/>
        <v>#DIV/0!</v>
      </c>
      <c r="S144" s="638"/>
      <c r="T144" s="559"/>
      <c r="U144" s="749">
        <f>採点LR2!F18</f>
        <v>3</v>
      </c>
      <c r="V144" s="831"/>
      <c r="X144" s="661">
        <f>O144</f>
        <v>3</v>
      </c>
      <c r="Y144" s="640" t="e">
        <f>重み!D144</f>
        <v>#DIV/0!</v>
      </c>
      <c r="Z144" s="700"/>
      <c r="AA144" s="640" t="e">
        <f>重み!E144</f>
        <v>#DIV/0!</v>
      </c>
      <c r="AB144" s="614"/>
      <c r="AC144" s="559"/>
      <c r="AD144" s="590" t="e">
        <f>重み!M144</f>
        <v>#DIV/0!</v>
      </c>
      <c r="AE144" s="574"/>
      <c r="AF144" s="590" t="e">
        <f>重み!N144</f>
        <v>#DIV/0!</v>
      </c>
      <c r="AR144" s="2565">
        <f t="shared" si="90"/>
        <v>0</v>
      </c>
      <c r="BJ144" s="1" t="s">
        <v>3576</v>
      </c>
      <c r="BK144" s="1">
        <f>IF(AND(ISERROR(O144)=FALSE,ISERROR(P144)=FALSE,ISERROR(Q144)=FALSE,ISERROR(R144)=FALSE),IF(OR(AND(O144&gt;3,P144&gt;0),AND(Q144&gt;3,R144&gt;0)),MAX(O144,Q144),0),0)</f>
        <v>0</v>
      </c>
      <c r="BL144" s="2950" t="str">
        <f t="shared" ref="BL144:BL145" si="94">IF(J144=0,"",J144)</f>
        <v/>
      </c>
    </row>
    <row r="145" spans="1:64" ht="14.25" thickBot="1">
      <c r="A145" s="94"/>
      <c r="B145" s="757"/>
      <c r="C145" s="838"/>
      <c r="D145" s="654">
        <v>2</v>
      </c>
      <c r="E145" s="3349" t="s">
        <v>1060</v>
      </c>
      <c r="F145" s="3350"/>
      <c r="G145" s="648"/>
      <c r="H145" s="2799"/>
      <c r="I145" s="2764"/>
      <c r="J145" s="3345"/>
      <c r="K145" s="3346"/>
      <c r="L145" s="3346"/>
      <c r="M145" s="3346"/>
      <c r="N145" s="3348"/>
      <c r="O145" s="665">
        <f>ROUNDDOWN(U145,1)</f>
        <v>3</v>
      </c>
      <c r="P145" s="753" t="e">
        <f t="shared" si="92"/>
        <v>#DIV/0!</v>
      </c>
      <c r="Q145" s="754">
        <f>ROUNDDOWN(V145,1)</f>
        <v>0</v>
      </c>
      <c r="R145" s="637" t="e">
        <f t="shared" si="93"/>
        <v>#DIV/0!</v>
      </c>
      <c r="S145" s="638"/>
      <c r="T145" s="559"/>
      <c r="U145" s="749">
        <f>採点LR2!K18</f>
        <v>3</v>
      </c>
      <c r="V145" s="831"/>
      <c r="X145" s="661">
        <f>O145</f>
        <v>3</v>
      </c>
      <c r="Y145" s="640" t="e">
        <f>重み!D145</f>
        <v>#DIV/0!</v>
      </c>
      <c r="Z145" s="700"/>
      <c r="AA145" s="640" t="e">
        <f>重み!E145</f>
        <v>#DIV/0!</v>
      </c>
      <c r="AB145" s="614"/>
      <c r="AC145" s="559"/>
      <c r="AD145" s="590" t="e">
        <f>重み!M145</f>
        <v>#DIV/0!</v>
      </c>
      <c r="AE145" s="574"/>
      <c r="AF145" s="590" t="e">
        <f>重み!N145</f>
        <v>#DIV/0!</v>
      </c>
      <c r="AR145" s="2565">
        <f t="shared" si="90"/>
        <v>0</v>
      </c>
      <c r="BJ145" s="1" t="s">
        <v>3577</v>
      </c>
      <c r="BK145" s="1">
        <f>IF(AND(ISERROR(O145)=FALSE,ISERROR(P145)=FALSE,ISERROR(Q145)=FALSE,ISERROR(R145)=FALSE),IF(OR(AND(O145&gt;3,P145&gt;0),AND(Q145&gt;3,R145&gt;0)),MAX(O145,Q145),0),0)</f>
        <v>0</v>
      </c>
      <c r="BL145" s="2950" t="str">
        <f t="shared" si="94"/>
        <v/>
      </c>
    </row>
    <row r="146" spans="1:64" ht="14.25" thickBot="1">
      <c r="A146" s="94"/>
      <c r="B146" s="819">
        <v>2</v>
      </c>
      <c r="C146" s="2564" t="s">
        <v>1061</v>
      </c>
      <c r="D146" s="2564"/>
      <c r="E146" s="2564"/>
      <c r="F146" s="687"/>
      <c r="G146" s="648"/>
      <c r="H146" s="719"/>
      <c r="I146" s="2765"/>
      <c r="J146" s="2927"/>
      <c r="K146" s="2928"/>
      <c r="L146" s="2928"/>
      <c r="M146" s="2928"/>
      <c r="N146" s="2929"/>
      <c r="O146" s="708" t="e">
        <f>ROUNDDOWN(X146,1)</f>
        <v>#DIV/0!</v>
      </c>
      <c r="P146" s="681" t="e">
        <f t="shared" si="92"/>
        <v>#DIV/0!</v>
      </c>
      <c r="Q146" s="789" t="e">
        <f>ROUNDDOWN(Z146,1)</f>
        <v>#DIV/0!</v>
      </c>
      <c r="R146" s="682" t="e">
        <f t="shared" si="93"/>
        <v>#DIV/0!</v>
      </c>
      <c r="S146" s="683" t="e">
        <f>ROUNDDOWN(AB146,1)</f>
        <v>#DIV/0!</v>
      </c>
      <c r="T146" s="559"/>
      <c r="U146" s="836"/>
      <c r="V146" s="559"/>
      <c r="X146" s="639" t="e">
        <f>X147*Y147+X148*Y148+X149*Y149+X150*Y150+X151*Y151+X152*Y152</f>
        <v>#DIV/0!</v>
      </c>
      <c r="Y146" s="640" t="e">
        <f>重み!D146</f>
        <v>#DIV/0!</v>
      </c>
      <c r="Z146" s="639" t="e">
        <f>Z147*AA147+Z148*AA148+Z149*AA149+Z150*AA150+Z151*AA151+Z152*AA152</f>
        <v>#DIV/0!</v>
      </c>
      <c r="AA146" s="640" t="e">
        <f>重み!E146</f>
        <v>#DIV/0!</v>
      </c>
      <c r="AB146" s="614" t="e">
        <f>IF(Z146=0,X146,IF(X146=0,Z146,X146*AD$6+Z146*AF$6))</f>
        <v>#DIV/0!</v>
      </c>
      <c r="AC146" s="559"/>
      <c r="AD146" s="590" t="e">
        <f>重み!M146</f>
        <v>#DIV/0!</v>
      </c>
      <c r="AE146" s="574"/>
      <c r="AF146" s="590" t="e">
        <f>重み!N146</f>
        <v>#DIV/0!</v>
      </c>
      <c r="AH146" s="2536">
        <v>3</v>
      </c>
      <c r="AI146" s="2536"/>
      <c r="AJ146" s="2536"/>
      <c r="AK146" s="2536"/>
      <c r="AL146" s="2536"/>
      <c r="AM146" s="2536">
        <v>4</v>
      </c>
      <c r="AN146" s="2536"/>
      <c r="AO146" s="2536"/>
      <c r="AP146" s="2536"/>
      <c r="AQ146" s="2536"/>
      <c r="AR146" s="2533" t="e">
        <f t="shared" si="90"/>
        <v>#DIV/0!</v>
      </c>
      <c r="AS146" s="855" t="e">
        <f>P146</f>
        <v>#DIV/0!</v>
      </c>
      <c r="AT146" s="683"/>
      <c r="AU146" s="2507"/>
      <c r="AV146" s="2532" t="e">
        <f>SUMPRODUCT($AY$7:$BH$7,AH146:AQ146)/AX146</f>
        <v>#DIV/0!</v>
      </c>
      <c r="AX146" s="2531" t="e">
        <f>SUMPRODUCT($AY$7:$BH$7,AY146:BH146)</f>
        <v>#DIV/0!</v>
      </c>
      <c r="AY146" s="2517">
        <f t="shared" ref="AY146:BH146" si="95">IF(AH146&gt;0,1,0)</f>
        <v>1</v>
      </c>
      <c r="AZ146" s="2517">
        <f t="shared" si="95"/>
        <v>0</v>
      </c>
      <c r="BA146" s="2517">
        <f t="shared" si="95"/>
        <v>0</v>
      </c>
      <c r="BB146" s="2517">
        <f t="shared" si="95"/>
        <v>0</v>
      </c>
      <c r="BC146" s="2517">
        <f t="shared" si="95"/>
        <v>0</v>
      </c>
      <c r="BD146" s="2517">
        <f t="shared" si="95"/>
        <v>1</v>
      </c>
      <c r="BE146" s="2517">
        <f t="shared" si="95"/>
        <v>0</v>
      </c>
      <c r="BF146" s="2517">
        <f t="shared" si="95"/>
        <v>0</v>
      </c>
      <c r="BG146" s="2517">
        <f t="shared" si="95"/>
        <v>0</v>
      </c>
      <c r="BH146" s="2517">
        <f t="shared" si="95"/>
        <v>0</v>
      </c>
      <c r="BJ146" s="1"/>
      <c r="BK146" s="1"/>
      <c r="BL146" s="2950"/>
    </row>
    <row r="147" spans="1:64" ht="21">
      <c r="A147" s="94"/>
      <c r="B147" s="821"/>
      <c r="C147" s="676">
        <v>2.1</v>
      </c>
      <c r="D147" s="774" t="s">
        <v>1062</v>
      </c>
      <c r="E147" s="646"/>
      <c r="F147" s="692"/>
      <c r="G147" s="648"/>
      <c r="H147" s="2767" t="s">
        <v>3382</v>
      </c>
      <c r="I147" s="2800" t="s">
        <v>3392</v>
      </c>
      <c r="J147" s="3345"/>
      <c r="K147" s="3346"/>
      <c r="L147" s="3346"/>
      <c r="M147" s="3346"/>
      <c r="N147" s="3348"/>
      <c r="O147" s="657">
        <f t="shared" ref="O147:O152" si="96">ROUNDDOWN(U147,1)</f>
        <v>3</v>
      </c>
      <c r="P147" s="753" t="e">
        <f t="shared" si="92"/>
        <v>#DIV/0!</v>
      </c>
      <c r="Q147" s="754">
        <f t="shared" ref="Q147:Q152" si="97">ROUNDDOWN(V147,1)</f>
        <v>0</v>
      </c>
      <c r="R147" s="637" t="e">
        <f t="shared" si="93"/>
        <v>#DIV/0!</v>
      </c>
      <c r="S147" s="638"/>
      <c r="T147" s="559"/>
      <c r="U147" s="839">
        <f>採点LR2!F29</f>
        <v>3</v>
      </c>
      <c r="V147" s="831"/>
      <c r="X147" s="840">
        <f t="shared" ref="X147:X152" si="98">O147</f>
        <v>3</v>
      </c>
      <c r="Y147" s="640" t="e">
        <f>重み!D147</f>
        <v>#DIV/0!</v>
      </c>
      <c r="Z147" s="700"/>
      <c r="AA147" s="640" t="e">
        <f>重み!E147</f>
        <v>#DIV/0!</v>
      </c>
      <c r="AB147" s="614"/>
      <c r="AC147" s="559"/>
      <c r="AD147" s="590" t="e">
        <f>重み!M147</f>
        <v>#DIV/0!</v>
      </c>
      <c r="AE147" s="574"/>
      <c r="AF147" s="590" t="e">
        <f>重み!N147</f>
        <v>#DIV/0!</v>
      </c>
      <c r="AR147" s="2565">
        <f t="shared" si="90"/>
        <v>0</v>
      </c>
      <c r="BJ147" s="1" t="s">
        <v>3578</v>
      </c>
      <c r="BK147" s="1">
        <f t="shared" ref="BK147:BK152" si="99">IF(AND(ISERROR(O147)=FALSE,ISERROR(P147)=FALSE,ISERROR(Q147)=FALSE,ISERROR(R147)=FALSE),IF(OR(AND(O147&gt;3,P147&gt;0),AND(Q147&gt;3,R147&gt;0)),MAX(O147,Q147),0),0)</f>
        <v>0</v>
      </c>
      <c r="BL147" s="2950" t="str">
        <f t="shared" ref="BL147:BL152" si="100">IF(J147=0,"",J147)</f>
        <v/>
      </c>
    </row>
    <row r="148" spans="1:64">
      <c r="A148" s="94"/>
      <c r="B148" s="713"/>
      <c r="C148" s="676">
        <v>2.2000000000000002</v>
      </c>
      <c r="D148" s="774" t="s">
        <v>1063</v>
      </c>
      <c r="E148" s="646"/>
      <c r="F148" s="692"/>
      <c r="G148" s="648">
        <v>5</v>
      </c>
      <c r="H148" s="648"/>
      <c r="I148" s="2769"/>
      <c r="J148" s="3345"/>
      <c r="K148" s="3346"/>
      <c r="L148" s="3346"/>
      <c r="M148" s="3346"/>
      <c r="N148" s="3348"/>
      <c r="O148" s="672">
        <f t="shared" si="96"/>
        <v>3</v>
      </c>
      <c r="P148" s="753" t="e">
        <f t="shared" si="92"/>
        <v>#DIV/0!</v>
      </c>
      <c r="Q148" s="754">
        <f t="shared" si="97"/>
        <v>0</v>
      </c>
      <c r="R148" s="637" t="e">
        <f t="shared" si="93"/>
        <v>#DIV/0!</v>
      </c>
      <c r="S148" s="638"/>
      <c r="T148" s="559"/>
      <c r="U148" s="841">
        <f>採点LR2!F55</f>
        <v>3</v>
      </c>
      <c r="V148" s="559"/>
      <c r="X148" s="840">
        <f t="shared" si="98"/>
        <v>3</v>
      </c>
      <c r="Y148" s="640" t="e">
        <f>重み!D148</f>
        <v>#DIV/0!</v>
      </c>
      <c r="Z148" s="700"/>
      <c r="AA148" s="640" t="e">
        <f>重み!E148</f>
        <v>#DIV/0!</v>
      </c>
      <c r="AB148" s="614"/>
      <c r="AC148" s="559"/>
      <c r="AD148" s="590" t="e">
        <f>重み!M148</f>
        <v>#DIV/0!</v>
      </c>
      <c r="AE148" s="574"/>
      <c r="AF148" s="590" t="e">
        <f>重み!N148</f>
        <v>#DIV/0!</v>
      </c>
      <c r="AR148" s="2565">
        <f t="shared" si="90"/>
        <v>0</v>
      </c>
      <c r="BJ148" s="1" t="s">
        <v>3579</v>
      </c>
      <c r="BK148" s="1">
        <f t="shared" si="99"/>
        <v>0</v>
      </c>
      <c r="BL148" s="2950" t="str">
        <f t="shared" si="100"/>
        <v/>
      </c>
    </row>
    <row r="149" spans="1:64" ht="21">
      <c r="A149" s="94"/>
      <c r="B149" s="707"/>
      <c r="C149" s="676">
        <v>2.2999999999999998</v>
      </c>
      <c r="D149" s="646" t="s">
        <v>1064</v>
      </c>
      <c r="E149" s="646"/>
      <c r="F149" s="692"/>
      <c r="G149" s="648"/>
      <c r="H149" s="2794" t="s">
        <v>3382</v>
      </c>
      <c r="I149" s="2801" t="s">
        <v>3392</v>
      </c>
      <c r="J149" s="3345">
        <f>採点LR2!K71</f>
        <v>0</v>
      </c>
      <c r="K149" s="3353"/>
      <c r="L149" s="3353"/>
      <c r="M149" s="3353"/>
      <c r="N149" s="3354"/>
      <c r="O149" s="672">
        <f t="shared" si="96"/>
        <v>3</v>
      </c>
      <c r="P149" s="753" t="e">
        <f t="shared" si="92"/>
        <v>#DIV/0!</v>
      </c>
      <c r="Q149" s="754">
        <f t="shared" si="97"/>
        <v>0</v>
      </c>
      <c r="R149" s="637" t="e">
        <f t="shared" si="93"/>
        <v>#DIV/0!</v>
      </c>
      <c r="S149" s="638"/>
      <c r="T149" s="559"/>
      <c r="U149" s="839">
        <f>採点LR2!F64</f>
        <v>3</v>
      </c>
      <c r="V149" s="831"/>
      <c r="X149" s="840">
        <f t="shared" si="98"/>
        <v>3</v>
      </c>
      <c r="Y149" s="640" t="e">
        <f>重み!D149</f>
        <v>#DIV/0!</v>
      </c>
      <c r="Z149" s="700"/>
      <c r="AA149" s="640" t="e">
        <f>重み!E149</f>
        <v>#DIV/0!</v>
      </c>
      <c r="AB149" s="614"/>
      <c r="AC149" s="559"/>
      <c r="AD149" s="590" t="e">
        <f>重み!M149</f>
        <v>#DIV/0!</v>
      </c>
      <c r="AE149" s="574"/>
      <c r="AF149" s="590" t="e">
        <f>重み!N149</f>
        <v>#DIV/0!</v>
      </c>
      <c r="AR149" s="2565">
        <f t="shared" si="90"/>
        <v>0</v>
      </c>
      <c r="BJ149" s="1" t="s">
        <v>3580</v>
      </c>
      <c r="BK149" s="1">
        <f t="shared" si="99"/>
        <v>0</v>
      </c>
      <c r="BL149" s="2950" t="str">
        <f t="shared" si="100"/>
        <v/>
      </c>
    </row>
    <row r="150" spans="1:64" ht="21">
      <c r="A150" s="94"/>
      <c r="B150" s="707"/>
      <c r="C150" s="676">
        <v>2.4</v>
      </c>
      <c r="D150" s="3351" t="s">
        <v>38</v>
      </c>
      <c r="E150" s="3352"/>
      <c r="F150" s="3350"/>
      <c r="G150" s="648"/>
      <c r="H150" s="2794" t="s">
        <v>3382</v>
      </c>
      <c r="I150" s="2802" t="s">
        <v>3393</v>
      </c>
      <c r="J150" s="3345">
        <f>採点LR2!K100</f>
        <v>0</v>
      </c>
      <c r="K150" s="3353"/>
      <c r="L150" s="3353"/>
      <c r="M150" s="3353"/>
      <c r="N150" s="3354"/>
      <c r="O150" s="672">
        <f t="shared" si="96"/>
        <v>3</v>
      </c>
      <c r="P150" s="753" t="e">
        <f t="shared" si="92"/>
        <v>#DIV/0!</v>
      </c>
      <c r="Q150" s="754">
        <f t="shared" si="97"/>
        <v>0</v>
      </c>
      <c r="R150" s="637" t="e">
        <f t="shared" si="93"/>
        <v>#DIV/0!</v>
      </c>
      <c r="S150" s="638"/>
      <c r="T150" s="559"/>
      <c r="U150" s="839">
        <f>採点LR2!F93</f>
        <v>3</v>
      </c>
      <c r="V150" s="831"/>
      <c r="X150" s="840">
        <f t="shared" si="98"/>
        <v>3</v>
      </c>
      <c r="Y150" s="640" t="e">
        <f>重み!D150</f>
        <v>#DIV/0!</v>
      </c>
      <c r="Z150" s="700"/>
      <c r="AA150" s="640" t="e">
        <f>重み!E150</f>
        <v>#DIV/0!</v>
      </c>
      <c r="AB150" s="614"/>
      <c r="AC150" s="559"/>
      <c r="AD150" s="590" t="e">
        <f>重み!M150</f>
        <v>#DIV/0!</v>
      </c>
      <c r="AE150" s="574"/>
      <c r="AF150" s="590" t="e">
        <f>重み!N150</f>
        <v>#DIV/0!</v>
      </c>
      <c r="AR150" s="2565">
        <f t="shared" si="90"/>
        <v>0</v>
      </c>
      <c r="BJ150" s="1" t="s">
        <v>3581</v>
      </c>
      <c r="BK150" s="1">
        <f t="shared" si="99"/>
        <v>0</v>
      </c>
      <c r="BL150" s="2950" t="str">
        <f t="shared" si="100"/>
        <v/>
      </c>
    </row>
    <row r="151" spans="1:64" ht="21">
      <c r="A151" s="94"/>
      <c r="B151" s="713"/>
      <c r="C151" s="676">
        <v>2.5</v>
      </c>
      <c r="D151" s="774" t="s">
        <v>1065</v>
      </c>
      <c r="E151" s="646"/>
      <c r="F151" s="692"/>
      <c r="G151" s="648">
        <v>5</v>
      </c>
      <c r="H151" s="2803" t="s">
        <v>3381</v>
      </c>
      <c r="I151" s="2802" t="s">
        <v>3392</v>
      </c>
      <c r="J151" s="3345"/>
      <c r="K151" s="3346"/>
      <c r="L151" s="3346"/>
      <c r="M151" s="3346"/>
      <c r="N151" s="3348"/>
      <c r="O151" s="672">
        <f t="shared" si="96"/>
        <v>3</v>
      </c>
      <c r="P151" s="753" t="e">
        <f t="shared" si="92"/>
        <v>#DIV/0!</v>
      </c>
      <c r="Q151" s="754">
        <f t="shared" si="97"/>
        <v>0</v>
      </c>
      <c r="R151" s="637" t="e">
        <f t="shared" si="93"/>
        <v>#DIV/0!</v>
      </c>
      <c r="S151" s="638"/>
      <c r="T151" s="559"/>
      <c r="U151" s="839">
        <f>採点LR2!F155</f>
        <v>3</v>
      </c>
      <c r="V151" s="831"/>
      <c r="X151" s="840">
        <f t="shared" si="98"/>
        <v>3</v>
      </c>
      <c r="Y151" s="640" t="e">
        <f>重み!D151</f>
        <v>#DIV/0!</v>
      </c>
      <c r="Z151" s="700"/>
      <c r="AA151" s="640" t="e">
        <f>重み!E151</f>
        <v>#DIV/0!</v>
      </c>
      <c r="AB151" s="614"/>
      <c r="AC151" s="559"/>
      <c r="AD151" s="590" t="e">
        <f>重み!M151</f>
        <v>#DIV/0!</v>
      </c>
      <c r="AE151" s="574"/>
      <c r="AF151" s="590" t="e">
        <f>重み!N151</f>
        <v>#DIV/0!</v>
      </c>
      <c r="AR151" s="2565">
        <f t="shared" si="90"/>
        <v>0</v>
      </c>
      <c r="BJ151" s="1" t="s">
        <v>3582</v>
      </c>
      <c r="BK151" s="1">
        <f t="shared" si="99"/>
        <v>0</v>
      </c>
      <c r="BL151" s="2950" t="str">
        <f t="shared" si="100"/>
        <v/>
      </c>
    </row>
    <row r="152" spans="1:64" ht="14.25" thickBot="1">
      <c r="A152" s="94"/>
      <c r="B152" s="842"/>
      <c r="C152" s="676">
        <v>2.6</v>
      </c>
      <c r="D152" s="774" t="s">
        <v>3269</v>
      </c>
      <c r="E152" s="646"/>
      <c r="F152" s="692"/>
      <c r="G152" s="648">
        <v>5</v>
      </c>
      <c r="H152" s="2796" t="s">
        <v>3382</v>
      </c>
      <c r="I152" s="2797" t="s">
        <v>3379</v>
      </c>
      <c r="J152" s="3345"/>
      <c r="K152" s="3346"/>
      <c r="L152" s="3346"/>
      <c r="M152" s="3346"/>
      <c r="N152" s="3348"/>
      <c r="O152" s="665">
        <f t="shared" si="96"/>
        <v>3</v>
      </c>
      <c r="P152" s="753" t="e">
        <f t="shared" si="92"/>
        <v>#DIV/0!</v>
      </c>
      <c r="Q152" s="754">
        <f t="shared" si="97"/>
        <v>0</v>
      </c>
      <c r="R152" s="637" t="e">
        <f t="shared" si="93"/>
        <v>#DIV/0!</v>
      </c>
      <c r="S152" s="638"/>
      <c r="T152" s="559"/>
      <c r="U152" s="843">
        <f>採点LR2!F168</f>
        <v>3</v>
      </c>
      <c r="V152" s="559"/>
      <c r="X152" s="840">
        <f t="shared" si="98"/>
        <v>3</v>
      </c>
      <c r="Y152" s="640" t="e">
        <f>重み!D152</f>
        <v>#DIV/0!</v>
      </c>
      <c r="Z152" s="700"/>
      <c r="AA152" s="640" t="e">
        <f>重み!E152</f>
        <v>#DIV/0!</v>
      </c>
      <c r="AB152" s="614"/>
      <c r="AC152" s="559"/>
      <c r="AD152" s="590" t="e">
        <f>重み!M152</f>
        <v>#DIV/0!</v>
      </c>
      <c r="AE152" s="574"/>
      <c r="AF152" s="590" t="e">
        <f>重み!N152</f>
        <v>#DIV/0!</v>
      </c>
      <c r="AR152" s="2565">
        <f t="shared" si="90"/>
        <v>0</v>
      </c>
      <c r="BJ152" s="1" t="s">
        <v>3583</v>
      </c>
      <c r="BK152" s="1">
        <f t="shared" si="99"/>
        <v>0</v>
      </c>
      <c r="BL152" s="2950" t="str">
        <f t="shared" si="100"/>
        <v/>
      </c>
    </row>
    <row r="153" spans="1:64" ht="14.25" thickBot="1">
      <c r="A153" s="94"/>
      <c r="B153" s="819">
        <v>3</v>
      </c>
      <c r="C153" s="2564" t="s">
        <v>1066</v>
      </c>
      <c r="D153" s="774"/>
      <c r="E153" s="646"/>
      <c r="F153" s="692"/>
      <c r="G153" s="648"/>
      <c r="H153" s="719"/>
      <c r="I153" s="2765"/>
      <c r="J153" s="2927"/>
      <c r="K153" s="2928"/>
      <c r="L153" s="2928"/>
      <c r="M153" s="2928"/>
      <c r="N153" s="2929"/>
      <c r="O153" s="708" t="e">
        <f>ROUNDDOWN(X153,1)</f>
        <v>#DIV/0!</v>
      </c>
      <c r="P153" s="681" t="e">
        <f t="shared" si="92"/>
        <v>#DIV/0!</v>
      </c>
      <c r="Q153" s="789" t="e">
        <f>ROUNDDOWN(Z153,1)</f>
        <v>#DIV/0!</v>
      </c>
      <c r="R153" s="682" t="e">
        <f t="shared" si="93"/>
        <v>#DIV/0!</v>
      </c>
      <c r="S153" s="683" t="e">
        <f>ROUNDDOWN(AB153,1)</f>
        <v>#DIV/0!</v>
      </c>
      <c r="T153" s="559"/>
      <c r="U153" s="844"/>
      <c r="V153" s="559"/>
      <c r="X153" s="639" t="e">
        <f>X154*Y154+X155*Y155</f>
        <v>#DIV/0!</v>
      </c>
      <c r="Y153" s="640" t="e">
        <f>重み!D153</f>
        <v>#DIV/0!</v>
      </c>
      <c r="Z153" s="639" t="e">
        <f>Z154*AA154+Z155*AA155</f>
        <v>#DIV/0!</v>
      </c>
      <c r="AA153" s="640" t="e">
        <f>重み!E153</f>
        <v>#DIV/0!</v>
      </c>
      <c r="AB153" s="614" t="e">
        <f>IF(Z153=0,X153,IF(X153=0,Z153,X153*AD$6+Z153*AF$6))</f>
        <v>#DIV/0!</v>
      </c>
      <c r="AC153" s="559"/>
      <c r="AD153" s="590" t="e">
        <f>重み!M153</f>
        <v>#DIV/0!</v>
      </c>
      <c r="AE153" s="574"/>
      <c r="AF153" s="590" t="e">
        <f>重み!N153</f>
        <v>#DIV/0!</v>
      </c>
      <c r="AH153" s="2536">
        <v>3</v>
      </c>
      <c r="AI153" s="2536"/>
      <c r="AJ153" s="2536"/>
      <c r="AK153" s="2536"/>
      <c r="AL153" s="2536"/>
      <c r="AM153" s="2536">
        <v>4</v>
      </c>
      <c r="AN153" s="2536"/>
      <c r="AO153" s="2536"/>
      <c r="AP153" s="2536"/>
      <c r="AQ153" s="2536"/>
      <c r="AR153" s="2533" t="e">
        <f t="shared" si="90"/>
        <v>#DIV/0!</v>
      </c>
      <c r="AS153" s="855" t="e">
        <f>P153</f>
        <v>#DIV/0!</v>
      </c>
      <c r="AT153" s="683"/>
      <c r="AU153" s="2507"/>
      <c r="AV153" s="2532" t="e">
        <f>SUMPRODUCT($AY$7:$BH$7,AH153:AQ153)/AX153</f>
        <v>#DIV/0!</v>
      </c>
      <c r="AX153" s="2531" t="e">
        <f>SUMPRODUCT($AY$7:$BH$7,AY153:BH153)</f>
        <v>#DIV/0!</v>
      </c>
      <c r="AY153" s="2517">
        <f t="shared" ref="AY153:BH153" si="101">IF(AH153&gt;0,1,0)</f>
        <v>1</v>
      </c>
      <c r="AZ153" s="2517">
        <f t="shared" si="101"/>
        <v>0</v>
      </c>
      <c r="BA153" s="2517">
        <f t="shared" si="101"/>
        <v>0</v>
      </c>
      <c r="BB153" s="2517">
        <f t="shared" si="101"/>
        <v>0</v>
      </c>
      <c r="BC153" s="2517">
        <f t="shared" si="101"/>
        <v>0</v>
      </c>
      <c r="BD153" s="2517">
        <f t="shared" si="101"/>
        <v>1</v>
      </c>
      <c r="BE153" s="2517">
        <f t="shared" si="101"/>
        <v>0</v>
      </c>
      <c r="BF153" s="2517">
        <f t="shared" si="101"/>
        <v>0</v>
      </c>
      <c r="BG153" s="2517">
        <f t="shared" si="101"/>
        <v>0</v>
      </c>
      <c r="BH153" s="2517">
        <f t="shared" si="101"/>
        <v>0</v>
      </c>
      <c r="BJ153" s="1"/>
      <c r="BK153" s="1"/>
      <c r="BL153" s="2950"/>
    </row>
    <row r="154" spans="1:64" ht="14.25" thickBot="1">
      <c r="A154" s="94"/>
      <c r="B154" s="713"/>
      <c r="C154" s="676">
        <v>3.1</v>
      </c>
      <c r="D154" s="774" t="s">
        <v>1067</v>
      </c>
      <c r="E154" s="646"/>
      <c r="F154" s="692"/>
      <c r="G154" s="648">
        <v>5</v>
      </c>
      <c r="H154" s="648"/>
      <c r="I154" s="2764"/>
      <c r="J154" s="3345"/>
      <c r="K154" s="3346"/>
      <c r="L154" s="3346"/>
      <c r="M154" s="3346"/>
      <c r="N154" s="3348"/>
      <c r="O154" s="845">
        <f>ROUNDDOWN(U154,1)</f>
        <v>3</v>
      </c>
      <c r="P154" s="753" t="e">
        <f t="shared" si="92"/>
        <v>#DIV/0!</v>
      </c>
      <c r="Q154" s="754">
        <f>ROUNDDOWN(V154,1)</f>
        <v>0</v>
      </c>
      <c r="R154" s="637" t="e">
        <f t="shared" si="93"/>
        <v>#DIV/0!</v>
      </c>
      <c r="S154" s="638"/>
      <c r="T154" s="559"/>
      <c r="U154" s="846">
        <f>採点LR2!F184</f>
        <v>3</v>
      </c>
      <c r="V154" s="559"/>
      <c r="X154" s="840">
        <f>O154</f>
        <v>3</v>
      </c>
      <c r="Y154" s="640" t="e">
        <f>重み!D154</f>
        <v>#DIV/0!</v>
      </c>
      <c r="Z154" s="700"/>
      <c r="AA154" s="640" t="e">
        <f>重み!E154</f>
        <v>#DIV/0!</v>
      </c>
      <c r="AB154" s="614"/>
      <c r="AC154" s="559"/>
      <c r="AD154" s="590" t="e">
        <f>重み!M154</f>
        <v>#DIV/0!</v>
      </c>
      <c r="AE154" s="574"/>
      <c r="AF154" s="590" t="e">
        <f>重み!N154</f>
        <v>#DIV/0!</v>
      </c>
      <c r="BJ154" s="1" t="s">
        <v>3584</v>
      </c>
      <c r="BK154" s="1">
        <f>IF(AND(ISERROR(O154)=FALSE,ISERROR(P154)=FALSE,ISERROR(Q154)=FALSE,ISERROR(R154)=FALSE),IF(OR(AND(O154&gt;3,P154&gt;0),AND(Q154&gt;3,R154&gt;0)),MAX(O154,Q154),0),0)</f>
        <v>0</v>
      </c>
      <c r="BL154" s="2950" t="str">
        <f>IF(J154=0,"",J154)</f>
        <v/>
      </c>
    </row>
    <row r="155" spans="1:64" ht="14.25" thickBot="1">
      <c r="A155" s="94"/>
      <c r="B155" s="713"/>
      <c r="C155" s="644">
        <v>3.2</v>
      </c>
      <c r="D155" s="774" t="s">
        <v>1068</v>
      </c>
      <c r="E155" s="645"/>
      <c r="F155" s="687"/>
      <c r="G155" s="648">
        <v>5</v>
      </c>
      <c r="H155" s="648"/>
      <c r="I155" s="2764"/>
      <c r="J155" s="2924"/>
      <c r="K155" s="2925"/>
      <c r="L155" s="2925"/>
      <c r="M155" s="2925"/>
      <c r="N155" s="2942"/>
      <c r="O155" s="708" t="e">
        <f>ROUNDDOWN(X155,1)</f>
        <v>#DIV/0!</v>
      </c>
      <c r="P155" s="636" t="e">
        <f t="shared" si="92"/>
        <v>#DIV/0!</v>
      </c>
      <c r="Q155" s="751" t="e">
        <f>ROUNDDOWN(Z155,1)</f>
        <v>#DIV/0!</v>
      </c>
      <c r="R155" s="796" t="e">
        <f t="shared" si="93"/>
        <v>#DIV/0!</v>
      </c>
      <c r="S155" s="638"/>
      <c r="T155" s="559"/>
      <c r="U155" s="847"/>
      <c r="V155" s="559"/>
      <c r="X155" s="639" t="e">
        <f>SUMPRODUCT(X156:X158,Y156:Y158)</f>
        <v>#DIV/0!</v>
      </c>
      <c r="Y155" s="640" t="e">
        <f>重み!D155</f>
        <v>#DIV/0!</v>
      </c>
      <c r="Z155" s="639" t="e">
        <f>SUMPRODUCT(Z156:Z158,AA156:AA158)</f>
        <v>#DIV/0!</v>
      </c>
      <c r="AA155" s="640" t="e">
        <f>重み!E155</f>
        <v>#DIV/0!</v>
      </c>
      <c r="AB155" s="614"/>
      <c r="AC155" s="559"/>
      <c r="AD155" s="590" t="e">
        <f>重み!M155</f>
        <v>#DIV/0!</v>
      </c>
      <c r="AE155" s="574"/>
      <c r="AF155" s="590" t="e">
        <f>重み!N155</f>
        <v>#DIV/0!</v>
      </c>
      <c r="BJ155" s="1"/>
      <c r="BK155" s="1"/>
      <c r="BL155" s="2950"/>
    </row>
    <row r="156" spans="1:64">
      <c r="A156" s="94"/>
      <c r="B156" s="713"/>
      <c r="C156" s="653"/>
      <c r="D156" s="654">
        <v>1</v>
      </c>
      <c r="E156" s="646" t="s">
        <v>104</v>
      </c>
      <c r="F156" s="692"/>
      <c r="G156" s="648"/>
      <c r="H156" s="648"/>
      <c r="I156" s="2764"/>
      <c r="J156" s="3345"/>
      <c r="K156" s="3346"/>
      <c r="L156" s="3346"/>
      <c r="M156" s="3346"/>
      <c r="N156" s="3348"/>
      <c r="O156" s="657">
        <f>ROUNDDOWN(U156,1)</f>
        <v>4</v>
      </c>
      <c r="P156" s="753" t="e">
        <f t="shared" si="92"/>
        <v>#DIV/0!</v>
      </c>
      <c r="Q156" s="754">
        <f>ROUNDDOWN(V156,1)</f>
        <v>0</v>
      </c>
      <c r="R156" s="637" t="e">
        <f t="shared" si="93"/>
        <v>#DIV/0!</v>
      </c>
      <c r="S156" s="638"/>
      <c r="T156" s="559"/>
      <c r="U156" s="839">
        <f>採点LR2!F217</f>
        <v>4</v>
      </c>
      <c r="V156" s="831"/>
      <c r="X156" s="840">
        <f>O156</f>
        <v>4</v>
      </c>
      <c r="Y156" s="640" t="e">
        <f>重み!D156</f>
        <v>#DIV/0!</v>
      </c>
      <c r="Z156" s="700"/>
      <c r="AA156" s="640" t="e">
        <f>重み!E156</f>
        <v>#DIV/0!</v>
      </c>
      <c r="AB156" s="614"/>
      <c r="AC156" s="559"/>
      <c r="AD156" s="590" t="e">
        <f>重み!M156</f>
        <v>#DIV/0!</v>
      </c>
      <c r="AE156" s="574"/>
      <c r="AF156" s="590" t="e">
        <f>重み!N156</f>
        <v>#DIV/0!</v>
      </c>
      <c r="BJ156" s="1" t="s">
        <v>3585</v>
      </c>
      <c r="BK156" s="1">
        <f>IF(AND(ISERROR(O156)=FALSE,ISERROR(P156)=FALSE,ISERROR(Q156)=FALSE,ISERROR(R156)=FALSE),IF(OR(AND(O156&gt;3,P156&gt;0),AND(Q156&gt;3,R156&gt;0)),MAX(O156,Q156),0),0)</f>
        <v>0</v>
      </c>
      <c r="BL156" s="2950" t="str">
        <f>IF(J156=0,"",J156)</f>
        <v/>
      </c>
    </row>
    <row r="157" spans="1:64">
      <c r="A157" s="94"/>
      <c r="B157" s="713"/>
      <c r="C157" s="653"/>
      <c r="D157" s="654">
        <v>2</v>
      </c>
      <c r="E157" s="646" t="s">
        <v>105</v>
      </c>
      <c r="F157" s="692"/>
      <c r="G157" s="648"/>
      <c r="H157" s="648"/>
      <c r="I157" s="2764"/>
      <c r="J157" s="3345"/>
      <c r="K157" s="3346"/>
      <c r="L157" s="3346"/>
      <c r="M157" s="3346"/>
      <c r="N157" s="3348"/>
      <c r="O157" s="672">
        <f>ROUNDDOWN(U157,1)</f>
        <v>3</v>
      </c>
      <c r="P157" s="753" t="e">
        <f t="shared" si="92"/>
        <v>#DIV/0!</v>
      </c>
      <c r="Q157" s="754">
        <f>ROUNDDOWN(V157,1)</f>
        <v>0</v>
      </c>
      <c r="R157" s="637" t="e">
        <f t="shared" si="93"/>
        <v>#DIV/0!</v>
      </c>
      <c r="S157" s="638"/>
      <c r="T157" s="559"/>
      <c r="U157" s="839">
        <f>採点LR2!K217</f>
        <v>3</v>
      </c>
      <c r="V157" s="831"/>
      <c r="X157" s="840">
        <f>O157</f>
        <v>3</v>
      </c>
      <c r="Y157" s="640" t="e">
        <f>重み!D157</f>
        <v>#DIV/0!</v>
      </c>
      <c r="Z157" s="700"/>
      <c r="AA157" s="640" t="e">
        <f>重み!E157</f>
        <v>#DIV/0!</v>
      </c>
      <c r="AB157" s="614"/>
      <c r="AC157" s="559"/>
      <c r="AD157" s="590" t="e">
        <f>重み!M157</f>
        <v>#DIV/0!</v>
      </c>
      <c r="AE157" s="574"/>
      <c r="AF157" s="590" t="e">
        <f>重み!N157</f>
        <v>#DIV/0!</v>
      </c>
      <c r="BJ157" s="1" t="s">
        <v>3586</v>
      </c>
      <c r="BK157" s="1">
        <f>IF(AND(ISERROR(O157)=FALSE,ISERROR(P157)=FALSE,ISERROR(Q157)=FALSE,ISERROR(R157)=FALSE),IF(OR(AND(O157&gt;3,P157&gt;0),AND(Q157&gt;3,R157&gt;0)),MAX(O157,Q157),0),0)</f>
        <v>0</v>
      </c>
      <c r="BL157" s="2950" t="str">
        <f>IF(J157=0,"",J157)</f>
        <v/>
      </c>
    </row>
    <row r="158" spans="1:64" ht="14.25" thickBot="1">
      <c r="A158" s="94"/>
      <c r="B158" s="848"/>
      <c r="C158" s="724"/>
      <c r="D158" s="776">
        <v>3</v>
      </c>
      <c r="E158" s="725" t="s">
        <v>106</v>
      </c>
      <c r="F158" s="726"/>
      <c r="G158" s="727"/>
      <c r="H158" s="648"/>
      <c r="I158" s="2764"/>
      <c r="J158" s="3345"/>
      <c r="K158" s="3346"/>
      <c r="L158" s="3346"/>
      <c r="M158" s="3346"/>
      <c r="N158" s="3348"/>
      <c r="O158" s="665">
        <f>ROUNDDOWN(U158,1)</f>
        <v>3</v>
      </c>
      <c r="P158" s="777" t="e">
        <f t="shared" si="92"/>
        <v>#DIV/0!</v>
      </c>
      <c r="Q158" s="778">
        <f>ROUNDDOWN(V158,1)</f>
        <v>0</v>
      </c>
      <c r="R158" s="779" t="e">
        <f t="shared" si="93"/>
        <v>#DIV/0!</v>
      </c>
      <c r="S158" s="728"/>
      <c r="T158" s="559"/>
      <c r="U158" s="843">
        <f>採点LR2!F226</f>
        <v>3</v>
      </c>
      <c r="V158" s="559"/>
      <c r="X158" s="840">
        <f>O158</f>
        <v>3</v>
      </c>
      <c r="Y158" s="640" t="e">
        <f>重み!D158</f>
        <v>#DIV/0!</v>
      </c>
      <c r="Z158" s="700"/>
      <c r="AA158" s="640" t="e">
        <f>重み!E158</f>
        <v>#DIV/0!</v>
      </c>
      <c r="AB158" s="614"/>
      <c r="AC158" s="559"/>
      <c r="AD158" s="590" t="e">
        <f>重み!M158</f>
        <v>#DIV/0!</v>
      </c>
      <c r="AE158" s="574"/>
      <c r="AF158" s="590" t="e">
        <f>重み!N158</f>
        <v>#DIV/0!</v>
      </c>
      <c r="BJ158" s="1" t="s">
        <v>3587</v>
      </c>
      <c r="BK158" s="1">
        <f>IF(AND(ISERROR(O158)=FALSE,ISERROR(P158)=FALSE,ISERROR(Q158)=FALSE,ISERROR(R158)=FALSE),IF(OR(AND(O158&gt;3,P158&gt;0),AND(Q158&gt;3,R158&gt;0)),MAX(O158,Q158),0),0)</f>
        <v>0</v>
      </c>
      <c r="BL158" s="2950" t="str">
        <f>IF(J158=0,"",J158)</f>
        <v/>
      </c>
    </row>
    <row r="159" spans="1:64" ht="15.75" thickBot="1">
      <c r="A159" s="94"/>
      <c r="B159" s="730" t="s">
        <v>1581</v>
      </c>
      <c r="C159" s="780" t="s">
        <v>1582</v>
      </c>
      <c r="D159" s="780"/>
      <c r="E159" s="780"/>
      <c r="F159" s="781"/>
      <c r="G159" s="782"/>
      <c r="H159" s="782"/>
      <c r="I159" s="2783"/>
      <c r="J159" s="3231"/>
      <c r="K159" s="3232"/>
      <c r="L159" s="3232"/>
      <c r="M159" s="3232"/>
      <c r="N159" s="3233"/>
      <c r="O159" s="849">
        <f>ROUNDDOWN(X159,1)</f>
        <v>0</v>
      </c>
      <c r="P159" s="736" t="e">
        <f t="shared" si="92"/>
        <v>#DIV/0!</v>
      </c>
      <c r="Q159" s="737">
        <f>ROUNDDOWN(Z159,1)</f>
        <v>0</v>
      </c>
      <c r="R159" s="738">
        <f t="shared" si="93"/>
        <v>0</v>
      </c>
      <c r="S159" s="739" t="e">
        <f>ROUNDDOWN(AB159,1)</f>
        <v>#DIV/0!</v>
      </c>
      <c r="T159" s="559"/>
      <c r="U159" s="847"/>
      <c r="V159" s="559"/>
      <c r="X159" s="700"/>
      <c r="Y159" s="627" t="e">
        <f>重み!D159</f>
        <v>#DIV/0!</v>
      </c>
      <c r="Z159" s="700"/>
      <c r="AA159" s="627"/>
      <c r="AB159" s="614" t="e">
        <f>Y160*AB160+Y161*AB161+Y169*AB169</f>
        <v>#DIV/0!</v>
      </c>
      <c r="AC159" s="559"/>
      <c r="AD159" s="590" t="e">
        <f>重み!M159</f>
        <v>#DIV/0!</v>
      </c>
      <c r="AE159" s="574"/>
      <c r="AF159" s="590" t="e">
        <f>重み!N159</f>
        <v>#DIV/0!</v>
      </c>
      <c r="AH159" s="2563"/>
      <c r="AI159" s="2549"/>
      <c r="AJ159" s="2549"/>
      <c r="AK159" s="2549"/>
      <c r="AL159" s="2549"/>
      <c r="AM159" s="2549"/>
      <c r="AN159" s="2549"/>
      <c r="AO159" s="2549"/>
      <c r="AP159" s="2549"/>
      <c r="AQ159" s="2550"/>
      <c r="AR159" s="2551"/>
      <c r="AS159" s="2552" t="e">
        <f>P159</f>
        <v>#DIV/0!</v>
      </c>
      <c r="AT159" s="739" t="e">
        <f t="shared" ref="AT159" si="102">ROUNDDOWN(AV159,1)</f>
        <v>#DIV/0!</v>
      </c>
      <c r="AV159" s="2532" t="e">
        <f>SUMPRODUCT(AS160:AS180,AV160:AV180)</f>
        <v>#DIV/0!</v>
      </c>
      <c r="BJ159" s="1"/>
      <c r="BK159" s="1"/>
      <c r="BL159" s="2950"/>
    </row>
    <row r="160" spans="1:64" ht="14.25" thickBot="1">
      <c r="A160" s="94"/>
      <c r="B160" s="850">
        <v>1</v>
      </c>
      <c r="C160" s="631" t="s">
        <v>531</v>
      </c>
      <c r="D160" s="790"/>
      <c r="E160" s="790"/>
      <c r="F160" s="720"/>
      <c r="G160" s="634"/>
      <c r="H160" s="2775"/>
      <c r="I160" s="2776"/>
      <c r="J160" s="3345"/>
      <c r="K160" s="3346"/>
      <c r="L160" s="3346"/>
      <c r="M160" s="3346"/>
      <c r="N160" s="3348"/>
      <c r="O160" s="818" t="e">
        <f>ROUNDDOWN(U160,1)</f>
        <v>#DIV/0!</v>
      </c>
      <c r="P160" s="753" t="e">
        <f>Y160</f>
        <v>#DIV/0!</v>
      </c>
      <c r="Q160" s="751">
        <f>ROUNDDOWN(V160,1)</f>
        <v>0</v>
      </c>
      <c r="R160" s="637" t="e">
        <f t="shared" si="93"/>
        <v>#DIV/0!</v>
      </c>
      <c r="S160" s="638" t="e">
        <f>ROUNDDOWN(AB160,1)</f>
        <v>#DIV/0!</v>
      </c>
      <c r="T160" s="559"/>
      <c r="U160" s="839" t="e">
        <f>採点LR3!F7</f>
        <v>#DIV/0!</v>
      </c>
      <c r="V160" s="831"/>
      <c r="X160" s="840" t="e">
        <f>O160</f>
        <v>#DIV/0!</v>
      </c>
      <c r="Y160" s="640" t="e">
        <f>重み!D160</f>
        <v>#DIV/0!</v>
      </c>
      <c r="Z160" s="700"/>
      <c r="AA160" s="640" t="e">
        <f>重み!E160</f>
        <v>#DIV/0!</v>
      </c>
      <c r="AB160" s="614" t="e">
        <f>IF(Z160=0,X160,IF(X160=0,Z160,X160*AD$6+Z160*AF$6))</f>
        <v>#DIV/0!</v>
      </c>
      <c r="AC160" s="559"/>
      <c r="AD160" s="590" t="e">
        <f>重み!M160</f>
        <v>#DIV/0!</v>
      </c>
      <c r="AE160" s="574"/>
      <c r="AF160" s="590" t="e">
        <f>重み!N160</f>
        <v>#DIV/0!</v>
      </c>
      <c r="AH160" s="2536"/>
      <c r="AI160" s="2536"/>
      <c r="AJ160" s="2536"/>
      <c r="AK160" s="2536"/>
      <c r="AL160" s="2536"/>
      <c r="AM160" s="2536">
        <v>4</v>
      </c>
      <c r="AN160" s="2536"/>
      <c r="AO160" s="2536"/>
      <c r="AP160" s="2536"/>
      <c r="AQ160" s="2536"/>
      <c r="AR160" s="2533" t="e">
        <f t="shared" ref="AR160:AR169" si="103">ROUNDDOWN(AV160,1)</f>
        <v>#DIV/0!</v>
      </c>
      <c r="AS160" s="855" t="e">
        <f>P160</f>
        <v>#DIV/0!</v>
      </c>
      <c r="AT160" s="683"/>
      <c r="AU160" s="2507"/>
      <c r="AV160" s="2566" t="e">
        <f>U160</f>
        <v>#DIV/0!</v>
      </c>
      <c r="AX160" s="2531" t="e">
        <f>SUMPRODUCT($AY$7:$BH$7,AY160:BH160)</f>
        <v>#DIV/0!</v>
      </c>
      <c r="AY160" s="2517">
        <f t="shared" ref="AY160:BH161" si="104">IF(AH160&gt;0,1,0)</f>
        <v>0</v>
      </c>
      <c r="AZ160" s="2517">
        <f t="shared" si="104"/>
        <v>0</v>
      </c>
      <c r="BA160" s="2517">
        <f t="shared" si="104"/>
        <v>0</v>
      </c>
      <c r="BB160" s="2517">
        <f t="shared" si="104"/>
        <v>0</v>
      </c>
      <c r="BC160" s="2517">
        <f t="shared" si="104"/>
        <v>0</v>
      </c>
      <c r="BD160" s="2517">
        <f t="shared" si="104"/>
        <v>1</v>
      </c>
      <c r="BE160" s="2517">
        <f t="shared" si="104"/>
        <v>0</v>
      </c>
      <c r="BF160" s="2517">
        <f t="shared" si="104"/>
        <v>0</v>
      </c>
      <c r="BG160" s="2517">
        <f t="shared" si="104"/>
        <v>0</v>
      </c>
      <c r="BH160" s="2517">
        <f t="shared" si="104"/>
        <v>0</v>
      </c>
      <c r="BJ160" s="1" t="s">
        <v>3588</v>
      </c>
      <c r="BK160" s="1">
        <f>IF(AND(ISERROR(O160)=FALSE,ISERROR(P160)=FALSE,ISERROR(Q160)=FALSE,ISERROR(R160)=FALSE),IF(OR(AND(O160&gt;3,P160&gt;0),AND(Q160&gt;3,R160&gt;0)),MAX(O160,Q160),0),0)</f>
        <v>0</v>
      </c>
      <c r="BL160" s="2950" t="str">
        <f>IF(J160=0,"",J160)</f>
        <v/>
      </c>
    </row>
    <row r="161" spans="1:64" ht="14.25" thickBot="1">
      <c r="A161" s="94"/>
      <c r="B161" s="851">
        <v>2</v>
      </c>
      <c r="C161" s="678" t="s">
        <v>532</v>
      </c>
      <c r="D161" s="678"/>
      <c r="E161" s="678"/>
      <c r="F161" s="692"/>
      <c r="G161" s="648">
        <v>5</v>
      </c>
      <c r="H161" s="719"/>
      <c r="I161" s="2765"/>
      <c r="J161" s="2943"/>
      <c r="K161" s="2944"/>
      <c r="L161" s="2944"/>
      <c r="M161" s="2944"/>
      <c r="N161" s="2944"/>
      <c r="O161" s="852" t="e">
        <f>ROUNDDOWN(X161,1)</f>
        <v>#DIV/0!</v>
      </c>
      <c r="P161" s="853" t="e">
        <f t="shared" si="92"/>
        <v>#DIV/0!</v>
      </c>
      <c r="Q161" s="854" t="e">
        <f>ROUNDDOWN(Z161,1)</f>
        <v>#DIV/0!</v>
      </c>
      <c r="R161" s="855" t="e">
        <f t="shared" si="93"/>
        <v>#DIV/0!</v>
      </c>
      <c r="S161" s="683" t="e">
        <f>ROUNDDOWN(AB161,1)</f>
        <v>#DIV/0!</v>
      </c>
      <c r="T161" s="559"/>
      <c r="U161" s="856"/>
      <c r="V161" s="559"/>
      <c r="X161" s="639" t="e">
        <f>SUMPRODUCT(X162:X164,Y162:Y164)</f>
        <v>#DIV/0!</v>
      </c>
      <c r="Y161" s="640" t="e">
        <f>重み!D161</f>
        <v>#DIV/0!</v>
      </c>
      <c r="Z161" s="639" t="e">
        <f>SUMPRODUCT(Z162:Z164,AA162:AA164)</f>
        <v>#DIV/0!</v>
      </c>
      <c r="AA161" s="640" t="e">
        <f>重み!E161</f>
        <v>#DIV/0!</v>
      </c>
      <c r="AB161" s="614" t="e">
        <f>IF(Z161=0,X161,IF(X161=0,Z161,X161*AD$6+Z161*AF$6))</f>
        <v>#DIV/0!</v>
      </c>
      <c r="AC161" s="559"/>
      <c r="AD161" s="590" t="e">
        <f>重み!M161</f>
        <v>#DIV/0!</v>
      </c>
      <c r="AE161" s="574"/>
      <c r="AF161" s="590" t="e">
        <f>重み!N161</f>
        <v>#DIV/0!</v>
      </c>
      <c r="AH161" s="2536">
        <v>3</v>
      </c>
      <c r="AI161" s="2536"/>
      <c r="AJ161" s="2536"/>
      <c r="AK161" s="2536"/>
      <c r="AL161" s="2536"/>
      <c r="AM161" s="2536">
        <v>4</v>
      </c>
      <c r="AN161" s="2536"/>
      <c r="AO161" s="2536"/>
      <c r="AP161" s="2536"/>
      <c r="AQ161" s="2536"/>
      <c r="AR161" s="2533" t="e">
        <f t="shared" si="103"/>
        <v>#DIV/0!</v>
      </c>
      <c r="AS161" s="855" t="e">
        <f>P161</f>
        <v>#DIV/0!</v>
      </c>
      <c r="AT161" s="683"/>
      <c r="AU161" s="2507"/>
      <c r="AV161" s="2532" t="e">
        <f>SUMPRODUCT($AY$7:$BH$7,AH161:AQ161)/AX161</f>
        <v>#DIV/0!</v>
      </c>
      <c r="AX161" s="2531" t="e">
        <f>SUMPRODUCT($AY$7:$BH$7,AY161:BH161)</f>
        <v>#DIV/0!</v>
      </c>
      <c r="AY161" s="2517">
        <f t="shared" si="104"/>
        <v>1</v>
      </c>
      <c r="AZ161" s="2517">
        <f t="shared" si="104"/>
        <v>0</v>
      </c>
      <c r="BA161" s="2517">
        <f t="shared" si="104"/>
        <v>0</v>
      </c>
      <c r="BB161" s="2517">
        <f t="shared" si="104"/>
        <v>0</v>
      </c>
      <c r="BC161" s="2517">
        <f t="shared" si="104"/>
        <v>0</v>
      </c>
      <c r="BD161" s="2517">
        <f t="shared" si="104"/>
        <v>1</v>
      </c>
      <c r="BE161" s="2517">
        <f t="shared" si="104"/>
        <v>0</v>
      </c>
      <c r="BF161" s="2517">
        <f t="shared" si="104"/>
        <v>0</v>
      </c>
      <c r="BG161" s="2517">
        <f t="shared" si="104"/>
        <v>0</v>
      </c>
      <c r="BH161" s="2517">
        <f t="shared" si="104"/>
        <v>0</v>
      </c>
      <c r="BJ161" s="1"/>
      <c r="BK161" s="1"/>
      <c r="BL161" s="2950"/>
    </row>
    <row r="162" spans="1:64">
      <c r="A162" s="94"/>
      <c r="B162" s="850"/>
      <c r="C162" s="676">
        <v>2.1</v>
      </c>
      <c r="D162" s="792" t="s">
        <v>533</v>
      </c>
      <c r="E162" s="790"/>
      <c r="F162" s="720"/>
      <c r="G162" s="634"/>
      <c r="H162" s="634"/>
      <c r="I162" s="2804"/>
      <c r="J162" s="3345"/>
      <c r="K162" s="3346"/>
      <c r="L162" s="3346"/>
      <c r="M162" s="3346"/>
      <c r="N162" s="3348"/>
      <c r="O162" s="784">
        <f>ROUNDDOWN(U162,1)</f>
        <v>3</v>
      </c>
      <c r="P162" s="753" t="e">
        <f t="shared" si="92"/>
        <v>#DIV/0!</v>
      </c>
      <c r="Q162" s="751">
        <f>ROUNDDOWN(V162,1)</f>
        <v>0</v>
      </c>
      <c r="R162" s="637" t="e">
        <f t="shared" si="93"/>
        <v>#DIV/0!</v>
      </c>
      <c r="S162" s="638"/>
      <c r="T162" s="559"/>
      <c r="U162" s="839">
        <f>採点LR3!F21</f>
        <v>3</v>
      </c>
      <c r="V162" s="831"/>
      <c r="X162" s="840">
        <f>O162</f>
        <v>3</v>
      </c>
      <c r="Y162" s="640" t="e">
        <f>重み!D162</f>
        <v>#DIV/0!</v>
      </c>
      <c r="Z162" s="700"/>
      <c r="AA162" s="640" t="e">
        <f>重み!E162</f>
        <v>#DIV/0!</v>
      </c>
      <c r="AB162" s="614"/>
      <c r="AC162" s="559"/>
      <c r="AD162" s="590" t="e">
        <f>重み!M162</f>
        <v>#DIV/0!</v>
      </c>
      <c r="AE162" s="574"/>
      <c r="AF162" s="590" t="e">
        <f>重み!N162</f>
        <v>#DIV/0!</v>
      </c>
      <c r="AR162" s="2565">
        <f t="shared" si="103"/>
        <v>0</v>
      </c>
      <c r="BJ162" s="1" t="s">
        <v>3589</v>
      </c>
      <c r="BK162" s="1">
        <f>IF(AND(ISERROR(O162)=FALSE,ISERROR(P162)=FALSE,ISERROR(Q162)=FALSE,ISERROR(R162)=FALSE),IF(OR(AND(O162&gt;3,P162&gt;0),AND(Q162&gt;3,R162&gt;0)),MAX(O162,Q162),0),0)</f>
        <v>0</v>
      </c>
      <c r="BL162" s="2950" t="str">
        <f>IF(J162=0,"",J162)</f>
        <v/>
      </c>
    </row>
    <row r="163" spans="1:64" ht="14.25" thickBot="1">
      <c r="A163" s="94"/>
      <c r="B163" s="850"/>
      <c r="C163" s="676">
        <v>2.2000000000000002</v>
      </c>
      <c r="D163" s="792" t="s">
        <v>1583</v>
      </c>
      <c r="E163" s="678"/>
      <c r="F163" s="692"/>
      <c r="G163" s="648">
        <v>5</v>
      </c>
      <c r="H163" s="2767" t="s">
        <v>3384</v>
      </c>
      <c r="I163" s="2768" t="s">
        <v>3379</v>
      </c>
      <c r="J163" s="3345"/>
      <c r="K163" s="3346"/>
      <c r="L163" s="3346"/>
      <c r="M163" s="3346"/>
      <c r="N163" s="3348"/>
      <c r="O163" s="677">
        <f>ROUNDDOWN(U163,1)</f>
        <v>3</v>
      </c>
      <c r="P163" s="753" t="e">
        <f t="shared" si="92"/>
        <v>#DIV/0!</v>
      </c>
      <c r="Q163" s="751">
        <f>ROUNDDOWN(V163,1)</f>
        <v>0</v>
      </c>
      <c r="R163" s="796" t="e">
        <f t="shared" si="93"/>
        <v>#DIV/0!</v>
      </c>
      <c r="S163" s="638"/>
      <c r="T163" s="559"/>
      <c r="U163" s="843">
        <f>採点LR3!F30</f>
        <v>3</v>
      </c>
      <c r="V163" s="559"/>
      <c r="X163" s="840">
        <f>O163</f>
        <v>3</v>
      </c>
      <c r="Y163" s="640" t="e">
        <f>重み!D163</f>
        <v>#DIV/0!</v>
      </c>
      <c r="Z163" s="700"/>
      <c r="AA163" s="640" t="e">
        <f>重み!E163</f>
        <v>#DIV/0!</v>
      </c>
      <c r="AB163" s="614"/>
      <c r="AC163" s="559"/>
      <c r="AD163" s="590" t="e">
        <f>重み!M163</f>
        <v>#DIV/0!</v>
      </c>
      <c r="AE163" s="574"/>
      <c r="AF163" s="590" t="e">
        <f>重み!N163</f>
        <v>#DIV/0!</v>
      </c>
      <c r="AR163" s="2565">
        <f t="shared" si="103"/>
        <v>0</v>
      </c>
      <c r="BJ163" s="1" t="s">
        <v>3590</v>
      </c>
      <c r="BK163" s="1">
        <f>IF(AND(ISERROR(O163)=FALSE,ISERROR(P163)=FALSE,ISERROR(Q163)=FALSE,ISERROR(R163)=FALSE),IF(OR(AND(O163&gt;3,P163&gt;0),AND(Q163&gt;3,R163&gt;0)),MAX(O163,Q163),0),0)</f>
        <v>0</v>
      </c>
      <c r="BL163" s="2950" t="str">
        <f>IF(J163=0,"",J163)</f>
        <v/>
      </c>
    </row>
    <row r="164" spans="1:64" ht="14.25" thickBot="1">
      <c r="A164" s="94"/>
      <c r="B164" s="850"/>
      <c r="C164" s="668">
        <v>2.2999999999999998</v>
      </c>
      <c r="D164" s="857" t="s">
        <v>534</v>
      </c>
      <c r="E164" s="631"/>
      <c r="F164" s="633"/>
      <c r="G164" s="648">
        <v>5</v>
      </c>
      <c r="H164" s="648"/>
      <c r="I164" s="2764"/>
      <c r="J164" s="3222"/>
      <c r="K164" s="3223"/>
      <c r="L164" s="3223"/>
      <c r="M164" s="3223"/>
      <c r="N164" s="2945"/>
      <c r="O164" s="852" t="e">
        <f>ROUNDDOWN(X164,1)</f>
        <v>#DIV/0!</v>
      </c>
      <c r="P164" s="858" t="e">
        <f t="shared" si="92"/>
        <v>#DIV/0!</v>
      </c>
      <c r="Q164" s="769" t="e">
        <f>ROUNDDOWN(Z164,1)</f>
        <v>#DIV/0!</v>
      </c>
      <c r="R164" s="637" t="e">
        <f t="shared" si="93"/>
        <v>#DIV/0!</v>
      </c>
      <c r="S164" s="638"/>
      <c r="T164" s="559"/>
      <c r="U164" s="856"/>
      <c r="V164" s="559"/>
      <c r="X164" s="639" t="e">
        <f>SUMPRODUCT(X165:X168,Y165:Y168)</f>
        <v>#DIV/0!</v>
      </c>
      <c r="Y164" s="640" t="e">
        <f>重み!D164</f>
        <v>#DIV/0!</v>
      </c>
      <c r="Z164" s="639" t="e">
        <f>SUMPRODUCT(Z165:Z168,AA165:AA168)</f>
        <v>#DIV/0!</v>
      </c>
      <c r="AA164" s="640" t="e">
        <f>重み!E164</f>
        <v>#DIV/0!</v>
      </c>
      <c r="AB164" s="614"/>
      <c r="AC164" s="559"/>
      <c r="AD164" s="590" t="e">
        <f>重み!M164</f>
        <v>#DIV/0!</v>
      </c>
      <c r="AE164" s="574"/>
      <c r="AF164" s="590" t="e">
        <f>重み!N164</f>
        <v>#DIV/0!</v>
      </c>
      <c r="AR164" s="2565">
        <f t="shared" si="103"/>
        <v>0</v>
      </c>
      <c r="BJ164" s="1"/>
      <c r="BK164" s="1"/>
      <c r="BL164" s="2950"/>
    </row>
    <row r="165" spans="1:64">
      <c r="A165" s="94"/>
      <c r="B165" s="850"/>
      <c r="C165" s="691"/>
      <c r="D165" s="654">
        <v>1</v>
      </c>
      <c r="E165" s="774" t="s">
        <v>1584</v>
      </c>
      <c r="F165" s="692"/>
      <c r="G165" s="648"/>
      <c r="H165" s="648"/>
      <c r="I165" s="2764"/>
      <c r="J165" s="3345"/>
      <c r="K165" s="3346"/>
      <c r="L165" s="3346"/>
      <c r="M165" s="3346"/>
      <c r="N165" s="3348"/>
      <c r="O165" s="657">
        <f>ROUNDDOWN(U165,1)</f>
        <v>3</v>
      </c>
      <c r="P165" s="658" t="e">
        <f t="shared" si="92"/>
        <v>#DIV/0!</v>
      </c>
      <c r="Q165" s="769">
        <f>ROUNDDOWN(V165,1)</f>
        <v>0</v>
      </c>
      <c r="R165" s="658" t="e">
        <f t="shared" si="93"/>
        <v>#DIV/0!</v>
      </c>
      <c r="S165" s="638"/>
      <c r="T165" s="559"/>
      <c r="U165" s="839">
        <f>採点LR3!F63</f>
        <v>3</v>
      </c>
      <c r="V165" s="831"/>
      <c r="X165" s="840">
        <f>O165</f>
        <v>3</v>
      </c>
      <c r="Y165" s="640" t="e">
        <f>重み!D165</f>
        <v>#DIV/0!</v>
      </c>
      <c r="Z165" s="700"/>
      <c r="AA165" s="640" t="e">
        <f>重み!E168</f>
        <v>#DIV/0!</v>
      </c>
      <c r="AB165" s="614"/>
      <c r="AC165" s="559"/>
      <c r="AD165" s="590" t="e">
        <f>重み!M165</f>
        <v>#DIV/0!</v>
      </c>
      <c r="AE165" s="574"/>
      <c r="AF165" s="590" t="e">
        <f>重み!N168</f>
        <v>#DIV/0!</v>
      </c>
      <c r="AR165" s="2565">
        <f t="shared" si="103"/>
        <v>0</v>
      </c>
      <c r="BJ165" s="1" t="s">
        <v>3591</v>
      </c>
      <c r="BK165" s="1">
        <f>IF(AND(ISERROR(O165)=FALSE,ISERROR(P165)=FALSE,ISERROR(Q165)=FALSE,ISERROR(R165)=FALSE),IF(OR(AND(O165&gt;3,P165&gt;0),AND(Q165&gt;3,R165&gt;0)),MAX(O165,Q165),0),0)</f>
        <v>0</v>
      </c>
      <c r="BL165" s="2950" t="str">
        <f>IF(J165=0,"",J165)</f>
        <v/>
      </c>
    </row>
    <row r="166" spans="1:64">
      <c r="A166" s="94"/>
      <c r="B166" s="850"/>
      <c r="C166" s="691"/>
      <c r="D166" s="773">
        <v>2</v>
      </c>
      <c r="E166" s="774" t="s">
        <v>1585</v>
      </c>
      <c r="F166" s="692"/>
      <c r="G166" s="648"/>
      <c r="H166" s="648"/>
      <c r="I166" s="2764"/>
      <c r="J166" s="3345"/>
      <c r="K166" s="3346"/>
      <c r="L166" s="3346"/>
      <c r="M166" s="3346"/>
      <c r="N166" s="3348"/>
      <c r="O166" s="672">
        <f>ROUNDDOWN(U166,1)</f>
        <v>3</v>
      </c>
      <c r="P166" s="658" t="e">
        <f t="shared" si="92"/>
        <v>#DIV/0!</v>
      </c>
      <c r="Q166" s="828">
        <f>ROUNDDOWN(V166,1)</f>
        <v>0</v>
      </c>
      <c r="R166" s="658" t="e">
        <f t="shared" si="93"/>
        <v>#DIV/0!</v>
      </c>
      <c r="S166" s="638"/>
      <c r="T166" s="559"/>
      <c r="U166" s="839">
        <f>採点LR3!F72</f>
        <v>3</v>
      </c>
      <c r="V166" s="831"/>
      <c r="X166" s="840">
        <f>O166</f>
        <v>3</v>
      </c>
      <c r="Y166" s="640" t="e">
        <f>重み!D166</f>
        <v>#DIV/0!</v>
      </c>
      <c r="Z166" s="700"/>
      <c r="AA166" s="640" t="e">
        <f>重み!E179</f>
        <v>#DIV/0!</v>
      </c>
      <c r="AB166" s="614"/>
      <c r="AC166" s="559"/>
      <c r="AD166" s="590" t="e">
        <f>重み!M166</f>
        <v>#DIV/0!</v>
      </c>
      <c r="AE166" s="574"/>
      <c r="AF166" s="590" t="e">
        <f>重み!N179</f>
        <v>#DIV/0!</v>
      </c>
      <c r="AR166" s="2565">
        <f t="shared" si="103"/>
        <v>0</v>
      </c>
      <c r="BJ166" s="1" t="s">
        <v>3592</v>
      </c>
      <c r="BK166" s="1">
        <f>IF(AND(ISERROR(O166)=FALSE,ISERROR(P166)=FALSE,ISERROR(Q166)=FALSE,ISERROR(R166)=FALSE),IF(OR(AND(O166&gt;3,P166&gt;0),AND(Q166&gt;3,R166&gt;0)),MAX(O166,Q166),0),0)</f>
        <v>0</v>
      </c>
      <c r="BL166" s="2950" t="str">
        <f>IF(J166=0,"",J166)</f>
        <v/>
      </c>
    </row>
    <row r="167" spans="1:64">
      <c r="A167" s="94"/>
      <c r="B167" s="850"/>
      <c r="C167" s="691"/>
      <c r="D167" s="654">
        <v>3</v>
      </c>
      <c r="E167" s="774" t="s">
        <v>535</v>
      </c>
      <c r="F167" s="692"/>
      <c r="G167" s="648"/>
      <c r="H167" s="648"/>
      <c r="I167" s="2764"/>
      <c r="J167" s="3345"/>
      <c r="K167" s="3346"/>
      <c r="L167" s="3346"/>
      <c r="M167" s="3346"/>
      <c r="N167" s="3348"/>
      <c r="O167" s="672">
        <f>ROUNDDOWN(U167,1)</f>
        <v>3</v>
      </c>
      <c r="P167" s="658" t="e">
        <f t="shared" si="92"/>
        <v>#DIV/0!</v>
      </c>
      <c r="Q167" s="828">
        <f>ROUNDDOWN(V167,1)</f>
        <v>0</v>
      </c>
      <c r="R167" s="658" t="e">
        <f t="shared" si="93"/>
        <v>#DIV/0!</v>
      </c>
      <c r="S167" s="638"/>
      <c r="T167" s="559"/>
      <c r="U167" s="839">
        <f>採点LR3!F81</f>
        <v>3</v>
      </c>
      <c r="V167" s="559"/>
      <c r="X167" s="840">
        <f>O167</f>
        <v>3</v>
      </c>
      <c r="Y167" s="640" t="e">
        <f>重み!D167</f>
        <v>#DIV/0!</v>
      </c>
      <c r="Z167" s="700"/>
      <c r="AA167" s="640" t="e">
        <f>重み!E180</f>
        <v>#DIV/0!</v>
      </c>
      <c r="AB167" s="614"/>
      <c r="AC167" s="559"/>
      <c r="AD167" s="590" t="e">
        <f>重み!M167</f>
        <v>#DIV/0!</v>
      </c>
      <c r="AE167" s="574"/>
      <c r="AF167" s="590" t="e">
        <f>重み!N180</f>
        <v>#DIV/0!</v>
      </c>
      <c r="AR167" s="2565">
        <f t="shared" si="103"/>
        <v>0</v>
      </c>
      <c r="BJ167" s="1" t="s">
        <v>3593</v>
      </c>
      <c r="BK167" s="1">
        <f>IF(AND(ISERROR(O167)=FALSE,ISERROR(P167)=FALSE,ISERROR(Q167)=FALSE,ISERROR(R167)=FALSE),IF(OR(AND(O167&gt;3,P167&gt;0),AND(Q167&gt;3,R167&gt;0)),MAX(O167,Q167),0),0)</f>
        <v>0</v>
      </c>
      <c r="BL167" s="2950" t="str">
        <f>IF(J167=0,"",J167)</f>
        <v/>
      </c>
    </row>
    <row r="168" spans="1:64" ht="14.25" thickBot="1">
      <c r="A168" s="94"/>
      <c r="B168" s="859"/>
      <c r="C168" s="706"/>
      <c r="D168" s="654">
        <v>4</v>
      </c>
      <c r="E168" s="774" t="s">
        <v>813</v>
      </c>
      <c r="F168" s="692"/>
      <c r="G168" s="664"/>
      <c r="H168" s="664"/>
      <c r="I168" s="2778"/>
      <c r="J168" s="3345"/>
      <c r="K168" s="3346"/>
      <c r="L168" s="3346"/>
      <c r="M168" s="3346"/>
      <c r="N168" s="3348"/>
      <c r="O168" s="665">
        <f>ROUNDDOWN(U168,1)</f>
        <v>3</v>
      </c>
      <c r="P168" s="860" t="e">
        <f t="shared" si="92"/>
        <v>#DIV/0!</v>
      </c>
      <c r="Q168" s="861">
        <f>ROUNDDOWN(V168,1)</f>
        <v>0</v>
      </c>
      <c r="R168" s="860">
        <f t="shared" si="93"/>
        <v>0</v>
      </c>
      <c r="S168" s="744"/>
      <c r="T168" s="559"/>
      <c r="U168" s="843">
        <f>採点LR3!F101</f>
        <v>3</v>
      </c>
      <c r="V168" s="559"/>
      <c r="X168" s="840">
        <f>O168</f>
        <v>3</v>
      </c>
      <c r="Y168" s="640" t="e">
        <f>重み!D168</f>
        <v>#DIV/0!</v>
      </c>
      <c r="Z168" s="700"/>
      <c r="AA168" s="640">
        <f>重み!E181</f>
        <v>0</v>
      </c>
      <c r="AB168" s="614"/>
      <c r="AC168" s="559"/>
      <c r="AD168" s="590" t="e">
        <f>重み!M168</f>
        <v>#DIV/0!</v>
      </c>
      <c r="AE168" s="574"/>
      <c r="AF168" s="590">
        <f>重み!N181</f>
        <v>0</v>
      </c>
      <c r="AR168" s="2565">
        <f t="shared" si="103"/>
        <v>0</v>
      </c>
      <c r="BJ168" s="1" t="s">
        <v>3594</v>
      </c>
      <c r="BK168" s="1">
        <f>IF(AND(ISERROR(O168)=FALSE,ISERROR(P168)=FALSE,ISERROR(Q168)=FALSE,ISERROR(R168)=FALSE),IF(OR(AND(O168&gt;3,P168&gt;0),AND(Q168&gt;3,R168&gt;0)),MAX(O168,Q168),0),0)</f>
        <v>0</v>
      </c>
      <c r="BL168" s="2950" t="str">
        <f>IF(J168=0,"",J168)</f>
        <v/>
      </c>
    </row>
    <row r="169" spans="1:64">
      <c r="A169" s="94"/>
      <c r="B169" s="862">
        <v>3</v>
      </c>
      <c r="C169" s="678" t="s">
        <v>814</v>
      </c>
      <c r="D169" s="774"/>
      <c r="E169" s="678"/>
      <c r="F169" s="692"/>
      <c r="G169" s="719"/>
      <c r="H169" s="719"/>
      <c r="I169" s="2765"/>
      <c r="J169" s="2927"/>
      <c r="K169" s="2928"/>
      <c r="L169" s="2928"/>
      <c r="M169" s="2928"/>
      <c r="N169" s="2929"/>
      <c r="O169" s="863" t="e">
        <f>ROUNDDOWN(X169,1)</f>
        <v>#DIV/0!</v>
      </c>
      <c r="P169" s="681" t="e">
        <f t="shared" si="92"/>
        <v>#DIV/0!</v>
      </c>
      <c r="Q169" s="789" t="e">
        <f>ROUNDDOWN(Z169,1)</f>
        <v>#DIV/0!</v>
      </c>
      <c r="R169" s="682" t="e">
        <f t="shared" si="93"/>
        <v>#DIV/0!</v>
      </c>
      <c r="S169" s="683" t="e">
        <f>ROUNDDOWN(AB169,1)</f>
        <v>#DIV/0!</v>
      </c>
      <c r="T169" s="559"/>
      <c r="U169" s="559"/>
      <c r="V169" s="559"/>
      <c r="X169" s="639" t="e">
        <f>X170*Y170+X174*Y174+X178*Y178</f>
        <v>#DIV/0!</v>
      </c>
      <c r="Y169" s="640" t="e">
        <f>重み!D169</f>
        <v>#DIV/0!</v>
      </c>
      <c r="Z169" s="639" t="e">
        <f>Z170*AA170+Z174*AA174+Z178*AA178</f>
        <v>#DIV/0!</v>
      </c>
      <c r="AA169" s="640" t="e">
        <f>重み!E169</f>
        <v>#DIV/0!</v>
      </c>
      <c r="AB169" s="614" t="e">
        <f>IF(Z169=0,X169,IF(X169=0,Z169,X169*AD$6+Z169*AF$6))</f>
        <v>#DIV/0!</v>
      </c>
      <c r="AC169" s="559"/>
      <c r="AD169" s="590" t="e">
        <f>重み!M169</f>
        <v>#DIV/0!</v>
      </c>
      <c r="AE169" s="574"/>
      <c r="AF169" s="590" t="e">
        <f>重み!N169</f>
        <v>#DIV/0!</v>
      </c>
      <c r="AH169" s="2536">
        <v>3</v>
      </c>
      <c r="AI169" s="2536"/>
      <c r="AJ169" s="2536"/>
      <c r="AK169" s="2536"/>
      <c r="AL169" s="2536"/>
      <c r="AM169" s="2536">
        <v>4</v>
      </c>
      <c r="AN169" s="2536"/>
      <c r="AO169" s="2536"/>
      <c r="AP169" s="2536"/>
      <c r="AQ169" s="2536"/>
      <c r="AR169" s="2533" t="e">
        <f t="shared" si="103"/>
        <v>#DIV/0!</v>
      </c>
      <c r="AS169" s="855" t="e">
        <f>P169</f>
        <v>#DIV/0!</v>
      </c>
      <c r="AT169" s="683"/>
      <c r="AU169" s="2507"/>
      <c r="AV169" s="2532" t="e">
        <f>SUMPRODUCT($AY$7:$BH$7,AH169:AQ169)/AX169</f>
        <v>#DIV/0!</v>
      </c>
      <c r="AX169" s="2531" t="e">
        <f>SUMPRODUCT($AY$7:$BH$7,AY169:BH169)</f>
        <v>#DIV/0!</v>
      </c>
      <c r="AY169" s="2517">
        <f t="shared" ref="AY169:BH169" si="105">IF(AH169&gt;0,1,0)</f>
        <v>1</v>
      </c>
      <c r="AZ169" s="2517">
        <f t="shared" si="105"/>
        <v>0</v>
      </c>
      <c r="BA169" s="2517">
        <f t="shared" si="105"/>
        <v>0</v>
      </c>
      <c r="BB169" s="2517">
        <f t="shared" si="105"/>
        <v>0</v>
      </c>
      <c r="BC169" s="2517">
        <f t="shared" si="105"/>
        <v>0</v>
      </c>
      <c r="BD169" s="2517">
        <f t="shared" si="105"/>
        <v>1</v>
      </c>
      <c r="BE169" s="2517">
        <f t="shared" si="105"/>
        <v>0</v>
      </c>
      <c r="BF169" s="2517">
        <f t="shared" si="105"/>
        <v>0</v>
      </c>
      <c r="BG169" s="2517">
        <f t="shared" si="105"/>
        <v>0</v>
      </c>
      <c r="BH169" s="2517">
        <f t="shared" si="105"/>
        <v>0</v>
      </c>
      <c r="BJ169" s="1"/>
      <c r="BK169" s="1"/>
      <c r="BL169" s="2950"/>
    </row>
    <row r="170" spans="1:64" ht="14.25" thickBot="1">
      <c r="A170" s="94"/>
      <c r="B170" s="864"/>
      <c r="C170" s="644">
        <v>3.1</v>
      </c>
      <c r="D170" s="792" t="s">
        <v>815</v>
      </c>
      <c r="E170" s="631"/>
      <c r="F170" s="633"/>
      <c r="G170" s="648"/>
      <c r="H170" s="648"/>
      <c r="I170" s="2764"/>
      <c r="J170" s="2924"/>
      <c r="K170" s="2925"/>
      <c r="L170" s="2925"/>
      <c r="M170" s="2925"/>
      <c r="N170" s="2926"/>
      <c r="O170" s="865" t="e">
        <f>ROUNDDOWN(X170,1)</f>
        <v>#DIV/0!</v>
      </c>
      <c r="P170" s="636" t="e">
        <f t="shared" si="92"/>
        <v>#DIV/0!</v>
      </c>
      <c r="Q170" s="751" t="e">
        <f>ROUNDDOWN(Z170,1)</f>
        <v>#DIV/0!</v>
      </c>
      <c r="R170" s="637" t="e">
        <f t="shared" si="93"/>
        <v>#DIV/0!</v>
      </c>
      <c r="S170" s="638"/>
      <c r="T170" s="559"/>
      <c r="U170" s="559"/>
      <c r="V170" s="559"/>
      <c r="X170" s="639" t="e">
        <f>SUMPRODUCT(X171:X173,Y171:Y173)</f>
        <v>#DIV/0!</v>
      </c>
      <c r="Y170" s="640" t="e">
        <f>重み!D170</f>
        <v>#DIV/0!</v>
      </c>
      <c r="Z170" s="639" t="e">
        <f>SUMPRODUCT(Z171:Z173,AA171:AA173)</f>
        <v>#DIV/0!</v>
      </c>
      <c r="AA170" s="640" t="e">
        <f>重み!E170</f>
        <v>#DIV/0!</v>
      </c>
      <c r="AB170" s="614"/>
      <c r="AC170" s="559"/>
      <c r="AD170" s="590" t="e">
        <f>重み!M170</f>
        <v>#DIV/0!</v>
      </c>
      <c r="AE170" s="574"/>
      <c r="AF170" s="590" t="e">
        <f>重み!N170</f>
        <v>#DIV/0!</v>
      </c>
      <c r="BJ170" s="1"/>
      <c r="BK170" s="1"/>
      <c r="BL170" s="2950"/>
    </row>
    <row r="171" spans="1:64">
      <c r="A171" s="94"/>
      <c r="B171" s="866"/>
      <c r="C171" s="691"/>
      <c r="D171" s="654">
        <v>1</v>
      </c>
      <c r="E171" s="774" t="s">
        <v>816</v>
      </c>
      <c r="F171" s="692"/>
      <c r="G171" s="648">
        <v>5</v>
      </c>
      <c r="H171" s="648"/>
      <c r="I171" s="2764"/>
      <c r="J171" s="3345"/>
      <c r="K171" s="3346"/>
      <c r="L171" s="3346"/>
      <c r="M171" s="3346"/>
      <c r="N171" s="3348"/>
      <c r="O171" s="867">
        <f>ROUNDDOWN(U171,1)</f>
        <v>3</v>
      </c>
      <c r="P171" s="753" t="e">
        <f t="shared" si="92"/>
        <v>#DIV/0!</v>
      </c>
      <c r="Q171" s="751">
        <f>ROUNDDOWN(V171,1)</f>
        <v>0</v>
      </c>
      <c r="R171" s="637" t="e">
        <f t="shared" si="93"/>
        <v>#DIV/0!</v>
      </c>
      <c r="S171" s="638"/>
      <c r="T171" s="559"/>
      <c r="U171" s="868">
        <f>採点LR3!F122</f>
        <v>3</v>
      </c>
      <c r="V171" s="559"/>
      <c r="X171" s="661">
        <f>O171</f>
        <v>3</v>
      </c>
      <c r="Y171" s="640" t="e">
        <f>重み!D171</f>
        <v>#DIV/0!</v>
      </c>
      <c r="Z171" s="700"/>
      <c r="AA171" s="640" t="e">
        <f>重み!E171</f>
        <v>#DIV/0!</v>
      </c>
      <c r="AB171" s="614"/>
      <c r="AC171" s="559"/>
      <c r="AD171" s="590" t="e">
        <f>重み!M171</f>
        <v>#DIV/0!</v>
      </c>
      <c r="AE171" s="574"/>
      <c r="AF171" s="590" t="e">
        <f>重み!N171</f>
        <v>#DIV/0!</v>
      </c>
      <c r="BJ171" s="1" t="s">
        <v>3595</v>
      </c>
      <c r="BK171" s="1">
        <f>IF(AND(ISERROR(O171)=FALSE,ISERROR(P171)=FALSE,ISERROR(Q171)=FALSE,ISERROR(R171)=FALSE),IF(OR(AND(O171&gt;3,P171&gt;0),AND(Q171&gt;3,R171&gt;0)),MAX(O171,Q171),0),0)</f>
        <v>0</v>
      </c>
      <c r="BL171" s="2950" t="str">
        <f>IF(J171=0,"",J171)</f>
        <v/>
      </c>
    </row>
    <row r="172" spans="1:64">
      <c r="A172" s="94"/>
      <c r="B172" s="866"/>
      <c r="C172" s="691"/>
      <c r="D172" s="773">
        <v>2</v>
      </c>
      <c r="E172" s="774" t="s">
        <v>1586</v>
      </c>
      <c r="F172" s="692"/>
      <c r="G172" s="648"/>
      <c r="H172" s="648"/>
      <c r="I172" s="2764"/>
      <c r="J172" s="3345"/>
      <c r="K172" s="3346"/>
      <c r="L172" s="3346"/>
      <c r="M172" s="3346"/>
      <c r="N172" s="3348"/>
      <c r="O172" s="869">
        <f>ROUNDDOWN(U172,1)</f>
        <v>3</v>
      </c>
      <c r="P172" s="753" t="e">
        <f t="shared" si="92"/>
        <v>#DIV/0!</v>
      </c>
      <c r="Q172" s="751">
        <f>ROUNDDOWN(V172,1)</f>
        <v>0</v>
      </c>
      <c r="R172" s="637" t="e">
        <f t="shared" si="93"/>
        <v>#DIV/0!</v>
      </c>
      <c r="S172" s="638"/>
      <c r="T172" s="559"/>
      <c r="U172" s="870">
        <f>採点LR3!F148</f>
        <v>3</v>
      </c>
      <c r="V172" s="559"/>
      <c r="X172" s="661">
        <f>O172</f>
        <v>3</v>
      </c>
      <c r="Y172" s="640" t="e">
        <f>重み!D172</f>
        <v>#DIV/0!</v>
      </c>
      <c r="Z172" s="700"/>
      <c r="AA172" s="640" t="e">
        <f>重み!E172</f>
        <v>#DIV/0!</v>
      </c>
      <c r="AB172" s="614"/>
      <c r="AC172" s="559"/>
      <c r="AD172" s="590" t="e">
        <f>重み!M172</f>
        <v>#DIV/0!</v>
      </c>
      <c r="AE172" s="574"/>
      <c r="AF172" s="590" t="e">
        <f>重み!N172</f>
        <v>#DIV/0!</v>
      </c>
      <c r="BJ172" s="1" t="s">
        <v>3596</v>
      </c>
      <c r="BK172" s="1">
        <f>IF(AND(ISERROR(O172)=FALSE,ISERROR(P172)=FALSE,ISERROR(Q172)=FALSE,ISERROR(R172)=FALSE),IF(OR(AND(O172&gt;3,P172&gt;0),AND(Q172&gt;3,R172&gt;0)),MAX(O172,Q172),0),0)</f>
        <v>0</v>
      </c>
      <c r="BL172" s="2950" t="str">
        <f>IF(J172=0,"",J172)</f>
        <v/>
      </c>
    </row>
    <row r="173" spans="1:64" ht="14.25" thickBot="1">
      <c r="A173" s="94"/>
      <c r="B173" s="866"/>
      <c r="C173" s="691"/>
      <c r="D173" s="654">
        <v>3</v>
      </c>
      <c r="E173" s="774" t="s">
        <v>1587</v>
      </c>
      <c r="F173" s="692"/>
      <c r="G173" s="648">
        <v>5</v>
      </c>
      <c r="H173" s="648"/>
      <c r="I173" s="2764"/>
      <c r="J173" s="3345"/>
      <c r="K173" s="3346"/>
      <c r="L173" s="3346"/>
      <c r="M173" s="3346"/>
      <c r="N173" s="3348"/>
      <c r="O173" s="871">
        <f>ROUNDDOWN(U173,1)</f>
        <v>3</v>
      </c>
      <c r="P173" s="753" t="e">
        <f t="shared" si="92"/>
        <v>#DIV/0!</v>
      </c>
      <c r="Q173" s="751">
        <f>ROUNDDOWN(V173,1)</f>
        <v>0</v>
      </c>
      <c r="R173" s="637" t="e">
        <f t="shared" si="93"/>
        <v>#DIV/0!</v>
      </c>
      <c r="S173" s="638"/>
      <c r="T173" s="559"/>
      <c r="U173" s="826">
        <f>採点LR3!F167</f>
        <v>3</v>
      </c>
      <c r="V173" s="559"/>
      <c r="X173" s="661">
        <f>O173</f>
        <v>3</v>
      </c>
      <c r="Y173" s="640" t="e">
        <f>重み!D173</f>
        <v>#DIV/0!</v>
      </c>
      <c r="Z173" s="700"/>
      <c r="AA173" s="640" t="e">
        <f>重み!E173</f>
        <v>#DIV/0!</v>
      </c>
      <c r="AB173" s="614"/>
      <c r="AC173" s="559"/>
      <c r="AD173" s="590" t="e">
        <f>重み!M173</f>
        <v>#DIV/0!</v>
      </c>
      <c r="AE173" s="574"/>
      <c r="AF173" s="590" t="e">
        <f>重み!N173</f>
        <v>#DIV/0!</v>
      </c>
      <c r="BJ173" s="1" t="s">
        <v>3597</v>
      </c>
      <c r="BK173" s="1">
        <f>IF(AND(ISERROR(O173)=FALSE,ISERROR(P173)=FALSE,ISERROR(Q173)=FALSE,ISERROR(R173)=FALSE),IF(OR(AND(O173&gt;3,P173&gt;0),AND(Q173&gt;3,R173&gt;0)),MAX(O173,Q173),0),0)</f>
        <v>0</v>
      </c>
      <c r="BL173" s="2950" t="str">
        <f>IF(J173=0,"",J173)</f>
        <v/>
      </c>
    </row>
    <row r="174" spans="1:64" ht="14.25" thickBot="1">
      <c r="A174" s="94"/>
      <c r="B174" s="866"/>
      <c r="C174" s="644">
        <v>3.2</v>
      </c>
      <c r="D174" s="774" t="s">
        <v>2816</v>
      </c>
      <c r="E174" s="790"/>
      <c r="F174" s="720"/>
      <c r="G174" s="664">
        <v>5</v>
      </c>
      <c r="H174" s="648"/>
      <c r="I174" s="2764"/>
      <c r="J174" s="3222"/>
      <c r="K174" s="3223"/>
      <c r="L174" s="3223"/>
      <c r="M174" s="3223"/>
      <c r="N174" s="3223"/>
      <c r="O174" s="872" t="e">
        <f>ROUNDDOWN(X174,1)</f>
        <v>#DIV/0!</v>
      </c>
      <c r="P174" s="753" t="e">
        <f t="shared" si="92"/>
        <v>#DIV/0!</v>
      </c>
      <c r="Q174" s="751" t="e">
        <f>ROUNDDOWN(Z174,1)</f>
        <v>#DIV/0!</v>
      </c>
      <c r="R174" s="637" t="e">
        <f t="shared" si="93"/>
        <v>#DIV/0!</v>
      </c>
      <c r="S174" s="638"/>
      <c r="T174" s="559"/>
      <c r="U174" s="873"/>
      <c r="V174" s="559"/>
      <c r="X174" s="639" t="e">
        <f>SUMPRODUCT(X175:X177,Y175:Y177)</f>
        <v>#DIV/0!</v>
      </c>
      <c r="Y174" s="640" t="e">
        <f>重み!D174</f>
        <v>#DIV/0!</v>
      </c>
      <c r="Z174" s="639" t="e">
        <f>SUMPRODUCT(Z175:Z177,AA175:AA177)</f>
        <v>#DIV/0!</v>
      </c>
      <c r="AA174" s="640" t="e">
        <f>重み!E174</f>
        <v>#DIV/0!</v>
      </c>
      <c r="AB174" s="614"/>
      <c r="AC174" s="559"/>
      <c r="AD174" s="590" t="e">
        <f>重み!M174</f>
        <v>#DIV/0!</v>
      </c>
      <c r="AE174" s="574"/>
      <c r="AF174" s="590" t="e">
        <f>重み!N174</f>
        <v>#DIV/0!</v>
      </c>
      <c r="BJ174" s="1"/>
      <c r="BK174" s="1"/>
      <c r="BL174" s="2950"/>
    </row>
    <row r="175" spans="1:64">
      <c r="A175" s="94"/>
      <c r="B175" s="866"/>
      <c r="C175" s="691"/>
      <c r="D175" s="654">
        <v>1</v>
      </c>
      <c r="E175" s="774" t="s">
        <v>1588</v>
      </c>
      <c r="F175" s="692"/>
      <c r="G175" s="648"/>
      <c r="H175" s="648"/>
      <c r="I175" s="2764"/>
      <c r="J175" s="3345"/>
      <c r="K175" s="3346"/>
      <c r="L175" s="3346"/>
      <c r="M175" s="3346"/>
      <c r="N175" s="3348"/>
      <c r="O175" s="657">
        <f>ROUNDDOWN(U175,1)</f>
        <v>3</v>
      </c>
      <c r="P175" s="753" t="e">
        <f t="shared" ref="P175:P180" si="106">Y175</f>
        <v>#DIV/0!</v>
      </c>
      <c r="Q175" s="751"/>
      <c r="R175" s="637" t="e">
        <f t="shared" si="93"/>
        <v>#DIV/0!</v>
      </c>
      <c r="S175" s="638"/>
      <c r="T175" s="559"/>
      <c r="U175" s="868">
        <f>採点LR3!F177</f>
        <v>3</v>
      </c>
      <c r="V175" s="559"/>
      <c r="X175" s="661">
        <f>O175</f>
        <v>3</v>
      </c>
      <c r="Y175" s="640" t="e">
        <f>重み!D175</f>
        <v>#DIV/0!</v>
      </c>
      <c r="Z175" s="700"/>
      <c r="AA175" s="640" t="e">
        <f>重み!E175</f>
        <v>#DIV/0!</v>
      </c>
      <c r="AB175" s="614"/>
      <c r="AC175" s="559"/>
      <c r="AD175" s="590" t="e">
        <f>重み!M175</f>
        <v>#DIV/0!</v>
      </c>
      <c r="AE175" s="574"/>
      <c r="AF175" s="590" t="e">
        <f>重み!N175</f>
        <v>#DIV/0!</v>
      </c>
      <c r="BJ175" s="1" t="s">
        <v>3598</v>
      </c>
      <c r="BK175" s="1">
        <f>IF(AND(ISERROR(O175)=FALSE,ISERROR(P175)=FALSE,ISERROR(Q175)=FALSE,ISERROR(R175)=FALSE),IF(OR(AND(O175&gt;3,P175&gt;0),AND(Q175&gt;3,R175&gt;0)),MAX(O175,Q175),0),0)</f>
        <v>0</v>
      </c>
      <c r="BL175" s="2950" t="str">
        <f>IF(J175=0,"",J175)</f>
        <v/>
      </c>
    </row>
    <row r="176" spans="1:64" ht="14.25" thickBot="1">
      <c r="A176" s="94"/>
      <c r="B176" s="866"/>
      <c r="C176" s="691"/>
      <c r="D176" s="654">
        <v>2</v>
      </c>
      <c r="E176" s="774" t="s">
        <v>817</v>
      </c>
      <c r="F176" s="692"/>
      <c r="G176" s="648"/>
      <c r="H176" s="648"/>
      <c r="I176" s="2764"/>
      <c r="J176" s="3345"/>
      <c r="K176" s="3346"/>
      <c r="L176" s="3346"/>
      <c r="M176" s="3346"/>
      <c r="N176" s="3348"/>
      <c r="O176" s="672">
        <f>ROUNDDOWN(U176,1)</f>
        <v>3</v>
      </c>
      <c r="P176" s="824" t="e">
        <f t="shared" si="106"/>
        <v>#DIV/0!</v>
      </c>
      <c r="Q176" s="751"/>
      <c r="R176" s="637"/>
      <c r="S176" s="638"/>
      <c r="T176" s="559"/>
      <c r="U176" s="826">
        <f>採点LR3!F186</f>
        <v>3</v>
      </c>
      <c r="V176" s="559"/>
      <c r="X176" s="661">
        <f>O176</f>
        <v>3</v>
      </c>
      <c r="Y176" s="640" t="e">
        <f>重み!D176</f>
        <v>#DIV/0!</v>
      </c>
      <c r="Z176" s="700"/>
      <c r="AA176" s="640"/>
      <c r="AB176" s="614"/>
      <c r="AC176" s="559"/>
      <c r="AD176" s="590" t="e">
        <f>重み!M176</f>
        <v>#DIV/0!</v>
      </c>
      <c r="AE176" s="574"/>
      <c r="AF176" s="590" t="e">
        <f>重み!N176</f>
        <v>#DIV/0!</v>
      </c>
      <c r="BJ176" s="1" t="s">
        <v>3599</v>
      </c>
      <c r="BK176" s="1">
        <f>IF(AND(ISERROR(O176)=FALSE,ISERROR(P176)=FALSE,ISERROR(Q176)=FALSE,ISERROR(R176)=FALSE),IF(OR(AND(O176&gt;3,P176&gt;0),AND(Q176&gt;3,R176&gt;0)),MAX(O176,Q176),0),0)</f>
        <v>0</v>
      </c>
      <c r="BL176" s="2950" t="str">
        <f>IF(J176=0,"",J176)</f>
        <v/>
      </c>
    </row>
    <row r="177" spans="1:64" ht="14.25" thickBot="1">
      <c r="A177" s="94"/>
      <c r="B177" s="866"/>
      <c r="C177" s="691"/>
      <c r="D177" s="773">
        <v>3</v>
      </c>
      <c r="E177" s="774" t="s">
        <v>1589</v>
      </c>
      <c r="F177" s="692"/>
      <c r="G177" s="648"/>
      <c r="H177" s="648"/>
      <c r="I177" s="2764"/>
      <c r="J177" s="3345"/>
      <c r="K177" s="3346"/>
      <c r="L177" s="3346"/>
      <c r="M177" s="3346"/>
      <c r="N177" s="3348"/>
      <c r="O177" s="672">
        <f>ROUNDDOWN(U177,1)</f>
        <v>3</v>
      </c>
      <c r="P177" s="824" t="e">
        <f t="shared" si="106"/>
        <v>#DIV/0!</v>
      </c>
      <c r="Q177" s="751"/>
      <c r="R177" s="637" t="e">
        <f>AA177</f>
        <v>#DIV/0!</v>
      </c>
      <c r="S177" s="638"/>
      <c r="T177" s="559"/>
      <c r="U177" s="826">
        <f>採点LR3!F205</f>
        <v>3</v>
      </c>
      <c r="V177" s="559"/>
      <c r="X177" s="661">
        <f>O177</f>
        <v>3</v>
      </c>
      <c r="Y177" s="640" t="e">
        <f>重み!D177</f>
        <v>#DIV/0!</v>
      </c>
      <c r="Z177" s="700"/>
      <c r="AA177" s="640" t="e">
        <f>重み!E177</f>
        <v>#DIV/0!</v>
      </c>
      <c r="AB177" s="614"/>
      <c r="AC177" s="559"/>
      <c r="AD177" s="590" t="e">
        <f>重み!M177</f>
        <v>#DIV/0!</v>
      </c>
      <c r="AE177" s="574"/>
      <c r="AF177" s="590" t="e">
        <f>重み!N177</f>
        <v>#DIV/0!</v>
      </c>
      <c r="BJ177" s="1" t="s">
        <v>3600</v>
      </c>
      <c r="BK177" s="1">
        <f>IF(AND(ISERROR(O177)=FALSE,ISERROR(P177)=FALSE,ISERROR(Q177)=FALSE,ISERROR(R177)=FALSE),IF(OR(AND(O177&gt;3,P177&gt;0),AND(Q177&gt;3,R177&gt;0)),MAX(O177,Q177),0),0)</f>
        <v>0</v>
      </c>
      <c r="BL177" s="2950" t="str">
        <f>IF(J177=0,"",J177)</f>
        <v/>
      </c>
    </row>
    <row r="178" spans="1:64" ht="14.25" thickBot="1">
      <c r="A178" s="94"/>
      <c r="B178" s="866"/>
      <c r="C178" s="644">
        <v>3.3</v>
      </c>
      <c r="D178" s="774" t="s">
        <v>818</v>
      </c>
      <c r="E178" s="790"/>
      <c r="F178" s="720"/>
      <c r="G178" s="664">
        <v>5</v>
      </c>
      <c r="H178" s="648"/>
      <c r="I178" s="2764"/>
      <c r="J178" s="3222"/>
      <c r="K178" s="3223"/>
      <c r="L178" s="3223"/>
      <c r="M178" s="3223"/>
      <c r="N178" s="3223"/>
      <c r="O178" s="872" t="e">
        <f>ROUNDDOWN(X178,1)</f>
        <v>#DIV/0!</v>
      </c>
      <c r="P178" s="753" t="e">
        <f t="shared" si="106"/>
        <v>#DIV/0!</v>
      </c>
      <c r="Q178" s="751" t="e">
        <f>ROUNDDOWN(Z178,1)</f>
        <v>#DIV/0!</v>
      </c>
      <c r="R178" s="637" t="e">
        <f>AA178</f>
        <v>#DIV/0!</v>
      </c>
      <c r="S178" s="638"/>
      <c r="T178" s="559"/>
      <c r="U178" s="873"/>
      <c r="V178" s="559"/>
      <c r="X178" s="639" t="e">
        <f>SUMPRODUCT(X179:X180,Y179:Y180)</f>
        <v>#DIV/0!</v>
      </c>
      <c r="Y178" s="640" t="e">
        <f>重み!D178</f>
        <v>#DIV/0!</v>
      </c>
      <c r="Z178" s="639" t="e">
        <f>SUMPRODUCT(Z179:Z180,AA179:AA180)</f>
        <v>#DIV/0!</v>
      </c>
      <c r="AA178" s="640" t="e">
        <f>重み!E178</f>
        <v>#DIV/0!</v>
      </c>
      <c r="AB178" s="614"/>
      <c r="AC178" s="559"/>
      <c r="AD178" s="590" t="e">
        <f>重み!M178</f>
        <v>#DIV/0!</v>
      </c>
      <c r="AE178" s="574"/>
      <c r="AF178" s="590" t="e">
        <f>重み!N178</f>
        <v>#DIV/0!</v>
      </c>
      <c r="BJ178" s="1"/>
      <c r="BK178" s="1"/>
      <c r="BL178" s="2950"/>
    </row>
    <row r="179" spans="1:64">
      <c r="A179" s="94"/>
      <c r="B179" s="866"/>
      <c r="C179" s="691"/>
      <c r="D179" s="654">
        <v>1</v>
      </c>
      <c r="E179" s="3357" t="s">
        <v>819</v>
      </c>
      <c r="F179" s="3350"/>
      <c r="G179" s="648"/>
      <c r="H179" s="648"/>
      <c r="I179" s="2764"/>
      <c r="J179" s="3345"/>
      <c r="K179" s="3346"/>
      <c r="L179" s="3346"/>
      <c r="M179" s="3346"/>
      <c r="N179" s="3348"/>
      <c r="O179" s="657">
        <f>ROUNDDOWN(U179,1)</f>
        <v>3</v>
      </c>
      <c r="P179" s="753" t="e">
        <f t="shared" si="106"/>
        <v>#DIV/0!</v>
      </c>
      <c r="Q179" s="751"/>
      <c r="R179" s="637" t="e">
        <f>AA179</f>
        <v>#DIV/0!</v>
      </c>
      <c r="S179" s="638"/>
      <c r="T179" s="559"/>
      <c r="U179" s="868">
        <f>採点LR3!F216</f>
        <v>3</v>
      </c>
      <c r="V179" s="559"/>
      <c r="X179" s="661">
        <f>O179</f>
        <v>3</v>
      </c>
      <c r="Y179" s="640" t="e">
        <f>重み!D179</f>
        <v>#DIV/0!</v>
      </c>
      <c r="Z179" s="700"/>
      <c r="AA179" s="640" t="e">
        <f>重み!E179</f>
        <v>#DIV/0!</v>
      </c>
      <c r="AB179" s="614"/>
      <c r="AC179" s="559"/>
      <c r="AD179" s="590" t="e">
        <f>重み!M179</f>
        <v>#DIV/0!</v>
      </c>
      <c r="AE179" s="574"/>
      <c r="AF179" s="590" t="e">
        <f>重み!N179</f>
        <v>#DIV/0!</v>
      </c>
      <c r="BJ179" s="1" t="s">
        <v>3601</v>
      </c>
      <c r="BK179" s="1">
        <f>IF(AND(ISERROR(O179)=FALSE,ISERROR(P179)=FALSE,ISERROR(Q179)=FALSE,ISERROR(R179)=FALSE),IF(OR(AND(O179&gt;3,P179&gt;0),AND(Q179&gt;3,R179&gt;0)),MAX(O179,Q179),0),0)</f>
        <v>0</v>
      </c>
      <c r="BL179" s="2950" t="str">
        <f>IF(J179=0,"",J179)</f>
        <v/>
      </c>
    </row>
    <row r="180" spans="1:64" ht="14.25" thickBot="1">
      <c r="A180" s="94"/>
      <c r="B180" s="866"/>
      <c r="C180" s="691"/>
      <c r="D180" s="773">
        <v>2</v>
      </c>
      <c r="E180" s="3355" t="s">
        <v>2005</v>
      </c>
      <c r="F180" s="3356"/>
      <c r="G180" s="648"/>
      <c r="H180" s="2805" t="s">
        <v>3384</v>
      </c>
      <c r="I180" s="2806" t="s">
        <v>3380</v>
      </c>
      <c r="J180" s="3345"/>
      <c r="K180" s="3347"/>
      <c r="L180" s="3347"/>
      <c r="M180" s="3347"/>
      <c r="N180" s="3348"/>
      <c r="O180" s="672">
        <f>ROUNDDOWN(U180,1)</f>
        <v>3</v>
      </c>
      <c r="P180" s="824" t="e">
        <f t="shared" si="106"/>
        <v>#DIV/0!</v>
      </c>
      <c r="Q180" s="751"/>
      <c r="R180" s="637" t="e">
        <f>AA180</f>
        <v>#DIV/0!</v>
      </c>
      <c r="S180" s="638"/>
      <c r="T180" s="559"/>
      <c r="U180" s="870">
        <f>採点LR3!F234</f>
        <v>3</v>
      </c>
      <c r="V180" s="559"/>
      <c r="X180" s="2538">
        <f>O180</f>
        <v>3</v>
      </c>
      <c r="Y180" s="2539" t="e">
        <f>重み!D180</f>
        <v>#DIV/0!</v>
      </c>
      <c r="Z180" s="2540"/>
      <c r="AA180" s="2539" t="e">
        <f>重み!E180</f>
        <v>#DIV/0!</v>
      </c>
      <c r="AB180" s="2541"/>
      <c r="AC180" s="559"/>
      <c r="AD180" s="628" t="e">
        <f>重み!M180</f>
        <v>#DIV/0!</v>
      </c>
      <c r="AE180" s="574"/>
      <c r="AF180" s="628" t="e">
        <f>重み!N180</f>
        <v>#DIV/0!</v>
      </c>
      <c r="BJ180" s="1" t="s">
        <v>3602</v>
      </c>
      <c r="BK180" s="1">
        <f>IF(AND(ISERROR(O180)=FALSE,ISERROR(P180)=FALSE,ISERROR(Q180)=FALSE,ISERROR(R180)=FALSE),IF(OR(AND(O180&gt;3,P180&gt;0),AND(Q180&gt;3,R180&gt;0)),MAX(O180,Q180),0),0)</f>
        <v>0</v>
      </c>
      <c r="BL180" s="2950" t="str">
        <f>IF(J180=0,"",J180)</f>
        <v/>
      </c>
    </row>
    <row r="181" spans="1:64">
      <c r="A181" s="94"/>
      <c r="B181" s="3245"/>
      <c r="C181" s="3245"/>
      <c r="D181" s="3245"/>
      <c r="E181" s="3245"/>
      <c r="F181" s="3245"/>
      <c r="G181" s="3245"/>
      <c r="H181" s="3245"/>
      <c r="I181" s="3245"/>
      <c r="J181" s="3245"/>
      <c r="K181" s="3245"/>
      <c r="L181" s="3245"/>
      <c r="M181" s="3245"/>
      <c r="N181" s="3245"/>
      <c r="O181" s="3245"/>
      <c r="P181" s="3245"/>
      <c r="Q181" s="3245"/>
      <c r="R181" s="3245"/>
      <c r="S181" s="3245"/>
      <c r="T181" s="559"/>
      <c r="U181" s="2543"/>
      <c r="V181" s="2543"/>
      <c r="W181" s="2543"/>
      <c r="X181" s="2543"/>
      <c r="Y181" s="2543"/>
      <c r="Z181" s="2543"/>
      <c r="AA181" s="2543"/>
      <c r="AB181" s="2543"/>
      <c r="AC181" s="2543"/>
      <c r="AD181" s="2543"/>
      <c r="AE181" s="2543"/>
      <c r="AF181" s="2543"/>
      <c r="AG181" s="2543"/>
      <c r="AH181" s="2543"/>
      <c r="AI181" s="2543"/>
      <c r="AJ181" s="2543"/>
      <c r="AK181" s="2543"/>
      <c r="AL181" s="2543"/>
      <c r="AM181" s="2543"/>
      <c r="AN181" s="2543"/>
      <c r="AO181" s="2543"/>
      <c r="AP181" s="2543"/>
      <c r="AQ181" s="2543"/>
      <c r="AR181" s="2543"/>
      <c r="AS181" s="2543"/>
      <c r="AT181" s="2543"/>
    </row>
    <row r="182" spans="1:64" hidden="1">
      <c r="T182" s="559"/>
    </row>
  </sheetData>
  <sheetProtection password="CC47" sheet="1" objects="1" scenarios="1"/>
  <mergeCells count="137">
    <mergeCell ref="H6:H7"/>
    <mergeCell ref="I6:I7"/>
    <mergeCell ref="B3:F3"/>
    <mergeCell ref="J119:N119"/>
    <mergeCell ref="E5:F5"/>
    <mergeCell ref="U5:V6"/>
    <mergeCell ref="J12:N12"/>
    <mergeCell ref="J13:N13"/>
    <mergeCell ref="J15:N15"/>
    <mergeCell ref="J16:N16"/>
    <mergeCell ref="J32:N32"/>
    <mergeCell ref="J33:N33"/>
    <mergeCell ref="J36:N36"/>
    <mergeCell ref="J27:N27"/>
    <mergeCell ref="J28:N28"/>
    <mergeCell ref="J29:N29"/>
    <mergeCell ref="J30:N30"/>
    <mergeCell ref="J60:N60"/>
    <mergeCell ref="D46:E46"/>
    <mergeCell ref="J46:N46"/>
    <mergeCell ref="J37:N37"/>
    <mergeCell ref="J38:N38"/>
    <mergeCell ref="J40:N40"/>
    <mergeCell ref="J41:N41"/>
    <mergeCell ref="J44:N44"/>
    <mergeCell ref="J45:N45"/>
    <mergeCell ref="J59:N59"/>
    <mergeCell ref="N2:O2"/>
    <mergeCell ref="N3:O3"/>
    <mergeCell ref="J23:N23"/>
    <mergeCell ref="J24:N24"/>
    <mergeCell ref="J25:N25"/>
    <mergeCell ref="J26:N26"/>
    <mergeCell ref="J17:N17"/>
    <mergeCell ref="J18:N18"/>
    <mergeCell ref="J19:N19"/>
    <mergeCell ref="J22:N22"/>
    <mergeCell ref="J11:N11"/>
    <mergeCell ref="J43:N43"/>
    <mergeCell ref="J42:N42"/>
    <mergeCell ref="J54:N54"/>
    <mergeCell ref="J55:N55"/>
    <mergeCell ref="J56:N56"/>
    <mergeCell ref="J57:N57"/>
    <mergeCell ref="J49:N49"/>
    <mergeCell ref="J50:N50"/>
    <mergeCell ref="J51:N51"/>
    <mergeCell ref="J52:N52"/>
    <mergeCell ref="J72:N72"/>
    <mergeCell ref="J73:N73"/>
    <mergeCell ref="J74:N74"/>
    <mergeCell ref="J77:N77"/>
    <mergeCell ref="J66:N66"/>
    <mergeCell ref="J68:N68"/>
    <mergeCell ref="J69:N69"/>
    <mergeCell ref="J70:N70"/>
    <mergeCell ref="J64:N64"/>
    <mergeCell ref="J65:N65"/>
    <mergeCell ref="J87:N87"/>
    <mergeCell ref="J88:N88"/>
    <mergeCell ref="J89:N89"/>
    <mergeCell ref="J91:N91"/>
    <mergeCell ref="J83:N83"/>
    <mergeCell ref="E84:F84"/>
    <mergeCell ref="J84:N84"/>
    <mergeCell ref="J85:N85"/>
    <mergeCell ref="J78:N78"/>
    <mergeCell ref="J80:N80"/>
    <mergeCell ref="J81:N81"/>
    <mergeCell ref="E82:F82"/>
    <mergeCell ref="J82:N82"/>
    <mergeCell ref="J104:N104"/>
    <mergeCell ref="J105:N105"/>
    <mergeCell ref="J106:N106"/>
    <mergeCell ref="J107:N107"/>
    <mergeCell ref="J99:N99"/>
    <mergeCell ref="J100:N100"/>
    <mergeCell ref="J101:N101"/>
    <mergeCell ref="J103:N103"/>
    <mergeCell ref="J92:N92"/>
    <mergeCell ref="J93:N93"/>
    <mergeCell ref="J94:N94"/>
    <mergeCell ref="J95:N95"/>
    <mergeCell ref="J108:N108"/>
    <mergeCell ref="J110:N110"/>
    <mergeCell ref="J111:N111"/>
    <mergeCell ref="J113:N113"/>
    <mergeCell ref="J156:N156"/>
    <mergeCell ref="J142:N142"/>
    <mergeCell ref="J144:N144"/>
    <mergeCell ref="J145:N145"/>
    <mergeCell ref="J147:N147"/>
    <mergeCell ref="J148:N148"/>
    <mergeCell ref="J114:N114"/>
    <mergeCell ref="J118:N118"/>
    <mergeCell ref="J122:N122"/>
    <mergeCell ref="J123:N123"/>
    <mergeCell ref="J120:N120"/>
    <mergeCell ref="J121:N121"/>
    <mergeCell ref="J125:N125"/>
    <mergeCell ref="J126:N126"/>
    <mergeCell ref="J135:N135"/>
    <mergeCell ref="J136:N136"/>
    <mergeCell ref="J138:N138"/>
    <mergeCell ref="J127:N127"/>
    <mergeCell ref="J128:N128"/>
    <mergeCell ref="J129:N129"/>
    <mergeCell ref="E145:F145"/>
    <mergeCell ref="D150:F150"/>
    <mergeCell ref="J168:N168"/>
    <mergeCell ref="J157:N157"/>
    <mergeCell ref="J158:N158"/>
    <mergeCell ref="J149:N149"/>
    <mergeCell ref="J150:N150"/>
    <mergeCell ref="J172:N172"/>
    <mergeCell ref="E180:F180"/>
    <mergeCell ref="J180:N180"/>
    <mergeCell ref="J173:N173"/>
    <mergeCell ref="J175:N175"/>
    <mergeCell ref="J177:N177"/>
    <mergeCell ref="E179:F179"/>
    <mergeCell ref="J179:N179"/>
    <mergeCell ref="J176:N176"/>
    <mergeCell ref="J160:N160"/>
    <mergeCell ref="J162:N162"/>
    <mergeCell ref="J151:N151"/>
    <mergeCell ref="J152:N152"/>
    <mergeCell ref="J154:N154"/>
    <mergeCell ref="J130:N130"/>
    <mergeCell ref="J131:N131"/>
    <mergeCell ref="J132:N132"/>
    <mergeCell ref="J139:N139"/>
    <mergeCell ref="J171:N171"/>
    <mergeCell ref="J163:N163"/>
    <mergeCell ref="J165:N165"/>
    <mergeCell ref="J166:N166"/>
    <mergeCell ref="J167:N167"/>
  </mergeCells>
  <phoneticPr fontId="21"/>
  <conditionalFormatting sqref="J122:N123 J149:N150 J127:N132 J87:N88">
    <cfRule type="expression" dxfId="161" priority="24" stopIfTrue="1">
      <formula>O87&gt;3</formula>
    </cfRule>
  </conditionalFormatting>
  <conditionalFormatting sqref="J135:N136 J12:N13 J15:N19 J22:N30 J36:N38 J49:N52 J54:N57 J59:N60 J64:N66 J68:N70 J72:N74 J77:N78 J80:N84 J91:N95 J99:N101 J103:N108 J110:N111 J113:N114 J118:N118 J120:N121 J125:N126 J138:N139 J142:N142 J144:N145 J147:N148 J151:N152 J154:N154 J156:N158 J160:N160 J162:N163 J165:N168 J171:N173 J175:N177 J179:N180 J40:N46">
    <cfRule type="expression" dxfId="160" priority="25" stopIfTrue="1">
      <formula>OR(AND(O12&gt;3,P12&gt;0),AND(Q12&gt;3,R12&gt;0))</formula>
    </cfRule>
  </conditionalFormatting>
  <conditionalFormatting sqref="J119:N119">
    <cfRule type="expression" dxfId="159" priority="19" stopIfTrue="1">
      <formula>OR(AND(O119&gt;3,P119&gt;0),AND(Q119&gt;3,R119&gt;0))</formula>
    </cfRule>
  </conditionalFormatting>
  <conditionalFormatting sqref="AH48:AQ60 AH63:AQ108 AH110:AQ115 AH119:AQ123 AH141:AQ158 AH161:AQ169 AH10:AL47 AN10:AQ47 AH62:AL62 AN62:AQ62 AH125:AQ139">
    <cfRule type="expression" dxfId="158" priority="15">
      <formula>AH$7&gt;0</formula>
    </cfRule>
  </conditionalFormatting>
  <conditionalFormatting sqref="J89:N89">
    <cfRule type="expression" dxfId="157" priority="14" stopIfTrue="1">
      <formula>OR(AND(O89&gt;3,P89&gt;0),AND(Q89&gt;3,R89&gt;0))</formula>
    </cfRule>
  </conditionalFormatting>
  <conditionalFormatting sqref="J85:N85">
    <cfRule type="expression" dxfId="156" priority="13" stopIfTrue="1">
      <formula>OR(AND(O85&gt;3,P85&gt;0),AND(Q85&gt;3,R85&gt;0))</formula>
    </cfRule>
  </conditionalFormatting>
  <conditionalFormatting sqref="J32:N33">
    <cfRule type="expression" dxfId="155" priority="10" stopIfTrue="1">
      <formula>OR(AND(O32&gt;3,P32&gt;0),AND(Q32&gt;3,R32&gt;0))</formula>
    </cfRule>
  </conditionalFormatting>
  <conditionalFormatting sqref="O110:O115 Q35:Q46 Q110:Q115 Q98:Q108 Q21:Q30 Q141:Q158 O160:O180 O141:O158 Q160:Q180 Q118:Q139 Q11:Q19 O62:O108 Q63:Q74 O11:O30 O118:O139 O32:O60 Q48:Q60 Q91:Q96 Q76:Q88">
    <cfRule type="expression" dxfId="154" priority="6" stopIfTrue="1">
      <formula>AND(AD11&gt;0,O11="")</formula>
    </cfRule>
    <cfRule type="expression" dxfId="153" priority="7" stopIfTrue="1">
      <formula>(AD11=0)</formula>
    </cfRule>
  </conditionalFormatting>
  <conditionalFormatting sqref="O10 Q10 Q20 Q34 Q47 Q62 Q75 Q97">
    <cfRule type="expression" dxfId="152" priority="8" stopIfTrue="1">
      <formula>AND(AD10&gt;0,O10="")</formula>
    </cfRule>
    <cfRule type="expression" dxfId="151" priority="9" stopIfTrue="1">
      <formula>AND(AD10=0)</formula>
    </cfRule>
  </conditionalFormatting>
  <conditionalFormatting sqref="O31 Q31:Q33">
    <cfRule type="expression" dxfId="150" priority="4" stopIfTrue="1">
      <formula>AND(AD31&gt;0,O31="")</formula>
    </cfRule>
    <cfRule type="expression" dxfId="149" priority="5" stopIfTrue="1">
      <formula>(AD31=0)</formula>
    </cfRule>
  </conditionalFormatting>
  <conditionalFormatting sqref="Q89:Q90">
    <cfRule type="expression" dxfId="148" priority="2" stopIfTrue="1">
      <formula>AND(AF89&gt;0,Q89="")</formula>
    </cfRule>
    <cfRule type="expression" dxfId="147" priority="3" stopIfTrue="1">
      <formula>(AF89=0)</formula>
    </cfRule>
  </conditionalFormatting>
  <conditionalFormatting sqref="J11:N11">
    <cfRule type="expression" dxfId="146" priority="1" stopIfTrue="1">
      <formula>OR(AND(O11&gt;3,P11&gt;0),AND(Q11&gt;3,R11&gt;0))</formula>
    </cfRule>
  </conditionalFormatting>
  <dataValidations disablePrompts="1" xWindow="895" yWindow="482" count="2">
    <dataValidation allowBlank="1" showErrorMessage="1" sqref="X178 Z178 X153 Z153 X143 X169:X170 X155 Z155 X174 Z174 Z161 X161 Z169:Z170 X164 Z146 X146 Z121 X119 Z90 Z97:Z98 Z102 Z112 Z133:Z134 Z141 Z143 X90 X97:X98 X102 X112 Z164 X133:X134 X141 Z14 Z71 X71 X137 X79 X75:X76 X67 X62:X63 X58 X53 X47:X48 X43 X39 X34:X35 X20:X21 X14 X10:X11 Z10:Z11 Z79 Z75:Z76 Z67 Z62:Z63 Z58 Z53 Z47:Z48 Z20:Z21 Z39 Z34:Z35 X86 Z86 Z137 Z119 Y124:Z124 AR160:AR161 Z31 Y125:Y180 AR10:AS10 AR20 AR34 AR47 AR169 AR75 AR62 AR97 AR110:AR112 AR118:AR119 AR124 AR133 AR141 AR146 AR153 Y10:Y123 X31 O10:Q180"/>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S159 S109 S140 S116:S117 S61">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68" fitToHeight="2" orientation="portrait" verticalDpi="4294967293" r:id="rId1"/>
  <headerFooter alignWithMargins="0">
    <oddHeader>&amp;L&amp;F&amp;R&amp;A</oddHeader>
    <oddFooter>&amp;C&amp;P/&amp;N</oddFooter>
  </headerFooter>
  <rowBreaks count="1" manualBreakCount="1">
    <brk id="89" max="16" man="1"/>
  </rowBreaks>
  <legacy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B1:G152"/>
  <sheetViews>
    <sheetView showGridLines="0" workbookViewId="0">
      <selection activeCell="C5" sqref="C5:E5"/>
    </sheetView>
  </sheetViews>
  <sheetFormatPr defaultColWidth="0" defaultRowHeight="13.5" zeroHeight="1"/>
  <cols>
    <col min="1" max="1" width="0.875" style="949" customWidth="1"/>
    <col min="2" max="2" width="17.375" style="949" customWidth="1"/>
    <col min="3" max="3" width="38" style="950" customWidth="1"/>
    <col min="4" max="4" width="14.25" style="949" customWidth="1"/>
    <col min="5" max="5" width="21.25" style="949" customWidth="1"/>
    <col min="6" max="6" width="1.375" style="949" customWidth="1"/>
    <col min="7" max="16384" width="0" style="949" hidden="1"/>
  </cols>
  <sheetData>
    <row r="1" spans="2:7" s="935" customFormat="1" ht="21">
      <c r="B1" s="932" t="s">
        <v>2252</v>
      </c>
      <c r="C1" s="933"/>
      <c r="D1" s="934" t="s">
        <v>2253</v>
      </c>
      <c r="E1" s="2948" t="str">
        <f>メイン!C11</f>
        <v>○○ビル</v>
      </c>
    </row>
    <row r="2" spans="2:7" s="939" customFormat="1" thickBot="1">
      <c r="B2" s="936"/>
      <c r="C2" s="937"/>
      <c r="D2" s="937"/>
      <c r="E2" s="937"/>
      <c r="F2" s="938"/>
      <c r="G2" s="938"/>
    </row>
    <row r="3" spans="2:7" s="935" customFormat="1" ht="21" customHeight="1" thickBot="1">
      <c r="B3" s="940"/>
      <c r="C3" s="941" t="s">
        <v>2254</v>
      </c>
      <c r="D3" s="941"/>
      <c r="E3" s="942"/>
    </row>
    <row r="4" spans="2:7" s="944" customFormat="1" ht="81" customHeight="1" thickTop="1">
      <c r="B4" s="943" t="s">
        <v>2255</v>
      </c>
      <c r="C4" s="3381" t="s">
        <v>3754</v>
      </c>
      <c r="D4" s="3382"/>
      <c r="E4" s="3383"/>
    </row>
    <row r="5" spans="2:7" s="935" customFormat="1" ht="81" customHeight="1">
      <c r="B5" s="945" t="s">
        <v>2256</v>
      </c>
      <c r="C5" s="3384" t="s">
        <v>3755</v>
      </c>
      <c r="D5" s="3385"/>
      <c r="E5" s="3386"/>
    </row>
    <row r="6" spans="2:7" s="935" customFormat="1" ht="81" customHeight="1">
      <c r="B6" s="945" t="s">
        <v>2257</v>
      </c>
      <c r="C6" s="3384" t="s">
        <v>3756</v>
      </c>
      <c r="D6" s="3385"/>
      <c r="E6" s="3386"/>
    </row>
    <row r="7" spans="2:7" s="935" customFormat="1" ht="81" customHeight="1">
      <c r="B7" s="945" t="s">
        <v>2258</v>
      </c>
      <c r="C7" s="3384" t="s">
        <v>3757</v>
      </c>
      <c r="D7" s="3385"/>
      <c r="E7" s="3386"/>
    </row>
    <row r="8" spans="2:7" s="935" customFormat="1" ht="81" customHeight="1">
      <c r="B8" s="945" t="s">
        <v>1601</v>
      </c>
      <c r="C8" s="3384" t="s">
        <v>3758</v>
      </c>
      <c r="D8" s="3385"/>
      <c r="E8" s="3386"/>
    </row>
    <row r="9" spans="2:7" s="935" customFormat="1" ht="81" customHeight="1">
      <c r="B9" s="945" t="s">
        <v>2259</v>
      </c>
      <c r="C9" s="3384" t="s">
        <v>3759</v>
      </c>
      <c r="D9" s="3385"/>
      <c r="E9" s="3386"/>
    </row>
    <row r="10" spans="2:7" s="935" customFormat="1" ht="81" customHeight="1" thickBot="1">
      <c r="B10" s="946" t="s">
        <v>1900</v>
      </c>
      <c r="C10" s="3390" t="s">
        <v>3760</v>
      </c>
      <c r="D10" s="3391"/>
      <c r="E10" s="3392"/>
    </row>
    <row r="11" spans="2:7" s="935" customFormat="1" ht="122.25" customHeight="1" thickTop="1" thickBot="1">
      <c r="B11" s="947" t="s">
        <v>2260</v>
      </c>
      <c r="C11" s="3387" t="s">
        <v>3761</v>
      </c>
      <c r="D11" s="3388"/>
      <c r="E11" s="3389"/>
    </row>
    <row r="12" spans="2:7" s="935" customFormat="1">
      <c r="C12" s="948"/>
    </row>
    <row r="13" spans="2:7" hidden="1"/>
    <row r="14" spans="2:7" hidden="1"/>
    <row r="15" spans="2:7" hidden="1"/>
    <row r="16" spans="2:7" hidden="1"/>
    <row r="17" hidden="1"/>
    <row r="152" hidden="1"/>
  </sheetData>
  <sheetProtection password="CC47" sheet="1" objects="1" scenarios="1"/>
  <mergeCells count="8">
    <mergeCell ref="C4:E4"/>
    <mergeCell ref="C9:E9"/>
    <mergeCell ref="C11:E11"/>
    <mergeCell ref="C5:E5"/>
    <mergeCell ref="C6:E6"/>
    <mergeCell ref="C7:E7"/>
    <mergeCell ref="C8:E8"/>
    <mergeCell ref="C10:E10"/>
  </mergeCells>
  <phoneticPr fontId="21"/>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B1:AC88"/>
  <sheetViews>
    <sheetView showGridLines="0" topLeftCell="A4" zoomScaleNormal="100" workbookViewId="0">
      <selection activeCell="C13" sqref="C13:E14"/>
    </sheetView>
  </sheetViews>
  <sheetFormatPr defaultColWidth="0" defaultRowHeight="13.5" zeroHeight="1"/>
  <cols>
    <col min="1" max="1" width="1.25" customWidth="1"/>
    <col min="2" max="2" width="5.875" style="136" customWidth="1"/>
    <col min="3" max="3" width="28.125" style="136" customWidth="1"/>
    <col min="4" max="4" width="15" style="136" customWidth="1"/>
    <col min="5" max="5" width="13.125" style="136" customWidth="1"/>
    <col min="6" max="6" width="9.875" customWidth="1"/>
    <col min="7" max="7" width="3" customWidth="1"/>
    <col min="8" max="8" width="4.125" customWidth="1"/>
    <col min="9" max="9" width="29.375" bestFit="1" customWidth="1"/>
    <col min="10" max="10" width="10.75" bestFit="1" customWidth="1"/>
    <col min="11" max="11" width="12.5" bestFit="1" customWidth="1"/>
    <col min="12" max="12" width="4.375" customWidth="1"/>
    <col min="13" max="13" width="2.875" customWidth="1"/>
    <col min="14" max="14" width="5.625" hidden="1" customWidth="1"/>
    <col min="15" max="16" width="14.125" hidden="1" customWidth="1"/>
    <col min="17" max="17" width="2.125" hidden="1" customWidth="1"/>
    <col min="18" max="19" width="14.125" hidden="1" customWidth="1"/>
  </cols>
  <sheetData>
    <row r="1" spans="2:29" s="94" customFormat="1" ht="9.75" customHeight="1" thickBot="1"/>
    <row r="2" spans="2:29" s="99" customFormat="1" ht="18.75">
      <c r="B2" s="95" t="s">
        <v>160</v>
      </c>
      <c r="C2" s="96"/>
      <c r="D2" s="97"/>
      <c r="E2" s="96"/>
      <c r="F2" s="98"/>
      <c r="G2" s="94"/>
      <c r="M2" s="94"/>
      <c r="N2" s="94"/>
      <c r="O2" s="94"/>
      <c r="P2" s="94"/>
      <c r="Q2" s="94"/>
      <c r="R2" s="94"/>
      <c r="S2" s="94"/>
      <c r="T2" s="94"/>
      <c r="U2" s="94"/>
      <c r="V2" s="94"/>
      <c r="W2" s="94"/>
      <c r="X2" s="94"/>
      <c r="Y2" s="94"/>
      <c r="Z2" s="94"/>
      <c r="AA2" s="94"/>
      <c r="AB2" s="94"/>
      <c r="AC2" s="94"/>
    </row>
    <row r="3" spans="2:29" s="99" customFormat="1" ht="21" customHeight="1">
      <c r="B3" s="100" t="s">
        <v>1422</v>
      </c>
      <c r="C3" s="101"/>
      <c r="D3" s="102"/>
      <c r="E3" s="103"/>
      <c r="F3" s="104"/>
      <c r="G3" s="94"/>
      <c r="H3" s="105" t="s">
        <v>1545</v>
      </c>
      <c r="I3" s="106"/>
      <c r="J3" s="106"/>
      <c r="K3" s="106"/>
      <c r="L3" s="107"/>
      <c r="M3" s="94"/>
      <c r="O3" s="108">
        <v>1</v>
      </c>
      <c r="P3" s="94" t="s">
        <v>1423</v>
      </c>
      <c r="Q3" s="94"/>
      <c r="R3" s="94"/>
      <c r="S3" s="94"/>
      <c r="T3" s="94"/>
      <c r="U3" s="94"/>
      <c r="V3" s="94"/>
      <c r="W3" s="94"/>
      <c r="X3" s="94"/>
      <c r="Y3" s="94"/>
      <c r="Z3" s="94"/>
      <c r="AA3" s="94"/>
      <c r="AB3" s="94"/>
      <c r="AC3" s="94"/>
    </row>
    <row r="4" spans="2:29">
      <c r="B4" s="109"/>
      <c r="C4" s="110" t="s">
        <v>1424</v>
      </c>
      <c r="D4" s="110" t="s">
        <v>1425</v>
      </c>
      <c r="E4" s="111"/>
      <c r="F4" s="112"/>
      <c r="H4" s="113" t="s">
        <v>2025</v>
      </c>
      <c r="I4" s="111"/>
      <c r="J4" s="111"/>
      <c r="K4" s="111"/>
      <c r="L4" s="114"/>
    </row>
    <row r="5" spans="2:29">
      <c r="B5" s="109"/>
      <c r="C5" s="115" t="str">
        <f>IF($O$7=0,"根拠を記入してください",$O$7)</f>
        <v>根拠を記入してください</v>
      </c>
      <c r="D5" s="116" t="str">
        <f>IF($P$7=0,O9,$P$7)</f>
        <v>N.A.</v>
      </c>
      <c r="E5" s="111" t="s">
        <v>2026</v>
      </c>
      <c r="F5" s="112"/>
      <c r="H5" s="113" t="s">
        <v>2027</v>
      </c>
      <c r="I5" s="111"/>
      <c r="J5" s="111"/>
      <c r="K5" s="111"/>
      <c r="L5" s="114"/>
    </row>
    <row r="6" spans="2:29">
      <c r="B6" s="109"/>
      <c r="C6" s="111"/>
      <c r="D6" s="111"/>
      <c r="E6" s="111"/>
      <c r="F6" s="112"/>
      <c r="H6" s="113"/>
      <c r="I6" s="117" t="str">
        <f>CO2データ!D105</f>
        <v>北海道電力株式会社</v>
      </c>
      <c r="J6" s="118">
        <f>CO2データ!I105</f>
        <v>6.8800000000000003E-4</v>
      </c>
      <c r="K6" s="113"/>
      <c r="L6" s="119"/>
      <c r="O6" t="s">
        <v>1426</v>
      </c>
      <c r="P6" t="s">
        <v>1427</v>
      </c>
    </row>
    <row r="7" spans="2:29">
      <c r="B7" s="109"/>
      <c r="C7" s="111"/>
      <c r="D7" s="111"/>
      <c r="E7" s="111"/>
      <c r="F7" s="112"/>
      <c r="H7" s="113"/>
      <c r="I7" s="117" t="str">
        <f>CO2データ!D106</f>
        <v>東北電力株式会社</v>
      </c>
      <c r="J7" s="118">
        <f>CO2データ!I106</f>
        <v>5.9999999999999995E-4</v>
      </c>
      <c r="K7" s="113"/>
      <c r="L7" s="119"/>
      <c r="O7">
        <f>IF($O$3=1,C10,IF($O$3=2,C16,IF($O$3=3,C20,IF($O$3=4,C24,C28))))</f>
        <v>0</v>
      </c>
      <c r="P7">
        <f>IF($O$3=1,D10,IF($O$3=2,D16,IF($O$3=3,D20,IF($O$3=4,D24,D28))))</f>
        <v>0</v>
      </c>
    </row>
    <row r="8" spans="2:29">
      <c r="B8" s="109" t="s">
        <v>2817</v>
      </c>
      <c r="C8" s="111"/>
      <c r="D8" s="120"/>
      <c r="E8" s="111"/>
      <c r="F8" s="112"/>
      <c r="H8" s="113"/>
      <c r="I8" s="117" t="str">
        <f>CO2データ!D107</f>
        <v>東京電力株式会社</v>
      </c>
      <c r="J8" s="118">
        <f>CO2データ!I107</f>
        <v>5.2499999999999997E-4</v>
      </c>
      <c r="K8" s="113"/>
      <c r="L8" s="119"/>
    </row>
    <row r="9" spans="2:29">
      <c r="B9" s="109"/>
      <c r="C9" s="110" t="s">
        <v>1424</v>
      </c>
      <c r="D9" s="121" t="s">
        <v>2028</v>
      </c>
      <c r="E9" s="120"/>
      <c r="F9" s="112"/>
      <c r="H9" s="113"/>
      <c r="I9" s="117" t="str">
        <f>CO2データ!D108</f>
        <v>中部電力株式会社</v>
      </c>
      <c r="J9" s="118">
        <f>CO2データ!I108</f>
        <v>5.1599999999999997E-4</v>
      </c>
      <c r="K9" s="113"/>
      <c r="L9" s="119"/>
      <c r="O9" t="s">
        <v>2029</v>
      </c>
    </row>
    <row r="10" spans="2:29">
      <c r="B10" s="109"/>
      <c r="C10" s="122"/>
      <c r="D10" s="123"/>
      <c r="E10" s="111" t="s">
        <v>2030</v>
      </c>
      <c r="F10" s="112"/>
      <c r="H10" s="113"/>
      <c r="I10" s="117" t="str">
        <f>CO2データ!D109</f>
        <v>北陸電力株式会社</v>
      </c>
      <c r="J10" s="118">
        <f>CO2データ!I109</f>
        <v>6.6299999999999996E-4</v>
      </c>
      <c r="K10" s="113"/>
      <c r="L10" s="119"/>
    </row>
    <row r="11" spans="2:29">
      <c r="B11" s="109"/>
      <c r="C11" s="111"/>
      <c r="D11" s="111"/>
      <c r="E11" s="111"/>
      <c r="F11" s="112"/>
      <c r="H11" s="113"/>
      <c r="I11" s="117" t="str">
        <f>CO2データ!D110</f>
        <v>関西電力株式会社</v>
      </c>
      <c r="J11" s="118">
        <f>CO2データ!I110</f>
        <v>5.1400000000000003E-4</v>
      </c>
      <c r="K11" s="113"/>
      <c r="L11" s="119"/>
    </row>
    <row r="12" spans="2:29">
      <c r="B12" s="109" t="s">
        <v>271</v>
      </c>
      <c r="C12" s="111"/>
      <c r="D12" s="111"/>
      <c r="E12" s="111"/>
      <c r="F12" s="112"/>
      <c r="H12" s="113"/>
      <c r="I12" s="117" t="str">
        <f>CO2データ!D111</f>
        <v>中国電力株式会社</v>
      </c>
      <c r="J12" s="118">
        <f>CO2データ!I111</f>
        <v>7.3800000000000005E-4</v>
      </c>
      <c r="K12" s="113"/>
      <c r="L12" s="119"/>
    </row>
    <row r="13" spans="2:29">
      <c r="B13" s="124" t="s">
        <v>2031</v>
      </c>
      <c r="C13" s="3393" t="s">
        <v>2032</v>
      </c>
      <c r="D13" s="3393"/>
      <c r="E13" s="3393"/>
      <c r="F13" s="112"/>
      <c r="H13" s="113"/>
      <c r="I13" s="117" t="str">
        <f>CO2データ!D112</f>
        <v>四国電力株式会社</v>
      </c>
      <c r="J13" s="118">
        <f>CO2データ!I112</f>
        <v>6.9999999999999999E-4</v>
      </c>
      <c r="K13" s="113"/>
      <c r="L13" s="119"/>
    </row>
    <row r="14" spans="2:29">
      <c r="B14" s="124"/>
      <c r="C14" s="3393"/>
      <c r="D14" s="3393"/>
      <c r="E14" s="3393"/>
      <c r="F14" s="112"/>
      <c r="H14" s="113"/>
      <c r="I14" s="117" t="str">
        <f>CO2データ!D113</f>
        <v>九州電力株式会社</v>
      </c>
      <c r="J14" s="118">
        <f>CO2データ!I113</f>
        <v>6.1200000000000002E-4</v>
      </c>
      <c r="K14" s="113"/>
      <c r="L14" s="119"/>
    </row>
    <row r="15" spans="2:29">
      <c r="B15" s="109"/>
      <c r="C15" s="110" t="s">
        <v>272</v>
      </c>
      <c r="D15" s="121" t="s">
        <v>2033</v>
      </c>
      <c r="E15" s="120"/>
      <c r="F15" s="112"/>
      <c r="H15" s="113"/>
      <c r="I15" s="117" t="str">
        <f>CO2データ!D114</f>
        <v>沖縄電力株式会社</v>
      </c>
      <c r="J15" s="118">
        <f>CO2データ!I114</f>
        <v>9.0300000000000005E-4</v>
      </c>
      <c r="K15" s="113"/>
      <c r="L15" s="119"/>
    </row>
    <row r="16" spans="2:29">
      <c r="B16" s="109"/>
      <c r="C16" s="123"/>
      <c r="D16" s="127" t="e">
        <f>VLOOKUP(C16,C50:D88,2)</f>
        <v>#N/A</v>
      </c>
      <c r="E16" s="111" t="s">
        <v>273</v>
      </c>
      <c r="F16" s="112"/>
      <c r="H16" s="113"/>
      <c r="I16" s="117" t="str">
        <f>CO2データ!D115</f>
        <v>イーレックス株式会社</v>
      </c>
      <c r="J16" s="118">
        <f>CO2データ!I115</f>
        <v>6.0300000000000002E-4</v>
      </c>
      <c r="K16" s="113"/>
      <c r="L16" s="119"/>
    </row>
    <row r="17" spans="2:12" ht="15" customHeight="1">
      <c r="B17" s="109"/>
      <c r="C17" s="125"/>
      <c r="D17" s="125"/>
      <c r="E17" s="125"/>
      <c r="F17" s="112"/>
      <c r="H17" s="113"/>
      <c r="I17" s="117" t="str">
        <f>CO2データ!D116</f>
        <v>出光グリーンパワー株式会社</v>
      </c>
      <c r="J17" s="118">
        <f>CO2データ!I116</f>
        <v>8.6000000000000003E-5</v>
      </c>
      <c r="K17" s="113"/>
      <c r="L17" s="119"/>
    </row>
    <row r="18" spans="2:12" ht="15" customHeight="1">
      <c r="B18" s="124" t="s">
        <v>2034</v>
      </c>
      <c r="C18" s="111" t="s">
        <v>274</v>
      </c>
      <c r="D18" s="120"/>
      <c r="E18" s="111"/>
      <c r="F18" s="112"/>
      <c r="H18" s="113"/>
      <c r="I18" s="117" t="str">
        <f>CO2データ!D117</f>
        <v>伊藤忠エネクス株式会社</v>
      </c>
      <c r="J18" s="118">
        <f>CO2データ!I117</f>
        <v>6.7599999999999995E-4</v>
      </c>
      <c r="K18" s="113"/>
      <c r="L18" s="119"/>
    </row>
    <row r="19" spans="2:12" ht="15" customHeight="1">
      <c r="B19" s="109"/>
      <c r="C19" s="110" t="s">
        <v>1424</v>
      </c>
      <c r="D19" s="121" t="s">
        <v>2028</v>
      </c>
      <c r="E19" s="120"/>
      <c r="F19" s="112"/>
      <c r="H19" s="113"/>
      <c r="I19" s="117" t="str">
        <f>CO2データ!D118</f>
        <v>エネサーブ株式会社</v>
      </c>
      <c r="J19" s="118">
        <f>CO2データ!I118</f>
        <v>6.1600000000000001E-4</v>
      </c>
      <c r="K19" s="113"/>
      <c r="L19" s="119"/>
    </row>
    <row r="20" spans="2:12" ht="15" customHeight="1">
      <c r="B20" s="109"/>
      <c r="C20" s="122"/>
      <c r="D20" s="123"/>
      <c r="E20" s="111" t="s">
        <v>2030</v>
      </c>
      <c r="F20" s="112"/>
      <c r="H20" s="113"/>
      <c r="I20" s="117" t="str">
        <f>CO2データ!D119</f>
        <v>荏原環境プラント株式会社</v>
      </c>
      <c r="J20" s="118">
        <f>CO2データ!I119</f>
        <v>4.5600000000000003E-4</v>
      </c>
      <c r="K20" s="113"/>
      <c r="L20" s="119"/>
    </row>
    <row r="21" spans="2:12" ht="15" customHeight="1">
      <c r="B21" s="109"/>
      <c r="C21" s="125"/>
      <c r="D21" s="125"/>
      <c r="E21" s="125"/>
      <c r="F21" s="112"/>
      <c r="H21" s="113"/>
      <c r="I21" s="117" t="str">
        <f>CO2データ!D120</f>
        <v>王子製紙株式会社</v>
      </c>
      <c r="J21" s="118">
        <f>CO2データ!I120</f>
        <v>4.75E-4</v>
      </c>
      <c r="K21" s="113"/>
      <c r="L21" s="119"/>
    </row>
    <row r="22" spans="2:12" ht="15" customHeight="1">
      <c r="B22" s="124" t="s">
        <v>2035</v>
      </c>
      <c r="C22" s="111" t="s">
        <v>2036</v>
      </c>
      <c r="D22" s="111"/>
      <c r="E22" s="111"/>
      <c r="F22" s="112"/>
      <c r="H22" s="113"/>
      <c r="I22" s="117" t="str">
        <f>CO2データ!D121</f>
        <v>オリックス株式会社</v>
      </c>
      <c r="J22" s="118">
        <f>CO2データ!I121</f>
        <v>7.6199999999999998E-4</v>
      </c>
      <c r="K22" s="113"/>
      <c r="L22" s="119"/>
    </row>
    <row r="23" spans="2:12" ht="15" customHeight="1">
      <c r="B23" s="124"/>
      <c r="C23" s="110" t="s">
        <v>169</v>
      </c>
      <c r="D23" s="121" t="s">
        <v>1428</v>
      </c>
      <c r="E23" s="111"/>
      <c r="F23" s="112"/>
      <c r="H23" s="113"/>
      <c r="I23" s="117" t="str">
        <f>CO2データ!D122</f>
        <v>株式会社イーセル</v>
      </c>
      <c r="J23" s="118">
        <f>CO2データ!I122</f>
        <v>0</v>
      </c>
      <c r="K23" s="113"/>
      <c r="L23" s="119"/>
    </row>
    <row r="24" spans="2:12" ht="15" customHeight="1">
      <c r="B24" s="109"/>
      <c r="C24" s="126" t="s">
        <v>168</v>
      </c>
      <c r="D24" s="127" t="str">
        <f>IF($O$3=4,J46,"")</f>
        <v/>
      </c>
      <c r="E24" s="111" t="s">
        <v>2037</v>
      </c>
      <c r="F24" s="112"/>
      <c r="H24" s="113"/>
      <c r="I24" s="117" t="str">
        <f>CO2データ!D123</f>
        <v>株式会社エネット</v>
      </c>
      <c r="J24" s="118">
        <f>CO2データ!I123</f>
        <v>4.2900000000000002E-4</v>
      </c>
      <c r="K24" s="113"/>
      <c r="L24" s="119"/>
    </row>
    <row r="25" spans="2:12" ht="15" customHeight="1">
      <c r="B25" s="109"/>
      <c r="C25" s="111"/>
      <c r="D25" s="111"/>
      <c r="E25" s="111"/>
      <c r="F25" s="112"/>
      <c r="H25" s="113"/>
      <c r="I25" s="117" t="str">
        <f>CO2データ!D124</f>
        <v>株式会社Ｆ－Ｐｏｗｅｒ</v>
      </c>
      <c r="J25" s="118">
        <f>CO2データ!I124</f>
        <v>5.2499999999999997E-4</v>
      </c>
      <c r="K25" s="113"/>
      <c r="L25" s="119"/>
    </row>
    <row r="26" spans="2:12" ht="15" customHeight="1">
      <c r="B26" s="109" t="s">
        <v>2038</v>
      </c>
      <c r="C26" s="111"/>
      <c r="D26" s="120"/>
      <c r="E26" s="111"/>
      <c r="F26" s="112"/>
      <c r="H26" s="113"/>
      <c r="I26" s="117" t="str">
        <f>CO2データ!D125</f>
        <v>株式会社Ｇ－Ｐｏｗｅｒ</v>
      </c>
      <c r="J26" s="118">
        <f>CO2データ!I125</f>
        <v>4.4099999999999999E-4</v>
      </c>
      <c r="K26" s="113"/>
      <c r="L26" s="119"/>
    </row>
    <row r="27" spans="2:12" ht="15" customHeight="1">
      <c r="B27" s="109"/>
      <c r="C27" s="110" t="s">
        <v>1424</v>
      </c>
      <c r="D27" s="121" t="s">
        <v>2028</v>
      </c>
      <c r="E27" s="120"/>
      <c r="F27" s="112"/>
      <c r="H27" s="113"/>
      <c r="I27" s="117" t="str">
        <f>CO2データ!D126</f>
        <v>株式会社日本セレモニー</v>
      </c>
      <c r="J27" s="118">
        <f>CO2データ!I126</f>
        <v>7.9699999999999997E-4</v>
      </c>
      <c r="K27" s="113"/>
      <c r="L27" s="119"/>
    </row>
    <row r="28" spans="2:12" ht="15" customHeight="1">
      <c r="B28" s="109"/>
      <c r="C28" s="122"/>
      <c r="D28" s="123"/>
      <c r="E28" s="111" t="s">
        <v>2030</v>
      </c>
      <c r="F28" s="112"/>
      <c r="H28" s="113"/>
      <c r="I28" s="117" t="str">
        <f>CO2データ!D127</f>
        <v>サミットエナジー株式会社</v>
      </c>
      <c r="J28" s="118">
        <f>CO2データ!I127</f>
        <v>4.3800000000000002E-4</v>
      </c>
      <c r="K28" s="113"/>
      <c r="L28" s="119"/>
    </row>
    <row r="29" spans="2:12" ht="15" customHeight="1">
      <c r="B29" s="109"/>
      <c r="C29" s="2193"/>
      <c r="D29" s="2193"/>
      <c r="E29" s="111"/>
      <c r="F29" s="112"/>
      <c r="H29" s="113"/>
      <c r="I29" s="117" t="str">
        <f>CO2データ!D128</f>
        <v>ＪＸ日鉱日石エネルギー株式会社</v>
      </c>
      <c r="J29" s="118">
        <f>CO2データ!I128</f>
        <v>3.6699999999999998E-4</v>
      </c>
      <c r="K29" s="113"/>
      <c r="L29" s="119"/>
    </row>
    <row r="30" spans="2:12" ht="15" customHeight="1">
      <c r="B30" s="109"/>
      <c r="C30" s="2193"/>
      <c r="D30" s="2193"/>
      <c r="E30" s="111"/>
      <c r="F30" s="112"/>
      <c r="H30" s="113"/>
      <c r="I30" s="117" t="str">
        <f>CO2データ!D129</f>
        <v>ＪＥＮホールディングス株式会社</v>
      </c>
      <c r="J30" s="118">
        <f>CO2データ!I129</f>
        <v>4.9399999999999997E-4</v>
      </c>
      <c r="K30" s="113"/>
      <c r="L30" s="119"/>
    </row>
    <row r="31" spans="2:12" ht="15" customHeight="1">
      <c r="B31" s="109"/>
      <c r="C31" s="2193"/>
      <c r="D31" s="2193"/>
      <c r="E31" s="111"/>
      <c r="F31" s="112"/>
      <c r="H31" s="113"/>
      <c r="I31" s="117" t="str">
        <f>CO2データ!D130</f>
        <v>志賀高原リゾート開発株式会社</v>
      </c>
      <c r="J31" s="118">
        <f>CO2データ!I130</f>
        <v>3.1199999999999999E-4</v>
      </c>
      <c r="K31" s="113"/>
      <c r="L31" s="119"/>
    </row>
    <row r="32" spans="2:12" ht="15" customHeight="1">
      <c r="B32" s="109"/>
      <c r="C32" s="2193"/>
      <c r="D32" s="2193"/>
      <c r="E32" s="111"/>
      <c r="F32" s="112"/>
      <c r="H32" s="113"/>
      <c r="I32" s="117" t="str">
        <f>CO2データ!D131</f>
        <v>昭和シェル石油株式会社</v>
      </c>
      <c r="J32" s="118">
        <f>CO2データ!I131</f>
        <v>3.6699999999999998E-4</v>
      </c>
      <c r="K32" s="113"/>
      <c r="L32" s="119"/>
    </row>
    <row r="33" spans="2:12" ht="15" customHeight="1">
      <c r="B33" s="109"/>
      <c r="C33" s="2193"/>
      <c r="D33" s="2193"/>
      <c r="E33" s="111"/>
      <c r="F33" s="112"/>
      <c r="H33" s="113"/>
      <c r="I33" s="117" t="str">
        <f>CO2データ!D132</f>
        <v>新日鉄住金エンジニアリング株式会社</v>
      </c>
      <c r="J33" s="118">
        <f>CO2データ!I132</f>
        <v>6.5499999999999998E-4</v>
      </c>
      <c r="K33" s="113"/>
      <c r="L33" s="119"/>
    </row>
    <row r="34" spans="2:12" ht="15" customHeight="1">
      <c r="B34" s="109"/>
      <c r="C34" s="2193"/>
      <c r="D34" s="2193"/>
      <c r="E34" s="111"/>
      <c r="F34" s="112"/>
      <c r="H34" s="113"/>
      <c r="I34" s="117" t="str">
        <f>CO2データ!D133</f>
        <v>泉北天然ガス発電株式会社</v>
      </c>
      <c r="J34" s="118">
        <f>CO2データ!I133</f>
        <v>3.88E-4</v>
      </c>
      <c r="K34" s="113"/>
      <c r="L34" s="119"/>
    </row>
    <row r="35" spans="2:12" ht="15" customHeight="1">
      <c r="B35" s="109"/>
      <c r="C35" s="2193"/>
      <c r="D35" s="2193"/>
      <c r="E35" s="111"/>
      <c r="F35" s="112"/>
      <c r="H35" s="113"/>
      <c r="I35" s="117" t="str">
        <f>CO2データ!D134</f>
        <v>ダイヤモンドパワー株式会社</v>
      </c>
      <c r="J35" s="118">
        <f>CO2データ!I134</f>
        <v>4.3100000000000001E-4</v>
      </c>
      <c r="K35" s="113"/>
      <c r="L35" s="119"/>
    </row>
    <row r="36" spans="2:12" ht="15" customHeight="1">
      <c r="B36" s="109"/>
      <c r="C36" s="2193"/>
      <c r="D36" s="2193"/>
      <c r="E36" s="111"/>
      <c r="F36" s="112"/>
      <c r="H36" s="113"/>
      <c r="I36" s="117" t="str">
        <f>CO2データ!D135</f>
        <v>テス・エンジニアリング株式会社</v>
      </c>
      <c r="J36" s="118">
        <f>CO2データ!I135</f>
        <v>4.9399999999999997E-4</v>
      </c>
      <c r="K36" s="113"/>
      <c r="L36" s="119"/>
    </row>
    <row r="37" spans="2:12" ht="15" customHeight="1">
      <c r="B37" s="109"/>
      <c r="C37" s="2193"/>
      <c r="D37" s="2193"/>
      <c r="E37" s="111"/>
      <c r="F37" s="112"/>
      <c r="H37" s="113"/>
      <c r="I37" s="117" t="str">
        <f>CO2データ!D136</f>
        <v>東京エコサービス株式会社</v>
      </c>
      <c r="J37" s="118">
        <f>CO2データ!I136</f>
        <v>9.2E-5</v>
      </c>
      <c r="K37" s="113"/>
      <c r="L37" s="119"/>
    </row>
    <row r="38" spans="2:12" ht="15" customHeight="1">
      <c r="B38" s="109"/>
      <c r="C38" s="2193"/>
      <c r="D38" s="2193"/>
      <c r="E38" s="111"/>
      <c r="F38" s="112"/>
      <c r="H38" s="113"/>
      <c r="I38" s="117" t="str">
        <f>CO2データ!D137</f>
        <v>日本テクノ株式会社</v>
      </c>
      <c r="J38" s="118">
        <f>CO2データ!I137</f>
        <v>5.0799999999999999E-4</v>
      </c>
      <c r="K38" s="113"/>
      <c r="L38" s="119"/>
    </row>
    <row r="39" spans="2:12" ht="15" customHeight="1">
      <c r="B39" s="109"/>
      <c r="C39" s="2193"/>
      <c r="D39" s="2193"/>
      <c r="E39" s="111"/>
      <c r="F39" s="112"/>
      <c r="H39" s="113"/>
      <c r="I39" s="117" t="str">
        <f>CO2データ!D138</f>
        <v>日本ロジテック協同組合</v>
      </c>
      <c r="J39" s="118">
        <f>CO2データ!I138</f>
        <v>4.86E-4</v>
      </c>
      <c r="K39" s="113"/>
      <c r="L39" s="119"/>
    </row>
    <row r="40" spans="2:12" ht="15" customHeight="1">
      <c r="B40" s="109"/>
      <c r="C40" s="2193"/>
      <c r="D40" s="2193"/>
      <c r="E40" s="111"/>
      <c r="F40" s="112"/>
      <c r="H40" s="113"/>
      <c r="I40" s="117" t="str">
        <f>CO2データ!D139</f>
        <v>パナソニック株式会社</v>
      </c>
      <c r="J40" s="118">
        <f>CO2データ!I139</f>
        <v>4.9799999999999996E-4</v>
      </c>
      <c r="K40" s="113"/>
      <c r="L40" s="119"/>
    </row>
    <row r="41" spans="2:12" ht="15" customHeight="1">
      <c r="B41" s="109"/>
      <c r="C41" s="2193"/>
      <c r="D41" s="2193"/>
      <c r="E41" s="111"/>
      <c r="F41" s="112"/>
      <c r="H41" s="113"/>
      <c r="I41" s="117" t="str">
        <f>CO2データ!D140</f>
        <v>プレミアムグリーンパワー株式会社</v>
      </c>
      <c r="J41" s="118">
        <f>CO2データ!I140</f>
        <v>1.8E-5</v>
      </c>
      <c r="K41" s="113"/>
      <c r="L41" s="119"/>
    </row>
    <row r="42" spans="2:12" ht="15" customHeight="1">
      <c r="B42" s="109"/>
      <c r="C42" s="2193"/>
      <c r="D42" s="2193"/>
      <c r="E42" s="111"/>
      <c r="F42" s="112"/>
      <c r="H42" s="113"/>
      <c r="I42" s="117" t="str">
        <f>CO2データ!D141</f>
        <v>丸紅株式会社</v>
      </c>
      <c r="J42" s="118">
        <f>CO2データ!I141</f>
        <v>3.7800000000000003E-4</v>
      </c>
      <c r="K42" s="113"/>
      <c r="L42" s="119"/>
    </row>
    <row r="43" spans="2:12" ht="15" customHeight="1">
      <c r="B43" s="109"/>
      <c r="C43" s="2193"/>
      <c r="D43" s="2193"/>
      <c r="E43" s="111"/>
      <c r="F43" s="112"/>
      <c r="H43" s="113"/>
      <c r="I43" s="117" t="str">
        <f>CO2データ!D142</f>
        <v>ミツウロコグリーンエネルギー株式会社</v>
      </c>
      <c r="J43" s="118">
        <f>CO2データ!I142</f>
        <v>3.6600000000000001E-4</v>
      </c>
      <c r="K43" s="113"/>
      <c r="L43" s="119"/>
    </row>
    <row r="44" spans="2:12">
      <c r="B44" s="128"/>
      <c r="C44" s="111"/>
      <c r="D44" s="111"/>
      <c r="E44" s="111"/>
      <c r="F44" s="112"/>
      <c r="H44" s="113"/>
      <c r="I44" s="117" t="str">
        <f>CO2データ!D143</f>
        <v>リエスパワー株式会社</v>
      </c>
      <c r="J44" s="118">
        <f>CO2データ!I143</f>
        <v>4.2000000000000002E-4</v>
      </c>
      <c r="K44" s="113" t="s">
        <v>2030</v>
      </c>
      <c r="L44" s="119"/>
    </row>
    <row r="45" spans="2:12">
      <c r="B45" s="128"/>
      <c r="C45" s="111"/>
      <c r="D45" s="111"/>
      <c r="E45" s="111"/>
      <c r="F45" s="112"/>
      <c r="H45" s="113" t="s">
        <v>170</v>
      </c>
      <c r="I45" s="111"/>
      <c r="J45" s="111"/>
      <c r="K45" s="111"/>
      <c r="L45" s="119"/>
    </row>
    <row r="46" spans="2:12">
      <c r="B46" s="128"/>
      <c r="C46" s="111"/>
      <c r="D46" s="111"/>
      <c r="E46" s="111"/>
      <c r="F46" s="112"/>
      <c r="H46" s="113"/>
      <c r="I46" s="129" t="str">
        <f>CO2データ!D145</f>
        <v>代替値</v>
      </c>
      <c r="J46" s="118">
        <f>CO2データ!I145</f>
        <v>5.5000000000000003E-4</v>
      </c>
      <c r="K46" s="113" t="s">
        <v>273</v>
      </c>
      <c r="L46" s="119"/>
    </row>
    <row r="47" spans="2:12" ht="14.25" thickBot="1">
      <c r="B47" s="130"/>
      <c r="C47" s="131"/>
      <c r="D47" s="131"/>
      <c r="E47" s="131"/>
      <c r="F47" s="132"/>
      <c r="H47" s="133"/>
      <c r="I47" s="134"/>
      <c r="J47" s="134"/>
      <c r="K47" s="134"/>
      <c r="L47" s="135"/>
    </row>
    <row r="48" spans="2:12">
      <c r="H48" s="136"/>
      <c r="I48" s="136"/>
      <c r="J48" s="136"/>
      <c r="K48" s="136"/>
    </row>
    <row r="49" spans="2:10" hidden="1">
      <c r="B49" s="136" t="s">
        <v>171</v>
      </c>
      <c r="D49" s="136" t="str">
        <f>CO2データ!I104</f>
        <v>実排出係数及び代替値</v>
      </c>
      <c r="F49" s="136" t="str">
        <f>CO2データ!K104</f>
        <v>調整後排出係数</v>
      </c>
      <c r="G49" s="136"/>
      <c r="H49" s="136"/>
    </row>
    <row r="50" spans="2:10" hidden="1">
      <c r="C50" s="1694" t="s">
        <v>1534</v>
      </c>
      <c r="D50" s="136">
        <f>CO2データ!I129</f>
        <v>4.9399999999999997E-4</v>
      </c>
      <c r="F50" s="136">
        <f>CO2データ!K129</f>
        <v>4.8999999999999998E-4</v>
      </c>
      <c r="I50" s="137" t="s">
        <v>886</v>
      </c>
      <c r="J50" t="str">
        <f>IF(C5=C16,VLOOKUP(C5,C50:F88,4),"N.A.")</f>
        <v>N.A.</v>
      </c>
    </row>
    <row r="51" spans="2:10" hidden="1">
      <c r="C51" s="1694" t="s">
        <v>1533</v>
      </c>
      <c r="D51" s="136">
        <f>CO2データ!I128</f>
        <v>3.6699999999999998E-4</v>
      </c>
      <c r="F51" s="136">
        <f>CO2データ!K128</f>
        <v>3.6400000000000001E-4</v>
      </c>
      <c r="I51" s="137" t="s">
        <v>888</v>
      </c>
      <c r="J51" t="e">
        <f>D16-J50</f>
        <v>#N/A</v>
      </c>
    </row>
    <row r="52" spans="2:10" hidden="1">
      <c r="C52" s="1694" t="s">
        <v>887</v>
      </c>
      <c r="D52" s="136">
        <f>CO2データ!I115</f>
        <v>6.0300000000000002E-4</v>
      </c>
      <c r="F52" s="136">
        <f>CO2データ!K115</f>
        <v>4.28E-4</v>
      </c>
    </row>
    <row r="53" spans="2:10" hidden="1">
      <c r="C53" s="1694" t="s">
        <v>889</v>
      </c>
      <c r="D53" s="136">
        <f>CO2データ!I118</f>
        <v>6.1600000000000001E-4</v>
      </c>
      <c r="F53" s="136">
        <f>CO2データ!K118</f>
        <v>4.8200000000000001E-4</v>
      </c>
    </row>
    <row r="54" spans="2:10" hidden="1">
      <c r="C54" s="1694" t="s">
        <v>1529</v>
      </c>
      <c r="D54" s="136">
        <f>CO2データ!I121</f>
        <v>7.6199999999999998E-4</v>
      </c>
      <c r="F54" s="136">
        <f>CO2データ!K121</f>
        <v>7.5699999999999997E-4</v>
      </c>
    </row>
    <row r="55" spans="2:10" hidden="1">
      <c r="C55" s="1694" t="s">
        <v>890</v>
      </c>
      <c r="D55" s="136">
        <f>CO2データ!I127</f>
        <v>4.3800000000000002E-4</v>
      </c>
      <c r="F55" s="136">
        <f>CO2データ!K127</f>
        <v>2.5900000000000001E-4</v>
      </c>
    </row>
    <row r="56" spans="2:10" hidden="1">
      <c r="C56" s="1694" t="s">
        <v>891</v>
      </c>
      <c r="D56" s="136">
        <f>CO2データ!I134</f>
        <v>4.3100000000000001E-4</v>
      </c>
      <c r="F56" s="136">
        <f>CO2データ!K134</f>
        <v>4.2700000000000002E-4</v>
      </c>
    </row>
    <row r="57" spans="2:10" hidden="1">
      <c r="C57" s="1694" t="s">
        <v>1538</v>
      </c>
      <c r="D57" s="136">
        <f>CO2データ!I135</f>
        <v>4.9399999999999997E-4</v>
      </c>
      <c r="F57" s="136">
        <f>CO2データ!K135</f>
        <v>4.8999999999999998E-4</v>
      </c>
    </row>
    <row r="58" spans="2:10" hidden="1">
      <c r="C58" s="1694" t="s">
        <v>892</v>
      </c>
      <c r="D58" s="136">
        <f>CO2データ!I139</f>
        <v>4.9799999999999996E-4</v>
      </c>
      <c r="F58" s="136">
        <f>CO2データ!K139</f>
        <v>4.9200000000000003E-4</v>
      </c>
    </row>
    <row r="59" spans="2:10" hidden="1">
      <c r="C59" s="1694" t="s">
        <v>1542</v>
      </c>
      <c r="D59" s="136">
        <f>CO2データ!I140</f>
        <v>1.8E-5</v>
      </c>
      <c r="F59" s="136">
        <f>CO2データ!K140</f>
        <v>2.1999999999999999E-5</v>
      </c>
    </row>
    <row r="60" spans="2:10" hidden="1">
      <c r="C60" s="1694" t="s">
        <v>1543</v>
      </c>
      <c r="D60" s="136">
        <f>CO2データ!I142</f>
        <v>3.6600000000000001E-4</v>
      </c>
      <c r="F60" s="136">
        <f>CO2データ!K142</f>
        <v>4.4499999999999997E-4</v>
      </c>
    </row>
    <row r="61" spans="2:10" hidden="1">
      <c r="C61" s="1694" t="s">
        <v>1544</v>
      </c>
      <c r="D61" s="136">
        <f>CO2データ!I143</f>
        <v>4.2000000000000002E-4</v>
      </c>
      <c r="F61" s="136">
        <f>CO2データ!K143</f>
        <v>0</v>
      </c>
    </row>
    <row r="62" spans="2:10" hidden="1">
      <c r="C62" s="1694" t="s">
        <v>1527</v>
      </c>
      <c r="D62" s="136">
        <f>CO2データ!I117</f>
        <v>6.7599999999999995E-4</v>
      </c>
      <c r="F62" s="136">
        <f>CO2データ!K117</f>
        <v>2.9300000000000002E-4</v>
      </c>
    </row>
    <row r="63" spans="2:10" hidden="1">
      <c r="C63" s="1694" t="s">
        <v>1528</v>
      </c>
      <c r="D63" s="136">
        <f>CO2データ!I119</f>
        <v>4.5600000000000003E-4</v>
      </c>
      <c r="F63" s="136">
        <f>CO2データ!K119</f>
        <v>4.5600000000000003E-4</v>
      </c>
    </row>
    <row r="64" spans="2:10" hidden="1">
      <c r="C64" s="1694" t="s">
        <v>1863</v>
      </c>
      <c r="D64" s="136">
        <f>CO2データ!I120</f>
        <v>4.75E-4</v>
      </c>
      <c r="F64" s="136">
        <f>CO2データ!K120</f>
        <v>4.7100000000000001E-4</v>
      </c>
    </row>
    <row r="65" spans="3:6" hidden="1">
      <c r="C65" s="1694" t="s">
        <v>1864</v>
      </c>
      <c r="D65" s="136">
        <f>CO2データ!I114</f>
        <v>9.0300000000000005E-4</v>
      </c>
      <c r="F65" s="136">
        <f>CO2データ!K114</f>
        <v>6.9200000000000002E-4</v>
      </c>
    </row>
    <row r="66" spans="3:6" hidden="1">
      <c r="C66" s="1694" t="s">
        <v>1865</v>
      </c>
      <c r="D66" s="136">
        <f>CO2データ!I124</f>
        <v>5.2499999999999997E-4</v>
      </c>
      <c r="F66" s="136">
        <f>CO2データ!K124</f>
        <v>4.4499999999999997E-4</v>
      </c>
    </row>
    <row r="67" spans="3:6" hidden="1">
      <c r="C67" s="1694" t="s">
        <v>1531</v>
      </c>
      <c r="D67" s="136">
        <f>CO2データ!I125</f>
        <v>4.4099999999999999E-4</v>
      </c>
      <c r="F67" s="136">
        <f>CO2データ!K125</f>
        <v>0</v>
      </c>
    </row>
    <row r="68" spans="3:6" hidden="1">
      <c r="C68" s="1694" t="s">
        <v>1530</v>
      </c>
      <c r="D68" s="136">
        <f>CO2データ!I122</f>
        <v>0</v>
      </c>
      <c r="F68" s="136">
        <f>CO2データ!K122</f>
        <v>0</v>
      </c>
    </row>
    <row r="69" spans="3:6" hidden="1">
      <c r="C69" s="1694" t="s">
        <v>1866</v>
      </c>
      <c r="D69" s="136">
        <f>CO2データ!I123</f>
        <v>4.2900000000000002E-4</v>
      </c>
      <c r="F69" s="136">
        <f>CO2データ!K123</f>
        <v>4.2700000000000002E-4</v>
      </c>
    </row>
    <row r="70" spans="3:6" hidden="1">
      <c r="C70" s="1694" t="s">
        <v>1532</v>
      </c>
      <c r="D70" s="136">
        <f>CO2データ!I126</f>
        <v>7.9699999999999997E-4</v>
      </c>
      <c r="F70" s="136">
        <f>CO2データ!K126</f>
        <v>7.8899999999999999E-4</v>
      </c>
    </row>
    <row r="71" spans="3:6" hidden="1">
      <c r="C71" s="1694" t="s">
        <v>1867</v>
      </c>
      <c r="D71" s="136">
        <f>CO2データ!I110</f>
        <v>5.1400000000000003E-4</v>
      </c>
      <c r="F71" s="136">
        <f>CO2データ!K110</f>
        <v>4.75E-4</v>
      </c>
    </row>
    <row r="72" spans="3:6" hidden="1">
      <c r="C72" s="1694" t="s">
        <v>1868</v>
      </c>
      <c r="D72" s="136">
        <f>CO2データ!I141</f>
        <v>3.7800000000000003E-4</v>
      </c>
      <c r="F72" s="136">
        <f>CO2データ!K141</f>
        <v>3.2400000000000001E-4</v>
      </c>
    </row>
    <row r="73" spans="3:6" hidden="1">
      <c r="C73" s="1694" t="s">
        <v>1869</v>
      </c>
      <c r="D73" s="136">
        <f>CO2データ!I113</f>
        <v>6.1200000000000002E-4</v>
      </c>
      <c r="F73" s="136">
        <f>CO2データ!K113</f>
        <v>5.9900000000000003E-4</v>
      </c>
    </row>
    <row r="74" spans="3:6" hidden="1">
      <c r="C74" s="1694" t="s">
        <v>1870</v>
      </c>
      <c r="D74" s="136">
        <f>CO2データ!I112</f>
        <v>6.9999999999999999E-4</v>
      </c>
      <c r="F74" s="136">
        <f>CO2データ!K112</f>
        <v>6.5600000000000001E-4</v>
      </c>
    </row>
    <row r="75" spans="3:6" hidden="1">
      <c r="C75" s="1694" t="s">
        <v>1535</v>
      </c>
      <c r="D75" s="136">
        <f>CO2データ!I130</f>
        <v>3.1199999999999999E-4</v>
      </c>
      <c r="F75" s="136">
        <f>CO2データ!K130</f>
        <v>3.0899999999999998E-4</v>
      </c>
    </row>
    <row r="76" spans="3:6" hidden="1">
      <c r="C76" s="1694" t="s">
        <v>1526</v>
      </c>
      <c r="D76" s="136">
        <f>CO2データ!I116</f>
        <v>8.6000000000000003E-5</v>
      </c>
      <c r="F76" s="136">
        <f>CO2データ!K116</f>
        <v>1.06E-4</v>
      </c>
    </row>
    <row r="77" spans="3:6" hidden="1">
      <c r="C77" s="1694" t="s">
        <v>1871</v>
      </c>
      <c r="D77" s="136">
        <f>CO2データ!I131</f>
        <v>3.6699999999999998E-4</v>
      </c>
      <c r="F77" s="136">
        <f>CO2データ!K131</f>
        <v>3.6400000000000001E-4</v>
      </c>
    </row>
    <row r="78" spans="3:6" hidden="1">
      <c r="C78" s="1694" t="s">
        <v>1536</v>
      </c>
      <c r="D78" s="136">
        <f>CO2データ!I132</f>
        <v>6.5499999999999998E-4</v>
      </c>
      <c r="F78" s="136">
        <f>CO2データ!K132</f>
        <v>6.5399999999999996E-4</v>
      </c>
    </row>
    <row r="79" spans="3:6" hidden="1">
      <c r="C79" s="1694" t="s">
        <v>1537</v>
      </c>
      <c r="D79" s="136">
        <f>CO2データ!I133</f>
        <v>3.88E-4</v>
      </c>
      <c r="F79" s="136">
        <f>CO2データ!K133</f>
        <v>3.8499999999999998E-4</v>
      </c>
    </row>
    <row r="80" spans="3:6" hidden="1">
      <c r="C80" s="1694" t="s">
        <v>1872</v>
      </c>
      <c r="D80" s="136">
        <f>CO2データ!I111</f>
        <v>7.3800000000000005E-4</v>
      </c>
      <c r="F80" s="136">
        <f>CO2データ!K111</f>
        <v>6.7199999999999996E-4</v>
      </c>
    </row>
    <row r="81" spans="3:6" hidden="1">
      <c r="C81" s="1694" t="s">
        <v>1873</v>
      </c>
      <c r="D81" s="136">
        <f>CO2データ!I108</f>
        <v>5.1599999999999997E-4</v>
      </c>
      <c r="F81" s="136">
        <f>CO2データ!K108</f>
        <v>3.7300000000000001E-4</v>
      </c>
    </row>
    <row r="82" spans="3:6" hidden="1">
      <c r="C82" s="1694" t="s">
        <v>1539</v>
      </c>
      <c r="D82" s="136">
        <f>CO2データ!I136</f>
        <v>9.2E-5</v>
      </c>
      <c r="F82" s="136">
        <f>CO2データ!K136</f>
        <v>9.1000000000000003E-5</v>
      </c>
    </row>
    <row r="83" spans="3:6" hidden="1">
      <c r="C83" s="1694" t="s">
        <v>1874</v>
      </c>
      <c r="D83" s="136">
        <f>CO2データ!I107</f>
        <v>5.2499999999999997E-4</v>
      </c>
      <c r="F83" s="136">
        <f>CO2データ!K107</f>
        <v>4.06E-4</v>
      </c>
    </row>
    <row r="84" spans="3:6" hidden="1">
      <c r="C84" s="1694" t="s">
        <v>1875</v>
      </c>
      <c r="D84" s="136">
        <f>CO2データ!I106</f>
        <v>5.9999999999999995E-4</v>
      </c>
      <c r="F84" s="136">
        <f>CO2データ!K106</f>
        <v>5.5999999999999995E-4</v>
      </c>
    </row>
    <row r="85" spans="3:6" hidden="1">
      <c r="C85" s="1694" t="s">
        <v>1540</v>
      </c>
      <c r="D85" s="136">
        <f>CO2データ!I137</f>
        <v>5.0799999999999999E-4</v>
      </c>
      <c r="F85" s="136">
        <f>CO2データ!K137</f>
        <v>5.0900000000000001E-4</v>
      </c>
    </row>
    <row r="86" spans="3:6" hidden="1">
      <c r="C86" s="1694" t="s">
        <v>1541</v>
      </c>
      <c r="D86" s="136">
        <f>CO2データ!I138</f>
        <v>4.86E-4</v>
      </c>
      <c r="F86" s="136">
        <f>CO2データ!K138</f>
        <v>2.5599999999999999E-4</v>
      </c>
    </row>
    <row r="87" spans="3:6" hidden="1">
      <c r="C87" s="1694" t="s">
        <v>1876</v>
      </c>
      <c r="D87" s="136">
        <f>CO2データ!I105</f>
        <v>6.8800000000000003E-4</v>
      </c>
      <c r="F87" s="136">
        <f>CO2データ!K105</f>
        <v>6.8000000000000005E-4</v>
      </c>
    </row>
    <row r="88" spans="3:6" hidden="1">
      <c r="C88" s="1694" t="s">
        <v>1877</v>
      </c>
      <c r="D88" s="136">
        <f>CO2データ!I109</f>
        <v>6.6299999999999996E-4</v>
      </c>
      <c r="F88" s="136">
        <f>CO2データ!K109</f>
        <v>4.9399999999999997E-4</v>
      </c>
    </row>
  </sheetData>
  <sheetProtection password="CC47" sheet="1" objects="1" scenarios="1"/>
  <mergeCells count="1">
    <mergeCell ref="C13:E14"/>
  </mergeCells>
  <phoneticPr fontId="21"/>
  <conditionalFormatting sqref="C16">
    <cfRule type="expression" dxfId="145" priority="1" stopIfTrue="1">
      <formula>$O$3=2</formula>
    </cfRule>
  </conditionalFormatting>
  <conditionalFormatting sqref="C10:D10">
    <cfRule type="expression" dxfId="144" priority="2" stopIfTrue="1">
      <formula>$O$3=1</formula>
    </cfRule>
  </conditionalFormatting>
  <conditionalFormatting sqref="C20:D20">
    <cfRule type="expression" dxfId="143" priority="3" stopIfTrue="1">
      <formula>$O$3=3</formula>
    </cfRule>
  </conditionalFormatting>
  <conditionalFormatting sqref="C28:D43">
    <cfRule type="expression" dxfId="142"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sheetPr codeName="Sheet7">
    <pageSetUpPr autoPageBreaks="0"/>
  </sheetPr>
  <dimension ref="A1:AA473"/>
  <sheetViews>
    <sheetView showGridLines="0" zoomScaleNormal="100" zoomScaleSheetLayoutView="100" zoomScalePageLayoutView="50" workbookViewId="0">
      <selection activeCell="F292" sqref="F292"/>
    </sheetView>
  </sheetViews>
  <sheetFormatPr defaultColWidth="0" defaultRowHeight="13.5" zeroHeight="1"/>
  <cols>
    <col min="1" max="1" width="1.375" customWidth="1"/>
    <col min="2" max="2" width="8.875" hidden="1" customWidth="1"/>
    <col min="3" max="3" width="6" hidden="1" customWidth="1"/>
    <col min="4" max="4" width="5" style="2452" customWidth="1"/>
    <col min="5" max="5" width="1.375" style="136" customWidth="1"/>
    <col min="6" max="15" width="12.5" style="136" customWidth="1"/>
    <col min="16" max="16" width="2.5" customWidth="1"/>
    <col min="17" max="17" width="9.75" hidden="1" customWidth="1"/>
    <col min="18" max="18" width="20.75" hidden="1" customWidth="1"/>
    <col min="19" max="19" width="6.375" hidden="1" customWidth="1"/>
    <col min="20" max="20" width="9.125" hidden="1" customWidth="1"/>
    <col min="21" max="21" width="13.625" hidden="1" customWidth="1"/>
    <col min="22" max="22" width="9.75" hidden="1" customWidth="1"/>
    <col min="23" max="23" width="13.75" hidden="1" customWidth="1"/>
    <col min="24" max="26" width="9" hidden="1" customWidth="1"/>
    <col min="27" max="27" width="10.125" hidden="1" customWidth="1"/>
    <col min="28" max="16384" width="9" hidden="1"/>
  </cols>
  <sheetData>
    <row r="1" spans="2:21" ht="15.75">
      <c r="D1" s="951"/>
      <c r="E1" s="952"/>
      <c r="F1" s="952"/>
      <c r="G1" s="952"/>
      <c r="H1" s="952"/>
      <c r="I1" s="952"/>
      <c r="J1" s="952"/>
      <c r="K1" s="952"/>
      <c r="L1" s="952"/>
      <c r="M1" s="953" t="s">
        <v>2253</v>
      </c>
      <c r="N1" s="3487" t="str">
        <f>メイン!C11</f>
        <v>○○ビル</v>
      </c>
      <c r="O1" s="3487"/>
      <c r="R1" t="s">
        <v>1094</v>
      </c>
    </row>
    <row r="2" spans="2:21" ht="8.25" customHeight="1" thickBot="1">
      <c r="D2" s="954"/>
      <c r="E2" s="955"/>
      <c r="F2" s="955"/>
      <c r="G2" s="955"/>
      <c r="H2" s="955"/>
      <c r="I2" s="955"/>
      <c r="J2" s="955"/>
      <c r="K2" s="955"/>
      <c r="L2" s="955"/>
      <c r="M2" s="955"/>
      <c r="N2" s="955"/>
      <c r="O2" s="955"/>
    </row>
    <row r="3" spans="2:21" ht="18.75" thickBot="1">
      <c r="D3" s="1454" t="s">
        <v>1602</v>
      </c>
      <c r="E3" s="956"/>
      <c r="F3" s="955"/>
      <c r="G3" s="955"/>
      <c r="H3" s="955"/>
      <c r="I3" s="957"/>
      <c r="J3" s="958" t="s">
        <v>2813</v>
      </c>
      <c r="K3" s="959"/>
      <c r="L3" s="959"/>
      <c r="M3" s="955"/>
      <c r="N3" s="955"/>
      <c r="O3" s="960" t="str">
        <f>IF(メイン!E39=0,"",メイン!E39)</f>
        <v/>
      </c>
      <c r="R3" t="s">
        <v>1121</v>
      </c>
      <c r="U3" t="str">
        <f>メイン!I39</f>
        <v>基本設計段階</v>
      </c>
    </row>
    <row r="4" spans="2:21" ht="10.5" customHeight="1">
      <c r="D4" s="954"/>
      <c r="E4" s="956"/>
      <c r="F4" s="955"/>
      <c r="G4" s="955"/>
      <c r="H4" s="955"/>
      <c r="I4" s="955"/>
      <c r="J4" s="955"/>
      <c r="K4" s="955"/>
      <c r="L4" s="955"/>
      <c r="M4" s="955"/>
      <c r="N4" s="955"/>
      <c r="O4" s="955"/>
      <c r="S4" t="s">
        <v>1603</v>
      </c>
      <c r="T4" t="s">
        <v>1604</v>
      </c>
      <c r="U4" t="str">
        <f>メイン!I40</f>
        <v>実施設計段階</v>
      </c>
    </row>
    <row r="5" spans="2:21" ht="15.75">
      <c r="D5" s="1386">
        <v>1</v>
      </c>
      <c r="E5" s="961" t="s">
        <v>1122</v>
      </c>
      <c r="F5" s="961"/>
      <c r="G5" s="961"/>
      <c r="H5" s="962"/>
      <c r="I5" s="962"/>
      <c r="J5" s="962"/>
      <c r="K5" s="962"/>
      <c r="L5" s="962"/>
      <c r="M5" s="962"/>
      <c r="N5" s="962"/>
      <c r="O5" s="962"/>
      <c r="U5" t="str">
        <f>メイン!I41</f>
        <v>竣工段階</v>
      </c>
    </row>
    <row r="6" spans="2:21" ht="15.75">
      <c r="D6" s="1386">
        <v>1.1000000000000001</v>
      </c>
      <c r="E6" s="963" t="s">
        <v>1123</v>
      </c>
      <c r="F6" s="961"/>
      <c r="G6" s="961"/>
      <c r="H6" s="962"/>
      <c r="I6" s="962"/>
      <c r="J6" s="962"/>
      <c r="K6" s="962"/>
      <c r="L6" s="962"/>
      <c r="M6" s="962"/>
      <c r="N6" s="962"/>
      <c r="O6" s="970" t="s">
        <v>1606</v>
      </c>
      <c r="U6">
        <f>メイン!Q42</f>
        <v>0</v>
      </c>
    </row>
    <row r="7" spans="2:21" ht="15.75" hidden="1">
      <c r="D7" s="954"/>
      <c r="E7" s="962"/>
      <c r="F7" s="965" t="s">
        <v>1605</v>
      </c>
      <c r="G7" s="966"/>
      <c r="H7" s="962"/>
      <c r="I7" s="962"/>
      <c r="J7" s="1048" t="e">
        <f>IF(OR(F9=0,AND(J8=0,O8=0)),$R$3,"")</f>
        <v>#DIV/0!</v>
      </c>
      <c r="K7" s="968"/>
      <c r="L7" s="966"/>
      <c r="M7" s="969"/>
      <c r="N7" s="969"/>
      <c r="O7" s="970" t="s">
        <v>1606</v>
      </c>
    </row>
    <row r="8" spans="2:21" ht="14.25" thickBot="1">
      <c r="E8" s="959"/>
      <c r="F8" s="971" t="s">
        <v>1607</v>
      </c>
      <c r="G8" s="972"/>
      <c r="H8" s="973"/>
      <c r="I8" s="974" t="s">
        <v>1125</v>
      </c>
      <c r="J8" s="975" t="e">
        <f>重み!M12</f>
        <v>#DIV/0!</v>
      </c>
      <c r="K8" s="976"/>
      <c r="L8" s="971" t="s">
        <v>1608</v>
      </c>
      <c r="M8" s="972"/>
      <c r="N8" s="974" t="s">
        <v>1125</v>
      </c>
      <c r="O8" s="977" t="e">
        <f>重み!N12</f>
        <v>#DIV/0!</v>
      </c>
    </row>
    <row r="9" spans="2:21" ht="23.25" thickBot="1">
      <c r="E9" s="959"/>
      <c r="F9" s="978">
        <v>3</v>
      </c>
      <c r="G9" s="979" t="s">
        <v>1126</v>
      </c>
      <c r="H9" s="980" t="s">
        <v>1127</v>
      </c>
      <c r="I9" s="981" t="s">
        <v>1609</v>
      </c>
      <c r="J9" s="980" t="s">
        <v>1400</v>
      </c>
      <c r="K9" s="979" t="s">
        <v>1128</v>
      </c>
      <c r="L9" s="978">
        <v>3</v>
      </c>
      <c r="M9" s="982" t="s">
        <v>1129</v>
      </c>
      <c r="N9" s="983"/>
      <c r="O9" s="984"/>
    </row>
    <row r="10" spans="2:21" ht="42" customHeight="1">
      <c r="B10" s="1">
        <v>1</v>
      </c>
      <c r="C10" s="1">
        <v>1</v>
      </c>
      <c r="E10" s="959"/>
      <c r="F10" s="985" t="str">
        <f>IF(F9=$S$15,$T$10,IF(ROUNDDOWN(F9,0)=$S$10,$U$10,$T$10))</f>
        <v>　レベル　1</v>
      </c>
      <c r="G10" s="2639" t="s">
        <v>2583</v>
      </c>
      <c r="H10" s="2639" t="s">
        <v>2582</v>
      </c>
      <c r="I10" s="986" t="s">
        <v>2586</v>
      </c>
      <c r="J10" s="986" t="s">
        <v>2587</v>
      </c>
      <c r="K10" s="986" t="s">
        <v>1791</v>
      </c>
      <c r="L10" s="985" t="str">
        <f>IF(L9=$S$15,$T$10,IF(ROUNDDOWN(L9,0)=$S$10,$U$10,$T$10))</f>
        <v>　レベル　1</v>
      </c>
      <c r="M10" s="987" t="s">
        <v>2590</v>
      </c>
      <c r="N10" s="988"/>
      <c r="O10" s="989"/>
      <c r="S10">
        <v>1</v>
      </c>
      <c r="T10" t="s">
        <v>1792</v>
      </c>
      <c r="U10" t="s">
        <v>1793</v>
      </c>
    </row>
    <row r="11" spans="2:21" ht="22.5">
      <c r="B11" s="1">
        <v>2</v>
      </c>
      <c r="C11" s="1" t="s">
        <v>1794</v>
      </c>
      <c r="E11" s="959"/>
      <c r="F11" s="990" t="str">
        <f>IF(F9=$S$15,$T$11,IF(ROUNDDOWN(F9,0)=$S$11,$U$11,$T$11))</f>
        <v>　レベル　2</v>
      </c>
      <c r="G11" s="991" t="s">
        <v>1795</v>
      </c>
      <c r="H11" s="991" t="s">
        <v>1795</v>
      </c>
      <c r="I11" s="992" t="s">
        <v>1795</v>
      </c>
      <c r="J11" s="992" t="s">
        <v>1795</v>
      </c>
      <c r="K11" s="993" t="s">
        <v>1796</v>
      </c>
      <c r="L11" s="990" t="str">
        <f>IF(L9=$S$15,$T$11,IF(ROUNDDOWN(L9,0)=$S$11,$U$11,$T$11))</f>
        <v>　レベル　2</v>
      </c>
      <c r="M11" s="994" t="s">
        <v>1795</v>
      </c>
      <c r="N11" s="995"/>
      <c r="O11" s="996"/>
      <c r="S11">
        <v>2</v>
      </c>
      <c r="T11" t="s">
        <v>1095</v>
      </c>
      <c r="U11" t="s">
        <v>1096</v>
      </c>
    </row>
    <row r="12" spans="2:21" ht="49.5" customHeight="1">
      <c r="B12" s="1">
        <v>3</v>
      </c>
      <c r="C12" s="1">
        <v>3</v>
      </c>
      <c r="E12" s="959"/>
      <c r="F12" s="990" t="str">
        <f>IF(F9=$S$15,$T$12,IF(ROUNDDOWN(F9,0)=$S$12,$U$12,$T$12))</f>
        <v>■レベル　3</v>
      </c>
      <c r="G12" s="2637" t="s">
        <v>2584</v>
      </c>
      <c r="H12" s="2637" t="s">
        <v>2585</v>
      </c>
      <c r="I12" s="993" t="s">
        <v>2588</v>
      </c>
      <c r="J12" s="997" t="s">
        <v>2589</v>
      </c>
      <c r="K12" s="993" t="s">
        <v>1097</v>
      </c>
      <c r="L12" s="990" t="str">
        <f>IF(L9=$S$15,$T$12,IF(ROUNDDOWN(L9,0)=$S$12,$U$12,$T$12))</f>
        <v>■レベル　3</v>
      </c>
      <c r="M12" s="994" t="s">
        <v>2591</v>
      </c>
      <c r="N12" s="995"/>
      <c r="O12" s="996"/>
      <c r="S12">
        <v>3</v>
      </c>
      <c r="T12" t="s">
        <v>1100</v>
      </c>
      <c r="U12" t="s">
        <v>1101</v>
      </c>
    </row>
    <row r="13" spans="2:21" ht="22.5">
      <c r="B13" s="1">
        <v>4</v>
      </c>
      <c r="C13" s="1">
        <v>4</v>
      </c>
      <c r="E13" s="959"/>
      <c r="F13" s="990" t="str">
        <f>IF(F9=$S$15,$T$13,IF(ROUNDDOWN(F9,0)=$S$13,$U$13,$T$13))</f>
        <v>　レベル　4</v>
      </c>
      <c r="G13" s="2640" t="s">
        <v>1098</v>
      </c>
      <c r="H13" s="999" t="s">
        <v>1099</v>
      </c>
      <c r="I13" s="1000" t="s">
        <v>1097</v>
      </c>
      <c r="J13" s="1000" t="s">
        <v>1102</v>
      </c>
      <c r="K13" s="998" t="s">
        <v>1103</v>
      </c>
      <c r="L13" s="990" t="str">
        <f>IF(L9=$S$15,$T$13,IF(ROUNDDOWN(L9,0)=$S$13,$U$13,$T$13))</f>
        <v>　レベル　4</v>
      </c>
      <c r="M13" s="994" t="s">
        <v>1000</v>
      </c>
      <c r="N13" s="995"/>
      <c r="O13" s="996"/>
      <c r="S13">
        <v>4</v>
      </c>
      <c r="T13" t="s">
        <v>1001</v>
      </c>
      <c r="U13" t="s">
        <v>1002</v>
      </c>
    </row>
    <row r="14" spans="2:21" ht="25.5" customHeight="1">
      <c r="B14" s="1">
        <v>5</v>
      </c>
      <c r="C14" s="1">
        <v>5</v>
      </c>
      <c r="E14" s="959"/>
      <c r="F14" s="1001" t="str">
        <f>IF(F9=$S$15,$T$14,IF(ROUNDDOWN(F9,0)=$S$14,$U$14,$T$14))</f>
        <v>　レベル　5</v>
      </c>
      <c r="G14" s="2638" t="s">
        <v>1003</v>
      </c>
      <c r="H14" s="1003" t="s">
        <v>1004</v>
      </c>
      <c r="I14" s="1004" t="s">
        <v>1005</v>
      </c>
      <c r="J14" s="1004" t="s">
        <v>1006</v>
      </c>
      <c r="K14" s="1002" t="s">
        <v>1007</v>
      </c>
      <c r="L14" s="1001" t="str">
        <f>IF(L9=$S$15,$T$14,IF(ROUNDDOWN(L9,0)=$S$14,$U$14,$T$14))</f>
        <v>　レベル　5</v>
      </c>
      <c r="M14" s="1005" t="s">
        <v>1007</v>
      </c>
      <c r="N14" s="1006"/>
      <c r="O14" s="1007"/>
      <c r="S14">
        <v>5</v>
      </c>
      <c r="T14" t="s">
        <v>1008</v>
      </c>
      <c r="U14" t="s">
        <v>1009</v>
      </c>
    </row>
    <row r="15" spans="2:21">
      <c r="B15" s="1008">
        <v>0</v>
      </c>
      <c r="C15" s="1008">
        <v>0</v>
      </c>
      <c r="E15" s="959"/>
      <c r="F15" s="1009" t="s">
        <v>1010</v>
      </c>
      <c r="G15" s="1010"/>
      <c r="H15" s="1010"/>
      <c r="I15" s="1010"/>
      <c r="J15" s="1010"/>
      <c r="K15" s="1010"/>
      <c r="L15" s="1010"/>
      <c r="M15" s="1010"/>
      <c r="N15" s="1010"/>
      <c r="O15" s="1010"/>
      <c r="S15">
        <v>0</v>
      </c>
      <c r="T15" t="s">
        <v>1401</v>
      </c>
      <c r="U15" t="s">
        <v>1401</v>
      </c>
    </row>
    <row r="16" spans="2:21">
      <c r="E16" s="959"/>
      <c r="F16" s="1011" t="e">
        <f>J7</f>
        <v>#DIV/0!</v>
      </c>
      <c r="G16" s="1012" t="s">
        <v>1402</v>
      </c>
      <c r="H16" s="1012" t="s">
        <v>1403</v>
      </c>
      <c r="I16" s="1012" t="s">
        <v>1404</v>
      </c>
      <c r="J16" s="1012" t="s">
        <v>1405</v>
      </c>
      <c r="K16" s="1012" t="s">
        <v>1406</v>
      </c>
      <c r="L16" s="1012" t="s">
        <v>1407</v>
      </c>
      <c r="M16" s="1012" t="s">
        <v>1408</v>
      </c>
      <c r="N16" s="1012" t="s">
        <v>1409</v>
      </c>
      <c r="O16" s="1012" t="s">
        <v>1410</v>
      </c>
    </row>
    <row r="17" spans="5:15">
      <c r="E17" s="959"/>
      <c r="F17" s="1011" t="s">
        <v>1411</v>
      </c>
      <c r="G17" s="1013" t="s">
        <v>1412</v>
      </c>
      <c r="H17" s="1013" t="s">
        <v>1413</v>
      </c>
      <c r="I17" s="1013" t="s">
        <v>1414</v>
      </c>
      <c r="J17" s="1013" t="s">
        <v>893</v>
      </c>
      <c r="K17" s="1013" t="s">
        <v>894</v>
      </c>
      <c r="L17" s="1013" t="s">
        <v>895</v>
      </c>
      <c r="M17" s="1013" t="s">
        <v>896</v>
      </c>
      <c r="N17" s="1013" t="s">
        <v>897</v>
      </c>
      <c r="O17" s="1013" t="s">
        <v>898</v>
      </c>
    </row>
    <row r="18" spans="5:15">
      <c r="E18" s="959"/>
      <c r="F18" s="1014" t="s">
        <v>899</v>
      </c>
      <c r="G18" s="1015" t="s">
        <v>1011</v>
      </c>
      <c r="H18" s="1016" t="s">
        <v>1012</v>
      </c>
      <c r="I18" s="1016"/>
      <c r="J18" s="1016"/>
      <c r="K18" s="1016" t="s">
        <v>1013</v>
      </c>
      <c r="L18" s="1016"/>
      <c r="M18" s="1017" t="s">
        <v>1014</v>
      </c>
      <c r="N18" s="1016" t="s">
        <v>1015</v>
      </c>
      <c r="O18" s="1018"/>
    </row>
    <row r="19" spans="5:15">
      <c r="E19" s="959"/>
      <c r="F19" s="3488" t="s">
        <v>1016</v>
      </c>
      <c r="G19" s="1019"/>
      <c r="H19" s="1020"/>
      <c r="I19" s="1021" t="s">
        <v>1017</v>
      </c>
      <c r="J19" s="1021"/>
      <c r="K19" s="1022" t="s">
        <v>1018</v>
      </c>
      <c r="L19" s="1020"/>
      <c r="M19" s="1022" t="s">
        <v>1019</v>
      </c>
      <c r="N19" s="1020"/>
      <c r="O19" s="1023" t="s">
        <v>1020</v>
      </c>
    </row>
    <row r="20" spans="5:15">
      <c r="E20" s="959"/>
      <c r="F20" s="3489"/>
      <c r="G20" s="1024"/>
      <c r="H20" s="1025"/>
      <c r="I20" s="1026" t="s">
        <v>900</v>
      </c>
      <c r="J20" s="1025"/>
      <c r="K20" s="1027" t="s">
        <v>901</v>
      </c>
      <c r="L20" s="1028" t="s">
        <v>902</v>
      </c>
      <c r="M20" s="1027" t="s">
        <v>903</v>
      </c>
      <c r="N20" s="1028" t="s">
        <v>902</v>
      </c>
      <c r="O20" s="1029" t="s">
        <v>904</v>
      </c>
    </row>
    <row r="21" spans="5:15">
      <c r="E21" s="959"/>
      <c r="F21" s="1030" t="s">
        <v>905</v>
      </c>
      <c r="G21" s="1020" t="s">
        <v>150</v>
      </c>
      <c r="H21" s="1020" t="s">
        <v>906</v>
      </c>
      <c r="I21" s="1020" t="s">
        <v>907</v>
      </c>
      <c r="J21" s="1020" t="s">
        <v>908</v>
      </c>
      <c r="K21" s="1020" t="s">
        <v>151</v>
      </c>
      <c r="L21" s="1020" t="s">
        <v>152</v>
      </c>
      <c r="M21" s="1020"/>
      <c r="N21" s="1020"/>
      <c r="O21" s="1031"/>
    </row>
    <row r="22" spans="5:15">
      <c r="E22" s="959"/>
      <c r="F22" s="1032" t="s">
        <v>153</v>
      </c>
      <c r="G22" s="1033"/>
      <c r="H22" s="1033" t="s">
        <v>154</v>
      </c>
      <c r="I22" s="1033" t="s">
        <v>155</v>
      </c>
      <c r="J22" s="1033" t="s">
        <v>156</v>
      </c>
      <c r="K22" s="1034" t="s">
        <v>157</v>
      </c>
      <c r="L22" s="1035"/>
      <c r="M22" s="1033" t="s">
        <v>909</v>
      </c>
      <c r="N22" s="1033"/>
      <c r="O22" s="1036"/>
    </row>
    <row r="23" spans="5:15">
      <c r="E23" s="959"/>
      <c r="F23" s="1032" t="s">
        <v>1615</v>
      </c>
      <c r="G23" s="1033"/>
      <c r="H23" s="1033" t="s">
        <v>158</v>
      </c>
      <c r="I23" s="1033" t="s">
        <v>159</v>
      </c>
      <c r="J23" s="1033" t="s">
        <v>846</v>
      </c>
      <c r="K23" s="1033" t="s">
        <v>1521</v>
      </c>
      <c r="L23" s="1033" t="s">
        <v>1522</v>
      </c>
      <c r="M23" s="1033" t="s">
        <v>984</v>
      </c>
      <c r="N23" s="1033"/>
      <c r="O23" s="1036"/>
    </row>
    <row r="24" spans="5:15">
      <c r="E24" s="959"/>
      <c r="F24" s="1032" t="s">
        <v>985</v>
      </c>
      <c r="G24" s="1033"/>
      <c r="H24" s="1033"/>
      <c r="I24" s="1033"/>
      <c r="J24" s="1033" t="s">
        <v>986</v>
      </c>
      <c r="K24" s="1033" t="s">
        <v>987</v>
      </c>
      <c r="L24" s="1033" t="s">
        <v>1783</v>
      </c>
      <c r="M24" s="1033" t="s">
        <v>910</v>
      </c>
      <c r="N24" s="1033"/>
      <c r="O24" s="1036"/>
    </row>
    <row r="25" spans="5:15">
      <c r="E25" s="959"/>
      <c r="F25" s="1032" t="s">
        <v>152</v>
      </c>
      <c r="G25" s="1033"/>
      <c r="H25" s="1033"/>
      <c r="I25" s="1033"/>
      <c r="J25" s="1034" t="s">
        <v>1784</v>
      </c>
      <c r="K25" s="1033" t="s">
        <v>1785</v>
      </c>
      <c r="L25" s="1033" t="s">
        <v>1811</v>
      </c>
      <c r="M25" s="1035" t="s">
        <v>152</v>
      </c>
      <c r="N25" s="1035"/>
      <c r="O25" s="1036" t="s">
        <v>1812</v>
      </c>
    </row>
    <row r="26" spans="5:15">
      <c r="E26" s="959"/>
      <c r="F26" s="1032" t="s">
        <v>1813</v>
      </c>
      <c r="G26" s="1033"/>
      <c r="H26" s="1033"/>
      <c r="I26" s="1033"/>
      <c r="J26" s="1033" t="s">
        <v>1814</v>
      </c>
      <c r="K26" s="1033" t="s">
        <v>1815</v>
      </c>
      <c r="L26" s="1033" t="s">
        <v>1816</v>
      </c>
      <c r="M26" s="1033" t="s">
        <v>1817</v>
      </c>
      <c r="N26" s="1034" t="s">
        <v>1818</v>
      </c>
      <c r="O26" s="1037"/>
    </row>
    <row r="27" spans="5:15">
      <c r="E27" s="959"/>
      <c r="F27" s="1032" t="s">
        <v>1819</v>
      </c>
      <c r="G27" s="1033"/>
      <c r="H27" s="1033"/>
      <c r="I27" s="1033"/>
      <c r="J27" s="1033" t="s">
        <v>1820</v>
      </c>
      <c r="K27" s="1033" t="s">
        <v>660</v>
      </c>
      <c r="L27" s="1033" t="s">
        <v>661</v>
      </c>
      <c r="M27" s="1033"/>
      <c r="N27" s="1033" t="s">
        <v>662</v>
      </c>
      <c r="O27" s="1036"/>
    </row>
    <row r="28" spans="5:15">
      <c r="E28" s="959"/>
      <c r="F28" s="3490" t="s">
        <v>1807</v>
      </c>
      <c r="G28" s="1033"/>
      <c r="H28" s="1033"/>
      <c r="I28" s="1033"/>
      <c r="J28" s="1033"/>
      <c r="K28" s="1038" t="s">
        <v>1808</v>
      </c>
      <c r="L28" s="1033" t="s">
        <v>1809</v>
      </c>
      <c r="M28" s="1035" t="s">
        <v>1810</v>
      </c>
      <c r="N28" s="1035"/>
      <c r="O28" s="1036"/>
    </row>
    <row r="29" spans="5:15">
      <c r="E29" s="959"/>
      <c r="F29" s="3491"/>
      <c r="G29" s="1039"/>
      <c r="H29" s="1039"/>
      <c r="I29" s="1039"/>
      <c r="J29" s="1039"/>
      <c r="K29" s="1040" t="s">
        <v>911</v>
      </c>
      <c r="L29" s="1040"/>
      <c r="M29" s="1039" t="s">
        <v>912</v>
      </c>
      <c r="N29" s="1039" t="s">
        <v>2073</v>
      </c>
      <c r="O29" s="1041"/>
    </row>
    <row r="30" spans="5:15">
      <c r="E30" s="959"/>
      <c r="F30" s="955"/>
      <c r="G30" s="1042"/>
      <c r="H30" s="1042"/>
      <c r="I30" s="1042"/>
      <c r="J30" s="1042"/>
      <c r="K30" s="1042"/>
      <c r="L30" s="1042"/>
      <c r="M30" s="1042"/>
      <c r="N30" s="1042"/>
      <c r="O30" s="1043" t="s">
        <v>2818</v>
      </c>
    </row>
    <row r="31" spans="5:15" ht="0.75" customHeight="1">
      <c r="E31" s="959"/>
      <c r="F31" s="955"/>
      <c r="G31" s="1044"/>
      <c r="H31" s="1044"/>
      <c r="I31" s="1044"/>
      <c r="J31" s="1044"/>
      <c r="K31" s="1044"/>
      <c r="L31" s="1044"/>
      <c r="M31" s="1044"/>
      <c r="N31" s="1044"/>
      <c r="O31" s="1044"/>
    </row>
    <row r="32" spans="5:15" ht="14.25" hidden="1">
      <c r="E32" s="959"/>
      <c r="F32" s="2404" t="s">
        <v>2074</v>
      </c>
      <c r="G32" s="1045"/>
      <c r="H32" s="1046"/>
      <c r="I32" s="1047"/>
      <c r="J32" s="1048" t="e">
        <f>IF(OR(F34=0,AND(J33=0,O33=0)),$R$3,"")</f>
        <v>#DIV/0!</v>
      </c>
      <c r="K32" s="1047"/>
      <c r="L32" s="1045"/>
      <c r="M32" s="1046"/>
      <c r="N32" s="1047"/>
      <c r="O32" s="1048"/>
    </row>
    <row r="33" spans="2:15" hidden="1">
      <c r="E33" s="959"/>
      <c r="F33" s="971" t="s">
        <v>913</v>
      </c>
      <c r="G33" s="972"/>
      <c r="H33" s="973"/>
      <c r="I33" s="974" t="s">
        <v>1125</v>
      </c>
      <c r="J33" s="977" t="e">
        <f>重み!M13</f>
        <v>#DIV/0!</v>
      </c>
      <c r="K33" s="971" t="s">
        <v>1608</v>
      </c>
      <c r="L33" s="972"/>
      <c r="M33" s="973"/>
      <c r="N33" s="974" t="s">
        <v>1125</v>
      </c>
      <c r="O33" s="977" t="e">
        <f>重み!N13</f>
        <v>#DIV/0!</v>
      </c>
    </row>
    <row r="34" spans="2:15" ht="14.25" hidden="1" thickBot="1">
      <c r="E34" s="959"/>
      <c r="F34" s="1049" t="e">
        <f>IF(J33=0,0,F45)</f>
        <v>#DIV/0!</v>
      </c>
      <c r="G34" s="983" t="s">
        <v>914</v>
      </c>
      <c r="H34" s="983"/>
      <c r="I34" s="3494" t="s">
        <v>915</v>
      </c>
      <c r="J34" s="3495"/>
      <c r="K34" s="1049" t="e">
        <f>IF(O33=0,0,IF(O45+K57=0,0,ROUND(G45*O45/(O45+K57)+G57*K57/(O45+K57),0)))</f>
        <v>#DIV/0!</v>
      </c>
      <c r="L34" s="1050" t="s">
        <v>916</v>
      </c>
      <c r="M34" s="1051" t="s">
        <v>917</v>
      </c>
      <c r="N34" s="3492" t="s">
        <v>2076</v>
      </c>
      <c r="O34" s="3493"/>
    </row>
    <row r="35" spans="2:15" ht="56.25" hidden="1" customHeight="1">
      <c r="E35" s="959"/>
      <c r="F35" s="990" t="e">
        <f>IF(F34=$S$15,$T$10,IF(ROUNDDOWN(F34,0)=$S$10,$U$10,$T$10))</f>
        <v>#DIV/0!</v>
      </c>
      <c r="G35" s="3401" t="s">
        <v>3270</v>
      </c>
      <c r="H35" s="3462"/>
      <c r="I35" s="3401" t="s">
        <v>3270</v>
      </c>
      <c r="J35" s="3462"/>
      <c r="K35" s="990" t="e">
        <f>IF(K34=$S$15,$T$10,IF(ROUNDDOWN(K34,0)=$S$10,$U$10,$T$10))</f>
        <v>#DIV/0!</v>
      </c>
      <c r="L35" s="1052" t="s">
        <v>3270</v>
      </c>
      <c r="M35" s="1052" t="s">
        <v>3270</v>
      </c>
      <c r="N35" s="3401" t="s">
        <v>3270</v>
      </c>
      <c r="O35" s="3402"/>
    </row>
    <row r="36" spans="2:15" ht="45" hidden="1" customHeight="1">
      <c r="E36" s="959"/>
      <c r="F36" s="990" t="e">
        <f>IF(F34=$S$15,$T$11,IF(ROUNDDOWN(F34,0)=$S$11,$U$11,$T$11))</f>
        <v>#DIV/0!</v>
      </c>
      <c r="G36" s="3397" t="s">
        <v>3271</v>
      </c>
      <c r="H36" s="3422"/>
      <c r="I36" s="3397" t="s">
        <v>3272</v>
      </c>
      <c r="J36" s="3422"/>
      <c r="K36" s="990" t="e">
        <f>IF(K34=$S$15,$T$11,IF(ROUNDDOWN(K34,0)=$S$11,$U$11,$T$11))</f>
        <v>#DIV/0!</v>
      </c>
      <c r="L36" s="998" t="s">
        <v>3271</v>
      </c>
      <c r="M36" s="998" t="s">
        <v>3272</v>
      </c>
      <c r="N36" s="3397"/>
      <c r="O36" s="3404"/>
    </row>
    <row r="37" spans="2:15" ht="45" hidden="1" customHeight="1">
      <c r="E37" s="959"/>
      <c r="F37" s="990" t="e">
        <f>IF(F34=$S$15,$T$12,IF(ROUNDDOWN(F34,0)=$S$12,$U$12,$T$12))</f>
        <v>#DIV/0!</v>
      </c>
      <c r="G37" s="3397" t="s">
        <v>3273</v>
      </c>
      <c r="H37" s="3422"/>
      <c r="I37" s="3397" t="s">
        <v>3274</v>
      </c>
      <c r="J37" s="3422"/>
      <c r="K37" s="990" t="e">
        <f>IF(K34=$S$15,$T$12,IF(ROUNDDOWN(K34,0)=$S$12,$U$12,$T$12))</f>
        <v>#DIV/0!</v>
      </c>
      <c r="L37" s="998" t="s">
        <v>3273</v>
      </c>
      <c r="M37" s="998" t="s">
        <v>3274</v>
      </c>
      <c r="N37" s="3397" t="s">
        <v>3275</v>
      </c>
      <c r="O37" s="3404"/>
    </row>
    <row r="38" spans="2:15" ht="56.25" hidden="1" customHeight="1">
      <c r="E38" s="959"/>
      <c r="F38" s="990" t="e">
        <f>IF(F34=$S$15,$T$13,IF(ROUNDDOWN(F34,0)=$S$13,$U$13,$T$13))</f>
        <v>#DIV/0!</v>
      </c>
      <c r="G38" s="3397" t="s">
        <v>3276</v>
      </c>
      <c r="H38" s="3422"/>
      <c r="I38" s="3397" t="s">
        <v>3277</v>
      </c>
      <c r="J38" s="3422"/>
      <c r="K38" s="990" t="e">
        <f>IF(K34=$S$15,$T$13,IF(ROUNDDOWN(K34,0)=$S$13,$U$13,$T$13))</f>
        <v>#DIV/0!</v>
      </c>
      <c r="L38" s="998" t="s">
        <v>3276</v>
      </c>
      <c r="M38" s="998" t="s">
        <v>3277</v>
      </c>
      <c r="N38" s="3397"/>
      <c r="O38" s="3404"/>
    </row>
    <row r="39" spans="2:15" ht="45" hidden="1" customHeight="1">
      <c r="E39" s="952"/>
      <c r="F39" s="1001" t="e">
        <f>IF(F34=$S$15,$T$14,IF(ROUNDDOWN(F34,0)=$S$14,$U$14,$T$14))</f>
        <v>#DIV/0!</v>
      </c>
      <c r="G39" s="3394" t="s">
        <v>3278</v>
      </c>
      <c r="H39" s="3423"/>
      <c r="I39" s="3394" t="s">
        <v>3278</v>
      </c>
      <c r="J39" s="3423"/>
      <c r="K39" s="1001" t="e">
        <f>IF(K34=$S$15,$T$14,IF(ROUNDDOWN(K34,0)=$S$14,$U$14,$T$14))</f>
        <v>#DIV/0!</v>
      </c>
      <c r="L39" s="1002" t="s">
        <v>3278</v>
      </c>
      <c r="M39" s="1002" t="s">
        <v>3278</v>
      </c>
      <c r="N39" s="3394" t="s">
        <v>3278</v>
      </c>
      <c r="O39" s="3413"/>
    </row>
    <row r="40" spans="2:15" hidden="1">
      <c r="E40" s="1053"/>
      <c r="F40" s="1054" t="s">
        <v>3279</v>
      </c>
      <c r="G40" s="1055"/>
      <c r="H40" s="1055"/>
      <c r="I40" s="1055"/>
      <c r="J40" s="1055"/>
      <c r="K40" s="1056"/>
      <c r="L40" s="1056"/>
      <c r="M40" s="1055"/>
      <c r="N40" s="1055"/>
      <c r="O40" s="1055"/>
    </row>
    <row r="41" spans="2:15" ht="14.25" hidden="1" thickBot="1">
      <c r="E41" s="1053"/>
      <c r="F41" s="1057"/>
      <c r="G41" s="1056" t="s">
        <v>1358</v>
      </c>
      <c r="H41" s="1056"/>
      <c r="I41" s="1058"/>
      <c r="J41" s="1056"/>
      <c r="K41" s="1056"/>
      <c r="L41" s="1056"/>
      <c r="M41" s="1056"/>
      <c r="N41" s="1056"/>
      <c r="O41" s="1056"/>
    </row>
    <row r="42" spans="2:15" ht="15.75" hidden="1">
      <c r="E42" s="1059"/>
      <c r="F42" s="1059"/>
      <c r="G42" s="1060"/>
      <c r="H42" s="1060"/>
      <c r="I42" s="1060"/>
      <c r="J42" s="1055"/>
      <c r="K42" s="1056"/>
      <c r="L42" s="1056"/>
      <c r="M42" s="1056"/>
      <c r="N42" s="1056"/>
      <c r="O42" s="1056"/>
    </row>
    <row r="43" spans="2:15" hidden="1">
      <c r="E43" s="1053"/>
      <c r="F43" s="1061" t="s">
        <v>553</v>
      </c>
      <c r="G43" s="1062" t="s">
        <v>554</v>
      </c>
      <c r="H43" s="1056"/>
      <c r="I43" s="1056"/>
      <c r="J43" s="1055"/>
      <c r="K43" s="1056"/>
      <c r="L43" s="1056"/>
      <c r="M43" s="1056"/>
      <c r="N43" s="1056"/>
      <c r="O43" s="1056"/>
    </row>
    <row r="44" spans="2:15" ht="14.25" hidden="1" customHeight="1" thickBot="1">
      <c r="E44" s="1053"/>
      <c r="F44" s="978">
        <v>0</v>
      </c>
      <c r="G44" s="978">
        <v>0</v>
      </c>
      <c r="H44" s="1063" t="s">
        <v>2237</v>
      </c>
      <c r="I44" s="1064" t="s">
        <v>2430</v>
      </c>
      <c r="J44" s="1056"/>
      <c r="K44" s="1055"/>
      <c r="L44" s="1056"/>
      <c r="M44" s="1056"/>
      <c r="N44" s="1056"/>
      <c r="O44" s="1056"/>
    </row>
    <row r="45" spans="2:15" hidden="1">
      <c r="B45" s="1">
        <v>1</v>
      </c>
      <c r="C45" s="1">
        <v>1</v>
      </c>
      <c r="E45" s="1053"/>
      <c r="F45" s="1065">
        <f>IF(I44=T4,F44,IF(AND(M45&lt;2000,F41=S4),IF($F$54&lt;1,1,IF($F$54&lt;2,2,IF($F$54&lt;3,3,IF($F$54&lt;4,4,5)))),IF($F$54&lt;2,1,IF($F$54&lt;4,2,IF($F$54&lt;6,3,IF($F$54&lt;8,4,5))))))</f>
        <v>0</v>
      </c>
      <c r="G45" s="1065">
        <f>IF(I44=T4,G44,IF(AND(M45&lt;2000,F41=S4),IF($G$54&lt;1,1,IF($G$54&lt;2,2,IF($G$54&lt;3,3,IF($G$54&lt;4,4,5)))),IF($G$54&lt;2,1,IF($G$54&lt;4,2,IF($G$54&lt;6,3,IF($G$54&lt;8,4,5))))))</f>
        <v>0</v>
      </c>
      <c r="H45" s="1066" t="s">
        <v>555</v>
      </c>
      <c r="I45" s="973"/>
      <c r="J45" s="1067" t="s">
        <v>556</v>
      </c>
      <c r="K45" s="1068"/>
      <c r="L45" s="1069" t="s">
        <v>2238</v>
      </c>
      <c r="M45" s="1070">
        <f>メイン!C19</f>
        <v>0</v>
      </c>
      <c r="N45" s="1071" t="s">
        <v>2176</v>
      </c>
      <c r="O45" s="1072">
        <f>メイン!L66-メイン!L64</f>
        <v>0</v>
      </c>
    </row>
    <row r="46" spans="2:15" ht="13.5" hidden="1" customHeight="1">
      <c r="B46" s="1">
        <v>2</v>
      </c>
      <c r="C46" s="1">
        <v>2</v>
      </c>
      <c r="E46" s="959"/>
      <c r="F46" s="1073" t="s">
        <v>2239</v>
      </c>
      <c r="G46" s="1073" t="s">
        <v>2239</v>
      </c>
      <c r="H46" s="3483" t="s">
        <v>2819</v>
      </c>
      <c r="I46" s="3484"/>
      <c r="J46" s="3480" t="s">
        <v>2820</v>
      </c>
      <c r="K46" s="3481"/>
      <c r="L46" s="1074"/>
      <c r="M46" s="1074"/>
      <c r="N46" s="1074"/>
      <c r="O46" s="1074"/>
    </row>
    <row r="47" spans="2:15" ht="13.5" hidden="1" customHeight="1">
      <c r="B47" s="1">
        <v>3</v>
      </c>
      <c r="C47" s="1">
        <v>3</v>
      </c>
      <c r="E47" s="959"/>
      <c r="F47" s="1075" t="s">
        <v>2240</v>
      </c>
      <c r="G47" s="1075" t="s">
        <v>2240</v>
      </c>
      <c r="H47" s="1076" t="s">
        <v>1349</v>
      </c>
      <c r="I47" s="1077"/>
      <c r="J47" s="1078" t="s">
        <v>2821</v>
      </c>
      <c r="K47" s="1077"/>
      <c r="L47" s="1074"/>
      <c r="M47" s="1074"/>
      <c r="N47" s="1074"/>
      <c r="O47" s="1074"/>
    </row>
    <row r="48" spans="2:15" ht="13.5" hidden="1" customHeight="1">
      <c r="B48" s="1">
        <v>4</v>
      </c>
      <c r="C48" s="1">
        <v>4</v>
      </c>
      <c r="E48" s="959"/>
      <c r="F48" s="1075" t="s">
        <v>2239</v>
      </c>
      <c r="G48" s="1075" t="s">
        <v>2240</v>
      </c>
      <c r="H48" s="1076" t="s">
        <v>863</v>
      </c>
      <c r="I48" s="1077"/>
      <c r="J48" s="1078" t="s">
        <v>2822</v>
      </c>
      <c r="K48" s="1077"/>
      <c r="L48" s="973" t="s">
        <v>864</v>
      </c>
      <c r="M48" s="973"/>
      <c r="N48" s="973"/>
      <c r="O48" s="1079"/>
    </row>
    <row r="49" spans="2:15" ht="13.5" hidden="1" customHeight="1">
      <c r="B49" s="1">
        <v>5</v>
      </c>
      <c r="C49" s="1">
        <v>5</v>
      </c>
      <c r="E49" s="959"/>
      <c r="F49" s="1075" t="s">
        <v>2240</v>
      </c>
      <c r="G49" s="1075" t="s">
        <v>2239</v>
      </c>
      <c r="H49" s="1076" t="s">
        <v>865</v>
      </c>
      <c r="I49" s="1077"/>
      <c r="J49" s="1078" t="s">
        <v>2823</v>
      </c>
      <c r="K49" s="1077"/>
      <c r="L49" s="1066" t="s">
        <v>557</v>
      </c>
      <c r="M49" s="1080"/>
      <c r="N49" s="1081" t="s">
        <v>558</v>
      </c>
      <c r="O49" s="1068"/>
    </row>
    <row r="50" spans="2:15" ht="13.5" hidden="1" customHeight="1">
      <c r="B50" s="1008">
        <v>0</v>
      </c>
      <c r="C50" s="1008">
        <v>0</v>
      </c>
      <c r="E50" s="959"/>
      <c r="F50" s="1075" t="s">
        <v>2240</v>
      </c>
      <c r="G50" s="1075" t="s">
        <v>2239</v>
      </c>
      <c r="H50" s="1076" t="s">
        <v>866</v>
      </c>
      <c r="I50" s="1077"/>
      <c r="J50" s="3480" t="s">
        <v>2824</v>
      </c>
      <c r="K50" s="3484"/>
      <c r="L50" s="3485" t="s">
        <v>2069</v>
      </c>
      <c r="M50" s="3484"/>
      <c r="N50" s="3480" t="s">
        <v>2825</v>
      </c>
      <c r="O50" s="3481"/>
    </row>
    <row r="51" spans="2:15" ht="13.5" hidden="1" customHeight="1">
      <c r="E51" s="959"/>
      <c r="F51" s="1075" t="s">
        <v>2240</v>
      </c>
      <c r="G51" s="1075" t="s">
        <v>2239</v>
      </c>
      <c r="H51" s="1076" t="s">
        <v>865</v>
      </c>
      <c r="I51" s="1077"/>
      <c r="J51" s="3480" t="s">
        <v>2826</v>
      </c>
      <c r="K51" s="3486"/>
      <c r="L51" s="3485" t="s">
        <v>2077</v>
      </c>
      <c r="M51" s="3481"/>
      <c r="N51" s="3480" t="s">
        <v>2827</v>
      </c>
      <c r="O51" s="3481"/>
    </row>
    <row r="52" spans="2:15" ht="13.5" hidden="1" customHeight="1">
      <c r="E52" s="959"/>
      <c r="F52" s="1075" t="s">
        <v>2239</v>
      </c>
      <c r="G52" s="1075" t="s">
        <v>2240</v>
      </c>
      <c r="H52" s="1076" t="s">
        <v>2828</v>
      </c>
      <c r="I52" s="1077"/>
      <c r="J52" s="1078" t="s">
        <v>2829</v>
      </c>
      <c r="K52" s="1077"/>
      <c r="L52" s="3485" t="s">
        <v>2078</v>
      </c>
      <c r="M52" s="3481"/>
      <c r="N52" s="3480" t="s">
        <v>2079</v>
      </c>
      <c r="O52" s="3481"/>
    </row>
    <row r="53" spans="2:15" ht="14.25" hidden="1" customHeight="1" thickBot="1">
      <c r="E53" s="959"/>
      <c r="F53" s="1082" t="s">
        <v>2240</v>
      </c>
      <c r="G53" s="1082" t="s">
        <v>2240</v>
      </c>
      <c r="H53" s="1076" t="s">
        <v>958</v>
      </c>
      <c r="I53" s="1077"/>
      <c r="J53" s="1078" t="s">
        <v>2830</v>
      </c>
      <c r="K53" s="1077"/>
      <c r="L53" s="3485" t="s">
        <v>1780</v>
      </c>
      <c r="M53" s="3481"/>
      <c r="N53" s="3480" t="s">
        <v>2831</v>
      </c>
      <c r="O53" s="3481"/>
    </row>
    <row r="54" spans="2:15" ht="13.5" hidden="1" customHeight="1">
      <c r="E54" s="959"/>
      <c r="F54" s="1083">
        <f>IF(F41=S4,COUNTIF(F50:F53,S4),COUNTIF(F46:F53,S4))</f>
        <v>5</v>
      </c>
      <c r="G54" s="1084">
        <f>IF(F41=S4,COUNTIF(G50:G53,S4),COUNTIF(G46:G53,S4))</f>
        <v>4</v>
      </c>
      <c r="H54" s="1074" t="s">
        <v>1781</v>
      </c>
      <c r="I54" s="1085"/>
      <c r="J54" s="1085"/>
      <c r="K54" s="1085"/>
      <c r="L54" s="1056"/>
      <c r="M54" s="1056"/>
      <c r="N54" s="1056"/>
      <c r="O54" s="1056"/>
    </row>
    <row r="55" spans="2:15" hidden="1">
      <c r="E55" s="959"/>
      <c r="F55" s="952"/>
      <c r="G55" s="1086" t="s">
        <v>3280</v>
      </c>
      <c r="H55" s="1074"/>
      <c r="I55" s="1085"/>
      <c r="J55" s="1085"/>
      <c r="K55" s="1056"/>
      <c r="L55" s="1056"/>
      <c r="M55" s="1056"/>
      <c r="N55" s="1056"/>
      <c r="O55" s="1056"/>
    </row>
    <row r="56" spans="2:15" ht="16.5" hidden="1" thickBot="1">
      <c r="E56" s="954"/>
      <c r="F56" s="952"/>
      <c r="G56" s="978">
        <v>0</v>
      </c>
      <c r="H56" s="1063" t="s">
        <v>2237</v>
      </c>
      <c r="I56" s="1064" t="s">
        <v>2430</v>
      </c>
      <c r="J56" s="1056"/>
      <c r="K56" s="1056"/>
      <c r="L56" s="1074"/>
      <c r="M56" s="1074"/>
      <c r="N56" s="1074"/>
      <c r="O56" s="1074"/>
    </row>
    <row r="57" spans="2:15" ht="15.75" hidden="1">
      <c r="B57" s="1">
        <v>1</v>
      </c>
      <c r="C57" s="1">
        <v>1</v>
      </c>
      <c r="E57" s="954"/>
      <c r="F57" s="1087"/>
      <c r="G57" s="3482">
        <f>IF(I56=T4,G56,IF($G$64&lt;2,1,IF($G$64&lt;2,2,IF($G$64&lt;4,3,IF($G$64&lt;5,4,5)))))</f>
        <v>0</v>
      </c>
      <c r="H57" s="1088" t="s">
        <v>1782</v>
      </c>
      <c r="I57" s="1088"/>
      <c r="J57" s="1088" t="s">
        <v>2176</v>
      </c>
      <c r="K57" s="1072">
        <f>メイン!L64</f>
        <v>0</v>
      </c>
      <c r="L57" s="1056"/>
      <c r="M57" s="1056"/>
      <c r="N57" s="1056"/>
      <c r="O57" s="1056"/>
    </row>
    <row r="58" spans="2:15" ht="15.75" hidden="1">
      <c r="B58" s="1">
        <v>2</v>
      </c>
      <c r="C58" s="1">
        <v>2</v>
      </c>
      <c r="E58" s="954"/>
      <c r="F58" s="1087"/>
      <c r="G58" s="3482"/>
      <c r="H58" s="1066" t="s">
        <v>555</v>
      </c>
      <c r="I58" s="983"/>
      <c r="J58" s="1081" t="s">
        <v>556</v>
      </c>
      <c r="K58" s="1068"/>
      <c r="L58" s="1056"/>
      <c r="M58" s="1056"/>
      <c r="N58" s="1056"/>
      <c r="O58" s="1056"/>
    </row>
    <row r="59" spans="2:15" ht="15.75" hidden="1" customHeight="1">
      <c r="B59" s="1">
        <v>3</v>
      </c>
      <c r="C59" s="1">
        <v>3</v>
      </c>
      <c r="E59" s="954"/>
      <c r="F59" s="952"/>
      <c r="G59" s="1073" t="s">
        <v>2240</v>
      </c>
      <c r="H59" s="3483" t="s">
        <v>2832</v>
      </c>
      <c r="I59" s="3481"/>
      <c r="J59" s="3480" t="s">
        <v>2833</v>
      </c>
      <c r="K59" s="3481"/>
      <c r="L59" s="1074"/>
      <c r="M59" s="1074"/>
      <c r="N59" s="1074"/>
      <c r="O59" s="1074"/>
    </row>
    <row r="60" spans="2:15" ht="15.75" hidden="1" customHeight="1">
      <c r="B60" s="1">
        <v>4</v>
      </c>
      <c r="C60" s="1">
        <v>4</v>
      </c>
      <c r="E60" s="954"/>
      <c r="F60" s="952"/>
      <c r="G60" s="1075" t="s">
        <v>2240</v>
      </c>
      <c r="H60" s="1076" t="s">
        <v>2364</v>
      </c>
      <c r="I60" s="1077"/>
      <c r="J60" s="3480" t="s">
        <v>2834</v>
      </c>
      <c r="K60" s="3481"/>
      <c r="L60" s="1074"/>
      <c r="M60" s="1074"/>
      <c r="N60" s="1074"/>
      <c r="O60" s="1074"/>
    </row>
    <row r="61" spans="2:15" ht="15.75" hidden="1" customHeight="1">
      <c r="B61" s="1">
        <v>5</v>
      </c>
      <c r="C61" s="1">
        <v>5</v>
      </c>
      <c r="E61" s="954"/>
      <c r="F61" s="952"/>
      <c r="G61" s="1075"/>
      <c r="H61" s="1076" t="s">
        <v>2365</v>
      </c>
      <c r="I61" s="1077"/>
      <c r="J61" s="3480" t="s">
        <v>2366</v>
      </c>
      <c r="K61" s="3481"/>
      <c r="L61" s="1074"/>
      <c r="M61" s="1074"/>
      <c r="N61" s="1074"/>
      <c r="O61" s="1074"/>
    </row>
    <row r="62" spans="2:15" ht="15.75" hidden="1" customHeight="1">
      <c r="B62" s="1008">
        <v>0</v>
      </c>
      <c r="C62" s="1008">
        <v>0</v>
      </c>
      <c r="E62" s="954"/>
      <c r="F62" s="952"/>
      <c r="G62" s="1075" t="s">
        <v>2239</v>
      </c>
      <c r="H62" s="1076" t="s">
        <v>2367</v>
      </c>
      <c r="I62" s="1077"/>
      <c r="J62" s="3480" t="s">
        <v>2835</v>
      </c>
      <c r="K62" s="3481"/>
      <c r="L62" s="1074"/>
      <c r="M62" s="1074"/>
      <c r="N62" s="1074"/>
      <c r="O62" s="1074"/>
    </row>
    <row r="63" spans="2:15" ht="16.5" hidden="1" customHeight="1" thickBot="1">
      <c r="E63" s="954"/>
      <c r="F63" s="952"/>
      <c r="G63" s="1082" t="s">
        <v>2240</v>
      </c>
      <c r="H63" s="1076" t="s">
        <v>2368</v>
      </c>
      <c r="I63" s="1077"/>
      <c r="J63" s="3480" t="s">
        <v>2366</v>
      </c>
      <c r="K63" s="3481"/>
      <c r="L63" s="1074"/>
      <c r="M63" s="1074"/>
      <c r="N63" s="1074"/>
      <c r="O63" s="1074"/>
    </row>
    <row r="64" spans="2:15" ht="15.75" hidden="1" customHeight="1">
      <c r="E64" s="954"/>
      <c r="F64" s="952"/>
      <c r="G64" s="1084">
        <f>COUNTIF(G59:G63,S4)</f>
        <v>3</v>
      </c>
      <c r="H64" s="1074" t="s">
        <v>1781</v>
      </c>
      <c r="I64" s="1089"/>
      <c r="J64" s="1074"/>
      <c r="K64" s="1074"/>
      <c r="L64" s="1074"/>
      <c r="M64" s="1074"/>
      <c r="N64" s="1074"/>
      <c r="O64" s="1074"/>
    </row>
    <row r="65" spans="2:15" ht="9" customHeight="1">
      <c r="E65" s="954"/>
      <c r="F65" s="1090"/>
      <c r="G65" s="1074"/>
      <c r="H65" s="1074"/>
      <c r="I65" s="1074"/>
      <c r="J65" s="1074"/>
      <c r="K65" s="1074"/>
      <c r="L65" s="1074"/>
      <c r="M65" s="1074"/>
      <c r="N65" s="1074"/>
      <c r="O65" s="1074"/>
    </row>
    <row r="66" spans="2:15" ht="15.75">
      <c r="D66" s="1386">
        <v>1.2</v>
      </c>
      <c r="E66" s="1091" t="s">
        <v>2369</v>
      </c>
      <c r="F66" s="961"/>
      <c r="G66" s="1092"/>
      <c r="H66" s="1093"/>
      <c r="I66" s="1093"/>
      <c r="J66" s="1093"/>
      <c r="K66" s="1092"/>
      <c r="L66" s="1093"/>
      <c r="M66" s="1093"/>
      <c r="N66" s="1093"/>
      <c r="O66" s="1093"/>
    </row>
    <row r="67" spans="2:15" ht="15.75">
      <c r="D67" s="951"/>
      <c r="E67" s="952"/>
      <c r="F67" s="965" t="s">
        <v>2370</v>
      </c>
      <c r="G67" s="1045"/>
      <c r="H67" s="1094"/>
      <c r="I67" s="1074"/>
      <c r="J67" s="1048" t="e">
        <f>IF(OR(F69=0,AND(J68=0,O68=0)),$R$3,"")</f>
        <v>#DIV/0!</v>
      </c>
      <c r="K67" s="1044"/>
      <c r="L67" s="1045"/>
      <c r="M67" s="1094"/>
      <c r="N67" s="1074"/>
      <c r="O67" s="1048"/>
    </row>
    <row r="68" spans="2:15" ht="16.5" hidden="1" customHeight="1" thickBot="1">
      <c r="D68" s="954"/>
      <c r="E68" s="955"/>
      <c r="F68" s="971" t="s">
        <v>959</v>
      </c>
      <c r="G68" s="972"/>
      <c r="H68" s="973"/>
      <c r="I68" s="974" t="s">
        <v>1125</v>
      </c>
      <c r="J68" s="977" t="e">
        <f>重み!M15</f>
        <v>#DIV/0!</v>
      </c>
      <c r="K68" s="971" t="s">
        <v>1608</v>
      </c>
      <c r="L68" s="972"/>
      <c r="M68" s="973"/>
      <c r="N68" s="974" t="s">
        <v>1125</v>
      </c>
      <c r="O68" s="977" t="e">
        <f>重み!N15</f>
        <v>#DIV/0!</v>
      </c>
    </row>
    <row r="69" spans="2:15" ht="16.5" hidden="1" customHeight="1" thickBot="1">
      <c r="D69" s="954"/>
      <c r="E69" s="955"/>
      <c r="F69" s="978">
        <v>0</v>
      </c>
      <c r="G69" s="1095" t="s">
        <v>2372</v>
      </c>
      <c r="H69" s="983"/>
      <c r="I69" s="983"/>
      <c r="J69" s="984"/>
      <c r="K69" s="978">
        <v>0</v>
      </c>
      <c r="L69" s="1095" t="s">
        <v>960</v>
      </c>
      <c r="M69" s="983"/>
      <c r="N69" s="983"/>
      <c r="O69" s="984"/>
    </row>
    <row r="70" spans="2:15" ht="15.75" hidden="1" customHeight="1">
      <c r="B70" s="1">
        <v>1</v>
      </c>
      <c r="C70" s="1">
        <v>1</v>
      </c>
      <c r="D70" s="954"/>
      <c r="E70" s="955"/>
      <c r="F70" s="1096"/>
      <c r="G70" s="1095" t="s">
        <v>1045</v>
      </c>
      <c r="H70" s="983"/>
      <c r="I70" s="983"/>
      <c r="J70" s="984"/>
      <c r="K70" s="1096"/>
      <c r="L70" s="1095" t="s">
        <v>1045</v>
      </c>
      <c r="M70" s="983"/>
      <c r="N70" s="983"/>
      <c r="O70" s="984"/>
    </row>
    <row r="71" spans="2:15" ht="15.75" hidden="1" customHeight="1">
      <c r="B71" s="1" t="s">
        <v>2431</v>
      </c>
      <c r="C71" s="1" t="s">
        <v>2431</v>
      </c>
      <c r="D71" s="954"/>
      <c r="E71" s="955"/>
      <c r="F71" s="990" t="str">
        <f>IF(F69=$S$15,$T$10,IF(AND($O$3=$U$3,ROUNDDOWN(F69,0)=$S$10),$U$10,$T$10))</f>
        <v>　レベル　1</v>
      </c>
      <c r="G71" s="987" t="s">
        <v>961</v>
      </c>
      <c r="H71" s="988"/>
      <c r="I71" s="988"/>
      <c r="J71" s="989"/>
      <c r="K71" s="990" t="str">
        <f>IF(K69=$S$15,$T$10,IF(AND($O$3=$U$3,ROUNDDOWN(K69,0)=$S$10),$U$10,$T$10))</f>
        <v>　レベル　1</v>
      </c>
      <c r="L71" s="987" t="s">
        <v>2373</v>
      </c>
      <c r="M71" s="988"/>
      <c r="N71" s="988"/>
      <c r="O71" s="989"/>
    </row>
    <row r="72" spans="2:15" ht="15.75" hidden="1" customHeight="1">
      <c r="B72" s="1">
        <v>3</v>
      </c>
      <c r="C72" s="1">
        <v>3</v>
      </c>
      <c r="D72" s="954"/>
      <c r="E72" s="955"/>
      <c r="F72" s="990" t="str">
        <f>IF(F69=$S$15,$T$11,IF(AND($O$3=$U$3,ROUNDDOWN(F69,0)=$S$11),$U$11,$T$11))</f>
        <v>　レベル　2</v>
      </c>
      <c r="G72" s="994"/>
      <c r="H72" s="995"/>
      <c r="I72" s="995"/>
      <c r="J72" s="996"/>
      <c r="K72" s="990" t="str">
        <f>IF(K69=$S$15,$T$11,IF(AND($O$3=$U$3,ROUNDDOWN(K69,0)=$S$11),$U$11,$T$11))</f>
        <v>　レベル　2</v>
      </c>
      <c r="L72" s="994"/>
      <c r="M72" s="995"/>
      <c r="N72" s="995"/>
      <c r="O72" s="996"/>
    </row>
    <row r="73" spans="2:15" ht="15.75" hidden="1" customHeight="1">
      <c r="B73" s="1" t="s">
        <v>2431</v>
      </c>
      <c r="C73" s="1" t="s">
        <v>2431</v>
      </c>
      <c r="D73" s="954"/>
      <c r="E73" s="955"/>
      <c r="F73" s="990" t="str">
        <f>IF(F69=$S$15,$T$12,IF(AND($O$3=$U$3,ROUNDDOWN(F69,0)=$S$12),$U$12,$T$12))</f>
        <v>　レベル　3</v>
      </c>
      <c r="G73" s="994" t="s">
        <v>962</v>
      </c>
      <c r="H73" s="995"/>
      <c r="I73" s="995"/>
      <c r="J73" s="996"/>
      <c r="K73" s="990" t="str">
        <f>IF(K69=$S$15,$T$12,IF(AND($O$3=$U$3,ROUNDDOWN(K69,0)=$S$12),$U$12,$T$12))</f>
        <v>　レベル　3</v>
      </c>
      <c r="L73" s="994" t="s">
        <v>2374</v>
      </c>
      <c r="M73" s="995"/>
      <c r="N73" s="995"/>
      <c r="O73" s="996"/>
    </row>
    <row r="74" spans="2:15" ht="15.75" hidden="1" customHeight="1">
      <c r="B74" s="1">
        <v>5</v>
      </c>
      <c r="C74" s="1">
        <v>5</v>
      </c>
      <c r="D74" s="954"/>
      <c r="E74" s="955"/>
      <c r="F74" s="990" t="str">
        <f>IF(F69=$S$15,$T$13,IF(AND($O$3=$U$3,ROUNDDOWN(F69,0)=$S$13),$U$13,$T$13))</f>
        <v>　レベル　4</v>
      </c>
      <c r="G74" s="994"/>
      <c r="H74" s="995"/>
      <c r="I74" s="995"/>
      <c r="J74" s="996"/>
      <c r="K74" s="990" t="str">
        <f>IF(K69=$S$15,$T$13,IF(AND($O$3=$U$3,ROUNDDOWN(K69,0)=$S$13),$U$13,$T$13))</f>
        <v>　レベル　4</v>
      </c>
      <c r="L74" s="994"/>
      <c r="M74" s="995"/>
      <c r="N74" s="995"/>
      <c r="O74" s="996"/>
    </row>
    <row r="75" spans="2:15" ht="15.75" hidden="1" customHeight="1">
      <c r="B75" s="1008">
        <v>0</v>
      </c>
      <c r="C75" s="1008">
        <v>0</v>
      </c>
      <c r="D75" s="954"/>
      <c r="E75" s="955"/>
      <c r="F75" s="1001" t="str">
        <f>IF(F69=$S$15,$T$14,IF(AND($O$3=$U$3,ROUNDDOWN(F69,0)=$S$14),$U$14,$T$14))</f>
        <v>　レベル　5</v>
      </c>
      <c r="G75" s="1005" t="s">
        <v>2375</v>
      </c>
      <c r="H75" s="1006"/>
      <c r="I75" s="1006"/>
      <c r="J75" s="1007"/>
      <c r="K75" s="1001" t="str">
        <f>IF(K69=$S$15,$T$14,IF(AND($O$3=$U$3,ROUNDDOWN(K69,0)=$S$14),$U$14,$T$14))</f>
        <v>　レベル　5</v>
      </c>
      <c r="L75" s="1005" t="s">
        <v>2376</v>
      </c>
      <c r="M75" s="1006"/>
      <c r="N75" s="1006"/>
      <c r="O75" s="1007"/>
    </row>
    <row r="76" spans="2:15" ht="15.75" hidden="1" customHeight="1">
      <c r="D76" s="954"/>
      <c r="E76" s="959"/>
      <c r="F76" s="1095"/>
      <c r="G76" s="1095" t="s">
        <v>1044</v>
      </c>
      <c r="H76" s="983"/>
      <c r="I76" s="983"/>
      <c r="J76" s="984"/>
      <c r="K76" s="1097"/>
      <c r="L76" s="1095" t="s">
        <v>1044</v>
      </c>
      <c r="M76" s="983"/>
      <c r="N76" s="983"/>
      <c r="O76" s="984"/>
    </row>
    <row r="77" spans="2:15" ht="15.75" hidden="1" customHeight="1">
      <c r="D77" s="954"/>
      <c r="E77" s="959"/>
      <c r="F77" s="1098" t="str">
        <f>IF(F69=$S$15,$T$10,IF(AND($O$3&lt;&gt;$U$3,ROUNDDOWN(F69,0)=$S$10),$U$10,$T$10))</f>
        <v>　レベル　1</v>
      </c>
      <c r="G77" s="987" t="s">
        <v>963</v>
      </c>
      <c r="H77" s="988"/>
      <c r="I77" s="988"/>
      <c r="J77" s="989"/>
      <c r="K77" s="1098" t="str">
        <f>IF(K69=$S$15,$T$10,IF(AND($O$3&lt;&gt;$U$3,ROUNDDOWN(K69,0)=$S$10),$U$10,$T$10))</f>
        <v>　レベル　1</v>
      </c>
      <c r="L77" s="987" t="s">
        <v>963</v>
      </c>
      <c r="M77" s="988"/>
      <c r="N77" s="988"/>
      <c r="O77" s="989"/>
    </row>
    <row r="78" spans="2:15" ht="15.75" hidden="1" customHeight="1">
      <c r="D78" s="954"/>
      <c r="E78" s="959"/>
      <c r="F78" s="990" t="str">
        <f>IF(F69=$S$15,$T$11,IF(AND($O$3&lt;&gt;$U$3,ROUNDDOWN(F69,0)=$S$11),$U$11,$T$11))</f>
        <v>　レベル　2</v>
      </c>
      <c r="G78" s="994" t="s">
        <v>1795</v>
      </c>
      <c r="H78" s="995"/>
      <c r="I78" s="995"/>
      <c r="J78" s="996"/>
      <c r="K78" s="990" t="str">
        <f>IF(K69=$S$15,$T$11,IF(AND($O$3&lt;&gt;$U$3,ROUNDDOWN(K69,0)=$S$11),$U$11,$T$11))</f>
        <v>　レベル　2</v>
      </c>
      <c r="L78" s="994" t="s">
        <v>1795</v>
      </c>
      <c r="M78" s="995"/>
      <c r="N78" s="995"/>
      <c r="O78" s="996"/>
    </row>
    <row r="79" spans="2:15" ht="15.75" hidden="1" customHeight="1">
      <c r="D79" s="954"/>
      <c r="E79" s="959"/>
      <c r="F79" s="990" t="str">
        <f>IF(F69=$S$15,$T$12,IF(AND($O$3&lt;&gt;$U$3,ROUNDDOWN(F69,0)=$S$12),$U$12,$T$12))</f>
        <v>　レベル　3</v>
      </c>
      <c r="G79" s="994" t="s">
        <v>964</v>
      </c>
      <c r="H79" s="995"/>
      <c r="I79" s="995"/>
      <c r="J79" s="996"/>
      <c r="K79" s="990" t="str">
        <f>IF(K69=$S$15,$T$12,IF(AND($O$3&lt;&gt;$U$3,ROUNDDOWN(K69,0)=$S$12),$U$12,$T$12))</f>
        <v>　レベル　3</v>
      </c>
      <c r="L79" s="994" t="s">
        <v>964</v>
      </c>
      <c r="M79" s="995"/>
      <c r="N79" s="995"/>
      <c r="O79" s="996"/>
    </row>
    <row r="80" spans="2:15" ht="15.75" hidden="1" customHeight="1">
      <c r="D80" s="954"/>
      <c r="E80" s="959"/>
      <c r="F80" s="990" t="str">
        <f>IF(F69=$S$15,$T$13,IF(AND($O$3&lt;&gt;$U$3,ROUNDDOWN(F69,0)=$S$13),$U$13,$T$13))</f>
        <v>　レベル　4</v>
      </c>
      <c r="G80" s="994" t="s">
        <v>1795</v>
      </c>
      <c r="H80" s="995"/>
      <c r="I80" s="995"/>
      <c r="J80" s="996"/>
      <c r="K80" s="990" t="str">
        <f>IF(K69=$S$15,$T$13,IF(AND($O$3&lt;&gt;$U$3,ROUNDDOWN(K69,0)=$S$13),$U$13,$T$13))</f>
        <v>　レベル　4</v>
      </c>
      <c r="L80" s="994" t="s">
        <v>1795</v>
      </c>
      <c r="M80" s="995"/>
      <c r="N80" s="995"/>
      <c r="O80" s="996"/>
    </row>
    <row r="81" spans="2:15" ht="15.75" hidden="1" customHeight="1">
      <c r="D81" s="954"/>
      <c r="E81" s="959"/>
      <c r="F81" s="1001" t="str">
        <f>IF(F69=$S$15,$T$14,IF(AND($O$3&lt;&gt;$U$3,ROUNDDOWN(F69,0)=$S$14),$U$14,$T$14))</f>
        <v>　レベル　5</v>
      </c>
      <c r="G81" s="1005" t="s">
        <v>965</v>
      </c>
      <c r="H81" s="1006"/>
      <c r="I81" s="1006"/>
      <c r="J81" s="1007"/>
      <c r="K81" s="1001" t="str">
        <f>IF(K69=$S$15,$T$14,IF(AND($O$3&lt;&gt;$U$3,ROUNDDOWN(K69,0)=$S$14),$U$14,$T$14))</f>
        <v>　レベル　5</v>
      </c>
      <c r="L81" s="1005" t="s">
        <v>965</v>
      </c>
      <c r="M81" s="1006"/>
      <c r="N81" s="1006"/>
      <c r="O81" s="1007"/>
    </row>
    <row r="82" spans="2:15" ht="15.75">
      <c r="D82" s="954"/>
      <c r="E82" s="959"/>
      <c r="F82" s="959"/>
      <c r="G82" s="1099"/>
      <c r="H82" s="1099"/>
      <c r="I82" s="1099"/>
      <c r="J82" s="1099"/>
      <c r="K82" s="1099"/>
      <c r="L82" s="1099"/>
      <c r="M82" s="1099"/>
      <c r="N82" s="1099"/>
      <c r="O82" s="1099"/>
    </row>
    <row r="83" spans="2:15" ht="15.75">
      <c r="D83" s="951"/>
      <c r="E83" s="952"/>
      <c r="F83" s="965" t="s">
        <v>966</v>
      </c>
      <c r="G83" s="1045"/>
      <c r="H83" s="1094"/>
      <c r="I83" s="1074"/>
      <c r="J83" s="1048" t="e">
        <f>IF(OR(F85=0,AND(J84=0,O84=0)),$R$3,"")</f>
        <v>#DIV/0!</v>
      </c>
      <c r="K83" s="1044"/>
      <c r="L83" s="1045"/>
      <c r="M83" s="1094"/>
      <c r="N83" s="1074"/>
      <c r="O83" s="1074"/>
    </row>
    <row r="84" spans="2:15" ht="16.5" thickBot="1">
      <c r="D84" s="954"/>
      <c r="E84" s="955"/>
      <c r="F84" s="971" t="s">
        <v>1500</v>
      </c>
      <c r="G84" s="972"/>
      <c r="H84" s="973"/>
      <c r="I84" s="974" t="s">
        <v>1125</v>
      </c>
      <c r="J84" s="977" t="e">
        <f>重み!M16</f>
        <v>#DIV/0!</v>
      </c>
      <c r="K84" s="971" t="s">
        <v>1608</v>
      </c>
      <c r="L84" s="972"/>
      <c r="M84" s="973"/>
      <c r="N84" s="974" t="s">
        <v>1125</v>
      </c>
      <c r="O84" s="977" t="e">
        <f>重み!N16</f>
        <v>#DIV/0!</v>
      </c>
    </row>
    <row r="85" spans="2:15" ht="16.5" thickBot="1">
      <c r="D85" s="954"/>
      <c r="E85" s="955"/>
      <c r="F85" s="978">
        <v>3</v>
      </c>
      <c r="G85" s="983" t="s">
        <v>870</v>
      </c>
      <c r="H85" s="983"/>
      <c r="I85" s="1095" t="s">
        <v>871</v>
      </c>
      <c r="J85" s="984"/>
      <c r="K85" s="978">
        <v>3</v>
      </c>
      <c r="L85" s="1095" t="s">
        <v>2231</v>
      </c>
      <c r="M85" s="984"/>
      <c r="N85" s="1095" t="s">
        <v>2609</v>
      </c>
      <c r="O85" s="1100"/>
    </row>
    <row r="86" spans="2:15" ht="15.75" hidden="1" customHeight="1">
      <c r="B86" s="1">
        <v>1</v>
      </c>
      <c r="C86" s="1">
        <v>1</v>
      </c>
      <c r="D86" s="954"/>
      <c r="E86" s="955"/>
      <c r="F86" s="1096"/>
      <c r="G86" s="983" t="s">
        <v>1045</v>
      </c>
      <c r="H86" s="1101"/>
      <c r="I86" s="1101"/>
      <c r="J86" s="1102"/>
      <c r="K86" s="1096"/>
      <c r="L86" s="1101" t="s">
        <v>1045</v>
      </c>
      <c r="M86" s="1102"/>
      <c r="N86" s="1101"/>
      <c r="O86" s="1102"/>
    </row>
    <row r="87" spans="2:15" ht="15.75" hidden="1" customHeight="1">
      <c r="B87" s="1">
        <v>2</v>
      </c>
      <c r="C87" s="1">
        <v>2</v>
      </c>
      <c r="D87" s="954"/>
      <c r="E87" s="955"/>
      <c r="F87" s="990" t="str">
        <f>IF(F85=$S$15,$T$10,IF(AND($O$3=$U$3,ROUNDDOWN(F85,0)=$S$10),$U$10,$T$10))</f>
        <v>　レベル　1</v>
      </c>
      <c r="G87" s="1103" t="s">
        <v>968</v>
      </c>
      <c r="H87" s="1104"/>
      <c r="I87" s="1103" t="s">
        <v>2232</v>
      </c>
      <c r="J87" s="1104"/>
      <c r="K87" s="990" t="str">
        <f>IF(K85=$S$15,$T$10,IF(AND($O$3=$U$3,ROUNDDOWN(K85,0)=$S$10),$U$10,$T$10))</f>
        <v>　レベル　1</v>
      </c>
      <c r="L87" s="1103" t="s">
        <v>2836</v>
      </c>
      <c r="M87" s="1104"/>
      <c r="N87" s="1103" t="s">
        <v>2592</v>
      </c>
      <c r="O87" s="1104"/>
    </row>
    <row r="88" spans="2:15" ht="15.75" hidden="1" customHeight="1">
      <c r="B88" s="1">
        <v>3</v>
      </c>
      <c r="C88" s="1">
        <v>3</v>
      </c>
      <c r="D88" s="954"/>
      <c r="E88" s="955"/>
      <c r="F88" s="990" t="str">
        <f>IF(F85=$S$15,$T$11,IF(AND($O$3=$U$3,ROUNDDOWN(F85,0)=$S$11),$U$11,$T$11))</f>
        <v>　レベル　2</v>
      </c>
      <c r="G88" s="994"/>
      <c r="H88" s="995"/>
      <c r="I88" s="994"/>
      <c r="J88" s="995"/>
      <c r="K88" s="990" t="str">
        <f>IF(K85=$S$15,$T$11,IF(AND($O$3=$U$3,ROUNDDOWN(K85,0)=$S$11),$U$11,$T$11))</f>
        <v>　レベル　2</v>
      </c>
      <c r="L88" s="2649"/>
      <c r="M88" s="2647"/>
      <c r="N88" s="2649"/>
      <c r="O88" s="2647"/>
    </row>
    <row r="89" spans="2:15" ht="15.75" hidden="1" customHeight="1">
      <c r="B89" s="1">
        <v>4</v>
      </c>
      <c r="C89" s="1">
        <v>4</v>
      </c>
      <c r="D89" s="954"/>
      <c r="E89" s="955"/>
      <c r="F89" s="990" t="str">
        <f>IF(F85=$S$15,$T$12,IF(AND($O$3=$U$3,ROUNDDOWN(F85,0)=$S$12),$U$12,$T$12))</f>
        <v>　レベル　3</v>
      </c>
      <c r="G89" s="994" t="s">
        <v>241</v>
      </c>
      <c r="H89" s="995"/>
      <c r="I89" s="994" t="s">
        <v>242</v>
      </c>
      <c r="J89" s="995"/>
      <c r="K89" s="990" t="str">
        <f>IF(K85=$S$15,$T$12,IF(AND($O$3=$U$3,ROUNDDOWN(K85,0)=$S$12),$U$12,$T$12))</f>
        <v>　レベル　3</v>
      </c>
      <c r="L89" s="2649" t="s">
        <v>2837</v>
      </c>
      <c r="M89" s="2647"/>
      <c r="N89" s="2649" t="s">
        <v>2593</v>
      </c>
      <c r="O89" s="2647"/>
    </row>
    <row r="90" spans="2:15" ht="15.75" hidden="1" customHeight="1">
      <c r="B90" s="1">
        <v>5</v>
      </c>
      <c r="C90" s="1">
        <v>5</v>
      </c>
      <c r="D90" s="954"/>
      <c r="E90" s="955"/>
      <c r="F90" s="990" t="str">
        <f>IF(F85=$S$15,$T$13,IF(AND($O$3=$U$3,ROUNDDOWN(F85,0)=$S$13),$U$13,$T$13))</f>
        <v>　レベル　4</v>
      </c>
      <c r="G90" s="994" t="s">
        <v>2233</v>
      </c>
      <c r="H90" s="995"/>
      <c r="I90" s="994" t="s">
        <v>2233</v>
      </c>
      <c r="J90" s="995"/>
      <c r="K90" s="990" t="str">
        <f>IF(K85=$S$15,$T$13,IF(AND($O$3=$U$3,ROUNDDOWN(K85,0)=$S$13),$U$13,$T$13))</f>
        <v>　レベル　4</v>
      </c>
      <c r="L90" s="2649"/>
      <c r="M90" s="2647"/>
      <c r="N90" s="2649"/>
      <c r="O90" s="2647"/>
    </row>
    <row r="91" spans="2:15" ht="15.75" hidden="1" customHeight="1">
      <c r="B91" s="1008">
        <v>0</v>
      </c>
      <c r="C91" s="1008">
        <v>0</v>
      </c>
      <c r="D91" s="954"/>
      <c r="E91" s="955"/>
      <c r="F91" s="1001" t="str">
        <f>IF(F85=$S$15,$T$14,IF(AND($O$3=$U$3,ROUNDDOWN(F85,0)=$S$14),$U$14,$T$14))</f>
        <v>　レベル　5</v>
      </c>
      <c r="G91" s="1005" t="s">
        <v>2234</v>
      </c>
      <c r="H91" s="1006"/>
      <c r="I91" s="1005" t="s">
        <v>243</v>
      </c>
      <c r="J91" s="1006"/>
      <c r="K91" s="1001" t="str">
        <f>IF(K85=$S$15,$T$14,IF(AND($O$3=$U$3,ROUNDDOWN(K85,0)=$S$14),$U$14,$T$14))</f>
        <v>　レベル　5</v>
      </c>
      <c r="L91" s="2642" t="s">
        <v>2838</v>
      </c>
      <c r="M91" s="2643"/>
      <c r="N91" s="2642" t="s">
        <v>2594</v>
      </c>
      <c r="O91" s="2643"/>
    </row>
    <row r="92" spans="2:15" ht="15.75" hidden="1" customHeight="1">
      <c r="D92" s="954"/>
      <c r="E92" s="955"/>
      <c r="F92" s="1097"/>
      <c r="G92" s="1095" t="s">
        <v>1044</v>
      </c>
      <c r="H92" s="983"/>
      <c r="I92" s="983"/>
      <c r="J92" s="984"/>
      <c r="K92" s="1097"/>
      <c r="L92" s="983" t="s">
        <v>1044</v>
      </c>
      <c r="M92" s="984"/>
      <c r="N92" s="983"/>
      <c r="O92" s="984"/>
    </row>
    <row r="93" spans="2:15" ht="27" customHeight="1">
      <c r="D93" s="954"/>
      <c r="E93" s="955"/>
      <c r="F93" s="1098" t="str">
        <f>IF(F85=$S$15,$T$10,IF(AND($O$3&lt;&gt;$U$3,ROUNDDOWN(F85,0)=$S$10),$U$10,$T$10))</f>
        <v>　レベル　1</v>
      </c>
      <c r="G93" s="1103" t="s">
        <v>2595</v>
      </c>
      <c r="H93" s="1104"/>
      <c r="I93" s="3401" t="s">
        <v>2596</v>
      </c>
      <c r="J93" s="3402"/>
      <c r="K93" s="1098" t="str">
        <f>IF(K85=$S$15,$T$10,IF(AND($O$3&lt;&gt;$U$3,ROUNDDOWN(K85,0)=$S$10),$U$10,$T$10))</f>
        <v>　レベル　1</v>
      </c>
      <c r="L93" s="3418" t="s">
        <v>2839</v>
      </c>
      <c r="M93" s="3419"/>
      <c r="N93" s="3401" t="s">
        <v>2605</v>
      </c>
      <c r="O93" s="3402"/>
    </row>
    <row r="94" spans="2:15" ht="18.75" customHeight="1">
      <c r="D94" s="954"/>
      <c r="E94" s="955"/>
      <c r="F94" s="990" t="str">
        <f>IF(F85=$S$15,$T$11,IF(AND($O$3&lt;&gt;$U$3,ROUNDDOWN(F85,0)=$S$11),$U$11,$T$11))</f>
        <v>　レベル　2</v>
      </c>
      <c r="G94" s="2649" t="s">
        <v>2597</v>
      </c>
      <c r="H94" s="2647"/>
      <c r="I94" s="2649" t="s">
        <v>2598</v>
      </c>
      <c r="J94" s="2647"/>
      <c r="K94" s="990" t="str">
        <f>IF(K85=$S$15,$T$11,IF(AND($O$3&lt;&gt;$U$3,ROUNDDOWN(K85,0)=$S$11),$U$11,$T$11))</f>
        <v>　レベル　2</v>
      </c>
      <c r="L94" s="2649" t="s">
        <v>2601</v>
      </c>
      <c r="M94" s="2647"/>
      <c r="N94" s="2649" t="s">
        <v>2601</v>
      </c>
      <c r="O94" s="2641"/>
    </row>
    <row r="95" spans="2:15" ht="28.5" customHeight="1">
      <c r="D95" s="954"/>
      <c r="E95" s="955"/>
      <c r="F95" s="990" t="str">
        <f>IF(F85=$S$15,$T$12,IF(AND($O$3&lt;&gt;$U$3,ROUNDDOWN(F85,0)=$S$12),$U$12,$T$12))</f>
        <v>■レベル　3</v>
      </c>
      <c r="G95" s="2649" t="s">
        <v>2599</v>
      </c>
      <c r="H95" s="2647"/>
      <c r="I95" s="3397" t="s">
        <v>2600</v>
      </c>
      <c r="J95" s="3415"/>
      <c r="K95" s="990" t="str">
        <f>IF(K85=$S$15,$T$12,IF(AND($O$3&lt;&gt;$U$3,ROUNDDOWN(K85,0)=$S$12),$U$12,$T$12))</f>
        <v>■レベル　3</v>
      </c>
      <c r="L95" s="3420" t="s">
        <v>2840</v>
      </c>
      <c r="M95" s="3421"/>
      <c r="N95" s="3397" t="s">
        <v>2606</v>
      </c>
      <c r="O95" s="3404"/>
    </row>
    <row r="96" spans="2:15" ht="15.75" customHeight="1">
      <c r="D96" s="954"/>
      <c r="E96" s="955"/>
      <c r="F96" s="990" t="str">
        <f>IF(F85=$S$15,$T$13,IF(AND($O$3&lt;&gt;$U$3,ROUNDDOWN(F85,0)=$S$13),$U$13,$T$13))</f>
        <v>　レベル　4</v>
      </c>
      <c r="G96" s="2649" t="s">
        <v>2601</v>
      </c>
      <c r="H96" s="2647"/>
      <c r="I96" s="3397" t="s">
        <v>2602</v>
      </c>
      <c r="J96" s="3415"/>
      <c r="K96" s="990" t="str">
        <f>IF(K85=$S$15,$T$13,IF(AND($O$3&lt;&gt;$U$3,ROUNDDOWN(K85,0)=$S$13),$U$13,$T$13))</f>
        <v>　レベル　4</v>
      </c>
      <c r="L96" s="2649" t="s">
        <v>2607</v>
      </c>
      <c r="M96" s="2647"/>
      <c r="N96" s="2649" t="s">
        <v>2607</v>
      </c>
      <c r="O96" s="2641"/>
    </row>
    <row r="97" spans="2:15" ht="26.25" customHeight="1">
      <c r="D97" s="954"/>
      <c r="E97" s="955"/>
      <c r="F97" s="1001" t="str">
        <f>IF(F85=$S$15,$T$14,IF(AND($O$3&lt;&gt;$U$3,ROUNDDOWN(F85,0)=$S$14),$U$14,$T$14))</f>
        <v>　レベル　5</v>
      </c>
      <c r="G97" s="3394" t="s">
        <v>2603</v>
      </c>
      <c r="H97" s="3396"/>
      <c r="I97" s="3394" t="s">
        <v>2604</v>
      </c>
      <c r="J97" s="3396"/>
      <c r="K97" s="1001" t="str">
        <f>IF(K85=$S$15,$T$14,IF(AND($O$3&lt;&gt;$U$3,ROUNDDOWN(K85,0)=$S$14),$U$14,$T$14))</f>
        <v>　レベル　5</v>
      </c>
      <c r="L97" s="3394" t="s">
        <v>2841</v>
      </c>
      <c r="M97" s="3396"/>
      <c r="N97" s="3394" t="s">
        <v>2608</v>
      </c>
      <c r="O97" s="3413"/>
    </row>
    <row r="98" spans="2:15" ht="15.75">
      <c r="D98" s="954"/>
      <c r="E98" s="955"/>
      <c r="F98" s="955"/>
      <c r="G98" s="1044"/>
      <c r="H98" s="1044"/>
      <c r="I98" s="1044"/>
      <c r="J98" s="1044"/>
      <c r="K98" s="1044"/>
      <c r="L98" s="1044"/>
      <c r="M98" s="1044"/>
      <c r="N98" s="1044"/>
      <c r="O98" s="1044"/>
    </row>
    <row r="99" spans="2:15" ht="15.75">
      <c r="D99" s="951"/>
      <c r="E99" s="952"/>
      <c r="F99" s="965" t="s">
        <v>244</v>
      </c>
      <c r="G99" s="1045"/>
      <c r="H99" s="1094"/>
      <c r="I99" s="1074"/>
      <c r="J99" s="1048" t="e">
        <f>IF(OR(F101=0,AND(J100=0,O100=0)),$R$3,"")</f>
        <v>#DIV/0!</v>
      </c>
      <c r="K99" s="1044"/>
      <c r="L99" s="1045"/>
      <c r="M99" s="1094"/>
      <c r="N99" s="1074"/>
      <c r="O99" s="1074"/>
    </row>
    <row r="100" spans="2:15" ht="16.5" thickBot="1">
      <c r="D100" s="954"/>
      <c r="E100" s="1107"/>
      <c r="F100" s="971" t="s">
        <v>245</v>
      </c>
      <c r="G100" s="972"/>
      <c r="H100" s="973"/>
      <c r="I100" s="974" t="s">
        <v>1125</v>
      </c>
      <c r="J100" s="977" t="e">
        <f>重み!M17</f>
        <v>#DIV/0!</v>
      </c>
      <c r="K100" s="971" t="s">
        <v>1608</v>
      </c>
      <c r="L100" s="972"/>
      <c r="M100" s="973"/>
      <c r="N100" s="974" t="s">
        <v>1125</v>
      </c>
      <c r="O100" s="977" t="e">
        <f>重み!N17</f>
        <v>#DIV/0!</v>
      </c>
    </row>
    <row r="101" spans="2:15" ht="16.5" thickBot="1">
      <c r="D101" s="954"/>
      <c r="E101" s="1107"/>
      <c r="F101" s="978">
        <v>3</v>
      </c>
      <c r="G101" s="1095" t="s">
        <v>1635</v>
      </c>
      <c r="H101" s="983"/>
      <c r="I101" s="983"/>
      <c r="J101" s="984"/>
      <c r="K101" s="978">
        <v>3</v>
      </c>
      <c r="L101" s="1095" t="s">
        <v>246</v>
      </c>
      <c r="M101" s="983"/>
      <c r="N101" s="983"/>
      <c r="O101" s="984"/>
    </row>
    <row r="102" spans="2:15" ht="15.75" hidden="1">
      <c r="B102" s="1">
        <v>1</v>
      </c>
      <c r="C102" s="1">
        <v>1</v>
      </c>
      <c r="D102" s="954"/>
      <c r="E102" s="1107"/>
      <c r="F102" s="1096"/>
      <c r="G102" s="1095" t="s">
        <v>1045</v>
      </c>
      <c r="H102" s="983"/>
      <c r="I102" s="983"/>
      <c r="J102" s="984"/>
      <c r="K102" s="1096"/>
      <c r="L102" s="1095" t="s">
        <v>1045</v>
      </c>
      <c r="M102" s="983"/>
      <c r="N102" s="983"/>
      <c r="O102" s="984"/>
    </row>
    <row r="103" spans="2:15" ht="15.75" hidden="1">
      <c r="B103" s="1">
        <v>2</v>
      </c>
      <c r="C103" s="1">
        <v>2</v>
      </c>
      <c r="D103" s="954"/>
      <c r="E103" s="1108"/>
      <c r="F103" s="990" t="str">
        <f>IF(F101=$S$15,$T$10,IF(AND($O$3=$U$3,ROUNDDOWN(F101,0)=$S$10),$U$10,$T$10))</f>
        <v>　レベル　1</v>
      </c>
      <c r="G103" s="987" t="s">
        <v>2842</v>
      </c>
      <c r="H103" s="988"/>
      <c r="I103" s="988"/>
      <c r="J103" s="989"/>
      <c r="K103" s="990" t="str">
        <f>IF(K101=$S$15,$T$10,IF(AND($O$3=$U$3,ROUNDDOWN(K101,0)=$S$10),$U$10,$T$10))</f>
        <v>　レベル　1</v>
      </c>
      <c r="L103" s="987" t="s">
        <v>2843</v>
      </c>
      <c r="M103" s="988"/>
      <c r="N103" s="988"/>
      <c r="O103" s="989"/>
    </row>
    <row r="104" spans="2:15" ht="15.75" hidden="1">
      <c r="B104" s="1">
        <v>3</v>
      </c>
      <c r="C104" s="1">
        <v>3</v>
      </c>
      <c r="D104" s="954"/>
      <c r="E104" s="1108"/>
      <c r="F104" s="990" t="str">
        <f>IF(F101=$S$15,$T$11,IF(AND($O$3=$U$3,ROUNDDOWN(F101,0)=$S$11),$U$11,$T$11))</f>
        <v>　レベル　2</v>
      </c>
      <c r="G104" s="994"/>
      <c r="H104" s="995"/>
      <c r="I104" s="995"/>
      <c r="J104" s="996"/>
      <c r="K104" s="990" t="str">
        <f>IF(K101=$S$15,$T$11,IF(AND($O$3=$U$3,ROUNDDOWN(K101,0)=$S$11),$U$11,$T$11))</f>
        <v>　レベル　2</v>
      </c>
      <c r="L104" s="994"/>
      <c r="M104" s="995"/>
      <c r="N104" s="995"/>
      <c r="O104" s="996"/>
    </row>
    <row r="105" spans="2:15" ht="15.75" hidden="1">
      <c r="B105" s="1">
        <v>4</v>
      </c>
      <c r="C105" s="1">
        <v>4</v>
      </c>
      <c r="D105" s="954"/>
      <c r="E105" s="1108"/>
      <c r="F105" s="990" t="str">
        <f>IF(F101=$S$15,$T$12,IF(AND($O$3=$U$3,ROUNDDOWN(F101,0)=$S$12),$U$12,$T$12))</f>
        <v>　レベル　3</v>
      </c>
      <c r="G105" s="994" t="s">
        <v>2843</v>
      </c>
      <c r="H105" s="995"/>
      <c r="I105" s="995"/>
      <c r="J105" s="996"/>
      <c r="K105" s="990" t="str">
        <f>IF(K101=$S$15,$T$12,IF(AND($O$3=$U$3,ROUNDDOWN(K101,0)=$S$12),$U$12,$T$12))</f>
        <v>　レベル　3</v>
      </c>
      <c r="L105" s="994" t="s">
        <v>2844</v>
      </c>
      <c r="M105" s="995"/>
      <c r="N105" s="995"/>
      <c r="O105" s="996"/>
    </row>
    <row r="106" spans="2:15" ht="15.75" hidden="1">
      <c r="B106" s="1">
        <v>5</v>
      </c>
      <c r="C106" s="1">
        <v>5</v>
      </c>
      <c r="D106" s="954"/>
      <c r="E106" s="1108"/>
      <c r="F106" s="990" t="str">
        <f>IF(F101=$S$15,$T$13,IF(AND($O$3=$U$3,ROUNDDOWN(F101,0)=$S$13),$U$13,$T$13))</f>
        <v>　レベル　4</v>
      </c>
      <c r="G106" s="994"/>
      <c r="H106" s="995"/>
      <c r="I106" s="995"/>
      <c r="J106" s="996"/>
      <c r="K106" s="990" t="str">
        <f>IF(K101=$S$15,$T$13,IF(AND($O$3=$U$3,ROUNDDOWN(K101,0)=$S$13),$U$13,$T$13))</f>
        <v>　レベル　4</v>
      </c>
      <c r="L106" s="994"/>
      <c r="M106" s="995"/>
      <c r="N106" s="995"/>
      <c r="O106" s="996"/>
    </row>
    <row r="107" spans="2:15" ht="15.75" hidden="1">
      <c r="B107" s="1008">
        <v>0</v>
      </c>
      <c r="C107" s="1008">
        <v>0</v>
      </c>
      <c r="D107" s="954"/>
      <c r="E107" s="1108"/>
      <c r="F107" s="1001" t="str">
        <f>IF(F101=$S$15,$T$14,IF(AND($O$3=$U$3,ROUNDDOWN(F101,0)=$S$14),$U$14,$T$14))</f>
        <v>　レベル　5</v>
      </c>
      <c r="G107" s="1005" t="s">
        <v>2845</v>
      </c>
      <c r="H107" s="1006"/>
      <c r="I107" s="1006"/>
      <c r="J107" s="1007"/>
      <c r="K107" s="1001" t="str">
        <f>IF(K101=$S$15,$T$14,IF(AND($O$3=$U$3,ROUNDDOWN(K101,0)=$S$14),$U$14,$T$14))</f>
        <v>　レベル　5</v>
      </c>
      <c r="L107" s="1005" t="s">
        <v>2846</v>
      </c>
      <c r="M107" s="1006"/>
      <c r="N107" s="1006"/>
      <c r="O107" s="1007"/>
    </row>
    <row r="108" spans="2:15" ht="15.75" hidden="1">
      <c r="D108" s="954"/>
      <c r="E108" s="955"/>
      <c r="F108" s="1097"/>
      <c r="G108" s="1095" t="s">
        <v>1044</v>
      </c>
      <c r="H108" s="983"/>
      <c r="I108" s="983"/>
      <c r="J108" s="984"/>
      <c r="K108" s="1097"/>
      <c r="L108" s="1095" t="s">
        <v>1044</v>
      </c>
      <c r="M108" s="983"/>
      <c r="N108" s="983"/>
      <c r="O108" s="984"/>
    </row>
    <row r="109" spans="2:15" ht="15.75">
      <c r="D109" s="954"/>
      <c r="E109" s="955"/>
      <c r="F109" s="1098" t="str">
        <f>IF(F101=$S$15,$T$10,IF(AND($O$3&lt;&gt;$U$3,ROUNDDOWN(F101,0)=$S$10),$U$10,$T$10))</f>
        <v>　レベル　1</v>
      </c>
      <c r="G109" s="3401" t="s">
        <v>2847</v>
      </c>
      <c r="H109" s="3416"/>
      <c r="I109" s="3416"/>
      <c r="J109" s="3417"/>
      <c r="K109" s="1098" t="str">
        <f>IF(K101=$S$15,$T$10,IF(AND($O$3&lt;&gt;$U$3,ROUNDDOWN(K101,0)=$S$10),$U$10,$T$10))</f>
        <v>　レベル　1</v>
      </c>
      <c r="L109" s="3401" t="s">
        <v>2848</v>
      </c>
      <c r="M109" s="3416"/>
      <c r="N109" s="3416"/>
      <c r="O109" s="3417"/>
    </row>
    <row r="110" spans="2:15" ht="15.75">
      <c r="D110" s="954"/>
      <c r="E110" s="955"/>
      <c r="F110" s="990" t="str">
        <f>IF(F101=$S$15,$T$11,IF(AND($O$3&lt;&gt;$U$3,ROUNDDOWN(F101,0)=$S$11),$U$11,$T$11))</f>
        <v>　レベル　2</v>
      </c>
      <c r="G110" s="3397" t="s">
        <v>2610</v>
      </c>
      <c r="H110" s="3414"/>
      <c r="I110" s="3414"/>
      <c r="J110" s="3415"/>
      <c r="K110" s="990" t="str">
        <f>IF(K101=$S$15,$T$11,IF(AND($O$3&lt;&gt;$U$3,ROUNDDOWN(K101,0)=$S$11),$U$11,$T$11))</f>
        <v>　レベル　2</v>
      </c>
      <c r="L110" s="3397" t="s">
        <v>2612</v>
      </c>
      <c r="M110" s="3414"/>
      <c r="N110" s="3414"/>
      <c r="O110" s="3415"/>
    </row>
    <row r="111" spans="2:15" ht="15.75">
      <c r="D111" s="954"/>
      <c r="E111" s="955"/>
      <c r="F111" s="990" t="str">
        <f>IF(F101=$S$15,$T$12,IF(AND($O$3&lt;&gt;$U$3,ROUNDDOWN(F101,0)=$S$12),$U$12,$T$12))</f>
        <v>■レベル　3</v>
      </c>
      <c r="G111" s="3397" t="s">
        <v>2849</v>
      </c>
      <c r="H111" s="3414"/>
      <c r="I111" s="3414"/>
      <c r="J111" s="3415"/>
      <c r="K111" s="990" t="str">
        <f>IF(K101=$S$15,$T$12,IF(AND($O$3&lt;&gt;$U$3,ROUNDDOWN(K101,0)=$S$12),$U$12,$T$12))</f>
        <v>■レベル　3</v>
      </c>
      <c r="L111" s="3397" t="s">
        <v>2850</v>
      </c>
      <c r="M111" s="3414"/>
      <c r="N111" s="3414"/>
      <c r="O111" s="3415"/>
    </row>
    <row r="112" spans="2:15" ht="15.75">
      <c r="D112" s="954"/>
      <c r="E112" s="955"/>
      <c r="F112" s="990" t="str">
        <f>IF(F101=$S$15,$T$13,IF(AND($O$3&lt;&gt;$U$3,ROUNDDOWN(F101,0)=$S$13),$U$13,$T$13))</f>
        <v>　レベル　4</v>
      </c>
      <c r="G112" s="3397" t="s">
        <v>2611</v>
      </c>
      <c r="H112" s="3414"/>
      <c r="I112" s="3414"/>
      <c r="J112" s="3415"/>
      <c r="K112" s="990" t="str">
        <f>IF(K101=$S$15,$T$13,IF(AND($O$3&lt;&gt;$U$3,ROUNDDOWN(K101,0)=$S$13),$U$13,$T$13))</f>
        <v>　レベル　4</v>
      </c>
      <c r="L112" s="3397" t="s">
        <v>2613</v>
      </c>
      <c r="M112" s="3414"/>
      <c r="N112" s="3414"/>
      <c r="O112" s="3415"/>
    </row>
    <row r="113" spans="2:15" ht="24" customHeight="1">
      <c r="D113" s="954"/>
      <c r="E113" s="955"/>
      <c r="F113" s="1001" t="str">
        <f>IF(F101=$S$15,$T$14,IF(AND($O$3&lt;&gt;$U$3,ROUNDDOWN(F101,0)=$S$14),$U$14,$T$14))</f>
        <v>　レベル　5</v>
      </c>
      <c r="G113" s="3394" t="s">
        <v>2851</v>
      </c>
      <c r="H113" s="3395"/>
      <c r="I113" s="3395"/>
      <c r="J113" s="3396"/>
      <c r="K113" s="1001" t="str">
        <f>IF(K101=$S$15,$T$14,IF(AND($O$3&lt;&gt;$U$3,ROUNDDOWN(K101,0)=$S$14),$U$14,$T$14))</f>
        <v>　レベル　5</v>
      </c>
      <c r="L113" s="3394" t="s">
        <v>2852</v>
      </c>
      <c r="M113" s="3395"/>
      <c r="N113" s="3395"/>
      <c r="O113" s="3396"/>
    </row>
    <row r="114" spans="2:15" ht="15.75">
      <c r="D114" s="954"/>
      <c r="E114" s="955"/>
      <c r="F114" s="955"/>
      <c r="G114" s="1044"/>
      <c r="H114" s="1044"/>
      <c r="I114" s="1044"/>
      <c r="J114" s="1044"/>
      <c r="K114" s="1044"/>
      <c r="L114" s="1099"/>
      <c r="M114" s="1099"/>
      <c r="N114" s="1099"/>
      <c r="O114" s="1099"/>
    </row>
    <row r="115" spans="2:15" ht="15.75">
      <c r="D115" s="2453"/>
      <c r="E115" s="959"/>
      <c r="F115" s="965" t="s">
        <v>1850</v>
      </c>
      <c r="G115" s="1045"/>
      <c r="H115" s="1094"/>
      <c r="I115" s="1074"/>
      <c r="J115" s="1048" t="e">
        <f>IF(OR(F117=0,AND(J116=0,O116=0)),$R$3,"")</f>
        <v>#DIV/0!</v>
      </c>
      <c r="K115" s="1044"/>
      <c r="L115" s="1045"/>
      <c r="M115" s="1094"/>
      <c r="N115" s="1074"/>
      <c r="O115" s="1074"/>
    </row>
    <row r="116" spans="2:15" ht="16.5" thickBot="1">
      <c r="D116" s="954"/>
      <c r="E116" s="955"/>
      <c r="F116" s="971" t="s">
        <v>1500</v>
      </c>
      <c r="G116" s="972"/>
      <c r="H116" s="973"/>
      <c r="I116" s="974" t="s">
        <v>1125</v>
      </c>
      <c r="J116" s="977" t="e">
        <f>重み!M18</f>
        <v>#DIV/0!</v>
      </c>
      <c r="K116" s="971" t="s">
        <v>1608</v>
      </c>
      <c r="L116" s="972"/>
      <c r="M116" s="973"/>
      <c r="N116" s="974" t="s">
        <v>1125</v>
      </c>
      <c r="O116" s="977" t="e">
        <f>重み!N18</f>
        <v>#DIV/0!</v>
      </c>
    </row>
    <row r="117" spans="2:15" ht="16.5" thickBot="1">
      <c r="D117" s="954"/>
      <c r="E117" s="955"/>
      <c r="F117" s="978">
        <v>3</v>
      </c>
      <c r="G117" s="1095" t="s">
        <v>1635</v>
      </c>
      <c r="H117" s="983"/>
      <c r="I117" s="983"/>
      <c r="J117" s="984"/>
      <c r="K117" s="978">
        <v>3</v>
      </c>
      <c r="L117" s="1095" t="s">
        <v>246</v>
      </c>
      <c r="M117" s="983"/>
      <c r="N117" s="983"/>
      <c r="O117" s="984"/>
    </row>
    <row r="118" spans="2:15" ht="15.75" hidden="1">
      <c r="B118" s="1">
        <v>1</v>
      </c>
      <c r="C118" s="1">
        <v>1</v>
      </c>
      <c r="D118" s="954"/>
      <c r="E118" s="955"/>
      <c r="F118" s="1096"/>
      <c r="G118" s="1095" t="s">
        <v>1045</v>
      </c>
      <c r="H118" s="983"/>
      <c r="I118" s="983"/>
      <c r="J118" s="984"/>
      <c r="K118" s="1096"/>
      <c r="L118" s="1095" t="s">
        <v>1045</v>
      </c>
      <c r="M118" s="983"/>
      <c r="N118" s="983"/>
      <c r="O118" s="984"/>
    </row>
    <row r="119" spans="2:15" ht="15.75" hidden="1">
      <c r="B119" s="1">
        <v>2</v>
      </c>
      <c r="C119" s="1">
        <v>2</v>
      </c>
      <c r="D119" s="954"/>
      <c r="E119" s="955"/>
      <c r="F119" s="990" t="str">
        <f>IF(F117=$S$15,$T$10,IF(AND($O$3=$U$3,ROUNDDOWN(F117,0)=$S$10),$U$10,$T$10))</f>
        <v>　レベル　1</v>
      </c>
      <c r="G119" s="987" t="s">
        <v>1851</v>
      </c>
      <c r="H119" s="988"/>
      <c r="I119" s="988"/>
      <c r="J119" s="989"/>
      <c r="K119" s="990" t="str">
        <f>IF(K117=$S$15,$T$10,IF(AND($O$3=$U$3,ROUNDDOWN(K117,0)=$S$10),$U$10,$T$10))</f>
        <v>　レベル　1</v>
      </c>
      <c r="L119" s="987" t="s">
        <v>1852</v>
      </c>
      <c r="M119" s="988"/>
      <c r="N119" s="988"/>
      <c r="O119" s="989"/>
    </row>
    <row r="120" spans="2:15" ht="15.75" hidden="1">
      <c r="B120" s="1">
        <v>3</v>
      </c>
      <c r="C120" s="1">
        <v>3</v>
      </c>
      <c r="D120" s="954"/>
      <c r="E120" s="955"/>
      <c r="F120" s="990" t="str">
        <f>IF(F117=$S$15,$T$11,IF(AND($O$3=$U$3,ROUNDDOWN(F117,0)=$S$11),$U$11,$T$11))</f>
        <v>　レベル　2</v>
      </c>
      <c r="G120" s="994"/>
      <c r="H120" s="995"/>
      <c r="I120" s="995"/>
      <c r="J120" s="996"/>
      <c r="K120" s="990" t="str">
        <f>IF(K117=$S$15,$T$11,IF(AND($O$3=$U$3,ROUNDDOWN(K117,0)=$S$11),$U$11,$T$11))</f>
        <v>　レベル　2</v>
      </c>
      <c r="L120" s="994"/>
      <c r="M120" s="995"/>
      <c r="N120" s="995"/>
      <c r="O120" s="996"/>
    </row>
    <row r="121" spans="2:15" ht="15.75" hidden="1">
      <c r="B121" s="1">
        <v>4</v>
      </c>
      <c r="C121" s="1">
        <v>4</v>
      </c>
      <c r="D121" s="954"/>
      <c r="E121" s="955"/>
      <c r="F121" s="990" t="str">
        <f>IF(F117=$S$15,$T$12,IF(AND($O$3=$U$3,ROUNDDOWN(F117,0)=$S$12),$U$12,$T$12))</f>
        <v>　レベル　3</v>
      </c>
      <c r="G121" s="994" t="s">
        <v>1853</v>
      </c>
      <c r="H121" s="995"/>
      <c r="I121" s="995"/>
      <c r="J121" s="996"/>
      <c r="K121" s="990" t="str">
        <f>IF(K117=$S$15,$T$12,IF(AND($O$3=$U$3,ROUNDDOWN(K117,0)=$S$12),$U$12,$T$12))</f>
        <v>　レベル　3</v>
      </c>
      <c r="L121" s="994" t="s">
        <v>1854</v>
      </c>
      <c r="M121" s="995"/>
      <c r="N121" s="995"/>
      <c r="O121" s="996"/>
    </row>
    <row r="122" spans="2:15" ht="15.75" hidden="1">
      <c r="B122" s="1">
        <v>5</v>
      </c>
      <c r="C122" s="1">
        <v>5</v>
      </c>
      <c r="D122" s="954"/>
      <c r="E122" s="955"/>
      <c r="F122" s="990" t="str">
        <f>IF(F117=$S$15,$T$13,IF(AND($O$3=$U$3,ROUNDDOWN(F117,0)=$S$13),$U$13,$T$13))</f>
        <v>　レベル　4</v>
      </c>
      <c r="G122" s="994"/>
      <c r="H122" s="995"/>
      <c r="I122" s="995"/>
      <c r="J122" s="996"/>
      <c r="K122" s="990" t="str">
        <f>IF(K117=$S$15,$T$13,IF(AND($O$3=$U$3,ROUNDDOWN(K117,0)=$S$13),$U$13,$T$13))</f>
        <v>　レベル　4</v>
      </c>
      <c r="L122" s="994"/>
      <c r="M122" s="995"/>
      <c r="N122" s="995"/>
      <c r="O122" s="996"/>
    </row>
    <row r="123" spans="2:15" ht="15.75" hidden="1">
      <c r="B123" s="1008">
        <v>0</v>
      </c>
      <c r="C123" s="1008">
        <v>0</v>
      </c>
      <c r="D123" s="954"/>
      <c r="E123" s="955"/>
      <c r="F123" s="1001" t="str">
        <f>IF(F117=$S$15,$T$14,IF(AND($O$3=$U$3,ROUNDDOWN(F117,0)=$S$14),$U$14,$T$14))</f>
        <v>　レベル　5</v>
      </c>
      <c r="G123" s="1005" t="s">
        <v>1855</v>
      </c>
      <c r="H123" s="1006"/>
      <c r="I123" s="1006"/>
      <c r="J123" s="1007"/>
      <c r="K123" s="1001" t="str">
        <f>IF(K117=$S$15,$T$14,IF(AND($O$3=$U$3,ROUNDDOWN(K117,0)=$S$14),$U$14,$T$14))</f>
        <v>　レベル　5</v>
      </c>
      <c r="L123" s="1005" t="s">
        <v>1856</v>
      </c>
      <c r="M123" s="1006"/>
      <c r="N123" s="1006"/>
      <c r="O123" s="1007"/>
    </row>
    <row r="124" spans="2:15" ht="15.75" hidden="1">
      <c r="D124" s="954"/>
      <c r="E124" s="955"/>
      <c r="F124" s="1097"/>
      <c r="G124" s="1095" t="s">
        <v>1044</v>
      </c>
      <c r="H124" s="983"/>
      <c r="I124" s="983"/>
      <c r="J124" s="984"/>
      <c r="K124" s="1097"/>
      <c r="L124" s="1095" t="s">
        <v>1044</v>
      </c>
      <c r="M124" s="983"/>
      <c r="N124" s="983"/>
      <c r="O124" s="984"/>
    </row>
    <row r="125" spans="2:15" ht="15.75">
      <c r="D125" s="954"/>
      <c r="E125" s="955"/>
      <c r="F125" s="1098" t="str">
        <f>IF(F117=$S$15,$T$10,IF(AND($O$3&lt;&gt;$U$3,ROUNDDOWN(F117,0)=$S$10),$U$10,$T$10))</f>
        <v>　レベル　1</v>
      </c>
      <c r="G125" s="2645" t="s">
        <v>2614</v>
      </c>
      <c r="H125" s="988"/>
      <c r="I125" s="988"/>
      <c r="J125" s="989"/>
      <c r="K125" s="1098" t="str">
        <f>IF(K117=$S$15,$T$10,IF(AND($O$3&lt;&gt;$U$3,ROUNDDOWN(K117,0)=$S$10),$U$10,$T$10))</f>
        <v>　レベル　1</v>
      </c>
      <c r="L125" s="2645" t="s">
        <v>2619</v>
      </c>
      <c r="M125" s="988"/>
      <c r="N125" s="988"/>
      <c r="O125" s="989"/>
    </row>
    <row r="126" spans="2:15" ht="15.75">
      <c r="D126" s="954"/>
      <c r="E126" s="955"/>
      <c r="F126" s="990" t="str">
        <f>IF(F117=$S$15,$T$11,IF(AND($O$3&lt;&gt;$U$3,ROUNDDOWN(F117,0)=$S$11),$U$11,$T$11))</f>
        <v>　レベル　2</v>
      </c>
      <c r="G126" s="2649" t="s">
        <v>2615</v>
      </c>
      <c r="H126" s="995"/>
      <c r="I126" s="995"/>
      <c r="J126" s="996"/>
      <c r="K126" s="990" t="str">
        <f>IF(K117=$S$15,$T$11,IF(AND($O$3&lt;&gt;$U$3,ROUNDDOWN(K117,0)=$S$11),$U$11,$T$11))</f>
        <v>　レベル　2</v>
      </c>
      <c r="L126" s="2649" t="s">
        <v>2620</v>
      </c>
      <c r="M126" s="995"/>
      <c r="N126" s="995"/>
      <c r="O126" s="996"/>
    </row>
    <row r="127" spans="2:15" ht="15.75">
      <c r="D127" s="954"/>
      <c r="E127" s="955"/>
      <c r="F127" s="990" t="str">
        <f>IF(F117=$S$15,$T$12,IF(AND($O$3&lt;&gt;$U$3,ROUNDDOWN(F117,0)=$S$12),$U$12,$T$12))</f>
        <v>■レベル　3</v>
      </c>
      <c r="G127" s="2649" t="s">
        <v>2616</v>
      </c>
      <c r="H127" s="995"/>
      <c r="I127" s="995"/>
      <c r="J127" s="996"/>
      <c r="K127" s="990" t="str">
        <f>IF(K117=$S$15,$T$12,IF(AND($O$3&lt;&gt;$U$3,ROUNDDOWN(K117,0)=$S$12),$U$12,$T$12))</f>
        <v>■レベル　3</v>
      </c>
      <c r="L127" s="2649" t="s">
        <v>2621</v>
      </c>
      <c r="M127" s="995"/>
      <c r="N127" s="995"/>
      <c r="O127" s="996"/>
    </row>
    <row r="128" spans="2:15" ht="15.75">
      <c r="D128" s="954"/>
      <c r="E128" s="955"/>
      <c r="F128" s="990" t="str">
        <f>IF(F117=$S$15,$T$13,IF(AND($O$3&lt;&gt;$U$3,ROUNDDOWN(F117,0)=$S$13),$U$13,$T$13))</f>
        <v>　レベル　4</v>
      </c>
      <c r="G128" s="2649" t="s">
        <v>2617</v>
      </c>
      <c r="H128" s="995"/>
      <c r="I128" s="995"/>
      <c r="J128" s="996"/>
      <c r="K128" s="990" t="str">
        <f>IF(K117=$S$15,$T$13,IF(AND($O$3&lt;&gt;$U$3,ROUNDDOWN(K117,0)=$S$13),$U$13,$T$13))</f>
        <v>　レベル　4</v>
      </c>
      <c r="L128" s="2649" t="s">
        <v>2622</v>
      </c>
      <c r="M128" s="995"/>
      <c r="N128" s="995"/>
      <c r="O128" s="996"/>
    </row>
    <row r="129" spans="2:15" ht="27.75" customHeight="1">
      <c r="D129" s="954"/>
      <c r="E129" s="955"/>
      <c r="F129" s="1001" t="str">
        <f>IF(F117=$S$15,$T$14,IF(AND($O$3&lt;&gt;$U$3,ROUNDDOWN(F117,0)=$S$14),$U$14,$T$14))</f>
        <v>　レベル　5</v>
      </c>
      <c r="G129" s="2642" t="s">
        <v>2618</v>
      </c>
      <c r="H129" s="1006"/>
      <c r="I129" s="1006"/>
      <c r="J129" s="1007"/>
      <c r="K129" s="1001" t="str">
        <f>IF(K117=$S$15,$T$14,IF(AND($O$3&lt;&gt;$U$3,ROUNDDOWN(K117,0)=$S$14),$U$14,$T$14))</f>
        <v>　レベル　5</v>
      </c>
      <c r="L129" s="3394" t="s">
        <v>2623</v>
      </c>
      <c r="M129" s="3395"/>
      <c r="N129" s="3395"/>
      <c r="O129" s="3396"/>
    </row>
    <row r="130" spans="2:15" ht="15.75">
      <c r="D130" s="954"/>
      <c r="E130" s="955"/>
      <c r="F130" s="955"/>
      <c r="G130" s="1109"/>
      <c r="H130" s="1044"/>
      <c r="I130" s="1044"/>
      <c r="J130" s="1044"/>
      <c r="K130" s="1044"/>
      <c r="L130" s="1099"/>
      <c r="M130" s="1099"/>
      <c r="N130" s="1099"/>
      <c r="O130" s="1099"/>
    </row>
    <row r="131" spans="2:15" ht="15.75">
      <c r="D131" s="1386">
        <v>1.3</v>
      </c>
      <c r="E131" s="961" t="s">
        <v>1636</v>
      </c>
      <c r="F131" s="965"/>
      <c r="G131" s="1045"/>
      <c r="H131" s="1094"/>
      <c r="I131" s="1074"/>
      <c r="J131" s="1048" t="e">
        <f>IF(OR(F133=0,AND(J132=0,O132=0)),$R$3,"")</f>
        <v>#DIV/0!</v>
      </c>
      <c r="K131" s="1044"/>
      <c r="L131" s="1045"/>
      <c r="M131" s="1094"/>
      <c r="N131" s="1074"/>
      <c r="O131" s="1074"/>
    </row>
    <row r="132" spans="2:15" ht="16.5" thickBot="1">
      <c r="D132" s="954"/>
      <c r="E132" s="952"/>
      <c r="F132" s="971" t="s">
        <v>1607</v>
      </c>
      <c r="G132" s="972"/>
      <c r="H132" s="973"/>
      <c r="I132" s="974" t="s">
        <v>1125</v>
      </c>
      <c r="J132" s="977" t="e">
        <f>重み!M19</f>
        <v>#DIV/0!</v>
      </c>
      <c r="K132" s="971" t="s">
        <v>1608</v>
      </c>
      <c r="L132" s="972"/>
      <c r="M132" s="973"/>
      <c r="N132" s="974" t="s">
        <v>1125</v>
      </c>
      <c r="O132" s="977" t="e">
        <f>重み!N19</f>
        <v>#DIV/0!</v>
      </c>
    </row>
    <row r="133" spans="2:15" ht="16.5" thickBot="1">
      <c r="D133" s="954"/>
      <c r="E133" s="952"/>
      <c r="F133" s="978">
        <v>3</v>
      </c>
      <c r="G133" s="982" t="s">
        <v>1638</v>
      </c>
      <c r="H133" s="983"/>
      <c r="I133" s="983"/>
      <c r="J133" s="984"/>
      <c r="K133" s="978">
        <v>3</v>
      </c>
      <c r="L133" s="982" t="s">
        <v>1857</v>
      </c>
      <c r="M133" s="983"/>
      <c r="N133" s="983"/>
      <c r="O133" s="984"/>
    </row>
    <row r="134" spans="2:15" ht="15.75">
      <c r="B134" s="1">
        <v>1</v>
      </c>
      <c r="C134" s="1">
        <v>1</v>
      </c>
      <c r="D134" s="954"/>
      <c r="E134" s="952"/>
      <c r="F134" s="985" t="str">
        <f>IF(F133=$S$15,$T$10,IF(ROUNDDOWN(F133,0)=$S$10,$U$10,$T$10))</f>
        <v>　レベル　1</v>
      </c>
      <c r="G134" s="987" t="s">
        <v>1639</v>
      </c>
      <c r="H134" s="988"/>
      <c r="I134" s="988"/>
      <c r="J134" s="989"/>
      <c r="K134" s="985" t="str">
        <f>IF(K133=$S$15,$T$10,IF(ROUNDDOWN(K133,0)=$S$10,$U$10,$T$10))</f>
        <v>　レベル　1</v>
      </c>
      <c r="L134" s="987" t="s">
        <v>1639</v>
      </c>
      <c r="M134" s="988"/>
      <c r="N134" s="988"/>
      <c r="O134" s="989"/>
    </row>
    <row r="135" spans="2:15" ht="15.75">
      <c r="B135" s="1" t="s">
        <v>1794</v>
      </c>
      <c r="C135" s="1" t="s">
        <v>1794</v>
      </c>
      <c r="D135" s="954"/>
      <c r="E135" s="952"/>
      <c r="F135" s="990" t="str">
        <f>IF(F133=$S$15,$T$11,IF(ROUNDDOWN(F133,0)=$S$11,$U$11,$T$11))</f>
        <v>　レベル　2</v>
      </c>
      <c r="G135" s="994" t="s">
        <v>266</v>
      </c>
      <c r="H135" s="995"/>
      <c r="I135" s="995"/>
      <c r="J135" s="996"/>
      <c r="K135" s="990" t="str">
        <f>IF(K133=$S$15,$T$11,IF(ROUNDDOWN(K133,0)=$S$11,$U$11,$T$11))</f>
        <v>　レベル　2</v>
      </c>
      <c r="L135" s="994" t="s">
        <v>266</v>
      </c>
      <c r="M135" s="995"/>
      <c r="N135" s="995"/>
      <c r="O135" s="996"/>
    </row>
    <row r="136" spans="2:15" ht="15.75">
      <c r="B136" s="1">
        <v>3</v>
      </c>
      <c r="C136" s="1">
        <v>3</v>
      </c>
      <c r="D136" s="954"/>
      <c r="E136" s="952"/>
      <c r="F136" s="990" t="str">
        <f>IF(F133=$S$15,$T$12,IF(ROUNDDOWN(F133,0)=$S$12,$U$12,$T$12))</f>
        <v>■レベル　3</v>
      </c>
      <c r="G136" s="994" t="s">
        <v>2853</v>
      </c>
      <c r="H136" s="995"/>
      <c r="I136" s="995"/>
      <c r="J136" s="996"/>
      <c r="K136" s="990" t="str">
        <f>IF(K133=$S$15,$T$12,IF(ROUNDDOWN(K133,0)=$S$12,$U$12,$T$12))</f>
        <v>■レベル　3</v>
      </c>
      <c r="L136" s="994" t="s">
        <v>2853</v>
      </c>
      <c r="M136" s="995"/>
      <c r="N136" s="995"/>
      <c r="O136" s="996"/>
    </row>
    <row r="137" spans="2:15" ht="15.75">
      <c r="B137" s="1">
        <v>4</v>
      </c>
      <c r="C137" s="1">
        <v>4</v>
      </c>
      <c r="D137" s="954"/>
      <c r="E137" s="952"/>
      <c r="F137" s="990" t="str">
        <f>IF(F133=$S$15,$T$13,IF(ROUNDDOWN(F133,0)=$S$13,$U$13,$T$13))</f>
        <v>　レベル　4</v>
      </c>
      <c r="G137" s="994" t="s">
        <v>2854</v>
      </c>
      <c r="H137" s="995"/>
      <c r="I137" s="995"/>
      <c r="J137" s="996"/>
      <c r="K137" s="990" t="str">
        <f>IF(K133=$S$15,$T$13,IF(ROUNDDOWN(K133,0)=$S$13,$U$13,$T$13))</f>
        <v>　レベル　4</v>
      </c>
      <c r="L137" s="994" t="s">
        <v>2854</v>
      </c>
      <c r="M137" s="995"/>
      <c r="N137" s="995"/>
      <c r="O137" s="996"/>
    </row>
    <row r="138" spans="2:15" ht="15.75">
      <c r="B138" s="1">
        <v>5</v>
      </c>
      <c r="C138" s="1">
        <v>5</v>
      </c>
      <c r="D138" s="954"/>
      <c r="E138" s="952"/>
      <c r="F138" s="1001" t="str">
        <f>IF(F133=$S$15,$T$14,IF(ROUNDDOWN(F133,0)=$S$14,$U$14,$T$14))</f>
        <v>　レベル　5</v>
      </c>
      <c r="G138" s="1005" t="s">
        <v>2855</v>
      </c>
      <c r="H138" s="1006"/>
      <c r="I138" s="1006"/>
      <c r="J138" s="1007"/>
      <c r="K138" s="1001" t="str">
        <f>IF(K133=$S$15,$T$14,IF(ROUNDDOWN(K133,0)=$S$14,$U$14,$T$14))</f>
        <v>　レベル　5</v>
      </c>
      <c r="L138" s="1005" t="s">
        <v>2855</v>
      </c>
      <c r="M138" s="1006"/>
      <c r="N138" s="1006"/>
      <c r="O138" s="1007"/>
    </row>
    <row r="139" spans="2:15" ht="15.75">
      <c r="B139" s="1008">
        <v>0</v>
      </c>
      <c r="C139" s="1008">
        <v>0</v>
      </c>
      <c r="D139" s="954"/>
      <c r="E139" s="955"/>
      <c r="F139" s="1110"/>
      <c r="G139" s="1111"/>
      <c r="H139" s="1111"/>
      <c r="I139" s="1111"/>
      <c r="J139" s="1111"/>
      <c r="K139" s="1111"/>
      <c r="L139" s="1044"/>
      <c r="M139" s="1044"/>
      <c r="N139" s="1044"/>
      <c r="O139" s="1112"/>
    </row>
    <row r="140" spans="2:15" ht="15.75">
      <c r="D140" s="1386">
        <v>2</v>
      </c>
      <c r="E140" s="1091" t="s">
        <v>1640</v>
      </c>
      <c r="F140" s="962"/>
      <c r="G140" s="1093"/>
      <c r="H140" s="1093"/>
      <c r="I140" s="1093"/>
      <c r="J140" s="1093"/>
      <c r="K140" s="1093"/>
      <c r="L140" s="1093"/>
      <c r="M140" s="1093"/>
      <c r="N140" s="1093"/>
      <c r="O140" s="1093"/>
    </row>
    <row r="141" spans="2:15" ht="15.75">
      <c r="D141" s="1386">
        <v>2.1</v>
      </c>
      <c r="E141" s="1091" t="s">
        <v>1641</v>
      </c>
      <c r="F141" s="962"/>
      <c r="G141" s="1092"/>
      <c r="H141" s="1092"/>
      <c r="I141" s="1093"/>
      <c r="J141" s="1093"/>
      <c r="K141" s="1093"/>
      <c r="L141" s="1093"/>
      <c r="M141" s="1092"/>
      <c r="N141" s="1093"/>
      <c r="O141" s="1093"/>
    </row>
    <row r="142" spans="2:15" ht="15.75">
      <c r="D142" s="954"/>
      <c r="E142" s="959"/>
      <c r="F142" s="1113" t="s">
        <v>737</v>
      </c>
      <c r="G142" s="1045"/>
      <c r="H142" s="1045"/>
      <c r="I142" s="1094"/>
      <c r="J142" s="1048" t="e">
        <f>IF(OR(F144=0,AND(J143=0,O143=0)),$R$3,"")</f>
        <v>#DIV/0!</v>
      </c>
      <c r="K142" s="1074"/>
      <c r="L142" s="1074"/>
      <c r="M142" s="1044"/>
      <c r="N142" s="1074"/>
      <c r="O142" s="1074"/>
    </row>
    <row r="143" spans="2:15" ht="16.5" thickBot="1">
      <c r="D143" s="954"/>
      <c r="E143" s="959"/>
      <c r="F143" s="1114" t="s">
        <v>1858</v>
      </c>
      <c r="G143" s="1115"/>
      <c r="H143" s="1116"/>
      <c r="I143" s="974" t="s">
        <v>1125</v>
      </c>
      <c r="J143" s="972" t="e">
        <f>重み!M22</f>
        <v>#DIV/0!</v>
      </c>
      <c r="K143" s="1115"/>
      <c r="L143" s="1117"/>
      <c r="M143" s="1118" t="s">
        <v>1642</v>
      </c>
      <c r="N143" s="974" t="s">
        <v>1125</v>
      </c>
      <c r="O143" s="976" t="e">
        <f>重み!N22</f>
        <v>#DIV/0!</v>
      </c>
    </row>
    <row r="144" spans="2:15" ht="16.5" thickBot="1">
      <c r="D144" s="954"/>
      <c r="E144" s="959"/>
      <c r="F144" s="978">
        <v>3</v>
      </c>
      <c r="G144" s="1100" t="s">
        <v>1859</v>
      </c>
      <c r="H144" s="1100" t="s">
        <v>1643</v>
      </c>
      <c r="I144" s="1100" t="s">
        <v>1644</v>
      </c>
      <c r="J144" s="1119" t="s">
        <v>1860</v>
      </c>
      <c r="K144" s="1119" t="s">
        <v>1645</v>
      </c>
      <c r="L144" s="1120" t="s">
        <v>1861</v>
      </c>
      <c r="M144" s="2145">
        <v>0</v>
      </c>
      <c r="N144" s="1095" t="s">
        <v>2231</v>
      </c>
      <c r="O144" s="1121" t="s">
        <v>1862</v>
      </c>
    </row>
    <row r="145" spans="2:15" ht="15.75" hidden="1">
      <c r="B145" s="1">
        <v>1</v>
      </c>
      <c r="C145" s="1">
        <v>1</v>
      </c>
      <c r="D145" s="954"/>
      <c r="E145" s="959"/>
      <c r="F145" s="1096"/>
      <c r="G145" s="1095" t="s">
        <v>1045</v>
      </c>
      <c r="H145" s="983"/>
      <c r="I145" s="983"/>
      <c r="J145" s="983"/>
      <c r="K145" s="983"/>
      <c r="L145" s="983"/>
      <c r="M145" s="1096"/>
      <c r="N145" s="983" t="s">
        <v>1045</v>
      </c>
      <c r="O145" s="1122"/>
    </row>
    <row r="146" spans="2:15" ht="45" hidden="1" customHeight="1">
      <c r="B146" s="1">
        <v>2</v>
      </c>
      <c r="C146" s="1">
        <v>2</v>
      </c>
      <c r="D146" s="954"/>
      <c r="E146" s="959"/>
      <c r="F146" s="990" t="str">
        <f>IF(F144=$S$15,$T$10,IF(AND($O$3=$U$3,ROUNDDOWN(F144,0)=$S$10),$U$10,$T$10))</f>
        <v>　レベル　1</v>
      </c>
      <c r="G146" s="1123" t="s">
        <v>1646</v>
      </c>
      <c r="H146" s="986" t="s">
        <v>2856</v>
      </c>
      <c r="I146" s="986" t="s">
        <v>2857</v>
      </c>
      <c r="J146" s="986" t="s">
        <v>2858</v>
      </c>
      <c r="K146" s="994" t="s">
        <v>1795</v>
      </c>
      <c r="L146" s="986" t="s">
        <v>2859</v>
      </c>
      <c r="M146" s="990" t="str">
        <f>IF(M144=$S$15,$T$10,IF(AND($O$3=$U$3,ROUNDDOWN(M144,0)=$S$10),$U$10,$T$10))</f>
        <v>　レベル　1</v>
      </c>
      <c r="N146" s="1052" t="s">
        <v>2856</v>
      </c>
      <c r="O146" s="1124" t="s">
        <v>2860</v>
      </c>
    </row>
    <row r="147" spans="2:15" ht="33.75" hidden="1" customHeight="1">
      <c r="B147" s="1">
        <v>3</v>
      </c>
      <c r="C147" s="1">
        <v>3</v>
      </c>
      <c r="D147" s="954"/>
      <c r="E147" s="959"/>
      <c r="F147" s="990" t="str">
        <f>IF(F144=$S$15,$T$11,IF(AND($O$3=$U$3,ROUNDDOWN(F144,0)=$S$11),$U$11,$T$11))</f>
        <v>　レベル　2</v>
      </c>
      <c r="G147" s="998" t="s">
        <v>2856</v>
      </c>
      <c r="H147" s="998"/>
      <c r="I147" s="998"/>
      <c r="J147" s="998"/>
      <c r="K147" s="994" t="s">
        <v>1795</v>
      </c>
      <c r="L147" s="998"/>
      <c r="M147" s="990" t="str">
        <f>IF(M144=$S$15,$T$11,IF(AND($O$3=$U$3,ROUNDDOWN(M144,0)=$S$11),$U$11,$T$11))</f>
        <v>　レベル　2</v>
      </c>
      <c r="N147" s="1125"/>
      <c r="O147" s="1126"/>
    </row>
    <row r="148" spans="2:15" ht="45" hidden="1" customHeight="1">
      <c r="B148" s="1">
        <v>4</v>
      </c>
      <c r="C148" s="1">
        <v>4</v>
      </c>
      <c r="D148" s="954"/>
      <c r="E148" s="959"/>
      <c r="F148" s="990" t="str">
        <f>IF(F144=$S$15,$T$12,IF(AND($O$3=$U$3,ROUNDDOWN(F144,0)=$S$12),$U$12,$T$12))</f>
        <v>　レベル　3</v>
      </c>
      <c r="G148" s="993" t="s">
        <v>2861</v>
      </c>
      <c r="H148" s="993" t="s">
        <v>2861</v>
      </c>
      <c r="I148" s="993" t="s">
        <v>2862</v>
      </c>
      <c r="J148" s="997" t="s">
        <v>2863</v>
      </c>
      <c r="K148" s="997" t="s">
        <v>2864</v>
      </c>
      <c r="L148" s="993" t="s">
        <v>2865</v>
      </c>
      <c r="M148" s="990" t="str">
        <f>IF(M144=$S$15,$T$12,IF(AND($O$3=$U$3,ROUNDDOWN(M144,0)=$S$12),$U$12,$T$12))</f>
        <v>　レベル　3</v>
      </c>
      <c r="N148" s="998" t="s">
        <v>2861</v>
      </c>
      <c r="O148" s="999" t="s">
        <v>2866</v>
      </c>
    </row>
    <row r="149" spans="2:15" ht="33.75" hidden="1" customHeight="1">
      <c r="B149" s="1">
        <v>5</v>
      </c>
      <c r="C149" s="1">
        <v>5</v>
      </c>
      <c r="D149" s="954"/>
      <c r="E149" s="959"/>
      <c r="F149" s="990" t="str">
        <f>IF(F144=$S$15,$T$13,IF(AND($O$3=$U$3,ROUNDDOWN(F144,0)=$S$13),$U$13,$T$13))</f>
        <v>　レベル　4</v>
      </c>
      <c r="G149" s="998"/>
      <c r="H149" s="998"/>
      <c r="I149" s="998"/>
      <c r="J149" s="999"/>
      <c r="K149" s="999" t="s">
        <v>2867</v>
      </c>
      <c r="L149" s="998"/>
      <c r="M149" s="990" t="str">
        <f>IF(M144=$S$15,$T$13,IF(AND($O$3=$U$3,ROUNDDOWN(M144,0)=$S$13),$U$13,$T$13))</f>
        <v>　レベル　4</v>
      </c>
      <c r="N149" s="998"/>
      <c r="O149" s="999"/>
    </row>
    <row r="150" spans="2:15" ht="67.5" hidden="1" customHeight="1">
      <c r="B150" s="1008">
        <v>0</v>
      </c>
      <c r="C150" s="1008">
        <v>0</v>
      </c>
      <c r="D150" s="954"/>
      <c r="E150" s="959"/>
      <c r="F150" s="1001" t="str">
        <f>IF(F144=$S$15,$T$14,IF(AND($O$3=$U$3,ROUNDDOWN(F144,0)=$S$14),$U$14,$T$14))</f>
        <v>　レベル　5</v>
      </c>
      <c r="G150" s="3424" t="s">
        <v>2868</v>
      </c>
      <c r="H150" s="3478"/>
      <c r="I150" s="3478"/>
      <c r="J150" s="3479"/>
      <c r="K150" s="1003" t="s">
        <v>2869</v>
      </c>
      <c r="L150" s="1002" t="s">
        <v>2870</v>
      </c>
      <c r="M150" s="1001" t="str">
        <f>IF(M144=$S$15,$T$14,IF(AND($O$3=$U$3,ROUNDDOWN(M144,0)=$S$14),$U$14,$T$14))</f>
        <v>　レベル　5</v>
      </c>
      <c r="N150" s="1002" t="s">
        <v>2868</v>
      </c>
      <c r="O150" s="1003" t="s">
        <v>2871</v>
      </c>
    </row>
    <row r="151" spans="2:15" ht="15.75" hidden="1">
      <c r="D151" s="954"/>
      <c r="E151" s="959"/>
      <c r="F151" s="1097"/>
      <c r="G151" s="1095" t="s">
        <v>1044</v>
      </c>
      <c r="H151" s="983"/>
      <c r="I151" s="1116"/>
      <c r="J151" s="1116"/>
      <c r="K151" s="1116"/>
      <c r="L151" s="1116"/>
      <c r="M151" s="1097"/>
      <c r="N151" s="1095" t="s">
        <v>1044</v>
      </c>
      <c r="O151" s="1122"/>
    </row>
    <row r="152" spans="2:15" ht="138.75" customHeight="1">
      <c r="D152" s="954"/>
      <c r="E152" s="959"/>
      <c r="F152" s="1098" t="str">
        <f>IF(F144=$S$15,$T$10,IF(AND($O$3&lt;&gt;$U$3,ROUNDDOWN(F144,0)=$S$10),$U$10,$T$10))</f>
        <v>　レベル　1</v>
      </c>
      <c r="G152" s="2640" t="s">
        <v>2629</v>
      </c>
      <c r="H152" s="3401" t="s">
        <v>2624</v>
      </c>
      <c r="I152" s="3402"/>
      <c r="J152" s="2640" t="s">
        <v>2625</v>
      </c>
      <c r="K152" s="2670" t="s">
        <v>2626</v>
      </c>
      <c r="L152" s="2640" t="s">
        <v>2627</v>
      </c>
      <c r="M152" s="2664" t="str">
        <f>IF(M144=$S$15,$T$10,IF(AND($O$3&lt;&gt;$U$3,ROUNDDOWN(M144,0)=$S$10),$U$10,$T$10))</f>
        <v>　レベル　1</v>
      </c>
      <c r="N152" s="2665"/>
      <c r="O152" s="2666"/>
    </row>
    <row r="153" spans="2:15" ht="195" customHeight="1">
      <c r="D153" s="954"/>
      <c r="E153" s="959"/>
      <c r="F153" s="990" t="str">
        <f>IF(F144=$S$15,$T$11,IF(AND($O$3&lt;&gt;$U$3,ROUNDDOWN(F144,0)=$S$11),$U$11,$T$11))</f>
        <v>　レベル　2</v>
      </c>
      <c r="G153" s="2640" t="s">
        <v>2872</v>
      </c>
      <c r="H153" s="2640"/>
      <c r="I153" s="2640"/>
      <c r="J153" s="2640"/>
      <c r="K153" s="2637" t="s">
        <v>2628</v>
      </c>
      <c r="L153" s="2640"/>
      <c r="M153" s="1183" t="str">
        <f>IF(M144=$S$15,$T$11,IF(AND($O$3&lt;&gt;$U$3,ROUNDDOWN(M144,0)=$S$11),$U$11,$T$11))</f>
        <v>　レベル　2</v>
      </c>
      <c r="N153" s="2667"/>
      <c r="O153" s="2668"/>
    </row>
    <row r="154" spans="2:15" ht="189.75" customHeight="1">
      <c r="D154" s="954"/>
      <c r="E154" s="959"/>
      <c r="F154" s="990" t="str">
        <f>IF(F144=$S$15,$T$12,IF(AND($O$3&lt;&gt;$U$3,ROUNDDOWN(F144,0)=$S$12),$U$12,$T$12))</f>
        <v>■レベル　3</v>
      </c>
      <c r="G154" s="3397" t="s">
        <v>2873</v>
      </c>
      <c r="H154" s="3398"/>
      <c r="I154" s="3399"/>
      <c r="J154" s="2640" t="s">
        <v>2874</v>
      </c>
      <c r="K154" s="2640" t="s">
        <v>2875</v>
      </c>
      <c r="L154" s="2640" t="s">
        <v>2876</v>
      </c>
      <c r="M154" s="1183" t="str">
        <f>IF(M144=$S$15,$T$12,IF(AND($O$3&lt;&gt;$U$3,ROUNDDOWN(M144,0)=$S$12),$U$12,$T$12))</f>
        <v>　レベル　3</v>
      </c>
      <c r="N154" s="3405"/>
      <c r="O154" s="3406"/>
    </row>
    <row r="155" spans="2:15" ht="36" customHeight="1">
      <c r="D155" s="954"/>
      <c r="E155" s="959"/>
      <c r="F155" s="990" t="str">
        <f>IF(F144=$S$15,$T$13,IF(AND($O$3&lt;&gt;$U$3,ROUNDDOWN(F144,0)=$S$13),$U$13,$T$13))</f>
        <v>　レベル　4</v>
      </c>
      <c r="G155" s="2640"/>
      <c r="H155" s="2640"/>
      <c r="I155" s="2640"/>
      <c r="J155" s="999"/>
      <c r="K155" s="2637" t="s">
        <v>1795</v>
      </c>
      <c r="L155" s="2640"/>
      <c r="M155" s="1183" t="str">
        <f>IF(M144=$S$15,$T$13,IF(AND($O$3&lt;&gt;$U$3,ROUNDDOWN(M144,0)=$S$13),$U$13,$T$13))</f>
        <v>　レベル　4</v>
      </c>
      <c r="N155" s="2669"/>
      <c r="O155" s="2668"/>
    </row>
    <row r="156" spans="2:15" ht="120" customHeight="1">
      <c r="D156" s="954"/>
      <c r="E156" s="959"/>
      <c r="F156" s="1001" t="str">
        <f>IF(F144=$S$15,$T$14,IF(AND($O$3&lt;&gt;$U$3,ROUNDDOWN(F144,0)=$S$14),$U$14,$T$14))</f>
        <v>　レベル　5</v>
      </c>
      <c r="G156" s="3394" t="s">
        <v>2877</v>
      </c>
      <c r="H156" s="3400"/>
      <c r="I156" s="1003" t="s">
        <v>2878</v>
      </c>
      <c r="J156" s="1003" t="s">
        <v>2877</v>
      </c>
      <c r="K156" s="1003" t="s">
        <v>2879</v>
      </c>
      <c r="L156" s="1003" t="s">
        <v>2880</v>
      </c>
      <c r="M156" s="1184" t="str">
        <f>IF(M144=$S$15,$T$14,IF(AND($O$3&lt;&gt;$U$3,ROUNDDOWN(M144,0)=$S$14),$U$14,$T$14))</f>
        <v>　レベル　5</v>
      </c>
      <c r="N156" s="3435"/>
      <c r="O156" s="3461"/>
    </row>
    <row r="157" spans="2:15" ht="15.75" hidden="1">
      <c r="D157" s="954"/>
      <c r="E157" s="959"/>
      <c r="F157" s="959"/>
      <c r="G157" s="1099"/>
      <c r="H157" s="1099"/>
      <c r="I157" s="1099"/>
      <c r="J157" s="1099"/>
      <c r="K157" s="1099"/>
      <c r="L157" s="1099"/>
      <c r="M157" s="1099"/>
      <c r="N157" s="1099"/>
      <c r="O157" s="1099"/>
    </row>
    <row r="158" spans="2:15" ht="15.75" hidden="1">
      <c r="D158" s="954"/>
      <c r="E158" s="959"/>
      <c r="F158" s="2404" t="s">
        <v>2070</v>
      </c>
      <c r="G158" s="1045"/>
      <c r="H158" s="1094"/>
      <c r="I158" s="1074"/>
      <c r="J158" s="1048" t="e">
        <f>IF(OR(F160=0,J159=0),$R$3,"")</f>
        <v>#DIV/0!</v>
      </c>
      <c r="K158" s="1099"/>
      <c r="L158" s="1099"/>
      <c r="M158" s="1099"/>
      <c r="N158" s="1099"/>
      <c r="O158" s="1099"/>
    </row>
    <row r="159" spans="2:15" ht="15.75" hidden="1">
      <c r="D159" s="954"/>
      <c r="E159" s="959"/>
      <c r="F159" s="971" t="s">
        <v>1438</v>
      </c>
      <c r="G159" s="972"/>
      <c r="H159" s="973"/>
      <c r="I159" s="974" t="s">
        <v>1125</v>
      </c>
      <c r="J159" s="977" t="e">
        <f>重み!M23</f>
        <v>#DIV/0!</v>
      </c>
      <c r="K159" s="1099"/>
      <c r="L159" s="1099"/>
      <c r="M159" s="1099"/>
      <c r="N159" s="1099"/>
      <c r="O159" s="1099"/>
    </row>
    <row r="160" spans="2:15" ht="16.5" hidden="1" thickBot="1">
      <c r="D160" s="954"/>
      <c r="E160" s="959"/>
      <c r="F160" s="978">
        <v>0</v>
      </c>
      <c r="G160" s="982" t="s">
        <v>2071</v>
      </c>
      <c r="H160" s="983"/>
      <c r="I160" s="983"/>
      <c r="J160" s="984"/>
      <c r="K160" s="1099"/>
      <c r="L160" s="1099"/>
      <c r="M160" s="1099"/>
      <c r="N160" s="1099"/>
      <c r="O160" s="1099"/>
    </row>
    <row r="161" spans="2:15" ht="15.75" hidden="1">
      <c r="B161" s="1">
        <v>1</v>
      </c>
      <c r="C161" s="1">
        <v>1</v>
      </c>
      <c r="D161" s="954"/>
      <c r="E161" s="959"/>
      <c r="F161" s="985" t="str">
        <f>IF(F160=$S$15,$T$10,IF(ROUNDDOWN(F160,0)=$S$10,$U$10,$T$10))</f>
        <v>　レベル　1</v>
      </c>
      <c r="G161" s="987" t="s">
        <v>2072</v>
      </c>
      <c r="H161" s="988"/>
      <c r="I161" s="988"/>
      <c r="J161" s="989"/>
      <c r="K161" s="1099"/>
      <c r="L161" s="1099"/>
      <c r="M161" s="1099"/>
      <c r="N161" s="1099"/>
      <c r="O161" s="1099"/>
    </row>
    <row r="162" spans="2:15" ht="15.75" hidden="1">
      <c r="B162" s="1">
        <v>2</v>
      </c>
      <c r="C162" s="1">
        <v>2</v>
      </c>
      <c r="D162" s="954"/>
      <c r="E162" s="959"/>
      <c r="F162" s="990" t="str">
        <f>IF(F160=$S$15,$T$11,IF(ROUNDDOWN(F160,0)=$S$11,$U$11,$T$11))</f>
        <v>　レベル　2</v>
      </c>
      <c r="G162" s="994"/>
      <c r="H162" s="995"/>
      <c r="I162" s="995"/>
      <c r="J162" s="996"/>
      <c r="K162" s="1099"/>
      <c r="L162" s="1099"/>
      <c r="M162" s="1099"/>
      <c r="N162" s="1099"/>
      <c r="O162" s="1099"/>
    </row>
    <row r="163" spans="2:15" ht="15.75" hidden="1">
      <c r="B163" s="1">
        <v>3</v>
      </c>
      <c r="C163" s="1">
        <v>3</v>
      </c>
      <c r="D163" s="954"/>
      <c r="E163" s="959"/>
      <c r="F163" s="990" t="str">
        <f>IF(F160=$S$15,$T$12,IF(ROUNDDOWN(F160,0)=$S$12,$U$12,$T$12))</f>
        <v>　レベル　3</v>
      </c>
      <c r="G163" s="994" t="s">
        <v>2881</v>
      </c>
      <c r="H163" s="995"/>
      <c r="I163" s="995"/>
      <c r="J163" s="996"/>
      <c r="K163" s="1099"/>
      <c r="L163" s="1099"/>
      <c r="M163" s="1099"/>
      <c r="N163" s="1099"/>
      <c r="O163" s="1099"/>
    </row>
    <row r="164" spans="2:15" ht="15.75" hidden="1">
      <c r="B164" s="1">
        <v>4</v>
      </c>
      <c r="C164" s="1">
        <v>4</v>
      </c>
      <c r="D164" s="954"/>
      <c r="E164" s="959"/>
      <c r="F164" s="990" t="str">
        <f>IF(F160=$S$15,$T$13,IF(ROUNDDOWN(F160,0)=$S$13,$U$13,$T$13))</f>
        <v>　レベル　4</v>
      </c>
      <c r="G164" s="994"/>
      <c r="H164" s="995"/>
      <c r="I164" s="995"/>
      <c r="J164" s="996"/>
      <c r="K164" s="1099"/>
      <c r="L164" s="1099"/>
      <c r="M164" s="1099"/>
      <c r="N164" s="1099"/>
      <c r="O164" s="1099"/>
    </row>
    <row r="165" spans="2:15" ht="15.75" hidden="1">
      <c r="B165" s="1">
        <v>5</v>
      </c>
      <c r="C165" s="1">
        <v>5</v>
      </c>
      <c r="D165" s="954"/>
      <c r="E165" s="959"/>
      <c r="F165" s="1001" t="str">
        <f>IF(F160=$S$15,$T$14,IF(ROUNDDOWN(F160,0)=$S$14,$U$14,$T$14))</f>
        <v>　レベル　5</v>
      </c>
      <c r="G165" s="1005" t="s">
        <v>1439</v>
      </c>
      <c r="H165" s="1006"/>
      <c r="I165" s="1006"/>
      <c r="J165" s="1007"/>
      <c r="K165" s="1099"/>
      <c r="L165" s="1099"/>
      <c r="M165" s="1099"/>
      <c r="N165" s="1099"/>
      <c r="O165" s="1099"/>
    </row>
    <row r="166" spans="2:15" ht="15.75">
      <c r="B166" s="1008">
        <v>0</v>
      </c>
      <c r="C166" s="1008">
        <v>0</v>
      </c>
      <c r="D166" s="954"/>
      <c r="E166" s="959"/>
      <c r="F166" s="1129"/>
      <c r="G166" s="1130"/>
      <c r="H166" s="1130"/>
      <c r="I166" s="1130"/>
      <c r="J166" s="1130"/>
      <c r="K166" s="1130"/>
      <c r="L166" s="1131"/>
      <c r="M166" s="1132"/>
      <c r="N166" s="1132"/>
      <c r="O166" s="1132"/>
    </row>
    <row r="167" spans="2:15" ht="15.75">
      <c r="D167" s="954"/>
      <c r="E167" s="959"/>
      <c r="F167" s="965" t="s">
        <v>2432</v>
      </c>
      <c r="G167" s="1045"/>
      <c r="H167" s="1094"/>
      <c r="I167" s="1074"/>
      <c r="J167" s="1048" t="e">
        <f>IF(OR(F169=0,AND(J168=0,O168=0)),$R$3,"")</f>
        <v>#DIV/0!</v>
      </c>
      <c r="K167" s="1133"/>
      <c r="L167" s="1045"/>
      <c r="M167" s="1094"/>
      <c r="N167" s="1074"/>
      <c r="O167" s="1048"/>
    </row>
    <row r="168" spans="2:15" ht="16.5" thickBot="1">
      <c r="D168" s="954"/>
      <c r="E168" s="1107"/>
      <c r="F168" s="971" t="s">
        <v>374</v>
      </c>
      <c r="G168" s="972"/>
      <c r="H168" s="973"/>
      <c r="I168" s="974" t="s">
        <v>1125</v>
      </c>
      <c r="J168" s="977" t="e">
        <f>重み!M24</f>
        <v>#DIV/0!</v>
      </c>
      <c r="K168" s="971" t="s">
        <v>1608</v>
      </c>
      <c r="L168" s="972"/>
      <c r="M168" s="973"/>
      <c r="N168" s="974" t="s">
        <v>1125</v>
      </c>
      <c r="O168" s="977" t="e">
        <f>重み!N24</f>
        <v>#DIV/0!</v>
      </c>
    </row>
    <row r="169" spans="2:15" ht="16.5" thickBot="1">
      <c r="D169" s="954"/>
      <c r="E169" s="1107"/>
      <c r="F169" s="978">
        <v>3</v>
      </c>
      <c r="G169" s="1095" t="s">
        <v>2235</v>
      </c>
      <c r="H169" s="983"/>
      <c r="I169" s="983"/>
      <c r="J169" s="984"/>
      <c r="K169" s="978">
        <v>3</v>
      </c>
      <c r="L169" s="1095" t="s">
        <v>2236</v>
      </c>
      <c r="M169" s="984"/>
      <c r="N169" s="1095" t="s">
        <v>1440</v>
      </c>
      <c r="O169" s="984"/>
    </row>
    <row r="170" spans="2:15" ht="15.75" hidden="1">
      <c r="B170" s="1">
        <v>1</v>
      </c>
      <c r="C170" s="1">
        <v>1</v>
      </c>
      <c r="D170" s="954"/>
      <c r="E170" s="1107"/>
      <c r="F170" s="1134"/>
      <c r="G170" s="1095" t="s">
        <v>1045</v>
      </c>
      <c r="H170" s="983"/>
      <c r="I170" s="983"/>
      <c r="J170" s="984"/>
      <c r="K170" s="1134"/>
      <c r="L170" s="1101" t="s">
        <v>1045</v>
      </c>
      <c r="M170" s="1102"/>
      <c r="N170" s="1101"/>
      <c r="O170" s="1102"/>
    </row>
    <row r="171" spans="2:15" ht="60" hidden="1" customHeight="1">
      <c r="B171" s="1">
        <v>2</v>
      </c>
      <c r="C171" s="1">
        <v>2</v>
      </c>
      <c r="D171" s="954"/>
      <c r="E171" s="1108"/>
      <c r="F171" s="990" t="str">
        <f>IF(F169=$S$15,$T$10,IF(AND($O$3=$U$3,ROUNDDOWN(F169,0)=$S$10),$U$10,$T$10))</f>
        <v>　レベル　1</v>
      </c>
      <c r="G171" s="3401" t="s">
        <v>2882</v>
      </c>
      <c r="H171" s="3427"/>
      <c r="I171" s="3427"/>
      <c r="J171" s="3402"/>
      <c r="K171" s="990" t="str">
        <f>IF(K169=$S$15,$T$10,IF(AND($O$3=$U$3,ROUNDDOWN(K169,0)=$S$10),$U$10,$T$10))</f>
        <v>　レベル　1</v>
      </c>
      <c r="L171" s="3397" t="s">
        <v>2882</v>
      </c>
      <c r="M171" s="3404"/>
      <c r="N171" s="3397" t="s">
        <v>2883</v>
      </c>
      <c r="O171" s="3404"/>
    </row>
    <row r="172" spans="2:15" ht="60" hidden="1" customHeight="1">
      <c r="B172" s="1">
        <v>3</v>
      </c>
      <c r="C172" s="1">
        <v>3</v>
      </c>
      <c r="D172" s="954"/>
      <c r="E172" s="1108"/>
      <c r="F172" s="990" t="str">
        <f>IF(F169=$S$15,$T$11,IF(AND($O$3=$U$3,ROUNDDOWN(F169,0)=$S$11),$U$11,$T$11))</f>
        <v>　レベル　2</v>
      </c>
      <c r="G172" s="994"/>
      <c r="H172" s="1106"/>
      <c r="I172" s="1135"/>
      <c r="J172" s="1105"/>
      <c r="K172" s="990" t="str">
        <f>IF(K169=$S$15,$T$11,IF(AND($O$3=$U$3,ROUNDDOWN(K169,0)=$S$11),$U$11,$T$11))</f>
        <v>　レベル　2</v>
      </c>
      <c r="L172" s="3397"/>
      <c r="M172" s="3404"/>
      <c r="N172" s="3397" t="s">
        <v>2884</v>
      </c>
      <c r="O172" s="3404"/>
    </row>
    <row r="173" spans="2:15" ht="60" hidden="1" customHeight="1">
      <c r="B173" s="1">
        <v>4</v>
      </c>
      <c r="C173" s="1">
        <v>4</v>
      </c>
      <c r="D173" s="954"/>
      <c r="E173" s="1108"/>
      <c r="F173" s="990" t="str">
        <f>IF(F169=$S$15,$T$12,IF(AND($O$3=$U$3,ROUNDDOWN(F169,0)=$S$12),$U$12,$T$12))</f>
        <v>　レベル　3</v>
      </c>
      <c r="G173" s="3397" t="s">
        <v>2885</v>
      </c>
      <c r="H173" s="3476"/>
      <c r="I173" s="3476"/>
      <c r="J173" s="3477"/>
      <c r="K173" s="990" t="str">
        <f>IF(K169=$S$15,$T$12,IF(AND($O$3=$U$3,ROUNDDOWN(K169,0)=$S$12),$U$12,$T$12))</f>
        <v>　レベル　3</v>
      </c>
      <c r="L173" s="3397" t="s">
        <v>2885</v>
      </c>
      <c r="M173" s="3404"/>
      <c r="N173" s="3397" t="s">
        <v>2886</v>
      </c>
      <c r="O173" s="3404"/>
    </row>
    <row r="174" spans="2:15" ht="45" hidden="1" customHeight="1">
      <c r="B174" s="1">
        <v>5</v>
      </c>
      <c r="C174" s="1">
        <v>5</v>
      </c>
      <c r="D174" s="954"/>
      <c r="E174" s="1108"/>
      <c r="F174" s="990" t="str">
        <f>IF(F169=$S$15,$T$13,IF(AND($O$3=$U$3,ROUNDDOWN(F169,0)=$S$13),$U$13,$T$13))</f>
        <v>　レベル　4</v>
      </c>
      <c r="G174" s="994"/>
      <c r="H174" s="1106"/>
      <c r="I174" s="1135"/>
      <c r="J174" s="1000"/>
      <c r="K174" s="990" t="str">
        <f>IF(K169=$S$15,$T$13,IF(AND($O$3=$U$3,ROUNDDOWN(K169,0)=$S$13),$U$13,$T$13))</f>
        <v>　レベル　4</v>
      </c>
      <c r="L174" s="3397"/>
      <c r="M174" s="3404"/>
      <c r="N174" s="3397" t="s">
        <v>1795</v>
      </c>
      <c r="O174" s="3404"/>
    </row>
    <row r="175" spans="2:15" ht="60" hidden="1" customHeight="1">
      <c r="B175" s="1008">
        <v>0</v>
      </c>
      <c r="C175" s="1008">
        <v>0</v>
      </c>
      <c r="D175" s="954"/>
      <c r="E175" s="1108"/>
      <c r="F175" s="1001" t="str">
        <f>IF(F169=$S$15,$T$14,IF(AND($O$3=$U$3,ROUNDDOWN(F169,0)=$S$14),$U$14,$T$14))</f>
        <v>　レベル　5</v>
      </c>
      <c r="G175" s="3394" t="s">
        <v>2887</v>
      </c>
      <c r="H175" s="3474"/>
      <c r="I175" s="3474"/>
      <c r="J175" s="3475"/>
      <c r="K175" s="1001" t="str">
        <f>IF(K169=$S$15,$T$14,IF(AND($O$3=$U$3,ROUNDDOWN(K169,0)=$S$14),$U$14,$T$14))</f>
        <v>　レベル　5</v>
      </c>
      <c r="L175" s="3397" t="s">
        <v>2887</v>
      </c>
      <c r="M175" s="3404"/>
      <c r="N175" s="3397" t="s">
        <v>2888</v>
      </c>
      <c r="O175" s="3404"/>
    </row>
    <row r="176" spans="2:15" ht="15.75" hidden="1">
      <c r="D176" s="954"/>
      <c r="E176" s="1108"/>
      <c r="F176" s="1097"/>
      <c r="G176" s="983" t="s">
        <v>1044</v>
      </c>
      <c r="H176" s="1116"/>
      <c r="I176" s="1116"/>
      <c r="J176" s="1116"/>
      <c r="K176" s="1097"/>
      <c r="L176" s="1116" t="s">
        <v>1044</v>
      </c>
      <c r="M176" s="1116"/>
      <c r="N176" s="1116"/>
      <c r="O176" s="1136"/>
    </row>
    <row r="177" spans="2:15" ht="84.75" customHeight="1">
      <c r="D177" s="954"/>
      <c r="E177" s="1108"/>
      <c r="F177" s="1098" t="str">
        <f>IF(F169=$S$15,$T$10,IF(AND($O$3&lt;&gt;$U$3,ROUNDDOWN(F169,0)=$S$10),$U$10,$T$10))</f>
        <v>　レベル　1</v>
      </c>
      <c r="G177" s="3401" t="s">
        <v>2889</v>
      </c>
      <c r="H177" s="3462"/>
      <c r="I177" s="3462"/>
      <c r="J177" s="3403"/>
      <c r="K177" s="1098" t="str">
        <f>IF(K169=$S$15,$T$10,IF(AND($O$3&lt;&gt;$U$3,ROUNDDOWN(K169,0)=$S$10),$U$10,$T$10))</f>
        <v>　レベル　1</v>
      </c>
      <c r="L177" s="3401" t="s">
        <v>2890</v>
      </c>
      <c r="M177" s="3403"/>
      <c r="N177" s="3397" t="s">
        <v>275</v>
      </c>
      <c r="O177" s="3404"/>
    </row>
    <row r="178" spans="2:15" ht="49.5" customHeight="1">
      <c r="D178" s="954"/>
      <c r="E178" s="1108"/>
      <c r="F178" s="990" t="str">
        <f>IF(F169=$S$15,$T$11,IF(AND($O$3&lt;&gt;$U$3,ROUNDDOWN(F169,0)=$S$11),$U$11,$T$11))</f>
        <v>　レベル　2</v>
      </c>
      <c r="G178" s="3397"/>
      <c r="H178" s="3422"/>
      <c r="I178" s="3422"/>
      <c r="J178" s="3404"/>
      <c r="K178" s="990" t="str">
        <f>IF(K169=$S$15,$T$11,IF(AND($O$3&lt;&gt;$U$3,ROUNDDOWN(K169,0)=$S$11),$U$11,$T$11))</f>
        <v>　レベル　2</v>
      </c>
      <c r="L178" s="994"/>
      <c r="M178" s="1106"/>
      <c r="N178" s="3397" t="s">
        <v>276</v>
      </c>
      <c r="O178" s="3404"/>
    </row>
    <row r="179" spans="2:15" ht="91.5" customHeight="1">
      <c r="D179" s="954"/>
      <c r="E179" s="1108"/>
      <c r="F179" s="990" t="str">
        <f>IF(F169=$S$15,$T$12,IF(AND($O$3&lt;&gt;$U$3,ROUNDDOWN(F169,0)=$S$12),$U$12,$T$12))</f>
        <v>■レベル　3</v>
      </c>
      <c r="G179" s="3397" t="s">
        <v>2891</v>
      </c>
      <c r="H179" s="3422"/>
      <c r="I179" s="3422"/>
      <c r="J179" s="3404"/>
      <c r="K179" s="990" t="str">
        <f>IF(K169=$S$15,$T$12,IF(AND($O$3&lt;&gt;$U$3,ROUNDDOWN(K169,0)=$S$12),$U$12,$T$12))</f>
        <v>■レベル　3</v>
      </c>
      <c r="L179" s="3397" t="s">
        <v>2892</v>
      </c>
      <c r="M179" s="3404"/>
      <c r="N179" s="3397" t="s">
        <v>277</v>
      </c>
      <c r="O179" s="3404"/>
    </row>
    <row r="180" spans="2:15" ht="15.75">
      <c r="D180" s="954"/>
      <c r="E180" s="1108"/>
      <c r="F180" s="990" t="str">
        <f>IF(F169=$S$15,$T$13,IF(AND($O$3&lt;&gt;$U$3,ROUNDDOWN(F169,0)=$S$13),$U$13,$T$13))</f>
        <v>　レベル　4</v>
      </c>
      <c r="G180" s="3397"/>
      <c r="H180" s="3422"/>
      <c r="I180" s="3422"/>
      <c r="J180" s="3404"/>
      <c r="K180" s="990" t="str">
        <f>IF(K169=$S$15,$T$13,IF(AND($O$3&lt;&gt;$U$3,ROUNDDOWN(K169,0)=$S$13),$U$13,$T$13))</f>
        <v>　レベル　4</v>
      </c>
      <c r="L180" s="994"/>
      <c r="M180" s="1106"/>
      <c r="N180" s="3397" t="s">
        <v>1795</v>
      </c>
      <c r="O180" s="3404"/>
    </row>
    <row r="181" spans="2:15" ht="93.75" customHeight="1">
      <c r="D181" s="954"/>
      <c r="E181" s="1108"/>
      <c r="F181" s="1001" t="str">
        <f>IF(F169=$S$15,$T$14,IF(AND($O$3&lt;&gt;$U$3,ROUNDDOWN(F169,0)=$S$14),$U$14,$T$14))</f>
        <v>　レベル　5</v>
      </c>
      <c r="G181" s="3394" t="s">
        <v>2893</v>
      </c>
      <c r="H181" s="3423"/>
      <c r="I181" s="3423"/>
      <c r="J181" s="3413"/>
      <c r="K181" s="1001" t="str">
        <f>IF(K169=$S$15,$T$14,IF(AND($O$3&lt;&gt;$U$3,ROUNDDOWN(K169,0)=$S$14),$U$14,$T$14))</f>
        <v>　レベル　5</v>
      </c>
      <c r="L181" s="3394" t="s">
        <v>2894</v>
      </c>
      <c r="M181" s="3413"/>
      <c r="N181" s="3394" t="s">
        <v>278</v>
      </c>
      <c r="O181" s="3413"/>
    </row>
    <row r="182" spans="2:15" ht="15.75">
      <c r="D182" s="954"/>
      <c r="E182" s="959"/>
      <c r="F182" s="959"/>
      <c r="G182" s="1099"/>
      <c r="H182" s="1099"/>
      <c r="I182" s="1099"/>
      <c r="J182" s="1099"/>
      <c r="K182" s="1099"/>
      <c r="L182" s="1099"/>
      <c r="M182" s="1099"/>
      <c r="N182" s="1099"/>
      <c r="O182" s="1099"/>
    </row>
    <row r="183" spans="2:15" ht="15.75">
      <c r="D183" s="954"/>
      <c r="E183" s="1108"/>
      <c r="F183" s="1113" t="s">
        <v>2434</v>
      </c>
      <c r="G183" s="1045"/>
      <c r="H183" s="1094"/>
      <c r="I183" s="1074"/>
      <c r="J183" s="1048" t="e">
        <f>IF(OR(F185=0,J184=0),$R$3,"")</f>
        <v>#DIV/0!</v>
      </c>
      <c r="K183" s="1099"/>
      <c r="L183" s="1099"/>
      <c r="M183" s="1099"/>
      <c r="N183" s="1099"/>
      <c r="O183" s="1099"/>
    </row>
    <row r="184" spans="2:15" ht="16.5" thickBot="1">
      <c r="D184" s="954"/>
      <c r="E184" s="1108"/>
      <c r="F184" s="1114" t="s">
        <v>2075</v>
      </c>
      <c r="G184" s="1115"/>
      <c r="H184" s="1116"/>
      <c r="I184" s="974" t="s">
        <v>1125</v>
      </c>
      <c r="J184" s="972" t="e">
        <f>重み!M25</f>
        <v>#DIV/0!</v>
      </c>
      <c r="K184" s="1115"/>
      <c r="L184" s="1117"/>
      <c r="M184" s="1141" t="s">
        <v>385</v>
      </c>
      <c r="N184" s="1142"/>
      <c r="O184" s="1099"/>
    </row>
    <row r="185" spans="2:15" ht="16.5" thickBot="1">
      <c r="D185" s="954"/>
      <c r="E185" s="1108"/>
      <c r="F185" s="978">
        <v>3</v>
      </c>
      <c r="G185" s="983" t="s">
        <v>386</v>
      </c>
      <c r="H185" s="983"/>
      <c r="I185" s="984"/>
      <c r="J185" s="1095" t="s">
        <v>387</v>
      </c>
      <c r="K185" s="983"/>
      <c r="L185" s="983"/>
      <c r="M185" s="1143" t="s">
        <v>1441</v>
      </c>
      <c r="N185" s="1144"/>
      <c r="O185" s="1099"/>
    </row>
    <row r="186" spans="2:15" ht="51.75" customHeight="1">
      <c r="B186" s="1">
        <v>1</v>
      </c>
      <c r="C186" s="1">
        <v>1</v>
      </c>
      <c r="D186" s="954"/>
      <c r="E186" s="1108"/>
      <c r="F186" s="985" t="str">
        <f>IF(F185=$S$15,$T$10,IF(ROUNDDOWN(F185,0)=$S$10,$U$10,$T$10))</f>
        <v>　レベル　1</v>
      </c>
      <c r="G186" s="3401" t="s">
        <v>2895</v>
      </c>
      <c r="H186" s="3427"/>
      <c r="I186" s="3402"/>
      <c r="J186" s="3401" t="s">
        <v>2896</v>
      </c>
      <c r="K186" s="3462"/>
      <c r="L186" s="3462"/>
      <c r="M186" s="3472" t="s">
        <v>2897</v>
      </c>
      <c r="N186" s="3473"/>
      <c r="O186" s="1099"/>
    </row>
    <row r="187" spans="2:15" ht="15.75">
      <c r="B187" s="1">
        <v>2</v>
      </c>
      <c r="C187" s="1">
        <v>2</v>
      </c>
      <c r="D187" s="954"/>
      <c r="E187" s="1108"/>
      <c r="F187" s="990" t="str">
        <f>IF(F185=$S$15,$T$11,IF(ROUNDDOWN(F185,0)=$S$11,$U$11,$T$11))</f>
        <v>　レベル　2</v>
      </c>
      <c r="G187" s="1145"/>
      <c r="H187" s="1146"/>
      <c r="I187" s="1147"/>
      <c r="J187" s="994"/>
      <c r="K187" s="995"/>
      <c r="L187" s="995"/>
      <c r="M187" s="1148"/>
      <c r="N187" s="1149"/>
      <c r="O187" s="1099"/>
    </row>
    <row r="188" spans="2:15" ht="55.5" customHeight="1">
      <c r="B188" s="1">
        <v>3</v>
      </c>
      <c r="C188" s="1">
        <v>3</v>
      </c>
      <c r="D188" s="954"/>
      <c r="E188" s="1108"/>
      <c r="F188" s="990" t="str">
        <f>IF(F185=$S$15,$T$12,IF(ROUNDDOWN(F185,0)=$S$12,$U$12,$T$12))</f>
        <v>■レベル　3</v>
      </c>
      <c r="G188" s="3397" t="s">
        <v>2898</v>
      </c>
      <c r="H188" s="3422"/>
      <c r="I188" s="3404"/>
      <c r="J188" s="3397" t="s">
        <v>2899</v>
      </c>
      <c r="K188" s="3422"/>
      <c r="L188" s="3422"/>
      <c r="M188" s="3468" t="s">
        <v>2900</v>
      </c>
      <c r="N188" s="3469"/>
      <c r="O188" s="1099"/>
    </row>
    <row r="189" spans="2:15" ht="55.5" customHeight="1">
      <c r="B189" s="1">
        <v>4</v>
      </c>
      <c r="C189" s="1">
        <v>4</v>
      </c>
      <c r="D189" s="954"/>
      <c r="E189" s="1108"/>
      <c r="F189" s="990" t="str">
        <f>IF(F185=$S$15,$T$13,IF(ROUNDDOWN(F185,0)=$S$13,$U$13,$T$13))</f>
        <v>　レベル　4</v>
      </c>
      <c r="G189" s="3397" t="s">
        <v>2901</v>
      </c>
      <c r="H189" s="3422"/>
      <c r="I189" s="3404"/>
      <c r="J189" s="3397" t="s">
        <v>2902</v>
      </c>
      <c r="K189" s="3422"/>
      <c r="L189" s="3422"/>
      <c r="M189" s="3468" t="s">
        <v>2903</v>
      </c>
      <c r="N189" s="3469"/>
      <c r="O189" s="1099"/>
    </row>
    <row r="190" spans="2:15" ht="55.5" customHeight="1">
      <c r="B190" s="1">
        <v>5</v>
      </c>
      <c r="C190" s="1">
        <v>5</v>
      </c>
      <c r="D190" s="954"/>
      <c r="E190" s="1108"/>
      <c r="F190" s="1001" t="str">
        <f>IF(F185=$S$15,$T$14,IF(ROUNDDOWN(F185,0)=$S$14,$U$14,$T$14))</f>
        <v>　レベル　5</v>
      </c>
      <c r="G190" s="3394" t="s">
        <v>2904</v>
      </c>
      <c r="H190" s="3423"/>
      <c r="I190" s="3413"/>
      <c r="J190" s="3394" t="s">
        <v>2905</v>
      </c>
      <c r="K190" s="3423"/>
      <c r="L190" s="3423"/>
      <c r="M190" s="3470" t="s">
        <v>2906</v>
      </c>
      <c r="N190" s="3471"/>
      <c r="O190" s="1099"/>
    </row>
    <row r="191" spans="2:15" ht="15.75" hidden="1">
      <c r="B191" s="1008">
        <v>0</v>
      </c>
      <c r="C191" s="1008">
        <v>0</v>
      </c>
      <c r="D191" s="954"/>
      <c r="E191" s="955"/>
      <c r="F191" s="1150"/>
      <c r="G191" s="1151"/>
      <c r="H191" s="1044"/>
      <c r="I191" s="1151"/>
      <c r="J191" s="1044"/>
      <c r="K191" s="1099"/>
      <c r="L191" s="1099"/>
      <c r="M191" s="1099"/>
      <c r="N191" s="1099"/>
      <c r="O191" s="1099"/>
    </row>
    <row r="192" spans="2:15" ht="15.75" hidden="1">
      <c r="D192" s="954"/>
      <c r="E192" s="1107"/>
      <c r="F192" s="965" t="s">
        <v>1547</v>
      </c>
      <c r="G192" s="1045"/>
      <c r="H192" s="1094"/>
      <c r="I192" s="1074"/>
      <c r="J192" s="1048" t="e">
        <f>IF(OR(F194=0,AND(J193=0,O193=0)),$R$3,"")</f>
        <v>#DIV/0!</v>
      </c>
      <c r="K192" s="1044"/>
      <c r="L192" s="1045"/>
      <c r="M192" s="1094"/>
      <c r="N192" s="1074"/>
      <c r="O192" s="1074"/>
    </row>
    <row r="193" spans="2:15" ht="15.75" hidden="1">
      <c r="D193" s="954"/>
      <c r="E193" s="1107"/>
      <c r="F193" s="971" t="s">
        <v>2075</v>
      </c>
      <c r="G193" s="972"/>
      <c r="H193" s="973"/>
      <c r="I193" s="974" t="s">
        <v>1125</v>
      </c>
      <c r="J193" s="977" t="e">
        <f>重み!M26</f>
        <v>#DIV/0!</v>
      </c>
      <c r="K193" s="971" t="s">
        <v>1608</v>
      </c>
      <c r="L193" s="972"/>
      <c r="M193" s="973"/>
      <c r="N193" s="974" t="s">
        <v>1125</v>
      </c>
      <c r="O193" s="977" t="e">
        <f>重み!N26</f>
        <v>#DIV/0!</v>
      </c>
    </row>
    <row r="194" spans="2:15" ht="16.5" hidden="1" thickBot="1">
      <c r="D194" s="954"/>
      <c r="E194" s="1107"/>
      <c r="F194" s="978">
        <v>0</v>
      </c>
      <c r="G194" s="982" t="s">
        <v>1548</v>
      </c>
      <c r="H194" s="983"/>
      <c r="I194" s="983"/>
      <c r="J194" s="983"/>
      <c r="K194" s="978">
        <v>0</v>
      </c>
      <c r="L194" s="1095" t="s">
        <v>916</v>
      </c>
      <c r="M194" s="984"/>
      <c r="N194" s="1095"/>
      <c r="O194" s="1100"/>
    </row>
    <row r="195" spans="2:15" ht="15.75" hidden="1" customHeight="1">
      <c r="B195" s="1">
        <v>1</v>
      </c>
      <c r="C195" s="1">
        <v>1</v>
      </c>
      <c r="D195" s="954"/>
      <c r="E195" s="1108"/>
      <c r="F195" s="985" t="str">
        <f>IF(F194=$S$15,$T$10,IF(ROUNDDOWN(F194,0)=$S$10,$U$10,$T$10))</f>
        <v>　レベル　1</v>
      </c>
      <c r="G195" s="3401" t="s">
        <v>1549</v>
      </c>
      <c r="H195" s="3427"/>
      <c r="I195" s="3427"/>
      <c r="J195" s="3402"/>
      <c r="K195" s="985" t="str">
        <f>IF(K194=$S$15,$T$10,IF(ROUNDDOWN(K194,0)=$S$10,$U$10,$T$10))</f>
        <v>　レベル　1</v>
      </c>
      <c r="L195" s="3401" t="s">
        <v>1549</v>
      </c>
      <c r="M195" s="3427"/>
      <c r="N195" s="3427"/>
      <c r="O195" s="3402"/>
    </row>
    <row r="196" spans="2:15" ht="15.75" hidden="1" customHeight="1">
      <c r="B196" s="1">
        <v>2</v>
      </c>
      <c r="C196" s="1">
        <v>2</v>
      </c>
      <c r="D196" s="954"/>
      <c r="E196" s="1108"/>
      <c r="F196" s="990" t="str">
        <f>IF(F194=$S$15,$T$11,IF(ROUNDDOWN(F194,0)=$S$11,$U$11,$T$11))</f>
        <v>　レベル　2</v>
      </c>
      <c r="G196" s="3397" t="s">
        <v>2907</v>
      </c>
      <c r="H196" s="3422"/>
      <c r="I196" s="3422"/>
      <c r="J196" s="3404"/>
      <c r="K196" s="990" t="str">
        <f>IF(K194=$S$15,$T$11,IF(ROUNDDOWN(K194,0)=$S$11,$U$11,$T$11))</f>
        <v>　レベル　2</v>
      </c>
      <c r="L196" s="3428" t="s">
        <v>2907</v>
      </c>
      <c r="M196" s="3429"/>
      <c r="N196" s="3429"/>
      <c r="O196" s="3430"/>
    </row>
    <row r="197" spans="2:15" ht="15.75" hidden="1" customHeight="1">
      <c r="B197" s="1">
        <v>3</v>
      </c>
      <c r="C197" s="1">
        <v>3</v>
      </c>
      <c r="D197" s="954"/>
      <c r="E197" s="1108"/>
      <c r="F197" s="990" t="str">
        <f>IF(F194=$S$15,$T$12,IF(ROUNDDOWN(F194,0)=$S$12,$U$12,$T$12))</f>
        <v>　レベル　3</v>
      </c>
      <c r="G197" s="3397" t="s">
        <v>1550</v>
      </c>
      <c r="H197" s="3422"/>
      <c r="I197" s="3422"/>
      <c r="J197" s="3404"/>
      <c r="K197" s="990" t="str">
        <f>IF(K194=$S$15,$T$12,IF(ROUNDDOWN(K194,0)=$S$12,$U$12,$T$12))</f>
        <v>　レベル　3</v>
      </c>
      <c r="L197" s="3428" t="s">
        <v>473</v>
      </c>
      <c r="M197" s="3429"/>
      <c r="N197" s="3429"/>
      <c r="O197" s="3430"/>
    </row>
    <row r="198" spans="2:15" ht="15.75" hidden="1">
      <c r="B198" s="1">
        <v>4</v>
      </c>
      <c r="C198" s="1">
        <v>4</v>
      </c>
      <c r="D198" s="954"/>
      <c r="E198" s="1108"/>
      <c r="F198" s="990" t="str">
        <f>IF(F194=$S$15,$T$13,IF(ROUNDDOWN(F194,0)=$S$13,$U$13,$T$13))</f>
        <v>　レベル　4</v>
      </c>
      <c r="G198" s="1152"/>
      <c r="H198" s="1153"/>
      <c r="I198" s="1146"/>
      <c r="J198" s="1147"/>
      <c r="K198" s="990" t="str">
        <f>IF(K194=$S$15,$T$13,IF(ROUNDDOWN(K194,0)=$S$13,$U$13,$T$13))</f>
        <v>　レベル　4</v>
      </c>
      <c r="L198" s="3428"/>
      <c r="M198" s="3429"/>
      <c r="N198" s="3429"/>
      <c r="O198" s="3430"/>
    </row>
    <row r="199" spans="2:15" ht="15.75" hidden="1" customHeight="1">
      <c r="B199" s="1">
        <v>5</v>
      </c>
      <c r="C199" s="1">
        <v>5</v>
      </c>
      <c r="D199" s="954"/>
      <c r="E199" s="1108"/>
      <c r="F199" s="1001" t="str">
        <f>IF(F194=$S$15,$T$14,IF(ROUNDDOWN(F194,0)=$S$14,$U$14,$T$14))</f>
        <v>　レベル　5</v>
      </c>
      <c r="G199" s="3465" t="s">
        <v>1551</v>
      </c>
      <c r="H199" s="3466"/>
      <c r="I199" s="3466"/>
      <c r="J199" s="3467"/>
      <c r="K199" s="1001" t="str">
        <f>IF(K194=$S$15,$T$14,IF(ROUNDDOWN(K194,0)=$S$14,$U$14,$T$14))</f>
        <v>　レベル　5</v>
      </c>
      <c r="L199" s="3465" t="s">
        <v>474</v>
      </c>
      <c r="M199" s="3466"/>
      <c r="N199" s="3466"/>
      <c r="O199" s="3467"/>
    </row>
    <row r="200" spans="2:15" ht="15.75" hidden="1">
      <c r="B200" s="1008">
        <v>0</v>
      </c>
      <c r="C200" s="1008">
        <v>0</v>
      </c>
      <c r="D200" s="954"/>
      <c r="E200" s="1108"/>
      <c r="F200" s="1154"/>
      <c r="G200" s="1132"/>
      <c r="H200" s="1130"/>
      <c r="I200" s="1130"/>
      <c r="J200" s="1130"/>
      <c r="K200" s="1132"/>
      <c r="L200" s="1132"/>
      <c r="M200" s="1132"/>
      <c r="N200" s="1132"/>
      <c r="O200" s="1044"/>
    </row>
    <row r="201" spans="2:15" ht="15.75" hidden="1">
      <c r="D201" s="954"/>
      <c r="E201" s="1108"/>
      <c r="F201" s="965" t="s">
        <v>1552</v>
      </c>
      <c r="G201" s="1045"/>
      <c r="H201" s="1094"/>
      <c r="I201" s="1074"/>
      <c r="J201" s="1048" t="e">
        <f>IF(OR(F203=0,J202=0),$R$3,"")</f>
        <v>#DIV/0!</v>
      </c>
      <c r="K201" s="1132"/>
      <c r="L201" s="1132"/>
      <c r="M201" s="1132"/>
      <c r="N201" s="1132"/>
      <c r="O201" s="1044"/>
    </row>
    <row r="202" spans="2:15" ht="15.75" hidden="1">
      <c r="D202" s="954"/>
      <c r="E202" s="1108"/>
      <c r="F202" s="971" t="s">
        <v>475</v>
      </c>
      <c r="G202" s="972"/>
      <c r="H202" s="973"/>
      <c r="I202" s="974" t="s">
        <v>1125</v>
      </c>
      <c r="J202" s="977" t="e">
        <f>重み!N27</f>
        <v>#DIV/0!</v>
      </c>
      <c r="K202" s="1132"/>
      <c r="L202" s="1132"/>
      <c r="M202" s="1132"/>
      <c r="N202" s="1132"/>
      <c r="O202" s="1044"/>
    </row>
    <row r="203" spans="2:15" ht="16.5" hidden="1" thickBot="1">
      <c r="D203" s="954"/>
      <c r="E203" s="1108"/>
      <c r="F203" s="978">
        <v>0</v>
      </c>
      <c r="G203" s="3463" t="s">
        <v>916</v>
      </c>
      <c r="H203" s="3464"/>
      <c r="I203" s="3464" t="s">
        <v>1553</v>
      </c>
      <c r="J203" s="3464"/>
      <c r="K203" s="1132"/>
      <c r="L203" s="1132"/>
      <c r="M203" s="1132"/>
      <c r="N203" s="1132"/>
      <c r="O203" s="1044"/>
    </row>
    <row r="204" spans="2:15" ht="15.75" hidden="1" customHeight="1">
      <c r="B204" s="1">
        <v>1</v>
      </c>
      <c r="C204" s="1">
        <v>1</v>
      </c>
      <c r="D204" s="954"/>
      <c r="E204" s="1108"/>
      <c r="F204" s="985" t="str">
        <f>IF(F203=$S$15,$T$10,IF(ROUNDDOWN(F203,0)=$S$10,$U$10,$T$10))</f>
        <v>　レベル　1</v>
      </c>
      <c r="G204" s="3401" t="s">
        <v>2908</v>
      </c>
      <c r="H204" s="3402"/>
      <c r="I204" s="3401" t="s">
        <v>315</v>
      </c>
      <c r="J204" s="3403"/>
      <c r="K204" s="1132"/>
      <c r="L204" s="1132"/>
      <c r="M204" s="1132"/>
      <c r="N204" s="1132"/>
      <c r="O204" s="1044"/>
    </row>
    <row r="205" spans="2:15" ht="15.75" hidden="1">
      <c r="B205" s="1">
        <v>2</v>
      </c>
      <c r="C205" s="1">
        <v>2</v>
      </c>
      <c r="D205" s="954"/>
      <c r="E205" s="1108"/>
      <c r="F205" s="990" t="str">
        <f>IF(F203=$S$15,$T$11,IF(ROUNDDOWN(F203,0)=$S$11,$U$11,$T$11))</f>
        <v>　レベル　2</v>
      </c>
      <c r="G205" s="998"/>
      <c r="H205" s="1000"/>
      <c r="I205" s="998"/>
      <c r="J205" s="1000"/>
      <c r="K205" s="1132"/>
      <c r="L205" s="1132"/>
      <c r="M205" s="1132"/>
      <c r="N205" s="1132"/>
      <c r="O205" s="1044"/>
    </row>
    <row r="206" spans="2:15" ht="15.75" hidden="1" customHeight="1">
      <c r="B206" s="1">
        <v>3</v>
      </c>
      <c r="C206" s="1">
        <v>3</v>
      </c>
      <c r="D206" s="954"/>
      <c r="E206" s="1108"/>
      <c r="F206" s="990" t="str">
        <f>IF(F203=$S$15,$T$12,IF(ROUNDDOWN(F203,0)=$S$12,$U$12,$T$12))</f>
        <v>　レベル　3</v>
      </c>
      <c r="G206" s="3397" t="s">
        <v>2909</v>
      </c>
      <c r="H206" s="3399"/>
      <c r="I206" s="3397" t="s">
        <v>1554</v>
      </c>
      <c r="J206" s="3404"/>
      <c r="K206" s="1132"/>
      <c r="L206" s="1132"/>
      <c r="M206" s="1132"/>
      <c r="N206" s="1132"/>
      <c r="O206" s="1044"/>
    </row>
    <row r="207" spans="2:15" ht="15.75" hidden="1">
      <c r="B207" s="1">
        <v>4</v>
      </c>
      <c r="C207" s="1">
        <v>4</v>
      </c>
      <c r="D207" s="954"/>
      <c r="E207" s="1108"/>
      <c r="F207" s="990" t="str">
        <f>IF(F203=$S$15,$T$13,IF(ROUNDDOWN(F203,0)=$S$13,$U$13,$T$13))</f>
        <v>　レベル　4</v>
      </c>
      <c r="G207" s="998"/>
      <c r="H207" s="1000"/>
      <c r="I207" s="998"/>
      <c r="J207" s="1000"/>
      <c r="K207" s="1132"/>
      <c r="L207" s="1132"/>
      <c r="M207" s="1132"/>
      <c r="N207" s="1132"/>
      <c r="O207" s="1044"/>
    </row>
    <row r="208" spans="2:15" ht="15.75" hidden="1" customHeight="1">
      <c r="B208" s="1">
        <v>5</v>
      </c>
      <c r="C208" s="1">
        <v>5</v>
      </c>
      <c r="D208" s="954"/>
      <c r="E208" s="1108"/>
      <c r="F208" s="1001" t="str">
        <f>IF(F203=$S$15,$T$14,IF(ROUNDDOWN(F203,0)=$S$14,$U$14,$T$14))</f>
        <v>　レベル　5</v>
      </c>
      <c r="G208" s="3394" t="s">
        <v>2910</v>
      </c>
      <c r="H208" s="3400"/>
      <c r="I208" s="3394" t="s">
        <v>2911</v>
      </c>
      <c r="J208" s="3413"/>
      <c r="K208" s="1132"/>
      <c r="L208" s="1132"/>
      <c r="M208" s="1132"/>
      <c r="N208" s="1132"/>
      <c r="O208" s="1044"/>
    </row>
    <row r="209" spans="2:15" ht="15.75" hidden="1">
      <c r="B209" s="1008">
        <v>0</v>
      </c>
      <c r="C209" s="1008">
        <v>0</v>
      </c>
      <c r="D209" s="954"/>
      <c r="E209" s="1108"/>
      <c r="F209" s="1154"/>
      <c r="G209" s="1132"/>
      <c r="H209" s="1130"/>
      <c r="I209" s="1130"/>
      <c r="J209" s="1130"/>
      <c r="K209" s="1132"/>
      <c r="L209" s="1132"/>
      <c r="M209" s="1132"/>
      <c r="N209" s="1132"/>
      <c r="O209" s="1044"/>
    </row>
    <row r="210" spans="2:15" ht="15.75" hidden="1">
      <c r="D210" s="954"/>
      <c r="E210" s="1107"/>
      <c r="F210" s="965" t="s">
        <v>218</v>
      </c>
      <c r="G210" s="1045"/>
      <c r="H210" s="1094"/>
      <c r="I210" s="1074"/>
      <c r="J210" s="1048" t="e">
        <f>IF(OR(F212=0,J211=0),$R$3,"")</f>
        <v>#DIV/0!</v>
      </c>
      <c r="K210" s="1133" t="s">
        <v>1555</v>
      </c>
      <c r="L210" s="1045"/>
      <c r="M210" s="1094"/>
      <c r="N210" s="1074"/>
      <c r="O210" s="1048" t="e">
        <f>IF(OR(K212=0,O211=0),$R$3,"")</f>
        <v>#DIV/0!</v>
      </c>
    </row>
    <row r="211" spans="2:15" ht="15.75" hidden="1">
      <c r="D211" s="954"/>
      <c r="E211" s="1107"/>
      <c r="F211" s="971" t="s">
        <v>219</v>
      </c>
      <c r="G211" s="972"/>
      <c r="H211" s="973"/>
      <c r="I211" s="974" t="s">
        <v>1125</v>
      </c>
      <c r="J211" s="977" t="e">
        <f>重み!M28</f>
        <v>#DIV/0!</v>
      </c>
      <c r="K211" s="971" t="s">
        <v>1637</v>
      </c>
      <c r="L211" s="972"/>
      <c r="M211" s="973"/>
      <c r="N211" s="974" t="s">
        <v>1125</v>
      </c>
      <c r="O211" s="977" t="e">
        <f>重み!M29</f>
        <v>#DIV/0!</v>
      </c>
    </row>
    <row r="212" spans="2:15" ht="16.5" hidden="1" thickBot="1">
      <c r="D212" s="954"/>
      <c r="E212" s="1107"/>
      <c r="F212" s="978">
        <v>0</v>
      </c>
      <c r="G212" s="982" t="s">
        <v>1556</v>
      </c>
      <c r="H212" s="983"/>
      <c r="I212" s="983"/>
      <c r="J212" s="984"/>
      <c r="K212" s="978">
        <v>0</v>
      </c>
      <c r="L212" s="1095" t="s">
        <v>1557</v>
      </c>
      <c r="M212" s="984"/>
      <c r="N212" s="1095"/>
      <c r="O212" s="1100"/>
    </row>
    <row r="213" spans="2:15" ht="15.75" hidden="1" customHeight="1">
      <c r="B213" s="1">
        <v>1</v>
      </c>
      <c r="C213" s="1">
        <v>1</v>
      </c>
      <c r="D213" s="954"/>
      <c r="E213" s="1108"/>
      <c r="F213" s="985" t="str">
        <f>IF(F212=$S$15,$T$10,IF(ROUNDDOWN(F212,0)=$S$10,$U$10,$T$10))</f>
        <v>　レベル　1</v>
      </c>
      <c r="G213" s="3401" t="s">
        <v>2912</v>
      </c>
      <c r="H213" s="3462"/>
      <c r="I213" s="3462"/>
      <c r="J213" s="3403"/>
      <c r="K213" s="985" t="str">
        <f>IF(K212=$S$15,$T$10,IF(ROUNDDOWN(K212,0)=$S$10,$U$10,$T$10))</f>
        <v>　レベル　1</v>
      </c>
      <c r="L213" s="3401" t="s">
        <v>2913</v>
      </c>
      <c r="M213" s="3427"/>
      <c r="N213" s="3427"/>
      <c r="O213" s="3402"/>
    </row>
    <row r="214" spans="2:15" ht="15.75" hidden="1">
      <c r="B214" s="1">
        <v>2</v>
      </c>
      <c r="C214" s="1">
        <v>2</v>
      </c>
      <c r="D214" s="954"/>
      <c r="E214" s="1108"/>
      <c r="F214" s="990" t="str">
        <f>IF(F212=$S$15,$T$11,IF(ROUNDDOWN(F212,0)=$S$11,$U$11,$T$11))</f>
        <v>　レベル　2</v>
      </c>
      <c r="G214" s="3397"/>
      <c r="H214" s="3422"/>
      <c r="I214" s="3422"/>
      <c r="J214" s="3404"/>
      <c r="K214" s="990" t="str">
        <f>IF(K212=$S$15,$T$11,IF(ROUNDDOWN(K212,0)=$S$11,$U$11,$T$11))</f>
        <v>　レベル　2</v>
      </c>
      <c r="L214" s="3428"/>
      <c r="M214" s="3429"/>
      <c r="N214" s="3429"/>
      <c r="O214" s="3430"/>
    </row>
    <row r="215" spans="2:15" ht="15.75" hidden="1" customHeight="1">
      <c r="B215" s="1">
        <v>3</v>
      </c>
      <c r="C215" s="1">
        <v>3</v>
      </c>
      <c r="D215" s="954"/>
      <c r="E215" s="1108"/>
      <c r="F215" s="990" t="str">
        <f>IF(F212=$S$15,$T$12,IF(ROUNDDOWN(F212,0)=$S$12,$U$12,$T$12))</f>
        <v>　レベル　3</v>
      </c>
      <c r="G215" s="3397" t="s">
        <v>2914</v>
      </c>
      <c r="H215" s="3422"/>
      <c r="I215" s="3422"/>
      <c r="J215" s="3404"/>
      <c r="K215" s="990" t="str">
        <f>IF(K212=$S$15,$T$12,IF(ROUNDDOWN(K212,0)=$S$12,$U$12,$T$12))</f>
        <v>　レベル　3</v>
      </c>
      <c r="L215" s="3428" t="s">
        <v>2915</v>
      </c>
      <c r="M215" s="3429"/>
      <c r="N215" s="3429"/>
      <c r="O215" s="3430"/>
    </row>
    <row r="216" spans="2:15" ht="15.75" hidden="1">
      <c r="B216" s="1">
        <v>4</v>
      </c>
      <c r="C216" s="1">
        <v>4</v>
      </c>
      <c r="D216" s="954"/>
      <c r="E216" s="1108"/>
      <c r="F216" s="990" t="str">
        <f>IF(F212=$S$15,$T$13,IF(ROUNDDOWN(F212,0)=$S$13,$U$13,$T$13))</f>
        <v>　レベル　4</v>
      </c>
      <c r="G216" s="3397"/>
      <c r="H216" s="3422"/>
      <c r="I216" s="3422"/>
      <c r="J216" s="3404"/>
      <c r="K216" s="990" t="str">
        <f>IF(K212=$S$15,$T$13,IF(ROUNDDOWN(K212,0)=$S$13,$U$13,$T$13))</f>
        <v>　レベル　4</v>
      </c>
      <c r="L216" s="3428"/>
      <c r="M216" s="3429"/>
      <c r="N216" s="3429"/>
      <c r="O216" s="3430"/>
    </row>
    <row r="217" spans="2:15" ht="18" hidden="1" customHeight="1">
      <c r="B217" s="1">
        <v>5</v>
      </c>
      <c r="C217" s="1">
        <v>5</v>
      </c>
      <c r="D217" s="954"/>
      <c r="E217" s="1108"/>
      <c r="F217" s="1001" t="str">
        <f>IF(F212=$S$15,$T$14,IF(ROUNDDOWN(F212,0)=$S$14,$U$14,$T$14))</f>
        <v>　レベル　5</v>
      </c>
      <c r="G217" s="3394" t="s">
        <v>2916</v>
      </c>
      <c r="H217" s="3423"/>
      <c r="I217" s="3423"/>
      <c r="J217" s="3413"/>
      <c r="K217" s="1001" t="str">
        <f>IF(K212=$S$15,$T$14,IF(ROUNDDOWN(K212,0)=$S$14,$U$14,$T$14))</f>
        <v>　レベル　5</v>
      </c>
      <c r="L217" s="3424" t="s">
        <v>2917</v>
      </c>
      <c r="M217" s="3425"/>
      <c r="N217" s="3425"/>
      <c r="O217" s="3426"/>
    </row>
    <row r="218" spans="2:15" ht="15.75">
      <c r="B218" s="1008">
        <v>0</v>
      </c>
      <c r="C218" s="1008">
        <v>0</v>
      </c>
      <c r="D218" s="954"/>
      <c r="E218" s="955"/>
      <c r="F218" s="955"/>
      <c r="G218" s="1044"/>
      <c r="H218" s="1044"/>
      <c r="I218" s="1044"/>
      <c r="J218" s="1044"/>
      <c r="K218" s="1044"/>
      <c r="L218" s="1044"/>
      <c r="M218" s="1044"/>
      <c r="N218" s="1044"/>
      <c r="O218" s="1044"/>
    </row>
    <row r="219" spans="2:15" ht="15.75">
      <c r="D219" s="1386">
        <v>2.2000000000000002</v>
      </c>
      <c r="E219" s="961" t="s">
        <v>331</v>
      </c>
      <c r="F219" s="965"/>
      <c r="G219" s="1045"/>
      <c r="H219" s="1094"/>
      <c r="I219" s="1074"/>
      <c r="J219" s="1048" t="e">
        <f>IF(OR(F221=0,AND(J220=0,O220=0)),$R$3,"")</f>
        <v>#DIV/0!</v>
      </c>
      <c r="K219" s="1133"/>
      <c r="L219" s="1045"/>
      <c r="M219" s="1094"/>
      <c r="N219" s="1074"/>
      <c r="O219" s="1048"/>
    </row>
    <row r="220" spans="2:15" ht="16.5" thickBot="1">
      <c r="D220" s="1155"/>
      <c r="E220" s="961"/>
      <c r="F220" s="971" t="s">
        <v>1341</v>
      </c>
      <c r="G220" s="972"/>
      <c r="H220" s="973"/>
      <c r="I220" s="974" t="s">
        <v>1125</v>
      </c>
      <c r="J220" s="977" t="e">
        <f>重み!M30</f>
        <v>#DIV/0!</v>
      </c>
      <c r="K220" s="971" t="s">
        <v>1608</v>
      </c>
      <c r="L220" s="972"/>
      <c r="M220" s="973"/>
      <c r="N220" s="974" t="s">
        <v>1125</v>
      </c>
      <c r="O220" s="977" t="e">
        <f>重み!N30</f>
        <v>#DIV/0!</v>
      </c>
    </row>
    <row r="221" spans="2:15" ht="16.5" thickBot="1">
      <c r="D221" s="1155"/>
      <c r="E221" s="961"/>
      <c r="F221" s="978">
        <v>3</v>
      </c>
      <c r="G221" s="1095" t="s">
        <v>2630</v>
      </c>
      <c r="H221" s="983"/>
      <c r="I221" s="1121" t="s">
        <v>1128</v>
      </c>
      <c r="J221" s="984"/>
      <c r="K221" s="2145">
        <v>0</v>
      </c>
      <c r="L221" s="1095" t="s">
        <v>2236</v>
      </c>
      <c r="M221" s="984"/>
      <c r="N221" s="1095" t="s">
        <v>1342</v>
      </c>
      <c r="O221" s="1100"/>
    </row>
    <row r="222" spans="2:15" ht="15.75" hidden="1">
      <c r="B222" s="1">
        <v>1</v>
      </c>
      <c r="C222" s="1">
        <v>1</v>
      </c>
      <c r="D222" s="1155"/>
      <c r="E222" s="961"/>
      <c r="F222" s="1096"/>
      <c r="G222" s="1095" t="s">
        <v>1045</v>
      </c>
      <c r="H222" s="984"/>
      <c r="I222" s="983"/>
      <c r="J222" s="984"/>
      <c r="K222" s="1096"/>
      <c r="L222" s="1095" t="s">
        <v>1045</v>
      </c>
      <c r="M222" s="984"/>
      <c r="N222" s="1095"/>
      <c r="O222" s="984"/>
    </row>
    <row r="223" spans="2:15" ht="15.75" hidden="1">
      <c r="B223" s="1">
        <v>2</v>
      </c>
      <c r="C223" s="1">
        <v>2</v>
      </c>
      <c r="D223" s="1155"/>
      <c r="E223" s="961"/>
      <c r="F223" s="990" t="str">
        <f>IF(F221=$S$15,$T$10,IF(AND($O$3=$U$3,ROUNDDOWN(F221,0)=$S$10),$U$10,$T$10))</f>
        <v>　レベル　1</v>
      </c>
      <c r="G223" s="3401" t="s">
        <v>1343</v>
      </c>
      <c r="H223" s="3403"/>
      <c r="I223" s="1156" t="s">
        <v>1343</v>
      </c>
      <c r="J223" s="1156" t="s">
        <v>1343</v>
      </c>
      <c r="K223" s="990" t="str">
        <f>IF(K221=$S$15,$T$10,IF(AND($O$3=$U$3,ROUNDDOWN(K221,0)=$S$10),$U$10,$T$10))</f>
        <v>　レベル　1</v>
      </c>
      <c r="L223" s="3401" t="s">
        <v>1343</v>
      </c>
      <c r="M223" s="3403"/>
      <c r="N223" s="3401" t="s">
        <v>333</v>
      </c>
      <c r="O223" s="3403"/>
    </row>
    <row r="224" spans="2:15" ht="15.75" hidden="1" customHeight="1">
      <c r="B224" s="1">
        <v>3</v>
      </c>
      <c r="C224" s="1">
        <v>3</v>
      </c>
      <c r="D224" s="1155"/>
      <c r="E224" s="961"/>
      <c r="F224" s="990" t="str">
        <f>IF(F221=$S$15,$T$11,IF(AND($O$3=$U$3,ROUNDDOWN(F221,0)=$S$11),$U$11,$T$11))</f>
        <v>　レベル　2</v>
      </c>
      <c r="G224" s="3397"/>
      <c r="H224" s="3404"/>
      <c r="I224" s="998"/>
      <c r="J224" s="998"/>
      <c r="K224" s="990" t="str">
        <f>IF(K221=$S$15,$T$11,IF(AND($O$3=$U$3,ROUNDDOWN(K221,0)=$S$11),$U$11,$T$11))</f>
        <v>　レベル　2</v>
      </c>
      <c r="L224" s="3397"/>
      <c r="M224" s="3404"/>
      <c r="N224" s="3397" t="s">
        <v>1795</v>
      </c>
      <c r="O224" s="3404"/>
    </row>
    <row r="225" spans="2:15" ht="77.25" hidden="1" customHeight="1">
      <c r="B225" s="1">
        <v>4</v>
      </c>
      <c r="C225" s="1">
        <v>4</v>
      </c>
      <c r="D225" s="1155"/>
      <c r="E225" s="961"/>
      <c r="F225" s="990" t="str">
        <f>IF(F221=$S$15,$T$12,IF(AND($O$3=$U$3,ROUNDDOWN(F221,0)=$S$12),$U$12,$T$12))</f>
        <v>　レベル　3</v>
      </c>
      <c r="G225" s="3397" t="s">
        <v>2918</v>
      </c>
      <c r="H225" s="3404"/>
      <c r="I225" s="998" t="s">
        <v>2919</v>
      </c>
      <c r="J225" s="998" t="s">
        <v>2920</v>
      </c>
      <c r="K225" s="990" t="str">
        <f>IF(K221=$S$15,$T$12,IF(AND($O$3=$U$3,ROUNDDOWN(K221,0)=$S$12),$U$12,$T$12))</f>
        <v>　レベル　3</v>
      </c>
      <c r="L225" s="3397" t="s">
        <v>2918</v>
      </c>
      <c r="M225" s="3404"/>
      <c r="N225" s="3397" t="s">
        <v>2921</v>
      </c>
      <c r="O225" s="3404"/>
    </row>
    <row r="226" spans="2:15" ht="50.25" hidden="1" customHeight="1">
      <c r="B226" s="1">
        <v>5</v>
      </c>
      <c r="C226" s="1">
        <v>5</v>
      </c>
      <c r="D226" s="1155"/>
      <c r="E226" s="961"/>
      <c r="F226" s="990" t="str">
        <f>IF(F221=$S$15,$T$13,IF(AND($O$3=$U$3,ROUNDDOWN(F221,0)=$S$13),$U$13,$T$13))</f>
        <v>　レベル　4</v>
      </c>
      <c r="G226" s="3397"/>
      <c r="H226" s="3404"/>
      <c r="I226" s="998"/>
      <c r="J226" s="998"/>
      <c r="K226" s="990" t="str">
        <f>IF(K221=$S$15,$T$13,IF(AND($O$3=$U$3,ROUNDDOWN(K221,0)=$S$13),$U$13,$T$13))</f>
        <v>　レベル　4</v>
      </c>
      <c r="L226" s="3397"/>
      <c r="M226" s="3404"/>
      <c r="N226" s="3397" t="s">
        <v>2922</v>
      </c>
      <c r="O226" s="3404"/>
    </row>
    <row r="227" spans="2:15" ht="73.5" hidden="1" customHeight="1">
      <c r="B227" s="1008">
        <v>0</v>
      </c>
      <c r="C227" s="1008">
        <v>0</v>
      </c>
      <c r="D227" s="1155"/>
      <c r="E227" s="961"/>
      <c r="F227" s="1001" t="str">
        <f>IF(F221=$S$15,$T$14,IF(AND($O$3=$U$3,ROUNDDOWN(F221,0)=$S$14),$U$14,$T$14))</f>
        <v>　レベル　5</v>
      </c>
      <c r="G227" s="3394" t="s">
        <v>2923</v>
      </c>
      <c r="H227" s="3413"/>
      <c r="I227" s="1002" t="s">
        <v>2924</v>
      </c>
      <c r="J227" s="1002" t="s">
        <v>2924</v>
      </c>
      <c r="K227" s="1001" t="str">
        <f>IF(K221=$S$15,$T$14,IF(AND($O$3=$U$3,ROUNDDOWN(K221,0)=$S$14),$U$14,$T$14))</f>
        <v>　レベル　5</v>
      </c>
      <c r="L227" s="3394" t="s">
        <v>2923</v>
      </c>
      <c r="M227" s="3413"/>
      <c r="N227" s="3394" t="s">
        <v>2925</v>
      </c>
      <c r="O227" s="3413"/>
    </row>
    <row r="228" spans="2:15" ht="15.75" hidden="1">
      <c r="D228" s="954"/>
      <c r="E228" s="955"/>
      <c r="F228" s="1097"/>
      <c r="G228" s="1116" t="s">
        <v>1044</v>
      </c>
      <c r="H228" s="1116"/>
      <c r="I228" s="1116"/>
      <c r="J228" s="1136"/>
      <c r="K228" s="1097"/>
      <c r="L228" s="1116" t="s">
        <v>1044</v>
      </c>
      <c r="M228" s="1116"/>
      <c r="N228" s="1116"/>
      <c r="O228" s="1136"/>
    </row>
    <row r="229" spans="2:15" ht="35.25" customHeight="1">
      <c r="D229" s="954"/>
      <c r="E229" s="955"/>
      <c r="F229" s="1098" t="str">
        <f>IF(F221=$S$15,$T$10,IF(AND($O$3&lt;&gt;$U$3,ROUNDDOWN(F221,0)=$S$10),$U$10,$T$10))</f>
        <v>　レベル　1</v>
      </c>
      <c r="G229" s="3401" t="s">
        <v>2631</v>
      </c>
      <c r="H229" s="3403"/>
      <c r="I229" s="3401" t="s">
        <v>2631</v>
      </c>
      <c r="J229" s="3403"/>
      <c r="K229" s="2664" t="str">
        <f>IF(K221=$S$15,$T$10,IF(AND($O$3&lt;&gt;$U$3,ROUNDDOWN(K221,0)=$S$10),$U$10,$T$10))</f>
        <v>　レベル　1</v>
      </c>
      <c r="L229" s="3408" t="s">
        <v>228</v>
      </c>
      <c r="M229" s="3409"/>
      <c r="N229" s="3408" t="s">
        <v>229</v>
      </c>
      <c r="O229" s="3410"/>
    </row>
    <row r="230" spans="2:15" ht="15.75" customHeight="1">
      <c r="D230" s="954"/>
      <c r="E230" s="955"/>
      <c r="F230" s="990" t="str">
        <f>IF(F221=$S$15,$T$11,IF(AND($O$3&lt;&gt;$U$3,ROUNDDOWN(F221,0)=$S$11),$U$11,$T$11))</f>
        <v>　レベル　2</v>
      </c>
      <c r="G230" s="3397"/>
      <c r="H230" s="3404"/>
      <c r="I230" s="3397"/>
      <c r="J230" s="3404"/>
      <c r="K230" s="1183" t="str">
        <f>IF(K221=$S$15,$T$11,IF(AND($O$3&lt;&gt;$U$3,ROUNDDOWN(K221,0)=$S$11),$U$11,$T$11))</f>
        <v>　レベル　2</v>
      </c>
      <c r="L230" s="2669"/>
      <c r="M230" s="2671"/>
      <c r="N230" s="3411" t="s">
        <v>1795</v>
      </c>
      <c r="O230" s="3412"/>
    </row>
    <row r="231" spans="2:15" ht="53.25" customHeight="1">
      <c r="D231" s="954"/>
      <c r="E231" s="955"/>
      <c r="F231" s="990" t="str">
        <f>IF(F221=$S$15,$T$12,IF(AND($O$3&lt;&gt;$U$3,ROUNDDOWN(F221,0)=$S$12),$U$12,$T$12))</f>
        <v>■レベル　3</v>
      </c>
      <c r="G231" s="3397" t="s">
        <v>2926</v>
      </c>
      <c r="H231" s="3404"/>
      <c r="I231" s="3397" t="s">
        <v>2927</v>
      </c>
      <c r="J231" s="3404"/>
      <c r="K231" s="1183" t="str">
        <f>IF(K221=$S$15,$T$12,IF(AND($O$3&lt;&gt;$U$3,ROUNDDOWN(K221,0)=$S$12),$U$12,$T$12))</f>
        <v>　レベル　3</v>
      </c>
      <c r="L231" s="3405" t="s">
        <v>2928</v>
      </c>
      <c r="M231" s="3406"/>
      <c r="N231" s="3405" t="s">
        <v>2921</v>
      </c>
      <c r="O231" s="3407"/>
    </row>
    <row r="232" spans="2:15" ht="18.75" customHeight="1">
      <c r="D232" s="954"/>
      <c r="E232" s="955"/>
      <c r="F232" s="990" t="str">
        <f>IF(F221=$S$15,$T$13,IF(AND($O$3&lt;&gt;$U$3,ROUNDDOWN(F221,0)=$S$13),$U$13,$T$13))</f>
        <v>　レベル　4</v>
      </c>
      <c r="G232" s="3397"/>
      <c r="H232" s="3404"/>
      <c r="I232" s="3397"/>
      <c r="J232" s="3404"/>
      <c r="K232" s="1183" t="str">
        <f>IF(K221=$S$15,$T$13,IF(AND($O$3&lt;&gt;$U$3,ROUNDDOWN(K221,0)=$S$13),$U$13,$T$13))</f>
        <v>　レベル　4</v>
      </c>
      <c r="L232" s="2669"/>
      <c r="M232" s="2671"/>
      <c r="N232" s="3405" t="s">
        <v>2922</v>
      </c>
      <c r="O232" s="3407"/>
    </row>
    <row r="233" spans="2:15" ht="53.25" customHeight="1">
      <c r="D233" s="954"/>
      <c r="E233" s="955"/>
      <c r="F233" s="1001" t="str">
        <f>IF(F221=$S$15,$T$14,IF(AND($O$3&lt;&gt;$U$3,ROUNDDOWN(F221,0)=$S$14),$U$14,$T$14))</f>
        <v>　レベル　5</v>
      </c>
      <c r="G233" s="3394" t="s">
        <v>2929</v>
      </c>
      <c r="H233" s="3413"/>
      <c r="I233" s="3394" t="s">
        <v>2929</v>
      </c>
      <c r="J233" s="3413"/>
      <c r="K233" s="1184" t="str">
        <f>IF(K221=$S$15,$T$14,IF(AND($O$3&lt;&gt;$U$3,ROUNDDOWN(K221,0)=$S$14),$U$14,$T$14))</f>
        <v>　レベル　5</v>
      </c>
      <c r="L233" s="3435" t="s">
        <v>2930</v>
      </c>
      <c r="M233" s="3461"/>
      <c r="N233" s="3435" t="s">
        <v>2925</v>
      </c>
      <c r="O233" s="3436"/>
    </row>
    <row r="234" spans="2:15" ht="13.5" customHeight="1">
      <c r="D234" s="954"/>
      <c r="E234" s="955"/>
      <c r="F234" s="1150"/>
      <c r="G234" s="1151"/>
      <c r="H234" s="1151"/>
      <c r="I234" s="1044"/>
      <c r="J234" s="1044"/>
      <c r="K234" s="1044"/>
      <c r="L234" s="1044"/>
      <c r="M234" s="1044"/>
      <c r="N234" s="1044"/>
      <c r="O234" s="1044"/>
    </row>
    <row r="235" spans="2:15" ht="15.75">
      <c r="D235" s="954"/>
      <c r="E235" s="955"/>
      <c r="F235" s="1150"/>
      <c r="G235" s="1151"/>
      <c r="H235" s="1151"/>
      <c r="I235" s="1044"/>
      <c r="J235" s="1044"/>
      <c r="K235" s="1044"/>
      <c r="L235" s="1044"/>
      <c r="M235" s="1044"/>
      <c r="N235" s="1044"/>
      <c r="O235" s="1044"/>
    </row>
    <row r="236" spans="2:15" ht="15.75">
      <c r="D236" s="1386">
        <v>2.2999999999999998</v>
      </c>
      <c r="E236" s="961" t="s">
        <v>206</v>
      </c>
      <c r="F236" s="965"/>
      <c r="G236" s="1045"/>
      <c r="H236" s="1094"/>
      <c r="I236" s="1074"/>
      <c r="J236" s="1048" t="e">
        <f>IF(OR(F238=0,AND(J237=0,O237=0)),$R$3,"")</f>
        <v>#DIV/0!</v>
      </c>
      <c r="K236" s="1133"/>
      <c r="L236" s="1045"/>
      <c r="M236" s="1094"/>
      <c r="N236" s="1074"/>
      <c r="O236" s="1048"/>
    </row>
    <row r="237" spans="2:15" ht="16.5" hidden="1" thickBot="1">
      <c r="D237" s="1155"/>
      <c r="E237" s="961"/>
      <c r="F237" s="971" t="s">
        <v>374</v>
      </c>
      <c r="G237" s="972"/>
      <c r="H237" s="973"/>
      <c r="I237" s="974" t="s">
        <v>1125</v>
      </c>
      <c r="J237" s="977" t="e">
        <f>重み!M31</f>
        <v>#DIV/0!</v>
      </c>
      <c r="K237" s="971" t="s">
        <v>1608</v>
      </c>
      <c r="L237" s="972"/>
      <c r="M237" s="973"/>
      <c r="N237" s="974" t="s">
        <v>1125</v>
      </c>
      <c r="O237" s="977" t="e">
        <f>重み!N31</f>
        <v>#DIV/0!</v>
      </c>
    </row>
    <row r="238" spans="2:15" ht="16.5" hidden="1" thickBot="1">
      <c r="D238" s="1155"/>
      <c r="E238" s="961"/>
      <c r="F238" s="978">
        <v>0</v>
      </c>
      <c r="G238" s="1095" t="s">
        <v>2102</v>
      </c>
      <c r="H238" s="983"/>
      <c r="I238" s="1121" t="s">
        <v>2052</v>
      </c>
      <c r="J238" s="984"/>
      <c r="K238" s="978">
        <v>0</v>
      </c>
      <c r="L238" s="1095" t="s">
        <v>2236</v>
      </c>
      <c r="M238" s="984"/>
      <c r="N238" s="1095" t="s">
        <v>967</v>
      </c>
      <c r="O238" s="1100"/>
    </row>
    <row r="239" spans="2:15" ht="15.75" hidden="1">
      <c r="B239" s="1">
        <v>1</v>
      </c>
      <c r="C239" s="1">
        <v>1</v>
      </c>
      <c r="D239" s="1155"/>
      <c r="E239" s="961"/>
      <c r="F239" s="1134"/>
      <c r="G239" s="1095" t="s">
        <v>1045</v>
      </c>
      <c r="H239" s="983"/>
      <c r="I239" s="1095"/>
      <c r="J239" s="984"/>
      <c r="K239" s="1134"/>
      <c r="L239" s="983" t="s">
        <v>1045</v>
      </c>
      <c r="M239" s="1101"/>
      <c r="N239" s="1101"/>
      <c r="O239" s="1102"/>
    </row>
    <row r="240" spans="2:15" ht="53.25" hidden="1" customHeight="1">
      <c r="B240" s="1">
        <v>2</v>
      </c>
      <c r="C240" s="1">
        <v>2</v>
      </c>
      <c r="D240" s="1155"/>
      <c r="E240" s="961"/>
      <c r="F240" s="990" t="str">
        <f>IF(F238=$S$15,$T$10,IF(AND($O$3=$U$3,ROUNDDOWN(F238,0)=$S$10),$U$10,$T$10))</f>
        <v>　レベル　1</v>
      </c>
      <c r="G240" s="3401" t="s">
        <v>1647</v>
      </c>
      <c r="H240" s="3402"/>
      <c r="I240" s="3401" t="s">
        <v>1647</v>
      </c>
      <c r="J240" s="3403"/>
      <c r="K240" s="990" t="str">
        <f>IF(K238=$S$15,$T$10,IF(AND($O$3=$U$3,ROUNDDOWN(K238,0)=$S$10),$U$10,$T$10))</f>
        <v>　レベル　1</v>
      </c>
      <c r="L240" s="3401" t="s">
        <v>1647</v>
      </c>
      <c r="M240" s="3402"/>
      <c r="N240" s="3401" t="s">
        <v>2931</v>
      </c>
      <c r="O240" s="3403"/>
    </row>
    <row r="241" spans="2:15" ht="15.75" hidden="1">
      <c r="B241" s="1">
        <v>3</v>
      </c>
      <c r="C241" s="1">
        <v>3</v>
      </c>
      <c r="D241" s="1155"/>
      <c r="E241" s="961"/>
      <c r="F241" s="990" t="str">
        <f>IF(F238=$S$15,$T$11,IF(AND($O$3=$U$3,ROUNDDOWN(F238,0)=$S$11),$U$11,$T$11))</f>
        <v>　レベル　2</v>
      </c>
      <c r="G241" s="998"/>
      <c r="H241" s="1135"/>
      <c r="I241" s="3397"/>
      <c r="J241" s="3404"/>
      <c r="K241" s="990" t="str">
        <f>IF(K238=$S$15,$T$11,IF(AND($O$3=$U$3,ROUNDDOWN(K238,0)=$S$11),$U$11,$T$11))</f>
        <v>　レベル　2</v>
      </c>
      <c r="L241" s="998"/>
      <c r="M241" s="1000"/>
      <c r="N241" s="998"/>
      <c r="O241" s="1000"/>
    </row>
    <row r="242" spans="2:15" ht="55.5" hidden="1" customHeight="1">
      <c r="B242" s="1">
        <v>4</v>
      </c>
      <c r="C242" s="1">
        <v>4</v>
      </c>
      <c r="D242" s="1155"/>
      <c r="E242" s="961"/>
      <c r="F242" s="990" t="str">
        <f>IF(F238=$S$15,$T$12,IF(AND($O$3=$U$3,ROUNDDOWN(F238,0)=$S$12),$U$12,$T$12))</f>
        <v>　レベル　3</v>
      </c>
      <c r="G242" s="3397" t="s">
        <v>2932</v>
      </c>
      <c r="H242" s="3404"/>
      <c r="I242" s="3397" t="s">
        <v>2933</v>
      </c>
      <c r="J242" s="3404"/>
      <c r="K242" s="990" t="str">
        <f>IF(K238=$S$15,$T$12,IF(AND($O$3=$U$3,ROUNDDOWN(K238,0)=$S$12),$U$12,$T$12))</f>
        <v>　レベル　3</v>
      </c>
      <c r="L242" s="3397" t="s">
        <v>2932</v>
      </c>
      <c r="M242" s="3399"/>
      <c r="N242" s="3397" t="s">
        <v>2934</v>
      </c>
      <c r="O242" s="3404"/>
    </row>
    <row r="243" spans="2:15" ht="15.75" hidden="1">
      <c r="B243" s="1">
        <v>5</v>
      </c>
      <c r="C243" s="1">
        <v>5</v>
      </c>
      <c r="D243" s="1155"/>
      <c r="E243" s="961"/>
      <c r="F243" s="990" t="str">
        <f>IF(F238=$S$15,$T$13,IF(AND($O$3=$U$3,ROUNDDOWN(F238,0)=$S$13),$U$13,$T$13))</f>
        <v>　レベル　4</v>
      </c>
      <c r="G243" s="998"/>
      <c r="H243" s="1135"/>
      <c r="I243" s="3397"/>
      <c r="J243" s="3404"/>
      <c r="K243" s="990" t="str">
        <f>IF(K238=$S$15,$T$13,IF(AND($O$3=$U$3,ROUNDDOWN(K238,0)=$S$13),$U$13,$T$13))</f>
        <v>　レベル　4</v>
      </c>
      <c r="L243" s="998"/>
      <c r="M243" s="1000"/>
      <c r="N243" s="3397"/>
      <c r="O243" s="3404"/>
    </row>
    <row r="244" spans="2:15" ht="61.5" hidden="1" customHeight="1">
      <c r="B244" s="1008">
        <v>0</v>
      </c>
      <c r="C244" s="1008">
        <v>0</v>
      </c>
      <c r="D244" s="1155"/>
      <c r="E244" s="961"/>
      <c r="F244" s="1001" t="str">
        <f>IF(F238=$S$15,$T$14,IF(AND($O$3=$U$3,ROUNDDOWN(F238,0)=$S$14),$U$14,$T$14))</f>
        <v>　レベル　5</v>
      </c>
      <c r="G244" s="3394" t="s">
        <v>1648</v>
      </c>
      <c r="H244" s="3413"/>
      <c r="I244" s="3394" t="s">
        <v>2935</v>
      </c>
      <c r="J244" s="3413"/>
      <c r="K244" s="1001" t="str">
        <f>IF(K238=$S$15,$T$14,IF(AND($O$3=$U$3,ROUNDDOWN(K238,0)=$S$14),$U$14,$T$14))</f>
        <v>　レベル　5</v>
      </c>
      <c r="L244" s="3394" t="s">
        <v>1648</v>
      </c>
      <c r="M244" s="3400"/>
      <c r="N244" s="3394" t="s">
        <v>2936</v>
      </c>
      <c r="O244" s="3413"/>
    </row>
    <row r="245" spans="2:15" ht="15.75" hidden="1">
      <c r="D245" s="1155"/>
      <c r="E245" s="961"/>
      <c r="F245" s="1157"/>
      <c r="G245" s="1140" t="s">
        <v>1044</v>
      </c>
      <c r="H245" s="1116"/>
      <c r="I245" s="1116"/>
      <c r="J245" s="1136"/>
      <c r="K245" s="1097"/>
      <c r="L245" s="1116" t="s">
        <v>1044</v>
      </c>
      <c r="M245" s="1116"/>
      <c r="N245" s="1116"/>
      <c r="O245" s="1136"/>
    </row>
    <row r="246" spans="2:15" ht="54" hidden="1" customHeight="1">
      <c r="D246" s="1155"/>
      <c r="E246" s="961"/>
      <c r="F246" s="1098" t="str">
        <f>IF(F238=$S$15,$T$10,IF(AND($O$3&lt;&gt;$U$3,ROUNDDOWN(F238,0)=$S$10),$U$10,$T$10))</f>
        <v>　レベル　1</v>
      </c>
      <c r="G246" s="3401" t="s">
        <v>1649</v>
      </c>
      <c r="H246" s="3403"/>
      <c r="I246" s="3401" t="s">
        <v>1649</v>
      </c>
      <c r="J246" s="3402"/>
      <c r="K246" s="1098" t="str">
        <f>IF(K238=$S$15,$T$10,IF(AND($O$3&lt;&gt;$U$3,ROUNDDOWN(K238,0)=$S$10),$U$10,$T$10))</f>
        <v>　レベル　1</v>
      </c>
      <c r="L246" s="3401" t="s">
        <v>1649</v>
      </c>
      <c r="M246" s="3402"/>
      <c r="N246" s="3401" t="s">
        <v>2937</v>
      </c>
      <c r="O246" s="3403"/>
    </row>
    <row r="247" spans="2:15" ht="15.75" hidden="1">
      <c r="D247" s="1155"/>
      <c r="E247" s="961"/>
      <c r="F247" s="990" t="str">
        <f>IF(F238=$S$15,$T$11,IF(AND($O$3&lt;&gt;$U$3,ROUNDDOWN(F238,0)=$S$11),$U$11,$T$11))</f>
        <v>　レベル　2</v>
      </c>
      <c r="G247" s="998"/>
      <c r="H247" s="1135"/>
      <c r="I247" s="998"/>
      <c r="J247" s="1000"/>
      <c r="K247" s="990" t="str">
        <f>IF(K238=$S$15,$T$11,IF(AND($O$3&lt;&gt;$U$3,ROUNDDOWN(K238,0)=$S$11),$U$11,$T$11))</f>
        <v>　レベル　2</v>
      </c>
      <c r="L247" s="998"/>
      <c r="M247" s="1000"/>
      <c r="N247" s="998"/>
      <c r="O247" s="1000"/>
    </row>
    <row r="248" spans="2:15" ht="77.25" hidden="1" customHeight="1">
      <c r="D248" s="1155"/>
      <c r="E248" s="961"/>
      <c r="F248" s="990" t="str">
        <f>IF(F238=$S$15,$T$12,IF(AND($O$3&lt;&gt;$U$3,ROUNDDOWN(F238,0)=$S$12),$U$12,$T$12))</f>
        <v>　レベル　3</v>
      </c>
      <c r="G248" s="3397" t="s">
        <v>2938</v>
      </c>
      <c r="H248" s="3404"/>
      <c r="I248" s="3397" t="s">
        <v>2939</v>
      </c>
      <c r="J248" s="3399"/>
      <c r="K248" s="990" t="str">
        <f>IF(K238=$S$15,$T$12,IF(AND($O$3&lt;&gt;$U$3,ROUNDDOWN(K238,0)=$S$12),$U$12,$T$12))</f>
        <v>　レベル　3</v>
      </c>
      <c r="L248" s="3397" t="s">
        <v>2938</v>
      </c>
      <c r="M248" s="3399"/>
      <c r="N248" s="3397" t="s">
        <v>2940</v>
      </c>
      <c r="O248" s="3404"/>
    </row>
    <row r="249" spans="2:15" ht="15.75" hidden="1">
      <c r="D249" s="1155"/>
      <c r="E249" s="961"/>
      <c r="F249" s="990" t="str">
        <f>IF(F238=$S$15,$T$13,IF(AND($O$3&lt;&gt;$U$3,ROUNDDOWN(F238,0)=$S$13),$U$13,$T$13))</f>
        <v>　レベル　4</v>
      </c>
      <c r="G249" s="998"/>
      <c r="H249" s="1135"/>
      <c r="I249" s="998"/>
      <c r="J249" s="1000"/>
      <c r="K249" s="990" t="str">
        <f>IF(K238=$S$15,$T$13,IF(AND($O$3&lt;&gt;$U$3,ROUNDDOWN(K238,0)=$S$13),$U$13,$T$13))</f>
        <v>　レベル　4</v>
      </c>
      <c r="L249" s="998"/>
      <c r="M249" s="1000"/>
      <c r="N249" s="3397"/>
      <c r="O249" s="3404"/>
    </row>
    <row r="250" spans="2:15" ht="81" hidden="1" customHeight="1">
      <c r="D250" s="1155"/>
      <c r="E250" s="961"/>
      <c r="F250" s="1001" t="str">
        <f>IF(F238=$S$15,$T$14,IF(AND($O$3&lt;&gt;$U$3,ROUNDDOWN(F238,0)=$S$14),$U$14,$T$14))</f>
        <v>　レベル　5</v>
      </c>
      <c r="G250" s="3394" t="s">
        <v>2941</v>
      </c>
      <c r="H250" s="3413"/>
      <c r="I250" s="3394" t="s">
        <v>2942</v>
      </c>
      <c r="J250" s="3400"/>
      <c r="K250" s="1001" t="str">
        <f>IF(K238=$S$15,$T$14,IF(AND($O$3&lt;&gt;$U$3,ROUNDDOWN(K238,0)=$S$14),$U$14,$T$14))</f>
        <v>　レベル　5</v>
      </c>
      <c r="L250" s="3394" t="s">
        <v>2943</v>
      </c>
      <c r="M250" s="3400"/>
      <c r="N250" s="3394" t="s">
        <v>2944</v>
      </c>
      <c r="O250" s="3413"/>
    </row>
    <row r="251" spans="2:15" ht="16.5" hidden="1" customHeight="1">
      <c r="D251" s="954"/>
      <c r="E251" s="1108"/>
      <c r="F251" s="1108"/>
      <c r="G251" s="1158" t="s">
        <v>2945</v>
      </c>
      <c r="H251" s="1159"/>
      <c r="I251" s="1159"/>
      <c r="J251" s="1159"/>
      <c r="K251" s="1159"/>
      <c r="L251" s="1159"/>
      <c r="M251" s="1159"/>
      <c r="N251" s="1159"/>
      <c r="O251" s="1159"/>
    </row>
    <row r="252" spans="2:15" ht="16.5" hidden="1" customHeight="1">
      <c r="D252" s="954"/>
      <c r="E252" s="1108"/>
      <c r="F252" s="1108"/>
      <c r="G252" s="1158"/>
      <c r="H252" s="1159"/>
      <c r="I252" s="1159"/>
      <c r="J252" s="1159"/>
      <c r="K252" s="1159"/>
      <c r="L252" s="1159"/>
      <c r="M252" s="1159"/>
      <c r="N252" s="1159"/>
      <c r="O252" s="1159"/>
    </row>
    <row r="253" spans="2:15" ht="16.5" customHeight="1">
      <c r="D253" s="954"/>
      <c r="E253" s="1108"/>
      <c r="F253" s="965" t="s">
        <v>2053</v>
      </c>
      <c r="G253" s="1045"/>
      <c r="H253" s="1094"/>
      <c r="I253" s="1074"/>
      <c r="J253" s="1048" t="e">
        <f>IF(OR(F255=0,J254=0),$R$3,"")</f>
        <v>#DIV/0!</v>
      </c>
      <c r="K253" s="1133" t="s">
        <v>2054</v>
      </c>
      <c r="L253" s="1045"/>
      <c r="M253" s="1094"/>
      <c r="N253" s="1074"/>
      <c r="O253" s="1048" t="e">
        <f>IF(OR(K255=0,O254=0),$R$3,"")</f>
        <v>#DIV/0!</v>
      </c>
    </row>
    <row r="254" spans="2:15" ht="16.5" customHeight="1" thickBot="1">
      <c r="D254" s="954"/>
      <c r="E254" s="1108"/>
      <c r="F254" s="971" t="s">
        <v>1301</v>
      </c>
      <c r="G254" s="972"/>
      <c r="H254" s="973"/>
      <c r="I254" s="974" t="s">
        <v>1125</v>
      </c>
      <c r="J254" s="977" t="e">
        <f>重み!M32</f>
        <v>#DIV/0!</v>
      </c>
      <c r="K254" s="971" t="s">
        <v>1637</v>
      </c>
      <c r="L254" s="972"/>
      <c r="M254" s="973"/>
      <c r="N254" s="974" t="s">
        <v>1125</v>
      </c>
      <c r="O254" s="977" t="e">
        <f>重み!M33</f>
        <v>#DIV/0!</v>
      </c>
    </row>
    <row r="255" spans="2:15" ht="16.5" customHeight="1" thickBot="1">
      <c r="D255" s="954"/>
      <c r="E255" s="1108"/>
      <c r="F255" s="978">
        <v>3</v>
      </c>
      <c r="G255" s="982" t="s">
        <v>2055</v>
      </c>
      <c r="H255" s="983"/>
      <c r="I255" s="983"/>
      <c r="J255" s="1121"/>
      <c r="K255" s="978">
        <v>3</v>
      </c>
      <c r="L255" s="982" t="s">
        <v>2055</v>
      </c>
      <c r="M255" s="983"/>
      <c r="N255" s="983"/>
      <c r="O255" s="1121"/>
    </row>
    <row r="256" spans="2:15" ht="16.5" customHeight="1">
      <c r="B256" s="1">
        <v>1</v>
      </c>
      <c r="C256" s="1">
        <v>1</v>
      </c>
      <c r="D256" s="954"/>
      <c r="E256" s="1108"/>
      <c r="F256" s="985" t="str">
        <f>IF(F255=$S$15,$T$10,IF(ROUNDDOWN(F255,0)=$S$10,$U$10,$T$10))</f>
        <v>　レベル　1</v>
      </c>
      <c r="G256" s="3401" t="s">
        <v>1302</v>
      </c>
      <c r="H256" s="3427"/>
      <c r="I256" s="3427"/>
      <c r="J256" s="3402"/>
      <c r="K256" s="985" t="str">
        <f>IF(K255=$S$15,$T$10,IF(ROUNDDOWN(K255,0)=$S$10,$U$10,$T$10))</f>
        <v>　レベル　1</v>
      </c>
      <c r="L256" s="3401" t="s">
        <v>2056</v>
      </c>
      <c r="M256" s="3427"/>
      <c r="N256" s="3427"/>
      <c r="O256" s="3402"/>
    </row>
    <row r="257" spans="2:15" ht="16.5" customHeight="1">
      <c r="B257" s="1">
        <v>2</v>
      </c>
      <c r="C257" s="1">
        <v>2</v>
      </c>
      <c r="D257" s="954"/>
      <c r="E257" s="1108"/>
      <c r="F257" s="990" t="str">
        <f>IF(F255=$S$15,$T$11,IF(ROUNDDOWN(F255,0)=$S$11,$U$11,$T$11))</f>
        <v>　レベル　2</v>
      </c>
      <c r="G257" s="3397"/>
      <c r="H257" s="3422"/>
      <c r="I257" s="3422"/>
      <c r="J257" s="3404"/>
      <c r="K257" s="990" t="str">
        <f>IF(K255=$S$15,$T$11,IF(ROUNDDOWN(K255,0)=$S$11,$U$11,$T$11))</f>
        <v>　レベル　2</v>
      </c>
      <c r="L257" s="3397" t="s">
        <v>2057</v>
      </c>
      <c r="M257" s="3422"/>
      <c r="N257" s="3422"/>
      <c r="O257" s="3404"/>
    </row>
    <row r="258" spans="2:15" ht="16.5" customHeight="1">
      <c r="B258" s="1">
        <v>3</v>
      </c>
      <c r="C258" s="1">
        <v>3</v>
      </c>
      <c r="D258" s="954"/>
      <c r="E258" s="1108"/>
      <c r="F258" s="990" t="str">
        <f>IF(F255=$S$15,$T$12,IF(ROUNDDOWN(F255,0)=$S$12,$U$12,$T$12))</f>
        <v>■レベル　3</v>
      </c>
      <c r="G258" s="3397" t="s">
        <v>1303</v>
      </c>
      <c r="H258" s="3422"/>
      <c r="I258" s="3422"/>
      <c r="J258" s="3404"/>
      <c r="K258" s="990" t="str">
        <f>IF(K255=$S$15,$T$12,IF(ROUNDDOWN(K255,0)=$S$12,$U$12,$T$12))</f>
        <v>■レベル　3</v>
      </c>
      <c r="L258" s="3397" t="s">
        <v>2058</v>
      </c>
      <c r="M258" s="3422"/>
      <c r="N258" s="3422"/>
      <c r="O258" s="3404"/>
    </row>
    <row r="259" spans="2:15" ht="16.5" customHeight="1">
      <c r="B259" s="1">
        <v>4</v>
      </c>
      <c r="C259" s="1">
        <v>4</v>
      </c>
      <c r="D259" s="954"/>
      <c r="E259" s="1108"/>
      <c r="F259" s="990" t="str">
        <f>IF(F255=$S$15,$T$13,IF(ROUNDDOWN(F255,0)=$S$13,$U$13,$T$13))</f>
        <v>　レベル　4</v>
      </c>
      <c r="G259" s="3397"/>
      <c r="H259" s="3422"/>
      <c r="I259" s="3422"/>
      <c r="J259" s="3404"/>
      <c r="K259" s="990" t="str">
        <f>IF(K255=$S$15,$T$13,IF(ROUNDDOWN(K255,0)=$S$13,$U$13,$T$13))</f>
        <v>　レベル　4</v>
      </c>
      <c r="L259" s="3397" t="s">
        <v>2059</v>
      </c>
      <c r="M259" s="3422"/>
      <c r="N259" s="3422"/>
      <c r="O259" s="3404"/>
    </row>
    <row r="260" spans="2:15" ht="16.5" customHeight="1">
      <c r="B260" s="1">
        <v>5</v>
      </c>
      <c r="C260" s="1">
        <v>5</v>
      </c>
      <c r="D260" s="954"/>
      <c r="E260" s="1108"/>
      <c r="F260" s="1001" t="str">
        <f>IF(F255=$S$15,$T$14,IF(ROUNDDOWN(F255,0)=$S$14,$U$14,$T$14))</f>
        <v>　レベル　5</v>
      </c>
      <c r="G260" s="3394" t="s">
        <v>2060</v>
      </c>
      <c r="H260" s="3423"/>
      <c r="I260" s="3423"/>
      <c r="J260" s="3413"/>
      <c r="K260" s="1001" t="str">
        <f>IF(K255=$S$15,$T$14,IF(ROUNDDOWN(K255,0)=$S$14,$U$14,$T$14))</f>
        <v>　レベル　5</v>
      </c>
      <c r="L260" s="3394" t="s">
        <v>2061</v>
      </c>
      <c r="M260" s="3423"/>
      <c r="N260" s="3423"/>
      <c r="O260" s="3413"/>
    </row>
    <row r="261" spans="2:15" ht="16.5" customHeight="1">
      <c r="B261" s="1008">
        <v>0</v>
      </c>
      <c r="C261" s="1008">
        <v>0</v>
      </c>
      <c r="D261" s="954"/>
      <c r="E261" s="1108"/>
      <c r="F261" s="1108"/>
      <c r="G261" s="1158"/>
      <c r="H261" s="1159"/>
      <c r="I261" s="1159"/>
      <c r="J261" s="1159"/>
      <c r="K261" s="1159"/>
      <c r="L261" s="1159"/>
      <c r="M261" s="1159"/>
      <c r="N261" s="1159"/>
      <c r="O261" s="1159"/>
    </row>
    <row r="262" spans="2:15" ht="15.75">
      <c r="D262" s="1386">
        <v>3</v>
      </c>
      <c r="E262" s="1091" t="s">
        <v>713</v>
      </c>
      <c r="F262" s="962"/>
      <c r="G262" s="1093"/>
      <c r="H262" s="1093"/>
      <c r="I262" s="1093"/>
      <c r="J262" s="1093"/>
      <c r="K262" s="1093"/>
      <c r="L262" s="1093"/>
      <c r="M262" s="1093"/>
      <c r="N262" s="1093"/>
      <c r="O262" s="1093"/>
    </row>
    <row r="263" spans="2:15" ht="15.75">
      <c r="D263" s="1386">
        <v>3.1</v>
      </c>
      <c r="E263" s="1091" t="s">
        <v>714</v>
      </c>
      <c r="F263" s="962"/>
      <c r="G263" s="1092"/>
      <c r="H263" s="1093"/>
      <c r="I263" s="1160"/>
      <c r="J263" s="1160"/>
      <c r="K263" s="1093"/>
      <c r="L263" s="1092"/>
      <c r="M263" s="1093"/>
      <c r="N263" s="1093"/>
      <c r="O263" s="1093"/>
    </row>
    <row r="264" spans="2:15" ht="15.75">
      <c r="D264" s="954"/>
      <c r="E264" s="959"/>
      <c r="F264" s="965" t="s">
        <v>715</v>
      </c>
      <c r="G264" s="1045"/>
      <c r="H264" s="1094"/>
      <c r="I264" s="1074"/>
      <c r="J264" s="1048" t="e">
        <f>IF(OR(F266=0,AND(J265=0,O265=0)),$R$3,"")</f>
        <v>#DIV/0!</v>
      </c>
      <c r="K264" s="1133"/>
      <c r="L264" s="1045"/>
      <c r="M264" s="1094"/>
      <c r="N264" s="1074"/>
      <c r="O264" s="1048"/>
    </row>
    <row r="265" spans="2:15" ht="16.5" thickBot="1">
      <c r="D265" s="954"/>
      <c r="E265" s="959"/>
      <c r="F265" s="971" t="s">
        <v>1438</v>
      </c>
      <c r="G265" s="972"/>
      <c r="H265" s="973"/>
      <c r="I265" s="974" t="s">
        <v>1125</v>
      </c>
      <c r="J265" s="977" t="e">
        <f>重み!M36</f>
        <v>#DIV/0!</v>
      </c>
      <c r="K265" s="971" t="s">
        <v>1608</v>
      </c>
      <c r="L265" s="972"/>
      <c r="M265" s="973"/>
      <c r="N265" s="974" t="s">
        <v>1125</v>
      </c>
      <c r="O265" s="977" t="e">
        <f>重み!N36</f>
        <v>#DIV/0!</v>
      </c>
    </row>
    <row r="266" spans="2:15" ht="16.5" thickBot="1">
      <c r="D266" s="954"/>
      <c r="E266" s="959"/>
      <c r="F266" s="978">
        <v>3</v>
      </c>
      <c r="G266" s="1095" t="s">
        <v>716</v>
      </c>
      <c r="H266" s="983"/>
      <c r="I266" s="983"/>
      <c r="J266" s="984"/>
      <c r="K266" s="978">
        <v>3</v>
      </c>
      <c r="L266" s="1095" t="s">
        <v>916</v>
      </c>
      <c r="M266" s="984"/>
      <c r="N266" s="1095" t="s">
        <v>1553</v>
      </c>
      <c r="O266" s="984"/>
    </row>
    <row r="267" spans="2:15" ht="15.75">
      <c r="B267" s="1">
        <v>1</v>
      </c>
      <c r="C267" s="1">
        <v>1</v>
      </c>
      <c r="D267" s="954"/>
      <c r="E267" s="959"/>
      <c r="F267" s="985" t="str">
        <f>IF(F266=$S$15,$T$10,IF(ROUNDDOWN(F266,0)=$S$10,$U$10,$T$10))</f>
        <v>　レベル　1</v>
      </c>
      <c r="G267" s="3401" t="s">
        <v>717</v>
      </c>
      <c r="H267" s="3427"/>
      <c r="I267" s="3427"/>
      <c r="J267" s="3402"/>
      <c r="K267" s="985" t="str">
        <f>IF(K266=$S$15,$T$10,IF(ROUNDDOWN(K266,0)=$S$10,$U$10,$T$10))</f>
        <v>　レベル　1</v>
      </c>
      <c r="L267" s="3401" t="s">
        <v>1304</v>
      </c>
      <c r="M267" s="3403"/>
      <c r="N267" s="3401" t="s">
        <v>718</v>
      </c>
      <c r="O267" s="3403"/>
    </row>
    <row r="268" spans="2:15" ht="15.75" customHeight="1">
      <c r="B268" s="1">
        <v>2</v>
      </c>
      <c r="C268" s="1">
        <v>2</v>
      </c>
      <c r="D268" s="954"/>
      <c r="E268" s="959"/>
      <c r="F268" s="990" t="str">
        <f>IF(F266=$S$15,$T$11,IF(ROUNDDOWN(F266,0)=$S$11,$U$11,$T$11))</f>
        <v>　レベル　2</v>
      </c>
      <c r="G268" s="3397" t="s">
        <v>719</v>
      </c>
      <c r="H268" s="3398"/>
      <c r="I268" s="3398"/>
      <c r="J268" s="3399"/>
      <c r="K268" s="990" t="str">
        <f>IF(K266=$S$15,$T$11,IF(ROUNDDOWN(K266,0)=$S$11,$U$11,$T$11))</f>
        <v>　レベル　2</v>
      </c>
      <c r="L268" s="3397" t="s">
        <v>720</v>
      </c>
      <c r="M268" s="3404"/>
      <c r="N268" s="3397" t="s">
        <v>721</v>
      </c>
      <c r="O268" s="3404"/>
    </row>
    <row r="269" spans="2:15" ht="15.75" customHeight="1">
      <c r="B269" s="1">
        <v>3</v>
      </c>
      <c r="C269" s="1">
        <v>3</v>
      </c>
      <c r="D269" s="954"/>
      <c r="E269" s="959"/>
      <c r="F269" s="990" t="str">
        <f>IF(F266=$S$15,$T$12,IF(ROUNDDOWN(F266,0)=$S$12,$U$12,$T$12))</f>
        <v>■レベル　3</v>
      </c>
      <c r="G269" s="3428" t="s">
        <v>722</v>
      </c>
      <c r="H269" s="3429"/>
      <c r="I269" s="3429"/>
      <c r="J269" s="3430"/>
      <c r="K269" s="990" t="str">
        <f>IF(K266=$S$15,$T$12,IF(ROUNDDOWN(K266,0)=$S$12,$U$12,$T$12))</f>
        <v>■レベル　3</v>
      </c>
      <c r="L269" s="3397" t="s">
        <v>1305</v>
      </c>
      <c r="M269" s="3404"/>
      <c r="N269" s="3397" t="s">
        <v>719</v>
      </c>
      <c r="O269" s="3404"/>
    </row>
    <row r="270" spans="2:15" ht="15.75" customHeight="1">
      <c r="B270" s="1">
        <v>4</v>
      </c>
      <c r="C270" s="1">
        <v>4</v>
      </c>
      <c r="D270" s="954"/>
      <c r="E270" s="959"/>
      <c r="F270" s="990" t="str">
        <f>IF(F266=$S$15,$T$13,IF(ROUNDDOWN(F266,0)=$S$13,$U$13,$T$13))</f>
        <v>　レベル　4</v>
      </c>
      <c r="G270" s="3397" t="s">
        <v>723</v>
      </c>
      <c r="H270" s="3398"/>
      <c r="I270" s="3398"/>
      <c r="J270" s="3399"/>
      <c r="K270" s="990" t="str">
        <f>IF(K266=$S$15,$T$13,IF(ROUNDDOWN(K266,0)=$S$13,$U$13,$T$13))</f>
        <v>　レベル　4</v>
      </c>
      <c r="L270" s="3397" t="s">
        <v>2381</v>
      </c>
      <c r="M270" s="3404"/>
      <c r="N270" s="3397" t="s">
        <v>722</v>
      </c>
      <c r="O270" s="3404"/>
    </row>
    <row r="271" spans="2:15" ht="15.75">
      <c r="B271" s="1">
        <v>5</v>
      </c>
      <c r="C271" s="1">
        <v>5</v>
      </c>
      <c r="D271" s="954"/>
      <c r="E271" s="959"/>
      <c r="F271" s="1001" t="str">
        <f>IF(F266=$S$15,$T$14,IF(ROUNDDOWN(F266,0)=$S$14,$U$14,$T$14))</f>
        <v>　レベル　5</v>
      </c>
      <c r="G271" s="3424" t="s">
        <v>724</v>
      </c>
      <c r="H271" s="3425"/>
      <c r="I271" s="3425"/>
      <c r="J271" s="3426"/>
      <c r="K271" s="1001" t="str">
        <f>IF(K266=$S$15,$T$14,IF(ROUNDDOWN(K266,0)=$S$14,$U$14,$T$14))</f>
        <v>　レベル　5</v>
      </c>
      <c r="L271" s="3394" t="s">
        <v>2382</v>
      </c>
      <c r="M271" s="3413"/>
      <c r="N271" s="3394" t="s">
        <v>2383</v>
      </c>
      <c r="O271" s="3413"/>
    </row>
    <row r="272" spans="2:15" ht="15.75">
      <c r="B272" s="1008">
        <v>0</v>
      </c>
      <c r="C272" s="1008">
        <v>0</v>
      </c>
      <c r="D272" s="954"/>
      <c r="E272" s="959"/>
      <c r="F272" s="1129"/>
      <c r="G272" s="1130"/>
      <c r="H272" s="1111"/>
      <c r="I272" s="1130"/>
      <c r="J272" s="1130"/>
      <c r="K272" s="1131"/>
      <c r="L272" s="1132"/>
      <c r="M272" s="1132"/>
      <c r="N272" s="1130"/>
      <c r="O272" s="1130"/>
    </row>
    <row r="273" spans="2:15" ht="15.75">
      <c r="D273" s="954"/>
      <c r="E273" s="959"/>
      <c r="F273" s="965" t="s">
        <v>725</v>
      </c>
      <c r="G273" s="1045"/>
      <c r="H273" s="1094"/>
      <c r="I273" s="1074"/>
      <c r="J273" s="1048" t="e">
        <f>IF(OR(F275=0,J274=0),$R$3,"")</f>
        <v>#DIV/0!</v>
      </c>
      <c r="K273" s="1131"/>
      <c r="L273" s="1132"/>
      <c r="M273" s="1132"/>
      <c r="N273" s="1130"/>
      <c r="O273" s="1130"/>
    </row>
    <row r="274" spans="2:15" ht="16.5" thickBot="1">
      <c r="D274" s="954"/>
      <c r="E274" s="959"/>
      <c r="F274" s="971" t="s">
        <v>2384</v>
      </c>
      <c r="G274" s="972"/>
      <c r="H274" s="973"/>
      <c r="I274" s="974" t="s">
        <v>1125</v>
      </c>
      <c r="J274" s="977" t="e">
        <f>重み!N37</f>
        <v>#DIV/0!</v>
      </c>
      <c r="K274" s="1131"/>
      <c r="L274" s="1132"/>
      <c r="M274" s="1132"/>
      <c r="N274" s="1130"/>
      <c r="O274" s="1130"/>
    </row>
    <row r="275" spans="2:15" ht="16.5" thickBot="1">
      <c r="D275" s="954"/>
      <c r="E275" s="959"/>
      <c r="F275" s="978">
        <v>3</v>
      </c>
      <c r="G275" s="1095" t="s">
        <v>1553</v>
      </c>
      <c r="H275" s="983"/>
      <c r="I275" s="983"/>
      <c r="J275" s="984"/>
      <c r="K275" s="1131"/>
      <c r="L275" s="1132"/>
      <c r="M275" s="1132"/>
      <c r="N275" s="1130"/>
      <c r="O275" s="1130"/>
    </row>
    <row r="276" spans="2:15" ht="15.75">
      <c r="B276" s="1">
        <v>1</v>
      </c>
      <c r="C276" s="1">
        <v>1</v>
      </c>
      <c r="D276" s="954"/>
      <c r="E276" s="959"/>
      <c r="F276" s="985" t="str">
        <f>IF(F275=$S$15,$T$10,IF(ROUNDDOWN(F275,0)=$S$10,$U$10,$T$10))</f>
        <v>　レベル　1</v>
      </c>
      <c r="G276" s="3401" t="s">
        <v>726</v>
      </c>
      <c r="H276" s="3427"/>
      <c r="I276" s="3427"/>
      <c r="J276" s="3402"/>
      <c r="K276" s="1131"/>
      <c r="L276" s="1132"/>
      <c r="M276" s="1132"/>
      <c r="N276" s="1130"/>
      <c r="O276" s="1130"/>
    </row>
    <row r="277" spans="2:15" ht="15.75">
      <c r="B277" s="1" t="s">
        <v>2385</v>
      </c>
      <c r="C277" s="1">
        <v>2</v>
      </c>
      <c r="D277" s="954"/>
      <c r="E277" s="959"/>
      <c r="F277" s="990" t="str">
        <f>IF(F275=$S$15,$T$11,IF(ROUNDDOWN(F275,0)=$S$11,$U$11,$T$11))</f>
        <v>　レベル　2</v>
      </c>
      <c r="G277" s="3397" t="s">
        <v>1795</v>
      </c>
      <c r="H277" s="3398"/>
      <c r="I277" s="3398"/>
      <c r="J277" s="3399"/>
      <c r="K277" s="1131"/>
      <c r="L277" s="1132"/>
      <c r="M277" s="1132"/>
      <c r="N277" s="1130"/>
      <c r="O277" s="1130"/>
    </row>
    <row r="278" spans="2:15" ht="15.75">
      <c r="B278" s="1">
        <v>3</v>
      </c>
      <c r="C278" s="1">
        <v>3</v>
      </c>
      <c r="D278" s="954"/>
      <c r="E278" s="959"/>
      <c r="F278" s="990" t="str">
        <f>IF(F275=$S$15,$T$12,IF(ROUNDDOWN(F275,0)=$S$12,$U$12,$T$12))</f>
        <v>■レベル　3</v>
      </c>
      <c r="G278" s="3397" t="s">
        <v>727</v>
      </c>
      <c r="H278" s="3398"/>
      <c r="I278" s="3398"/>
      <c r="J278" s="3399"/>
      <c r="K278" s="1131"/>
      <c r="L278" s="1132"/>
      <c r="M278" s="1132"/>
      <c r="N278" s="1130"/>
      <c r="O278" s="1130"/>
    </row>
    <row r="279" spans="2:15" ht="15.75">
      <c r="B279" s="1" t="s">
        <v>2385</v>
      </c>
      <c r="C279" s="1">
        <v>4</v>
      </c>
      <c r="D279" s="954"/>
      <c r="E279" s="959"/>
      <c r="F279" s="990" t="str">
        <f>IF(F275=$S$15,$T$13,IF(ROUNDDOWN(F275,0)=$S$13,$U$13,$T$13))</f>
        <v>　レベル　4</v>
      </c>
      <c r="G279" s="3397" t="s">
        <v>1795</v>
      </c>
      <c r="H279" s="3398"/>
      <c r="I279" s="3398"/>
      <c r="J279" s="3399"/>
      <c r="K279" s="1131"/>
      <c r="L279" s="1132"/>
      <c r="M279" s="1132"/>
      <c r="N279" s="1130"/>
      <c r="O279" s="1130"/>
    </row>
    <row r="280" spans="2:15" ht="15.75">
      <c r="B280" s="1">
        <v>5</v>
      </c>
      <c r="C280" s="1">
        <v>5</v>
      </c>
      <c r="D280" s="954"/>
      <c r="E280" s="959"/>
      <c r="F280" s="1001" t="str">
        <f>IF(F275=$S$15,$T$14,IF(ROUNDDOWN(F275,0)=$S$14,$U$14,$T$14))</f>
        <v>　レベル　5</v>
      </c>
      <c r="G280" s="3424" t="s">
        <v>2946</v>
      </c>
      <c r="H280" s="3425"/>
      <c r="I280" s="3425"/>
      <c r="J280" s="3426"/>
      <c r="K280" s="1131"/>
      <c r="L280" s="1132"/>
      <c r="M280" s="1132"/>
      <c r="N280" s="1130"/>
      <c r="O280" s="1130"/>
    </row>
    <row r="281" spans="2:15" ht="15.75">
      <c r="B281" s="1008">
        <v>0</v>
      </c>
      <c r="C281" s="1008">
        <v>0</v>
      </c>
      <c r="D281" s="954"/>
      <c r="E281" s="959"/>
      <c r="F281" s="1129"/>
      <c r="G281" s="1130"/>
      <c r="H281" s="1111"/>
      <c r="I281" s="1130"/>
      <c r="J281" s="1130"/>
      <c r="K281" s="1131"/>
      <c r="L281" s="1132"/>
      <c r="M281" s="1132"/>
      <c r="N281" s="1130"/>
      <c r="O281" s="1130"/>
    </row>
    <row r="282" spans="2:15" ht="15.75">
      <c r="D282" s="954"/>
      <c r="E282" s="959"/>
      <c r="F282" s="965" t="s">
        <v>728</v>
      </c>
      <c r="G282" s="1045"/>
      <c r="H282" s="1094"/>
      <c r="I282" s="1074"/>
      <c r="J282" s="1048" t="e">
        <f>IF(OR(F284=0,AND(J283=0,O283=0)),$R$3,"")</f>
        <v>#DIV/0!</v>
      </c>
      <c r="K282" s="1133"/>
      <c r="L282" s="1045"/>
      <c r="M282" s="1094"/>
      <c r="N282" s="1074"/>
      <c r="O282" s="1048"/>
    </row>
    <row r="283" spans="2:15" ht="16.5" thickBot="1">
      <c r="D283" s="954"/>
      <c r="E283" s="1107"/>
      <c r="F283" s="971" t="s">
        <v>2386</v>
      </c>
      <c r="G283" s="972"/>
      <c r="H283" s="973"/>
      <c r="I283" s="974" t="s">
        <v>1125</v>
      </c>
      <c r="J283" s="977" t="e">
        <f>重み!M38</f>
        <v>#DIV/0!</v>
      </c>
      <c r="K283" s="971" t="s">
        <v>1608</v>
      </c>
      <c r="L283" s="972"/>
      <c r="M283" s="973"/>
      <c r="N283" s="974" t="s">
        <v>1125</v>
      </c>
      <c r="O283" s="977" t="e">
        <f>重み!N38</f>
        <v>#DIV/0!</v>
      </c>
    </row>
    <row r="284" spans="2:15" ht="16.5" thickBot="1">
      <c r="D284" s="954"/>
      <c r="E284" s="1107"/>
      <c r="F284" s="978">
        <v>3</v>
      </c>
      <c r="G284" s="1095" t="s">
        <v>729</v>
      </c>
      <c r="H284" s="983"/>
      <c r="I284" s="1095" t="s">
        <v>2632</v>
      </c>
      <c r="J284" s="984"/>
      <c r="K284" s="978">
        <v>3</v>
      </c>
      <c r="L284" s="1095" t="s">
        <v>730</v>
      </c>
      <c r="M284" s="984"/>
      <c r="N284" s="1095"/>
      <c r="O284" s="1100"/>
    </row>
    <row r="285" spans="2:15" ht="15.75" customHeight="1">
      <c r="B285" s="1" t="s">
        <v>2387</v>
      </c>
      <c r="C285" s="1" t="s">
        <v>2387</v>
      </c>
      <c r="D285" s="954"/>
      <c r="E285" s="1108"/>
      <c r="F285" s="985" t="str">
        <f>IF(F284=$S$15,$T$10,IF(ROUNDDOWN(F284,0)=$S$10,$U$10,$T$10))</f>
        <v>　レベル　1</v>
      </c>
      <c r="G285" s="3401" t="s">
        <v>1795</v>
      </c>
      <c r="H285" s="3402"/>
      <c r="I285" s="3401" t="s">
        <v>1795</v>
      </c>
      <c r="J285" s="3403"/>
      <c r="K285" s="985" t="str">
        <f>IF(K284=$S$15,$T$10,IF(ROUNDDOWN(K284,0)=$S$10,$U$10,$T$10))</f>
        <v>　レベル　1</v>
      </c>
      <c r="L285" s="3401" t="s">
        <v>1795</v>
      </c>
      <c r="M285" s="3427"/>
      <c r="N285" s="3427"/>
      <c r="O285" s="3402"/>
    </row>
    <row r="286" spans="2:15" ht="15.75" customHeight="1">
      <c r="B286" s="1" t="s">
        <v>2387</v>
      </c>
      <c r="C286" s="1" t="s">
        <v>2387</v>
      </c>
      <c r="D286" s="954"/>
      <c r="E286" s="1108"/>
      <c r="F286" s="990" t="str">
        <f>IF(F284=$S$15,$T$11,IF(ROUNDDOWN(F284,0)=$S$11,$U$11,$T$11))</f>
        <v>　レベル　2</v>
      </c>
      <c r="G286" s="3397" t="s">
        <v>1795</v>
      </c>
      <c r="H286" s="3404"/>
      <c r="I286" s="3397" t="s">
        <v>1795</v>
      </c>
      <c r="J286" s="3404"/>
      <c r="K286" s="990" t="str">
        <f>IF(K284=$S$15,$T$11,IF(ROUNDDOWN(K284,0)=$S$11,$U$11,$T$11))</f>
        <v>　レベル　2</v>
      </c>
      <c r="L286" s="3428" t="s">
        <v>1795</v>
      </c>
      <c r="M286" s="3429"/>
      <c r="N286" s="3429"/>
      <c r="O286" s="3430"/>
    </row>
    <row r="287" spans="2:15" ht="15.75" customHeight="1">
      <c r="B287" s="1">
        <v>3</v>
      </c>
      <c r="C287" s="1">
        <v>3</v>
      </c>
      <c r="D287" s="954"/>
      <c r="E287" s="1108"/>
      <c r="F287" s="990" t="str">
        <f>IF(F284=$S$15,$T$12,IF(ROUNDDOWN(F284,0)=$S$12,$U$12,$T$12))</f>
        <v>■レベル　3</v>
      </c>
      <c r="G287" s="3397" t="s">
        <v>731</v>
      </c>
      <c r="H287" s="3404"/>
      <c r="I287" s="3397" t="s">
        <v>2388</v>
      </c>
      <c r="J287" s="3404"/>
      <c r="K287" s="990" t="str">
        <f>IF(K284=$S$15,$T$12,IF(ROUNDDOWN(K284,0)=$S$12,$U$12,$T$12))</f>
        <v>■レベル　3</v>
      </c>
      <c r="L287" s="3428" t="s">
        <v>2388</v>
      </c>
      <c r="M287" s="3429"/>
      <c r="N287" s="3429"/>
      <c r="O287" s="3430"/>
    </row>
    <row r="288" spans="2:15" ht="15.75" customHeight="1">
      <c r="B288" s="1">
        <v>4</v>
      </c>
      <c r="C288" s="1" t="s">
        <v>2387</v>
      </c>
      <c r="D288" s="954"/>
      <c r="E288" s="1108"/>
      <c r="F288" s="990" t="str">
        <f>IF(F284=$S$15,$T$13,IF(ROUNDDOWN(F284,0)=$S$13,$U$13,$T$13))</f>
        <v>　レベル　4</v>
      </c>
      <c r="G288" s="3397" t="s">
        <v>732</v>
      </c>
      <c r="H288" s="3404"/>
      <c r="I288" s="3397" t="s">
        <v>1795</v>
      </c>
      <c r="J288" s="3404"/>
      <c r="K288" s="990" t="str">
        <f>IF(K284=$S$15,$T$13,IF(ROUNDDOWN(K284,0)=$S$13,$U$13,$T$13))</f>
        <v>　レベル　4</v>
      </c>
      <c r="L288" s="3428" t="s">
        <v>1795</v>
      </c>
      <c r="M288" s="3429"/>
      <c r="N288" s="3429"/>
      <c r="O288" s="3430"/>
    </row>
    <row r="289" spans="1:15" ht="33.75" customHeight="1">
      <c r="B289" s="1">
        <v>5</v>
      </c>
      <c r="C289" s="1">
        <v>5</v>
      </c>
      <c r="D289" s="954"/>
      <c r="E289" s="1108"/>
      <c r="F289" s="1001" t="str">
        <f>IF(F284=$S$15,$T$14,IF(ROUNDDOWN(F284,0)=$S$14,$U$14,$T$14))</f>
        <v>　レベル　5</v>
      </c>
      <c r="G289" s="3394" t="s">
        <v>2947</v>
      </c>
      <c r="H289" s="3413"/>
      <c r="I289" s="3394" t="s">
        <v>1247</v>
      </c>
      <c r="J289" s="3413"/>
      <c r="K289" s="1001" t="str">
        <f>IF(K284=$S$15,$T$14,IF(ROUNDDOWN(K284,0)=$S$14,$U$14,$T$14))</f>
        <v>　レベル　5</v>
      </c>
      <c r="L289" s="3424" t="s">
        <v>1247</v>
      </c>
      <c r="M289" s="3425"/>
      <c r="N289" s="3425"/>
      <c r="O289" s="3426"/>
    </row>
    <row r="290" spans="1:15" s="2810" customFormat="1" ht="15.95" customHeight="1">
      <c r="A290" s="2807"/>
      <c r="B290" s="1008">
        <v>0</v>
      </c>
      <c r="C290" s="1008">
        <v>0</v>
      </c>
      <c r="D290" s="2809"/>
      <c r="F290" s="2811" t="s">
        <v>3394</v>
      </c>
      <c r="G290" s="2812"/>
      <c r="H290" s="2812"/>
      <c r="I290" s="2812"/>
      <c r="J290" s="2812"/>
      <c r="K290" s="2812"/>
      <c r="L290" s="2812"/>
      <c r="M290" s="2812"/>
      <c r="N290" s="2812"/>
      <c r="O290" s="2812"/>
    </row>
    <row r="291" spans="1:15" s="2810" customFormat="1" ht="15.95" customHeight="1" thickBot="1">
      <c r="A291" s="2807"/>
      <c r="B291" s="2807"/>
      <c r="C291" s="2807"/>
      <c r="D291" s="2813"/>
      <c r="E291" s="2814"/>
      <c r="F291" s="2815" t="s">
        <v>913</v>
      </c>
      <c r="G291" s="2816"/>
      <c r="H291" s="2816"/>
      <c r="I291" s="2816"/>
      <c r="J291" s="2816"/>
      <c r="K291" s="2815" t="s">
        <v>3395</v>
      </c>
      <c r="L291" s="2816"/>
      <c r="M291" s="2816"/>
      <c r="N291" s="2816"/>
      <c r="O291" s="2817"/>
    </row>
    <row r="292" spans="1:15" s="2810" customFormat="1" ht="32.1" customHeight="1" thickBot="1">
      <c r="A292" s="2807"/>
      <c r="B292" s="2818"/>
      <c r="C292" s="2818"/>
      <c r="D292" s="2809"/>
      <c r="F292" s="2819"/>
      <c r="G292" s="3455" t="s">
        <v>3396</v>
      </c>
      <c r="H292" s="3456"/>
      <c r="I292" s="3456"/>
      <c r="J292" s="3457"/>
      <c r="K292" s="3220"/>
      <c r="L292" s="3458" t="s">
        <v>3397</v>
      </c>
      <c r="M292" s="3459"/>
      <c r="N292" s="3459"/>
      <c r="O292" s="3460"/>
    </row>
    <row r="293" spans="1:15" ht="15.75">
      <c r="D293" s="954"/>
      <c r="E293" s="955"/>
      <c r="F293" s="955"/>
      <c r="G293" s="1044"/>
      <c r="H293" s="1044"/>
      <c r="I293" s="1044"/>
      <c r="J293" s="1044"/>
      <c r="K293" s="1044"/>
      <c r="L293" s="1044"/>
      <c r="M293" s="1044"/>
      <c r="N293" s="1044"/>
      <c r="O293" s="1044"/>
    </row>
    <row r="294" spans="1:15" ht="15.75">
      <c r="D294" s="1386">
        <v>3.2</v>
      </c>
      <c r="E294" s="1091" t="s">
        <v>733</v>
      </c>
      <c r="F294" s="962"/>
      <c r="G294" s="1092"/>
      <c r="H294" s="1093"/>
      <c r="I294" s="1093"/>
      <c r="J294" s="1093"/>
      <c r="K294" s="1093"/>
      <c r="L294" s="1092"/>
      <c r="M294" s="1093"/>
      <c r="N294" s="1093"/>
      <c r="O294" s="1093"/>
    </row>
    <row r="295" spans="1:15" ht="15.75" hidden="1">
      <c r="D295" s="954"/>
      <c r="E295" s="959"/>
      <c r="F295" s="2404" t="s">
        <v>734</v>
      </c>
      <c r="G295" s="1045"/>
      <c r="H295" s="1094"/>
      <c r="I295" s="1074"/>
      <c r="J295" s="1048" t="e">
        <f>IF(OR(F297=0,AND(J296=0,O296=0)),$R$3,"")</f>
        <v>#DIV/0!</v>
      </c>
      <c r="K295" s="1133"/>
      <c r="L295" s="1045"/>
      <c r="M295" s="1094"/>
      <c r="N295" s="1074"/>
      <c r="O295" s="1048"/>
    </row>
    <row r="296" spans="1:15" ht="15.75" hidden="1">
      <c r="D296" s="954"/>
      <c r="E296" s="959"/>
      <c r="F296" s="971" t="s">
        <v>1248</v>
      </c>
      <c r="G296" s="972"/>
      <c r="H296" s="973"/>
      <c r="I296" s="974" t="s">
        <v>1125</v>
      </c>
      <c r="J296" s="977" t="e">
        <f>重み!M40</f>
        <v>#DIV/0!</v>
      </c>
      <c r="K296" s="971" t="s">
        <v>1608</v>
      </c>
      <c r="L296" s="972"/>
      <c r="M296" s="973"/>
      <c r="N296" s="974" t="s">
        <v>1125</v>
      </c>
      <c r="O296" s="977" t="e">
        <f>重み!N40</f>
        <v>#DIV/0!</v>
      </c>
    </row>
    <row r="297" spans="1:15" ht="16.5" hidden="1" thickBot="1">
      <c r="D297" s="954"/>
      <c r="E297" s="959"/>
      <c r="F297" s="978">
        <v>0</v>
      </c>
      <c r="G297" s="1095" t="s">
        <v>716</v>
      </c>
      <c r="H297" s="983"/>
      <c r="I297" s="1095"/>
      <c r="J297" s="984"/>
      <c r="K297" s="978">
        <v>0</v>
      </c>
      <c r="L297" s="1095" t="s">
        <v>730</v>
      </c>
      <c r="M297" s="984"/>
      <c r="N297" s="1095"/>
      <c r="O297" s="1100"/>
    </row>
    <row r="298" spans="1:15" ht="15.75" hidden="1">
      <c r="B298" s="1">
        <v>1</v>
      </c>
      <c r="C298" s="1">
        <v>1</v>
      </c>
      <c r="D298" s="954"/>
      <c r="E298" s="959"/>
      <c r="F298" s="985" t="str">
        <f>IF(F297=$S$15,$T$10,IF(ROUNDDOWN(F297,0)=$S$10,$U$10,$T$10))</f>
        <v>　レベル　1</v>
      </c>
      <c r="G298" s="3401" t="s">
        <v>2948</v>
      </c>
      <c r="H298" s="3427"/>
      <c r="I298" s="3427"/>
      <c r="J298" s="3402"/>
      <c r="K298" s="985" t="str">
        <f>IF(K297=$S$15,$T$10,IF(ROUNDDOWN(K297,0)=$S$10,$U$10,$T$10))</f>
        <v>　レベル　1</v>
      </c>
      <c r="L298" s="3401" t="s">
        <v>648</v>
      </c>
      <c r="M298" s="3427"/>
      <c r="N298" s="3427"/>
      <c r="O298" s="3402"/>
    </row>
    <row r="299" spans="1:15" ht="15.75" hidden="1">
      <c r="B299" s="1" t="s">
        <v>1249</v>
      </c>
      <c r="C299" s="1" t="s">
        <v>1249</v>
      </c>
      <c r="D299" s="954"/>
      <c r="E299" s="959"/>
      <c r="F299" s="990" t="str">
        <f>IF(F297=$S$15,$T$11,IF(ROUNDDOWN(F297,0)=$S$11,$U$11,$T$11))</f>
        <v>　レベル　2</v>
      </c>
      <c r="G299" s="3428" t="s">
        <v>1795</v>
      </c>
      <c r="H299" s="3429"/>
      <c r="I299" s="3429"/>
      <c r="J299" s="3430"/>
      <c r="K299" s="990" t="str">
        <f>IF(K297=$S$15,$T$11,IF(ROUNDDOWN(K297,0)=$S$11,$U$11,$T$11))</f>
        <v>　レベル　2</v>
      </c>
      <c r="L299" s="3428" t="s">
        <v>1795</v>
      </c>
      <c r="M299" s="3429"/>
      <c r="N299" s="3429"/>
      <c r="O299" s="3430"/>
    </row>
    <row r="300" spans="1:15" ht="15.75" hidden="1">
      <c r="B300" s="1">
        <v>3</v>
      </c>
      <c r="C300" s="1">
        <v>3</v>
      </c>
      <c r="D300" s="954"/>
      <c r="E300" s="959"/>
      <c r="F300" s="990" t="str">
        <f>IF(F297=$S$15,$T$12,IF(ROUNDDOWN(F297,0)=$S$12,$U$12,$T$12))</f>
        <v>　レベル　3</v>
      </c>
      <c r="G300" s="3452" t="s">
        <v>2949</v>
      </c>
      <c r="H300" s="3453"/>
      <c r="I300" s="3453"/>
      <c r="J300" s="3454"/>
      <c r="K300" s="990" t="str">
        <f>IF(K297=$S$15,$T$12,IF(ROUNDDOWN(K297,0)=$S$12,$U$12,$T$12))</f>
        <v>　レベル　3</v>
      </c>
      <c r="L300" s="3452" t="s">
        <v>1250</v>
      </c>
      <c r="M300" s="3453"/>
      <c r="N300" s="3453"/>
      <c r="O300" s="3454"/>
    </row>
    <row r="301" spans="1:15" ht="15.75" hidden="1">
      <c r="B301" s="1" t="s">
        <v>1249</v>
      </c>
      <c r="C301" s="1" t="s">
        <v>1249</v>
      </c>
      <c r="D301" s="954"/>
      <c r="E301" s="959"/>
      <c r="F301" s="990" t="str">
        <f>IF(F297=$S$15,$T$13,IF(ROUNDDOWN(F297,0)=$S$13,$U$13,$T$13))</f>
        <v>　レベル　4</v>
      </c>
      <c r="G301" s="3428" t="s">
        <v>1795</v>
      </c>
      <c r="H301" s="3429"/>
      <c r="I301" s="3429"/>
      <c r="J301" s="3430"/>
      <c r="K301" s="990" t="str">
        <f>IF(K297=$S$15,$T$13,IF(ROUNDDOWN(K297,0)=$S$13,$U$13,$T$13))</f>
        <v>　レベル　4</v>
      </c>
      <c r="L301" s="3428" t="s">
        <v>1795</v>
      </c>
      <c r="M301" s="3429"/>
      <c r="N301" s="3429"/>
      <c r="O301" s="3430"/>
    </row>
    <row r="302" spans="1:15" ht="15.75" hidden="1">
      <c r="B302" s="1">
        <v>5</v>
      </c>
      <c r="C302" s="1">
        <v>5</v>
      </c>
      <c r="D302" s="954"/>
      <c r="E302" s="959"/>
      <c r="F302" s="1001" t="str">
        <f>IF(F297=$S$15,$T$14,IF(ROUNDDOWN(F297,0)=$S$14,$U$14,$T$14))</f>
        <v>　レベル　5</v>
      </c>
      <c r="G302" s="3424" t="s">
        <v>2950</v>
      </c>
      <c r="H302" s="3425"/>
      <c r="I302" s="3425"/>
      <c r="J302" s="3426"/>
      <c r="K302" s="1001" t="str">
        <f>IF(K297=$S$15,$T$14,IF(ROUNDDOWN(K297,0)=$S$14,$U$14,$T$14))</f>
        <v>　レベル　5</v>
      </c>
      <c r="L302" s="3424" t="s">
        <v>2951</v>
      </c>
      <c r="M302" s="3425"/>
      <c r="N302" s="3425"/>
      <c r="O302" s="3426"/>
    </row>
    <row r="303" spans="1:15" ht="15.75" hidden="1">
      <c r="B303" s="1008">
        <v>0</v>
      </c>
      <c r="C303" s="1008">
        <v>0</v>
      </c>
      <c r="D303" s="954"/>
      <c r="E303" s="1161"/>
      <c r="F303" s="1161"/>
      <c r="G303" s="1162"/>
      <c r="H303" s="1162"/>
      <c r="I303" s="1162"/>
      <c r="J303" s="1162"/>
      <c r="K303" s="1162"/>
      <c r="L303" s="1162"/>
      <c r="M303" s="1162"/>
      <c r="N303" s="1162"/>
      <c r="O303" s="1162"/>
    </row>
    <row r="304" spans="1:15" ht="15.75">
      <c r="D304" s="954"/>
      <c r="E304" s="1161"/>
      <c r="F304" s="965" t="s">
        <v>2435</v>
      </c>
      <c r="G304" s="1045"/>
      <c r="H304" s="1094"/>
      <c r="I304" s="1074"/>
      <c r="J304" s="1048" t="e">
        <f>IF(OR(F306=0,AND(J305=0,O305=0)),$R$3,"")</f>
        <v>#DIV/0!</v>
      </c>
      <c r="K304" s="1133"/>
      <c r="L304" s="1045"/>
      <c r="M304" s="1094"/>
      <c r="N304" s="1074"/>
      <c r="O304" s="1048"/>
    </row>
    <row r="305" spans="1:15" ht="16.5" thickBot="1">
      <c r="D305" s="954"/>
      <c r="E305" s="1161"/>
      <c r="F305" s="971" t="s">
        <v>1085</v>
      </c>
      <c r="G305" s="972"/>
      <c r="H305" s="973"/>
      <c r="I305" s="974" t="s">
        <v>1125</v>
      </c>
      <c r="J305" s="977" t="e">
        <f>重み!M41</f>
        <v>#DIV/0!</v>
      </c>
      <c r="K305" s="971" t="s">
        <v>1608</v>
      </c>
      <c r="L305" s="972"/>
      <c r="M305" s="973"/>
      <c r="N305" s="974" t="s">
        <v>1125</v>
      </c>
      <c r="O305" s="977" t="e">
        <f>重み!N41</f>
        <v>#DIV/0!</v>
      </c>
    </row>
    <row r="306" spans="1:15" ht="16.5" thickBot="1">
      <c r="D306" s="954"/>
      <c r="E306" s="1161"/>
      <c r="F306" s="978">
        <v>3</v>
      </c>
      <c r="G306" s="1095" t="s">
        <v>371</v>
      </c>
      <c r="H306" s="983"/>
      <c r="I306" s="1095" t="s">
        <v>372</v>
      </c>
      <c r="J306" s="984"/>
      <c r="K306" s="978">
        <v>3</v>
      </c>
      <c r="L306" s="1095" t="s">
        <v>730</v>
      </c>
      <c r="M306" s="984"/>
      <c r="N306" s="1095"/>
      <c r="O306" s="1100"/>
    </row>
    <row r="307" spans="1:15" ht="15.75">
      <c r="B307" s="1">
        <v>1</v>
      </c>
      <c r="C307" s="1">
        <v>1</v>
      </c>
      <c r="D307" s="954"/>
      <c r="E307" s="1161"/>
      <c r="F307" s="985" t="str">
        <f>IF(F306=$S$15,$T$10,IF(ROUNDDOWN(F306,0)=$S$10,$U$10,$T$10))</f>
        <v>　レベル　1</v>
      </c>
      <c r="G307" s="3401" t="s">
        <v>1251</v>
      </c>
      <c r="H307" s="3402"/>
      <c r="I307" s="3401" t="s">
        <v>1251</v>
      </c>
      <c r="J307" s="3402"/>
      <c r="K307" s="985" t="str">
        <f>IF(K306=$S$15,$T$10,IF(ROUNDDOWN(K306,0)=$S$10,$U$10,$T$10))</f>
        <v>　レベル　1</v>
      </c>
      <c r="L307" s="3401" t="s">
        <v>373</v>
      </c>
      <c r="M307" s="3427"/>
      <c r="N307" s="3427"/>
      <c r="O307" s="3402"/>
    </row>
    <row r="308" spans="1:15" ht="33.75" customHeight="1">
      <c r="B308" s="1">
        <v>2</v>
      </c>
      <c r="C308" s="1" t="s">
        <v>2387</v>
      </c>
      <c r="D308" s="954"/>
      <c r="E308" s="1161"/>
      <c r="F308" s="990" t="str">
        <f>IF(F306=$S$15,$T$11,IF(ROUNDDOWN(F306,0)=$S$11,$U$11,$T$11))</f>
        <v>　レベル　2</v>
      </c>
      <c r="G308" s="3397" t="s">
        <v>2952</v>
      </c>
      <c r="H308" s="3404"/>
      <c r="I308" s="3397" t="s">
        <v>1795</v>
      </c>
      <c r="J308" s="3404"/>
      <c r="K308" s="990" t="str">
        <f>IF(K306=$S$15,$T$11,IF(ROUNDDOWN(K306,0)=$S$11,$U$11,$T$11))</f>
        <v>　レベル　2</v>
      </c>
      <c r="L308" s="3428" t="s">
        <v>1795</v>
      </c>
      <c r="M308" s="3429"/>
      <c r="N308" s="3429"/>
      <c r="O308" s="3430"/>
    </row>
    <row r="309" spans="1:15" ht="44.25" customHeight="1">
      <c r="B309" s="1">
        <v>3</v>
      </c>
      <c r="C309" s="1">
        <v>3</v>
      </c>
      <c r="D309" s="954"/>
      <c r="E309" s="1161"/>
      <c r="F309" s="990" t="str">
        <f>IF(F306=$S$15,$T$12,IF(ROUNDDOWN(F306,0)=$S$12,$U$12,$T$12))</f>
        <v>■レベル　3</v>
      </c>
      <c r="G309" s="3397" t="s">
        <v>2953</v>
      </c>
      <c r="H309" s="3404"/>
      <c r="I309" s="3397" t="s">
        <v>2954</v>
      </c>
      <c r="J309" s="3404"/>
      <c r="K309" s="990" t="str">
        <f>IF(K306=$S$15,$T$12,IF(ROUNDDOWN(K306,0)=$S$12,$U$12,$T$12))</f>
        <v>■レベル　3</v>
      </c>
      <c r="L309" s="3428" t="s">
        <v>2954</v>
      </c>
      <c r="M309" s="3429"/>
      <c r="N309" s="3429"/>
      <c r="O309" s="3430"/>
    </row>
    <row r="310" spans="1:15" ht="57" customHeight="1">
      <c r="B310" s="1">
        <v>4</v>
      </c>
      <c r="C310" s="1">
        <v>4</v>
      </c>
      <c r="D310" s="954"/>
      <c r="E310" s="1161"/>
      <c r="F310" s="990" t="str">
        <f>IF(F306=$S$15,$T$13,IF(ROUNDDOWN(F306,0)=$S$13,$U$13,$T$13))</f>
        <v>　レベル　4</v>
      </c>
      <c r="G310" s="3397" t="s">
        <v>2955</v>
      </c>
      <c r="H310" s="3404"/>
      <c r="I310" s="3397" t="s">
        <v>2956</v>
      </c>
      <c r="J310" s="3404"/>
      <c r="K310" s="990" t="str">
        <f>IF(K306=$S$15,$T$13,IF(ROUNDDOWN(K306,0)=$S$13,$U$13,$T$13))</f>
        <v>　レベル　4</v>
      </c>
      <c r="L310" s="3428" t="s">
        <v>2957</v>
      </c>
      <c r="M310" s="3429"/>
      <c r="N310" s="3429"/>
      <c r="O310" s="3430"/>
    </row>
    <row r="311" spans="1:15" ht="53.25" customHeight="1">
      <c r="B311" s="1">
        <v>5</v>
      </c>
      <c r="C311" s="1">
        <v>5</v>
      </c>
      <c r="D311" s="954"/>
      <c r="E311" s="1161"/>
      <c r="F311" s="1001" t="str">
        <f>IF(F306=$S$15,$T$14,IF(ROUNDDOWN(F306,0)=$S$14,$U$14,$T$14))</f>
        <v>　レベル　5</v>
      </c>
      <c r="G311" s="3394" t="s">
        <v>12</v>
      </c>
      <c r="H311" s="3413"/>
      <c r="I311" s="3394" t="s">
        <v>2958</v>
      </c>
      <c r="J311" s="3413"/>
      <c r="K311" s="1001" t="str">
        <f>IF(K306=$S$15,$T$14,IF(ROUNDDOWN(K306,0)=$S$14,$U$14,$T$14))</f>
        <v>　レベル　5</v>
      </c>
      <c r="L311" s="3424" t="s">
        <v>2959</v>
      </c>
      <c r="M311" s="3425"/>
      <c r="N311" s="3425"/>
      <c r="O311" s="3426"/>
    </row>
    <row r="312" spans="1:15" s="2810" customFormat="1" ht="15.95" customHeight="1">
      <c r="A312" s="2807"/>
      <c r="B312" s="1008">
        <v>0</v>
      </c>
      <c r="C312" s="1008">
        <v>0</v>
      </c>
      <c r="D312" s="2809"/>
      <c r="F312" s="2811" t="s">
        <v>3394</v>
      </c>
      <c r="G312" s="2812"/>
      <c r="H312" s="2812"/>
      <c r="I312" s="2812"/>
      <c r="J312" s="2812"/>
      <c r="K312" s="2812"/>
      <c r="L312" s="2812"/>
      <c r="M312" s="2812"/>
      <c r="N312" s="2812"/>
      <c r="O312" s="2812"/>
    </row>
    <row r="313" spans="1:15" s="2810" customFormat="1" ht="15.95" customHeight="1" thickBot="1">
      <c r="A313" s="2807"/>
      <c r="B313" s="2807"/>
      <c r="C313" s="2807"/>
      <c r="D313" s="2813"/>
      <c r="E313" s="2814"/>
      <c r="F313" s="2815" t="s">
        <v>3398</v>
      </c>
      <c r="G313" s="2816"/>
      <c r="H313" s="2816"/>
      <c r="I313" s="2816"/>
      <c r="J313" s="2816"/>
      <c r="K313" s="2815" t="s">
        <v>3399</v>
      </c>
      <c r="L313" s="2816"/>
      <c r="M313" s="2816"/>
      <c r="N313" s="2816"/>
      <c r="O313" s="2817"/>
    </row>
    <row r="314" spans="1:15" s="2810" customFormat="1" ht="32.1" customHeight="1" thickBot="1">
      <c r="A314" s="2807"/>
      <c r="B314" s="2818"/>
      <c r="C314" s="2818"/>
      <c r="D314" s="2809"/>
      <c r="F314" s="2819" t="s">
        <v>2239</v>
      </c>
      <c r="G314" s="3455" t="s">
        <v>3400</v>
      </c>
      <c r="H314" s="3456"/>
      <c r="I314" s="3456"/>
      <c r="J314" s="3457"/>
      <c r="K314" s="3220"/>
      <c r="L314" s="3458" t="s">
        <v>3397</v>
      </c>
      <c r="M314" s="3459"/>
      <c r="N314" s="3459"/>
      <c r="O314" s="3460"/>
    </row>
    <row r="315" spans="1:15" ht="15.75">
      <c r="D315" s="954"/>
      <c r="E315" s="1161"/>
      <c r="F315" s="1161"/>
      <c r="G315" s="1162"/>
      <c r="H315" s="1162"/>
      <c r="I315" s="1162"/>
      <c r="J315" s="1162"/>
      <c r="K315" s="1162"/>
      <c r="L315" s="1162"/>
      <c r="M315" s="1162"/>
      <c r="N315" s="1162"/>
      <c r="O315" s="1162"/>
    </row>
    <row r="316" spans="1:15" ht="15.75">
      <c r="D316" s="954"/>
      <c r="E316" s="1161"/>
      <c r="F316" s="965" t="s">
        <v>2436</v>
      </c>
      <c r="G316" s="1045"/>
      <c r="H316" s="1094"/>
      <c r="I316" s="1074"/>
      <c r="J316" s="1048" t="e">
        <f>IF(OR(F318=0,J317=0),$R$3,"")</f>
        <v>#DIV/0!</v>
      </c>
      <c r="K316" s="1162"/>
      <c r="L316" s="1162"/>
      <c r="M316" s="1162"/>
      <c r="N316" s="1162"/>
      <c r="O316" s="1162"/>
    </row>
    <row r="317" spans="1:15" ht="16.5" thickBot="1">
      <c r="B317" s="1163" t="s">
        <v>622</v>
      </c>
      <c r="D317" s="954"/>
      <c r="E317" s="1161"/>
      <c r="F317" s="971" t="s">
        <v>219</v>
      </c>
      <c r="G317" s="972"/>
      <c r="H317" s="973"/>
      <c r="I317" s="974" t="s">
        <v>1125</v>
      </c>
      <c r="J317" s="977" t="e">
        <f>重み!M42</f>
        <v>#DIV/0!</v>
      </c>
      <c r="K317" s="1162"/>
      <c r="L317" s="1162"/>
      <c r="M317" s="1162"/>
      <c r="N317" s="1162"/>
      <c r="O317" s="1162"/>
    </row>
    <row r="318" spans="1:15" ht="16.5" thickBot="1">
      <c r="D318" s="954"/>
      <c r="E318" s="1161"/>
      <c r="F318" s="978">
        <v>3</v>
      </c>
      <c r="G318" s="1095" t="s">
        <v>375</v>
      </c>
      <c r="H318" s="983"/>
      <c r="I318" s="983"/>
      <c r="J318" s="984"/>
      <c r="K318" s="1162"/>
      <c r="L318" s="1162"/>
      <c r="M318" s="1162"/>
      <c r="N318" s="1162"/>
      <c r="O318" s="1162"/>
    </row>
    <row r="319" spans="1:15" ht="15.75">
      <c r="B319" s="1">
        <v>1</v>
      </c>
      <c r="C319" s="1">
        <v>1</v>
      </c>
      <c r="D319" s="954"/>
      <c r="E319" s="1161"/>
      <c r="F319" s="985" t="str">
        <f>IF(F318=$S$15,$T$10,IF(ROUNDDOWN(F318,0)=$S$10,$U$10,$T$10))</f>
        <v>　レベル　1</v>
      </c>
      <c r="G319" s="3401" t="s">
        <v>1252</v>
      </c>
      <c r="H319" s="3427"/>
      <c r="I319" s="3427"/>
      <c r="J319" s="3402"/>
      <c r="K319" s="1162"/>
      <c r="L319" s="1162"/>
      <c r="M319" s="1162"/>
      <c r="N319" s="1162"/>
      <c r="O319" s="1162"/>
    </row>
    <row r="320" spans="1:15" ht="15.75">
      <c r="B320" s="1" t="s">
        <v>2387</v>
      </c>
      <c r="C320" s="1">
        <v>2</v>
      </c>
      <c r="D320" s="954"/>
      <c r="E320" s="1161"/>
      <c r="F320" s="990" t="str">
        <f>IF(F318=$S$15,$T$11,IF(ROUNDDOWN(F318,0)=$S$11,$U$11,$T$11))</f>
        <v>　レベル　2</v>
      </c>
      <c r="G320" s="3428" t="s">
        <v>1795</v>
      </c>
      <c r="H320" s="3429"/>
      <c r="I320" s="3429"/>
      <c r="J320" s="3430"/>
      <c r="K320" s="1162"/>
      <c r="L320" s="1162"/>
      <c r="M320" s="1162"/>
      <c r="N320" s="1162"/>
      <c r="O320" s="1162"/>
    </row>
    <row r="321" spans="2:15" ht="45.75" customHeight="1">
      <c r="B321" s="1">
        <v>3</v>
      </c>
      <c r="C321" s="1">
        <v>3</v>
      </c>
      <c r="D321" s="954"/>
      <c r="E321" s="1161"/>
      <c r="F321" s="990" t="str">
        <f>IF(F318=$S$15,$T$12,IF(ROUNDDOWN(F318,0)=$S$12,$U$12,$T$12))</f>
        <v>■レベル　3</v>
      </c>
      <c r="G321" s="3428" t="s">
        <v>1253</v>
      </c>
      <c r="H321" s="3429"/>
      <c r="I321" s="3429"/>
      <c r="J321" s="3430"/>
      <c r="K321" s="1162"/>
      <c r="L321" s="1162"/>
      <c r="M321" s="1162"/>
      <c r="N321" s="1162"/>
      <c r="O321" s="1162"/>
    </row>
    <row r="322" spans="2:15" ht="15.75">
      <c r="B322" s="1" t="s">
        <v>2387</v>
      </c>
      <c r="C322" s="1">
        <v>4</v>
      </c>
      <c r="D322" s="954"/>
      <c r="E322" s="1161"/>
      <c r="F322" s="990" t="str">
        <f>IF(F318=$S$15,$T$13,IF(ROUNDDOWN(F318,0)=$S$13,$U$13,$T$13))</f>
        <v>　レベル　4</v>
      </c>
      <c r="G322" s="3428" t="s">
        <v>1795</v>
      </c>
      <c r="H322" s="3429"/>
      <c r="I322" s="3429"/>
      <c r="J322" s="3430"/>
      <c r="K322" s="1162"/>
      <c r="L322" s="1162"/>
      <c r="M322" s="1162"/>
      <c r="N322" s="1162"/>
      <c r="O322" s="1162"/>
    </row>
    <row r="323" spans="2:15" ht="37.5" customHeight="1">
      <c r="B323" s="1">
        <v>5</v>
      </c>
      <c r="C323" s="1">
        <v>5</v>
      </c>
      <c r="D323" s="954"/>
      <c r="E323" s="1161"/>
      <c r="F323" s="1001" t="str">
        <f>IF(F318=$S$15,$T$14,IF(ROUNDDOWN(F318,0)=$S$14,$U$14,$T$14))</f>
        <v>　レベル　5</v>
      </c>
      <c r="G323" s="3424" t="s">
        <v>3349</v>
      </c>
      <c r="H323" s="3425"/>
      <c r="I323" s="3425"/>
      <c r="J323" s="3426"/>
      <c r="K323" s="1162"/>
      <c r="L323" s="1162"/>
      <c r="M323" s="1162"/>
      <c r="N323" s="1162"/>
      <c r="O323" s="1162"/>
    </row>
    <row r="324" spans="2:15" ht="15.75">
      <c r="B324" s="1008">
        <v>0</v>
      </c>
      <c r="C324" s="1008">
        <v>0</v>
      </c>
      <c r="D324" s="954"/>
      <c r="E324" s="1161"/>
      <c r="F324" s="1161"/>
      <c r="G324" s="1164" t="s">
        <v>376</v>
      </c>
      <c r="H324" s="1165"/>
      <c r="I324" s="1165"/>
      <c r="J324" s="1165"/>
      <c r="K324" s="1165"/>
      <c r="L324" s="1165"/>
      <c r="M324" s="1162"/>
      <c r="N324" s="1162"/>
      <c r="O324" s="1162"/>
    </row>
    <row r="325" spans="2:15" ht="15.75">
      <c r="D325" s="954"/>
      <c r="E325" s="1161"/>
      <c r="F325" s="1161"/>
      <c r="G325" s="1166" t="s">
        <v>377</v>
      </c>
      <c r="H325" s="1166" t="s">
        <v>1254</v>
      </c>
      <c r="I325" s="1167"/>
      <c r="J325" s="1167"/>
      <c r="K325" s="1167"/>
      <c r="L325" s="1167"/>
      <c r="M325" s="1168"/>
      <c r="N325" s="1162"/>
      <c r="O325" s="1162"/>
    </row>
    <row r="326" spans="2:15" ht="15.75">
      <c r="D326" s="954"/>
      <c r="E326" s="1161"/>
      <c r="F326" s="1161"/>
      <c r="G326" s="1166" t="s">
        <v>378</v>
      </c>
      <c r="H326" s="1166" t="s">
        <v>2960</v>
      </c>
      <c r="I326" s="1167"/>
      <c r="J326" s="1167"/>
      <c r="K326" s="1167"/>
      <c r="L326" s="1167"/>
      <c r="M326" s="1168"/>
      <c r="N326" s="1162"/>
      <c r="O326" s="1162"/>
    </row>
    <row r="327" spans="2:15" ht="15.75">
      <c r="D327" s="954"/>
      <c r="E327" s="1161"/>
      <c r="F327" s="1161"/>
      <c r="G327" s="1166" t="s">
        <v>379</v>
      </c>
      <c r="H327" s="1166" t="s">
        <v>2961</v>
      </c>
      <c r="I327" s="1167"/>
      <c r="J327" s="1167"/>
      <c r="K327" s="1167"/>
      <c r="L327" s="1167"/>
      <c r="M327" s="1168"/>
      <c r="N327" s="1162"/>
      <c r="O327" s="1162"/>
    </row>
    <row r="328" spans="2:15" ht="15.75">
      <c r="D328" s="954"/>
      <c r="E328" s="1161"/>
      <c r="F328" s="1161"/>
      <c r="G328" s="1166" t="s">
        <v>380</v>
      </c>
      <c r="H328" s="1166" t="s">
        <v>2962</v>
      </c>
      <c r="I328" s="1166"/>
      <c r="J328" s="1167"/>
      <c r="K328" s="1167"/>
      <c r="L328" s="1167"/>
      <c r="M328" s="1168"/>
      <c r="N328" s="1162"/>
      <c r="O328" s="1162"/>
    </row>
    <row r="329" spans="2:15" ht="14.25">
      <c r="D329" s="2454"/>
      <c r="E329" s="1169"/>
      <c r="F329" s="962"/>
      <c r="G329" s="1092"/>
      <c r="H329" s="1093"/>
      <c r="I329" s="1093"/>
      <c r="J329" s="1093"/>
      <c r="K329" s="1093"/>
      <c r="L329" s="1092"/>
      <c r="M329" s="1093"/>
      <c r="N329" s="1093"/>
      <c r="O329" s="1162"/>
    </row>
    <row r="330" spans="2:15" ht="15.75">
      <c r="D330" s="1386">
        <v>3.3</v>
      </c>
      <c r="E330" s="1091" t="s">
        <v>802</v>
      </c>
      <c r="F330" s="1113"/>
      <c r="G330" s="1045"/>
      <c r="H330" s="1045"/>
      <c r="I330" s="1094"/>
      <c r="J330" s="1048" t="e">
        <f>IF(OR(F332=0,AND(J331=0,O331=0)),$R$3,"")</f>
        <v>#DIV/0!</v>
      </c>
      <c r="K330" s="1074"/>
      <c r="L330" s="1074"/>
      <c r="M330" s="1044"/>
      <c r="N330" s="1074"/>
      <c r="O330" s="1074"/>
    </row>
    <row r="331" spans="2:15" ht="16.5" thickBot="1">
      <c r="D331" s="954"/>
      <c r="E331" s="959"/>
      <c r="F331" s="2427" t="s">
        <v>1255</v>
      </c>
      <c r="G331" s="1115"/>
      <c r="H331" s="1116"/>
      <c r="I331" s="974" t="s">
        <v>1125</v>
      </c>
      <c r="J331" s="972" t="e">
        <f>重み!M43</f>
        <v>#DIV/0!</v>
      </c>
      <c r="K331" s="1115"/>
      <c r="L331" s="1117"/>
      <c r="M331" s="2428" t="s">
        <v>1608</v>
      </c>
      <c r="N331" s="974" t="s">
        <v>1125</v>
      </c>
      <c r="O331" s="976" t="e">
        <f>重み!N43</f>
        <v>#DIV/0!</v>
      </c>
    </row>
    <row r="332" spans="2:15" ht="16.5" thickBot="1">
      <c r="D332" s="954"/>
      <c r="E332" s="959"/>
      <c r="F332" s="978">
        <v>3</v>
      </c>
      <c r="G332" s="1095" t="s">
        <v>381</v>
      </c>
      <c r="H332" s="984"/>
      <c r="I332" s="1100" t="s">
        <v>1256</v>
      </c>
      <c r="J332" s="1119" t="s">
        <v>1257</v>
      </c>
      <c r="K332" s="1119" t="s">
        <v>1258</v>
      </c>
      <c r="L332" s="1120" t="s">
        <v>1553</v>
      </c>
      <c r="M332" s="978">
        <v>3</v>
      </c>
      <c r="N332" s="1095" t="s">
        <v>1259</v>
      </c>
      <c r="O332" s="1121" t="s">
        <v>382</v>
      </c>
    </row>
    <row r="333" spans="2:15" ht="22.5" customHeight="1">
      <c r="B333" s="1">
        <v>1</v>
      </c>
      <c r="C333" s="1">
        <v>1</v>
      </c>
      <c r="D333" s="954"/>
      <c r="E333" s="959"/>
      <c r="F333" s="985" t="str">
        <f>IF(F332=$S$15,$T$10,IF(ROUNDDOWN(F332,0)=$S$10,$U$10,$T$10))</f>
        <v>　レベル　1</v>
      </c>
      <c r="G333" s="3401" t="s">
        <v>1477</v>
      </c>
      <c r="H333" s="3402"/>
      <c r="I333" s="1170" t="s">
        <v>872</v>
      </c>
      <c r="J333" s="1052" t="s">
        <v>873</v>
      </c>
      <c r="K333" s="1170" t="s">
        <v>874</v>
      </c>
      <c r="L333" s="1170" t="s">
        <v>874</v>
      </c>
      <c r="M333" s="985" t="str">
        <f>IF(M332=$S$15,$T$10,IF(ROUNDDOWN(M332,0)=$S$10,$U$10,$T$10))</f>
        <v>　レベル　1</v>
      </c>
      <c r="N333" s="986" t="s">
        <v>875</v>
      </c>
      <c r="O333" s="1171" t="s">
        <v>874</v>
      </c>
    </row>
    <row r="334" spans="2:15" ht="32.25" customHeight="1">
      <c r="B334" s="1">
        <v>2</v>
      </c>
      <c r="C334" s="1" t="s">
        <v>2385</v>
      </c>
      <c r="D334" s="954"/>
      <c r="E334" s="959"/>
      <c r="F334" s="990" t="str">
        <f>IF(F332=$S$15,$T$11,IF(ROUNDDOWN(F332,0)=$S$11,$U$11,$T$11))</f>
        <v>　レベル　2</v>
      </c>
      <c r="G334" s="3397" t="s">
        <v>2963</v>
      </c>
      <c r="H334" s="3399"/>
      <c r="I334" s="1172" t="s">
        <v>1795</v>
      </c>
      <c r="J334" s="1172" t="s">
        <v>1795</v>
      </c>
      <c r="K334" s="1172" t="s">
        <v>1795</v>
      </c>
      <c r="L334" s="1172" t="s">
        <v>1795</v>
      </c>
      <c r="M334" s="990" t="str">
        <f>IF(M332=$S$15,$T$11,IF(ROUNDDOWN(M332,0)=$S$11,$U$11,$T$11))</f>
        <v>　レベル　2</v>
      </c>
      <c r="N334" s="1172" t="s">
        <v>1795</v>
      </c>
      <c r="O334" s="1172" t="s">
        <v>1795</v>
      </c>
    </row>
    <row r="335" spans="2:15" ht="93.75" customHeight="1">
      <c r="B335" s="1">
        <v>3</v>
      </c>
      <c r="C335" s="1">
        <v>3</v>
      </c>
      <c r="D335" s="954"/>
      <c r="E335" s="959"/>
      <c r="F335" s="990" t="str">
        <f>IF(F332=$S$15,$T$12,IF(ROUNDDOWN(F332,0)=$S$12,$U$12,$T$12))</f>
        <v>■レベル　3</v>
      </c>
      <c r="G335" s="3397" t="s">
        <v>2964</v>
      </c>
      <c r="H335" s="3399"/>
      <c r="I335" s="1173" t="s">
        <v>2965</v>
      </c>
      <c r="J335" s="993" t="s">
        <v>876</v>
      </c>
      <c r="K335" s="1173" t="s">
        <v>877</v>
      </c>
      <c r="L335" s="1173" t="s">
        <v>877</v>
      </c>
      <c r="M335" s="990" t="str">
        <f>IF(M332=$S$15,$T$12,IF(ROUNDDOWN(M332,0)=$S$12,$U$12,$T$12))</f>
        <v>■レベル　3</v>
      </c>
      <c r="N335" s="993" t="s">
        <v>876</v>
      </c>
      <c r="O335" s="997" t="s">
        <v>877</v>
      </c>
    </row>
    <row r="336" spans="2:15" ht="99" customHeight="1">
      <c r="B336" s="1">
        <v>4</v>
      </c>
      <c r="C336" s="1">
        <v>4</v>
      </c>
      <c r="D336" s="954"/>
      <c r="E336" s="959"/>
      <c r="F336" s="990" t="str">
        <f>IF(F332=$S$15,$T$13,IF(ROUNDDOWN(F332,0)=$S$13,$U$13,$T$13))</f>
        <v>　レベル　4</v>
      </c>
      <c r="G336" s="3397" t="s">
        <v>2966</v>
      </c>
      <c r="H336" s="3399"/>
      <c r="I336" s="1174" t="s">
        <v>878</v>
      </c>
      <c r="J336" s="998" t="s">
        <v>2967</v>
      </c>
      <c r="K336" s="1172" t="s">
        <v>1795</v>
      </c>
      <c r="L336" s="1174" t="s">
        <v>2968</v>
      </c>
      <c r="M336" s="990" t="str">
        <f>IF(M332=$S$15,$T$13,IF(ROUNDDOWN(M332,0)=$S$13,$U$13,$T$13))</f>
        <v>　レベル　4</v>
      </c>
      <c r="N336" s="993" t="s">
        <v>2968</v>
      </c>
      <c r="O336" s="1172" t="s">
        <v>1795</v>
      </c>
    </row>
    <row r="337" spans="2:15" ht="94.5" customHeight="1">
      <c r="B337" s="1">
        <v>5</v>
      </c>
      <c r="C337" s="1">
        <v>5</v>
      </c>
      <c r="D337" s="954"/>
      <c r="E337" s="959"/>
      <c r="F337" s="1001" t="str">
        <f>IF(F332=$S$15,$T$14,IF(ROUNDDOWN(F332,0)=$S$14,$U$14,$T$14))</f>
        <v>　レベル　5</v>
      </c>
      <c r="G337" s="3394" t="s">
        <v>2969</v>
      </c>
      <c r="H337" s="3400"/>
      <c r="I337" s="1175" t="s">
        <v>1795</v>
      </c>
      <c r="J337" s="1175" t="s">
        <v>1795</v>
      </c>
      <c r="K337" s="1175" t="s">
        <v>1795</v>
      </c>
      <c r="L337" s="1175" t="s">
        <v>1795</v>
      </c>
      <c r="M337" s="1001" t="str">
        <f>IF(M332=$S$15,$T$14,IF(ROUNDDOWN(M332,0)=$S$14,$U$14,$T$14))</f>
        <v>　レベル　5</v>
      </c>
      <c r="N337" s="1175" t="s">
        <v>1795</v>
      </c>
      <c r="O337" s="1139" t="s">
        <v>2970</v>
      </c>
    </row>
    <row r="338" spans="2:15" ht="15.75" hidden="1">
      <c r="B338" s="1008">
        <v>0</v>
      </c>
      <c r="C338" s="1008">
        <v>0</v>
      </c>
      <c r="D338" s="954"/>
      <c r="E338" s="1161"/>
      <c r="F338" s="1161"/>
      <c r="G338" s="1162"/>
      <c r="H338" s="1162"/>
      <c r="I338" s="1162"/>
      <c r="J338" s="1162"/>
      <c r="K338" s="1176"/>
      <c r="L338" s="1176"/>
      <c r="M338" s="1176"/>
      <c r="N338" s="1176"/>
      <c r="O338" s="1176"/>
    </row>
    <row r="339" spans="2:15" ht="15.75" hidden="1">
      <c r="D339" s="954"/>
      <c r="E339" s="1161"/>
      <c r="F339" s="1113" t="s">
        <v>2406</v>
      </c>
      <c r="G339" s="1177"/>
      <c r="H339" s="1178"/>
      <c r="I339" s="1179" t="s">
        <v>1125</v>
      </c>
      <c r="J339" s="976" t="e">
        <f>重み!M45</f>
        <v>#DIV/0!</v>
      </c>
      <c r="K339" s="1074"/>
      <c r="L339" s="1177"/>
      <c r="M339" s="1178"/>
      <c r="N339" s="1179" t="s">
        <v>1125</v>
      </c>
      <c r="O339" s="976" t="e">
        <f>重み!N45</f>
        <v>#DIV/0!</v>
      </c>
    </row>
    <row r="340" spans="2:15" ht="15.75" hidden="1">
      <c r="D340" s="954"/>
      <c r="E340" s="1161"/>
      <c r="F340" s="3450">
        <v>3</v>
      </c>
      <c r="G340" s="1180" t="s">
        <v>1637</v>
      </c>
      <c r="H340" s="973"/>
      <c r="I340" s="973"/>
      <c r="J340" s="1180"/>
      <c r="K340" s="3450">
        <v>3</v>
      </c>
      <c r="L340" s="1181" t="s">
        <v>1608</v>
      </c>
      <c r="M340" s="1101"/>
      <c r="N340" s="983"/>
      <c r="O340" s="984"/>
    </row>
    <row r="341" spans="2:15" ht="16.5" hidden="1" thickBot="1">
      <c r="D341" s="954"/>
      <c r="E341" s="1161"/>
      <c r="F341" s="3451"/>
      <c r="G341" s="1095" t="s">
        <v>2407</v>
      </c>
      <c r="H341" s="984"/>
      <c r="I341" s="1095"/>
      <c r="J341" s="1100"/>
      <c r="K341" s="3451"/>
      <c r="L341" s="1095" t="s">
        <v>879</v>
      </c>
      <c r="M341" s="984"/>
      <c r="N341" s="1095"/>
      <c r="O341" s="1100"/>
    </row>
    <row r="342" spans="2:15" ht="15.75" hidden="1" customHeight="1">
      <c r="D342" s="954"/>
      <c r="E342" s="1161"/>
      <c r="F342" s="1182" t="str">
        <f>IF(F340=$S$15,$T$10,IF(ROUNDDOWN(F340,0)=$S$10,$U$10,$T$10))</f>
        <v>　レベル　1</v>
      </c>
      <c r="G342" s="3401" t="s">
        <v>1546</v>
      </c>
      <c r="H342" s="3427"/>
      <c r="I342" s="3427"/>
      <c r="J342" s="3402"/>
      <c r="K342" s="985" t="str">
        <f>IF(K340=$S$15,$T$10,IF(ROUNDDOWN(K340,0)=$S$10,$U$10,$T$10))</f>
        <v>　レベル　1</v>
      </c>
      <c r="L342" s="3401" t="s">
        <v>1546</v>
      </c>
      <c r="M342" s="3427"/>
      <c r="N342" s="3427"/>
      <c r="O342" s="3402"/>
    </row>
    <row r="343" spans="2:15" ht="15.75" hidden="1" customHeight="1">
      <c r="D343" s="954"/>
      <c r="E343" s="1161"/>
      <c r="F343" s="1183" t="str">
        <f>IF(F340=$S$15,$T$11,IF(ROUNDDOWN(F340,0)=$S$11,$U$11,$T$11))</f>
        <v>　レベル　2</v>
      </c>
      <c r="G343" s="3428" t="s">
        <v>2045</v>
      </c>
      <c r="H343" s="3429"/>
      <c r="I343" s="3429"/>
      <c r="J343" s="3430"/>
      <c r="K343" s="990" t="str">
        <f>IF(K340=$S$15,$T$11,IF(ROUNDDOWN(K340,0)=$S$11,$U$11,$T$11))</f>
        <v>　レベル　2</v>
      </c>
      <c r="L343" s="3428" t="s">
        <v>2045</v>
      </c>
      <c r="M343" s="3429"/>
      <c r="N343" s="3429"/>
      <c r="O343" s="3430"/>
    </row>
    <row r="344" spans="2:15" ht="36.75" hidden="1" customHeight="1">
      <c r="D344" s="954"/>
      <c r="E344" s="1161"/>
      <c r="F344" s="1183" t="str">
        <f>IF(F340=$S$15,$T$12,IF(ROUNDDOWN(F340,0)=$S$12,$U$12,$T$12))</f>
        <v>■レベル　3</v>
      </c>
      <c r="G344" s="3428" t="s">
        <v>2408</v>
      </c>
      <c r="H344" s="3429"/>
      <c r="I344" s="3429"/>
      <c r="J344" s="3430"/>
      <c r="K344" s="990" t="str">
        <f>IF(K340=$S$15,$T$12,IF(ROUNDDOWN(K340,0)=$S$12,$U$12,$T$12))</f>
        <v>■レベル　3</v>
      </c>
      <c r="L344" s="3428" t="s">
        <v>2408</v>
      </c>
      <c r="M344" s="3429"/>
      <c r="N344" s="3429"/>
      <c r="O344" s="3430"/>
    </row>
    <row r="345" spans="2:15" ht="15.75" hidden="1">
      <c r="D345" s="954"/>
      <c r="E345" s="1161"/>
      <c r="F345" s="1183" t="str">
        <f>IF(F340=$S$15,$T$13,IF(ROUNDDOWN(F340,0)=$S$13,$U$13,$T$13))</f>
        <v>　レベル　4</v>
      </c>
      <c r="G345" s="3428" t="s">
        <v>2046</v>
      </c>
      <c r="H345" s="3429"/>
      <c r="I345" s="3429"/>
      <c r="J345" s="3430"/>
      <c r="K345" s="990" t="str">
        <f>IF(K340=$S$15,$T$13,IF(ROUNDDOWN(K340,0)=$S$13,$U$13,$T$13))</f>
        <v>　レベル　4</v>
      </c>
      <c r="L345" s="3428" t="s">
        <v>2046</v>
      </c>
      <c r="M345" s="3429"/>
      <c r="N345" s="3429"/>
      <c r="O345" s="3430"/>
    </row>
    <row r="346" spans="2:15" ht="36.75" hidden="1" customHeight="1">
      <c r="D346" s="954"/>
      <c r="E346" s="1161"/>
      <c r="F346" s="1184" t="str">
        <f>IF(F340=$S$15,$T$14,IF(ROUNDDOWN(F340,0)=$S$14,$U$14,$T$14))</f>
        <v>　レベル　5</v>
      </c>
      <c r="G346" s="3424" t="s">
        <v>2409</v>
      </c>
      <c r="H346" s="3425"/>
      <c r="I346" s="3425"/>
      <c r="J346" s="3426"/>
      <c r="K346" s="1001" t="str">
        <f>IF(K340=$S$15,$T$14,IF(ROUNDDOWN(K340,0)=$S$14,$U$14,$T$14))</f>
        <v>　レベル　5</v>
      </c>
      <c r="L346" s="3424" t="s">
        <v>2409</v>
      </c>
      <c r="M346" s="3425"/>
      <c r="N346" s="3425"/>
      <c r="O346" s="3426"/>
    </row>
    <row r="347" spans="2:15" ht="15.75">
      <c r="D347" s="954"/>
      <c r="E347" s="1161"/>
      <c r="F347" s="1161"/>
      <c r="G347" s="1162"/>
      <c r="H347" s="1162"/>
      <c r="I347" s="1162"/>
      <c r="J347" s="1162"/>
      <c r="K347" s="1176"/>
      <c r="L347" s="1162"/>
      <c r="M347" s="1162"/>
      <c r="N347" s="1162"/>
      <c r="O347" s="1162"/>
    </row>
    <row r="348" spans="2:15" ht="15.75">
      <c r="D348" s="1386">
        <v>3.4</v>
      </c>
      <c r="E348" s="961" t="s">
        <v>804</v>
      </c>
      <c r="F348" s="965"/>
      <c r="G348" s="1045"/>
      <c r="H348" s="1094"/>
      <c r="I348" s="1074"/>
      <c r="J348" s="1048" t="e">
        <f>IF(OR(F350=0,AND(J349=0,O349=0)),$R$3,"")</f>
        <v>#DIV/0!</v>
      </c>
      <c r="K348" s="1133"/>
      <c r="L348" s="1045"/>
      <c r="M348" s="1094"/>
      <c r="N348" s="1074"/>
      <c r="O348" s="1048"/>
    </row>
    <row r="349" spans="2:15" ht="16.5" thickBot="1">
      <c r="D349" s="954"/>
      <c r="E349" s="952"/>
      <c r="F349" s="971" t="s">
        <v>1085</v>
      </c>
      <c r="G349" s="972"/>
      <c r="H349" s="973"/>
      <c r="I349" s="974" t="s">
        <v>1125</v>
      </c>
      <c r="J349" s="977" t="e">
        <f>重み!M46</f>
        <v>#DIV/0!</v>
      </c>
      <c r="K349" s="971" t="s">
        <v>1608</v>
      </c>
      <c r="L349" s="972"/>
      <c r="M349" s="973"/>
      <c r="N349" s="974" t="s">
        <v>1125</v>
      </c>
      <c r="O349" s="977" t="e">
        <f>重み!N46</f>
        <v>#DIV/0!</v>
      </c>
    </row>
    <row r="350" spans="2:15" ht="16.5" thickBot="1">
      <c r="D350" s="954"/>
      <c r="E350" s="952"/>
      <c r="F350" s="978">
        <v>3</v>
      </c>
      <c r="G350" s="1095" t="s">
        <v>2410</v>
      </c>
      <c r="H350" s="983"/>
      <c r="I350" s="1121" t="s">
        <v>1128</v>
      </c>
      <c r="J350" s="984"/>
      <c r="K350" s="978">
        <v>3</v>
      </c>
      <c r="L350" s="1095" t="s">
        <v>2047</v>
      </c>
      <c r="M350" s="984"/>
      <c r="N350" s="1095" t="s">
        <v>382</v>
      </c>
      <c r="O350" s="1100"/>
    </row>
    <row r="351" spans="2:15" ht="15.75" hidden="1">
      <c r="B351" s="1">
        <v>1</v>
      </c>
      <c r="C351" s="1">
        <v>1</v>
      </c>
      <c r="D351" s="954"/>
      <c r="E351" s="952"/>
      <c r="F351" s="1134"/>
      <c r="G351" s="1095" t="s">
        <v>1045</v>
      </c>
      <c r="H351" s="983"/>
      <c r="I351" s="983"/>
      <c r="J351" s="984"/>
      <c r="K351" s="1134"/>
      <c r="L351" s="983" t="s">
        <v>1045</v>
      </c>
      <c r="M351" s="1101"/>
      <c r="N351" s="1101"/>
      <c r="O351" s="1102"/>
    </row>
    <row r="352" spans="2:15" ht="36.75" hidden="1" customHeight="1">
      <c r="B352" s="1" t="s">
        <v>2385</v>
      </c>
      <c r="C352" s="1" t="s">
        <v>2385</v>
      </c>
      <c r="D352" s="954"/>
      <c r="E352" s="952"/>
      <c r="F352" s="990" t="str">
        <f>IF(F350=$S$15,$T$10,IF(AND($O$3=$U$3,ROUNDDOWN(F350,0)=$S$10),$U$10,$T$10))</f>
        <v>　レベル　1</v>
      </c>
      <c r="G352" s="3401" t="s">
        <v>2048</v>
      </c>
      <c r="H352" s="3427"/>
      <c r="I352" s="3401" t="s">
        <v>2411</v>
      </c>
      <c r="J352" s="3402"/>
      <c r="K352" s="990" t="str">
        <f>IF(K350=$S$15,$T$10,IF(AND($O$3=$U$3,ROUNDDOWN(K350,0)=$S$10),$U$10,$T$10))</f>
        <v>　レベル　1</v>
      </c>
      <c r="L352" s="3401" t="s">
        <v>2412</v>
      </c>
      <c r="M352" s="3402"/>
      <c r="N352" s="3401" t="s">
        <v>2412</v>
      </c>
      <c r="O352" s="3403"/>
    </row>
    <row r="353" spans="2:15" ht="15.75" hidden="1">
      <c r="B353" s="1">
        <v>3</v>
      </c>
      <c r="C353" s="1">
        <v>3</v>
      </c>
      <c r="D353" s="954"/>
      <c r="E353" s="952"/>
      <c r="F353" s="990" t="str">
        <f>IF(F350=$S$15,$T$11,IF(AND($O$3=$U$3,ROUNDDOWN(F350,0)=$S$11),$U$11,$T$11))</f>
        <v>　レベル　2</v>
      </c>
      <c r="G353" s="3397" t="s">
        <v>1795</v>
      </c>
      <c r="H353" s="3398"/>
      <c r="I353" s="3397" t="s">
        <v>1795</v>
      </c>
      <c r="J353" s="3404"/>
      <c r="K353" s="990" t="str">
        <f>IF(K350=$S$15,$T$11,IF(AND($O$3=$U$3,ROUNDDOWN(K350,0)=$S$11),$U$11,$T$11))</f>
        <v>　レベル　2</v>
      </c>
      <c r="L353" s="3397" t="s">
        <v>1795</v>
      </c>
      <c r="M353" s="3404"/>
      <c r="N353" s="3397" t="s">
        <v>1795</v>
      </c>
      <c r="O353" s="3404"/>
    </row>
    <row r="354" spans="2:15" ht="42" hidden="1" customHeight="1">
      <c r="B354" s="1" t="s">
        <v>2385</v>
      </c>
      <c r="C354" s="1" t="s">
        <v>2385</v>
      </c>
      <c r="D354" s="954"/>
      <c r="E354" s="952"/>
      <c r="F354" s="990" t="str">
        <f>IF(F350=$S$15,$T$12,IF(AND($O$3=$U$3,ROUNDDOWN(F350,0)=$S$12),$U$12,$T$12))</f>
        <v>　レベル　3</v>
      </c>
      <c r="G354" s="3397" t="s">
        <v>2049</v>
      </c>
      <c r="H354" s="3398"/>
      <c r="I354" s="3397" t="s">
        <v>2971</v>
      </c>
      <c r="J354" s="3404"/>
      <c r="K354" s="990" t="str">
        <f>IF(K350=$S$15,$T$12,IF(AND($O$3=$U$3,ROUNDDOWN(K350,0)=$S$12),$U$12,$T$12))</f>
        <v>　レベル　3</v>
      </c>
      <c r="L354" s="3397" t="s">
        <v>2413</v>
      </c>
      <c r="M354" s="3404"/>
      <c r="N354" s="3397" t="s">
        <v>2414</v>
      </c>
      <c r="O354" s="3404"/>
    </row>
    <row r="355" spans="2:15" ht="15.75" hidden="1">
      <c r="B355" s="1">
        <v>5</v>
      </c>
      <c r="C355" s="1">
        <v>5</v>
      </c>
      <c r="D355" s="954"/>
      <c r="E355" s="952"/>
      <c r="F355" s="990" t="str">
        <f>IF(F350=$S$15,$T$13,IF(AND($O$3=$U$3,ROUNDDOWN(F350,0)=$S$13),$U$13,$T$13))</f>
        <v>　レベル　4</v>
      </c>
      <c r="G355" s="3397" t="s">
        <v>1795</v>
      </c>
      <c r="H355" s="3398"/>
      <c r="I355" s="3397" t="s">
        <v>1795</v>
      </c>
      <c r="J355" s="3404"/>
      <c r="K355" s="990" t="str">
        <f>IF(K350=$S$15,$T$13,IF(AND($O$3=$U$3,ROUNDDOWN(K350,0)=$S$13),$U$13,$T$13))</f>
        <v>　レベル　4</v>
      </c>
      <c r="L355" s="3397" t="s">
        <v>1795</v>
      </c>
      <c r="M355" s="3404"/>
      <c r="N355" s="3397" t="s">
        <v>1795</v>
      </c>
      <c r="O355" s="3404"/>
    </row>
    <row r="356" spans="2:15" ht="45" hidden="1" customHeight="1">
      <c r="B356" s="1008">
        <v>0</v>
      </c>
      <c r="C356" s="1008">
        <v>0</v>
      </c>
      <c r="D356" s="954"/>
      <c r="E356" s="952"/>
      <c r="F356" s="1001" t="str">
        <f>IF(F350=$S$15,$T$14,IF(AND($O$3=$U$3,ROUNDDOWN(F350,0)=$S$14),$U$14,$T$14))</f>
        <v>　レベル　5</v>
      </c>
      <c r="G356" s="3394" t="s">
        <v>2972</v>
      </c>
      <c r="H356" s="3449"/>
      <c r="I356" s="3394" t="s">
        <v>2973</v>
      </c>
      <c r="J356" s="3413"/>
      <c r="K356" s="1001" t="str">
        <f>IF(K350=$S$15,$T$14,IF(AND($O$3=$U$3,ROUNDDOWN(K350,0)=$S$14),$U$14,$T$14))</f>
        <v>　レベル　5</v>
      </c>
      <c r="L356" s="3394" t="s">
        <v>2415</v>
      </c>
      <c r="M356" s="3413"/>
      <c r="N356" s="3394" t="s">
        <v>2974</v>
      </c>
      <c r="O356" s="3413"/>
    </row>
    <row r="357" spans="2:15" ht="15.75" hidden="1">
      <c r="D357" s="954"/>
      <c r="E357" s="952"/>
      <c r="F357" s="1097"/>
      <c r="G357" s="1095" t="s">
        <v>1044</v>
      </c>
      <c r="H357" s="984"/>
      <c r="I357" s="1116"/>
      <c r="J357" s="1136"/>
      <c r="K357" s="1097"/>
      <c r="L357" s="1116" t="s">
        <v>1044</v>
      </c>
      <c r="M357" s="1116"/>
      <c r="N357" s="1095"/>
      <c r="O357" s="984"/>
    </row>
    <row r="358" spans="2:15" ht="36" customHeight="1">
      <c r="D358" s="954"/>
      <c r="E358" s="952"/>
      <c r="F358" s="1098" t="str">
        <f>IF(F350=$S$15,$T$10,IF(AND($O$3&lt;&gt;$U$3,ROUNDDOWN(F350,0)=$S$10),$U$10,$T$10))</f>
        <v>　レベル　1</v>
      </c>
      <c r="G358" s="3401" t="s">
        <v>2975</v>
      </c>
      <c r="H358" s="3403"/>
      <c r="I358" s="3401" t="s">
        <v>2050</v>
      </c>
      <c r="J358" s="3402"/>
      <c r="K358" s="1098" t="str">
        <f>IF(K350=$S$15,$T$10,IF(AND($O$3&lt;&gt;$U$3,ROUNDDOWN(K350,0)=$S$10),$U$10,$T$10))</f>
        <v>　レベル　1</v>
      </c>
      <c r="L358" s="3401" t="s">
        <v>2412</v>
      </c>
      <c r="M358" s="3402"/>
      <c r="N358" s="3401" t="s">
        <v>2051</v>
      </c>
      <c r="O358" s="3403"/>
    </row>
    <row r="359" spans="2:15" ht="15.75" customHeight="1">
      <c r="D359" s="954"/>
      <c r="E359" s="952"/>
      <c r="F359" s="990" t="str">
        <f>IF(F350=$S$15,$T$11,IF(AND($O$3&lt;&gt;$U$3,ROUNDDOWN(F350,0)=$S$11),$U$11,$T$11))</f>
        <v>　レベル　2</v>
      </c>
      <c r="G359" s="3397" t="s">
        <v>1795</v>
      </c>
      <c r="H359" s="3404"/>
      <c r="I359" s="3397" t="s">
        <v>1795</v>
      </c>
      <c r="J359" s="3404"/>
      <c r="K359" s="990" t="str">
        <f>IF(K350=$S$15,$T$11,IF(AND($O$3&lt;&gt;$U$3,ROUNDDOWN(K350,0)=$S$11),$U$11,$T$11))</f>
        <v>　レベル　2</v>
      </c>
      <c r="L359" s="3397" t="s">
        <v>1795</v>
      </c>
      <c r="M359" s="3404"/>
      <c r="N359" s="3397" t="s">
        <v>1795</v>
      </c>
      <c r="O359" s="3404"/>
    </row>
    <row r="360" spans="2:15" ht="38.25" customHeight="1">
      <c r="D360" s="954"/>
      <c r="E360" s="952"/>
      <c r="F360" s="990" t="str">
        <f>IF(F350=$S$15,$T$12,IF(AND($O$3&lt;&gt;$U$3,ROUNDDOWN(F350,0)=$S$12),$U$12,$T$12))</f>
        <v>■レベル　3</v>
      </c>
      <c r="G360" s="3397" t="s">
        <v>2976</v>
      </c>
      <c r="H360" s="3404"/>
      <c r="I360" s="3397" t="s">
        <v>2971</v>
      </c>
      <c r="J360" s="3404"/>
      <c r="K360" s="990" t="str">
        <f>IF(K350=$S$15,$T$12,IF(AND($O$3&lt;&gt;$U$3,ROUNDDOWN(K350,0)=$S$12),$U$12,$T$12))</f>
        <v>■レベル　3</v>
      </c>
      <c r="L360" s="3397" t="s">
        <v>2977</v>
      </c>
      <c r="M360" s="3404"/>
      <c r="N360" s="3397" t="s">
        <v>2978</v>
      </c>
      <c r="O360" s="3404"/>
    </row>
    <row r="361" spans="2:15" ht="15.75" customHeight="1">
      <c r="D361" s="954"/>
      <c r="E361" s="952"/>
      <c r="F361" s="990" t="str">
        <f>IF(F350=$S$15,$T$13,IF(AND($O$3&lt;&gt;$U$3,ROUNDDOWN(F350,0)=$S$13),$U$13,$T$13))</f>
        <v>　レベル　4</v>
      </c>
      <c r="G361" s="3397" t="s">
        <v>1795</v>
      </c>
      <c r="H361" s="3404"/>
      <c r="I361" s="3397" t="s">
        <v>1795</v>
      </c>
      <c r="J361" s="3404"/>
      <c r="K361" s="990" t="str">
        <f>IF(K350=$S$15,$T$13,IF(AND($O$3&lt;&gt;$U$3,ROUNDDOWN(K350,0)=$S$13),$U$13,$T$13))</f>
        <v>　レベル　4</v>
      </c>
      <c r="L361" s="3397" t="s">
        <v>1795</v>
      </c>
      <c r="M361" s="3404"/>
      <c r="N361" s="3397" t="s">
        <v>1795</v>
      </c>
      <c r="O361" s="3404"/>
    </row>
    <row r="362" spans="2:15" ht="54" customHeight="1">
      <c r="D362" s="954"/>
      <c r="E362" s="952"/>
      <c r="F362" s="1001" t="str">
        <f>IF(F350=$S$15,$T$14,IF(AND($O$3&lt;&gt;$U$3,ROUNDDOWN(F350,0)=$S$14),$U$14,$T$14))</f>
        <v>　レベル　5</v>
      </c>
      <c r="G362" s="3394" t="s">
        <v>2979</v>
      </c>
      <c r="H362" s="3413"/>
      <c r="I362" s="3394" t="s">
        <v>2973</v>
      </c>
      <c r="J362" s="3413"/>
      <c r="K362" s="1001" t="str">
        <f>IF(K350=$S$15,$T$14,IF(AND($O$3&lt;&gt;$U$3,ROUNDDOWN(K350,0)=$S$14),$U$14,$T$14))</f>
        <v>　レベル　5</v>
      </c>
      <c r="L362" s="3394" t="s">
        <v>2980</v>
      </c>
      <c r="M362" s="3413"/>
      <c r="N362" s="3394" t="s">
        <v>2981</v>
      </c>
      <c r="O362" s="3413"/>
    </row>
    <row r="363" spans="2:15" ht="15.75">
      <c r="D363" s="954"/>
      <c r="E363" s="1161"/>
      <c r="F363" s="1161"/>
      <c r="G363" s="1162"/>
      <c r="H363" s="1162"/>
      <c r="I363" s="1162"/>
      <c r="J363" s="1162"/>
      <c r="K363" s="1162"/>
      <c r="L363" s="1162"/>
      <c r="M363" s="1162"/>
      <c r="N363" s="1162"/>
      <c r="O363" s="1162"/>
    </row>
    <row r="364" spans="2:15" ht="15.75">
      <c r="D364" s="1386">
        <v>4</v>
      </c>
      <c r="E364" s="1091" t="s">
        <v>805</v>
      </c>
      <c r="F364" s="1091"/>
      <c r="G364" s="1093"/>
      <c r="H364" s="1093"/>
      <c r="I364" s="1093"/>
      <c r="J364" s="1093"/>
      <c r="K364" s="1093"/>
      <c r="L364" s="1093"/>
      <c r="M364" s="1093"/>
      <c r="N364" s="1093"/>
      <c r="O364" s="1093"/>
    </row>
    <row r="365" spans="2:15" ht="15.75">
      <c r="D365" s="1386">
        <v>4.0999999999999996</v>
      </c>
      <c r="E365" s="1091" t="s">
        <v>1623</v>
      </c>
      <c r="F365" s="962"/>
      <c r="G365" s="1092"/>
      <c r="H365" s="1093"/>
      <c r="I365" s="1093"/>
      <c r="J365" s="1093"/>
      <c r="K365" s="1093"/>
      <c r="L365" s="1093"/>
      <c r="M365" s="1093"/>
      <c r="N365" s="1093"/>
      <c r="O365" s="1093"/>
    </row>
    <row r="366" spans="2:15" ht="15.75">
      <c r="D366" s="954"/>
      <c r="E366" s="959"/>
      <c r="F366" s="965" t="s">
        <v>1624</v>
      </c>
      <c r="G366" s="1045"/>
      <c r="H366" s="1094"/>
      <c r="I366" s="1074"/>
      <c r="J366" s="1048" t="e">
        <f>IF(OR(F368=0,AND(J367=0,O367=0)),$R$3,"")</f>
        <v>#DIV/0!</v>
      </c>
      <c r="K366" s="1133"/>
      <c r="L366" s="1045"/>
      <c r="M366" s="1094"/>
      <c r="N366" s="1074"/>
      <c r="O366" s="1048"/>
    </row>
    <row r="367" spans="2:15" ht="16.5" thickBot="1">
      <c r="D367" s="954"/>
      <c r="E367" s="959"/>
      <c r="F367" s="971" t="s">
        <v>1245</v>
      </c>
      <c r="G367" s="972"/>
      <c r="H367" s="973"/>
      <c r="I367" s="974" t="s">
        <v>1125</v>
      </c>
      <c r="J367" s="977" t="e">
        <f>重み!M49</f>
        <v>#DIV/0!</v>
      </c>
      <c r="K367" s="971" t="s">
        <v>1608</v>
      </c>
      <c r="L367" s="972"/>
      <c r="M367" s="973"/>
      <c r="N367" s="974" t="s">
        <v>1125</v>
      </c>
      <c r="O367" s="977" t="e">
        <f>重み!N49</f>
        <v>#DIV/0!</v>
      </c>
    </row>
    <row r="368" spans="2:15" ht="16.5" thickBot="1">
      <c r="D368" s="954"/>
      <c r="E368" s="959"/>
      <c r="F368" s="978">
        <v>3</v>
      </c>
      <c r="G368" s="1095" t="s">
        <v>2633</v>
      </c>
      <c r="H368" s="984"/>
      <c r="I368" s="1095" t="s">
        <v>16</v>
      </c>
      <c r="J368" s="983"/>
      <c r="K368" s="978">
        <v>3</v>
      </c>
      <c r="L368" s="1095" t="s">
        <v>1625</v>
      </c>
      <c r="M368" s="984"/>
      <c r="N368" s="1095"/>
      <c r="O368" s="1100"/>
    </row>
    <row r="369" spans="2:15" ht="19.5" customHeight="1">
      <c r="B369" s="1" t="s">
        <v>1794</v>
      </c>
      <c r="C369" s="1" t="s">
        <v>1794</v>
      </c>
      <c r="D369" s="954"/>
      <c r="E369" s="959"/>
      <c r="F369" s="985" t="str">
        <f>IF(F368=$S$15,$T$10,IF(ROUNDDOWN(F368,0)=$S$10,$U$10,$T$10))</f>
        <v>　レベル　1</v>
      </c>
      <c r="G369" s="3401" t="s">
        <v>2634</v>
      </c>
      <c r="H369" s="3403"/>
      <c r="I369" s="3401" t="s">
        <v>2634</v>
      </c>
      <c r="J369" s="3403"/>
      <c r="K369" s="985" t="str">
        <f>IF(K368=$S$15,$T$10,IF(ROUNDDOWN(K368,0)=$S$10,$U$10,$T$10))</f>
        <v>　レベル　1</v>
      </c>
      <c r="L369" s="3401" t="s">
        <v>2634</v>
      </c>
      <c r="M369" s="3447"/>
      <c r="N369" s="3447"/>
      <c r="O369" s="3448"/>
    </row>
    <row r="370" spans="2:15" ht="19.5" customHeight="1">
      <c r="B370" s="1" t="s">
        <v>1794</v>
      </c>
      <c r="C370" s="1" t="s">
        <v>1794</v>
      </c>
      <c r="D370" s="954"/>
      <c r="E370" s="959"/>
      <c r="F370" s="990" t="str">
        <f>IF(F368=$S$15,$T$11,IF(ROUNDDOWN(F368,0)=$S$11,$U$11,$T$11))</f>
        <v>　レベル　2</v>
      </c>
      <c r="G370" s="3397" t="s">
        <v>2628</v>
      </c>
      <c r="H370" s="3404"/>
      <c r="I370" s="3397" t="s">
        <v>1795</v>
      </c>
      <c r="J370" s="3398"/>
      <c r="K370" s="990" t="str">
        <f>IF(K368=$S$15,$T$11,IF(ROUNDDOWN(K368,0)=$S$11,$U$11,$T$11))</f>
        <v>　レベル　2</v>
      </c>
      <c r="L370" s="3397" t="s">
        <v>1795</v>
      </c>
      <c r="M370" s="3398"/>
      <c r="N370" s="3398"/>
      <c r="O370" s="3399"/>
    </row>
    <row r="371" spans="2:15" ht="53.25" customHeight="1">
      <c r="B371" s="1">
        <v>3</v>
      </c>
      <c r="C371" s="1">
        <v>3</v>
      </c>
      <c r="D371" s="954"/>
      <c r="E371" s="959"/>
      <c r="F371" s="990" t="str">
        <f>IF(F368=$S$15,$T$12,IF(ROUNDDOWN(F368,0)=$S$12,$U$12,$T$12))</f>
        <v>■レベル　3</v>
      </c>
      <c r="G371" s="3397" t="s">
        <v>2982</v>
      </c>
      <c r="H371" s="3404"/>
      <c r="I371" s="3397" t="s">
        <v>2983</v>
      </c>
      <c r="J371" s="3441"/>
      <c r="K371" s="990" t="str">
        <f>IF(K368=$S$15,$T$12,IF(ROUNDDOWN(K368,0)=$S$12,$U$12,$T$12))</f>
        <v>■レベル　3</v>
      </c>
      <c r="L371" s="3428" t="s">
        <v>2982</v>
      </c>
      <c r="M371" s="3445"/>
      <c r="N371" s="3445"/>
      <c r="O371" s="3446"/>
    </row>
    <row r="372" spans="2:15" ht="53.25" customHeight="1">
      <c r="B372" s="1">
        <v>4</v>
      </c>
      <c r="C372" s="1">
        <v>4</v>
      </c>
      <c r="D372" s="954"/>
      <c r="E372" s="959"/>
      <c r="F372" s="990" t="str">
        <f>IF(F368=$S$15,$T$13,IF(ROUNDDOWN(F368,0)=$S$13,$U$13,$T$13))</f>
        <v>　レベル　4</v>
      </c>
      <c r="G372" s="3397" t="s">
        <v>2635</v>
      </c>
      <c r="H372" s="3404"/>
      <c r="I372" s="3397" t="s">
        <v>2984</v>
      </c>
      <c r="J372" s="3441"/>
      <c r="K372" s="990" t="str">
        <f>IF(K368=$S$15,$T$13,IF(ROUNDDOWN(K368,0)=$S$13,$U$13,$T$13))</f>
        <v>　レベル　4</v>
      </c>
      <c r="L372" s="3428" t="s">
        <v>2635</v>
      </c>
      <c r="M372" s="3445"/>
      <c r="N372" s="3445"/>
      <c r="O372" s="3446"/>
    </row>
    <row r="373" spans="2:15" ht="53.25" customHeight="1">
      <c r="B373" s="1">
        <v>5</v>
      </c>
      <c r="C373" s="1">
        <v>5</v>
      </c>
      <c r="D373" s="954"/>
      <c r="E373" s="959"/>
      <c r="F373" s="1001" t="str">
        <f>IF(F368=$S$15,$T$14,IF(ROUNDDOWN(F368,0)=$S$14,$U$14,$T$14))</f>
        <v>　レベル　5</v>
      </c>
      <c r="G373" s="3394" t="s">
        <v>2636</v>
      </c>
      <c r="H373" s="3442"/>
      <c r="I373" s="3394" t="s">
        <v>2985</v>
      </c>
      <c r="J373" s="3442"/>
      <c r="K373" s="1001" t="str">
        <f>IF(K368=$S$15,$T$14,IF(ROUNDDOWN(K368,0)=$S$14,$U$14,$T$14))</f>
        <v>　レベル　5</v>
      </c>
      <c r="L373" s="3424" t="s">
        <v>2636</v>
      </c>
      <c r="M373" s="3443"/>
      <c r="N373" s="3443"/>
      <c r="O373" s="3444"/>
    </row>
    <row r="374" spans="2:15" ht="15.75">
      <c r="B374" s="1008">
        <v>0</v>
      </c>
      <c r="C374" s="1008">
        <v>0</v>
      </c>
      <c r="D374" s="954"/>
      <c r="E374" s="955"/>
      <c r="F374" s="955"/>
      <c r="G374" s="1044"/>
      <c r="H374" s="1044"/>
      <c r="I374" s="1044"/>
      <c r="J374" s="1044"/>
      <c r="K374" s="1044"/>
      <c r="L374" s="1044"/>
      <c r="M374" s="1044"/>
      <c r="N374" s="1044"/>
      <c r="O374" s="1044"/>
    </row>
    <row r="375" spans="2:15" ht="15.75">
      <c r="D375" s="954"/>
      <c r="E375" s="1107"/>
      <c r="F375" s="965" t="s">
        <v>1626</v>
      </c>
      <c r="G375" s="1045"/>
      <c r="H375" s="1094"/>
      <c r="I375" s="1074"/>
      <c r="J375" s="1048" t="e">
        <f>IF(OR(F377=0,AND(J376=0,O376=0)),$R$3,"")</f>
        <v>#DIV/0!</v>
      </c>
      <c r="K375" s="1133"/>
      <c r="L375" s="1045"/>
      <c r="M375" s="1094"/>
      <c r="N375" s="1074"/>
      <c r="O375" s="1048"/>
    </row>
    <row r="376" spans="2:15" ht="16.5" thickBot="1">
      <c r="B376" s="1163" t="s">
        <v>1627</v>
      </c>
      <c r="C376" s="1163"/>
      <c r="D376" s="954"/>
      <c r="E376" s="1107"/>
      <c r="F376" s="971" t="s">
        <v>2371</v>
      </c>
      <c r="G376" s="972"/>
      <c r="H376" s="973"/>
      <c r="I376" s="974" t="s">
        <v>1125</v>
      </c>
      <c r="J376" s="977" t="e">
        <f>重み!M50</f>
        <v>#DIV/0!</v>
      </c>
      <c r="K376" s="971" t="s">
        <v>1608</v>
      </c>
      <c r="L376" s="972"/>
      <c r="M376" s="973"/>
      <c r="N376" s="974" t="s">
        <v>1125</v>
      </c>
      <c r="O376" s="977" t="e">
        <f>重み!N50</f>
        <v>#DIV/0!</v>
      </c>
    </row>
    <row r="377" spans="2:15" ht="16.5" thickBot="1">
      <c r="D377" s="954"/>
      <c r="E377" s="1107"/>
      <c r="F377" s="978">
        <v>3</v>
      </c>
      <c r="G377" s="1095" t="s">
        <v>1246</v>
      </c>
      <c r="H377" s="983"/>
      <c r="I377" s="1121"/>
      <c r="J377" s="984"/>
      <c r="K377" s="978">
        <v>3</v>
      </c>
      <c r="L377" s="1095" t="s">
        <v>1625</v>
      </c>
      <c r="M377" s="984"/>
      <c r="N377" s="1095"/>
      <c r="O377" s="1100"/>
    </row>
    <row r="378" spans="2:15" ht="27.75" customHeight="1">
      <c r="B378" s="1">
        <v>1</v>
      </c>
      <c r="C378" s="1">
        <v>1</v>
      </c>
      <c r="D378" s="954"/>
      <c r="E378" s="1108"/>
      <c r="F378" s="985" t="str">
        <f>IF(F377=$S$15,$T$10,IF(ROUNDDOWN(F377,0)=$S$10,$U$10,$T$10))</f>
        <v>　レベル　1</v>
      </c>
      <c r="G378" s="3397" t="s">
        <v>172</v>
      </c>
      <c r="H378" s="3422"/>
      <c r="I378" s="3422"/>
      <c r="J378" s="3404"/>
      <c r="K378" s="985" t="str">
        <f>IF(K377=$S$15,$T$10,IF(ROUNDDOWN(K377,0)=$S$10,$U$10,$T$10))</f>
        <v>　レベル　1</v>
      </c>
      <c r="L378" s="3397" t="s">
        <v>172</v>
      </c>
      <c r="M378" s="3422"/>
      <c r="N378" s="3422"/>
      <c r="O378" s="3404"/>
    </row>
    <row r="379" spans="2:15" ht="27.75" customHeight="1">
      <c r="B379" s="1">
        <v>2</v>
      </c>
      <c r="C379" s="1">
        <v>2</v>
      </c>
      <c r="D379" s="954"/>
      <c r="E379" s="1108"/>
      <c r="F379" s="990" t="str">
        <f>IF(F377=$S$15,$T$11,IF(ROUNDDOWN(F377,0)=$S$11,$U$11,$T$11))</f>
        <v>　レベル　2</v>
      </c>
      <c r="G379" s="3397" t="s">
        <v>2986</v>
      </c>
      <c r="H379" s="3422"/>
      <c r="I379" s="3422"/>
      <c r="J379" s="3404"/>
      <c r="K379" s="990" t="str">
        <f>IF(K377=$S$15,$T$11,IF(ROUNDDOWN(K377,0)=$S$11,$U$11,$T$11))</f>
        <v>　レベル　2</v>
      </c>
      <c r="L379" s="3397" t="s">
        <v>2986</v>
      </c>
      <c r="M379" s="3422"/>
      <c r="N379" s="3422"/>
      <c r="O379" s="3404"/>
    </row>
    <row r="380" spans="2:15" ht="27.75" customHeight="1">
      <c r="B380" s="1">
        <v>3</v>
      </c>
      <c r="C380" s="1">
        <v>3</v>
      </c>
      <c r="D380" s="954"/>
      <c r="E380" s="1108"/>
      <c r="F380" s="990" t="str">
        <f>IF(F377=$S$15,$T$12,IF(ROUNDDOWN(F377,0)=$S$12,$U$12,$T$12))</f>
        <v>■レベル　3</v>
      </c>
      <c r="G380" s="3397" t="s">
        <v>1628</v>
      </c>
      <c r="H380" s="3422"/>
      <c r="I380" s="3422"/>
      <c r="J380" s="3404"/>
      <c r="K380" s="990" t="str">
        <f>IF(K377=$S$15,$T$12,IF(ROUNDDOWN(K377,0)=$S$12,$U$12,$T$12))</f>
        <v>■レベル　3</v>
      </c>
      <c r="L380" s="3397" t="s">
        <v>1628</v>
      </c>
      <c r="M380" s="3398"/>
      <c r="N380" s="3398"/>
      <c r="O380" s="3399"/>
    </row>
    <row r="381" spans="2:15" ht="27.75" customHeight="1">
      <c r="B381" s="1" t="s">
        <v>1794</v>
      </c>
      <c r="C381" s="1" t="s">
        <v>1794</v>
      </c>
      <c r="D381" s="954"/>
      <c r="E381" s="1108"/>
      <c r="F381" s="990" t="str">
        <f>IF(F377=$S$15,$T$13,IF(ROUNDDOWN(F377,0)=$S$13,$U$13,$T$13))</f>
        <v>　レベル　4</v>
      </c>
      <c r="G381" s="3397" t="s">
        <v>1795</v>
      </c>
      <c r="H381" s="3422"/>
      <c r="I381" s="3422"/>
      <c r="J381" s="3404"/>
      <c r="K381" s="990" t="str">
        <f>IF(K377=$S$15,$T$13,IF(ROUNDDOWN(K377,0)=$S$13,$U$13,$T$13))</f>
        <v>　レベル　4</v>
      </c>
      <c r="L381" s="3397" t="s">
        <v>1795</v>
      </c>
      <c r="M381" s="3422"/>
      <c r="N381" s="3422"/>
      <c r="O381" s="3404"/>
    </row>
    <row r="382" spans="2:15" ht="27.75" customHeight="1">
      <c r="B382" s="1" t="s">
        <v>1794</v>
      </c>
      <c r="C382" s="1" t="s">
        <v>1794</v>
      </c>
      <c r="D382" s="954"/>
      <c r="E382" s="1108"/>
      <c r="F382" s="1001" t="str">
        <f>IF(F377=$S$15,$T$14,IF(ROUNDDOWN(F377,0)=$S$14,$U$14,$T$14))</f>
        <v>　レベル　5</v>
      </c>
      <c r="G382" s="3394" t="s">
        <v>1795</v>
      </c>
      <c r="H382" s="3423"/>
      <c r="I382" s="3423"/>
      <c r="J382" s="3413"/>
      <c r="K382" s="1001" t="str">
        <f>IF(K377=$S$15,$T$14,IF(ROUNDDOWN(K377,0)=$S$14,$U$14,$T$14))</f>
        <v>　レベル　5</v>
      </c>
      <c r="L382" s="3394" t="s">
        <v>1795</v>
      </c>
      <c r="M382" s="3423"/>
      <c r="N382" s="3423"/>
      <c r="O382" s="3413"/>
    </row>
    <row r="383" spans="2:15" ht="15.75">
      <c r="B383" s="1008">
        <v>0</v>
      </c>
      <c r="C383" s="1008">
        <v>0</v>
      </c>
      <c r="D383" s="954"/>
      <c r="E383" s="955"/>
      <c r="F383" s="1187"/>
      <c r="G383" s="1151"/>
      <c r="H383" s="1044"/>
      <c r="I383" s="1044"/>
      <c r="J383" s="1044"/>
      <c r="K383" s="1044"/>
      <c r="L383" s="1044"/>
      <c r="M383" s="1044"/>
      <c r="N383" s="1044"/>
      <c r="O383" s="1044"/>
    </row>
    <row r="384" spans="2:15" ht="15.75" hidden="1">
      <c r="D384" s="954"/>
      <c r="E384" s="955"/>
      <c r="F384" s="2404" t="s">
        <v>1629</v>
      </c>
      <c r="G384" s="1045"/>
      <c r="H384" s="1094"/>
      <c r="I384" s="1074"/>
      <c r="J384" s="1048" t="e">
        <f>IF(OR(F386=0,AND(J385=0,O385=0)),$R$3,"")</f>
        <v>#DIV/0!</v>
      </c>
      <c r="K384" s="1133"/>
      <c r="L384" s="1045"/>
      <c r="M384" s="1094"/>
      <c r="N384" s="1074"/>
      <c r="O384" s="1048"/>
    </row>
    <row r="385" spans="2:15" ht="16.5" hidden="1" thickBot="1">
      <c r="D385" s="954"/>
      <c r="E385" s="955"/>
      <c r="F385" s="971" t="s">
        <v>1255</v>
      </c>
      <c r="G385" s="972"/>
      <c r="H385" s="973"/>
      <c r="I385" s="974" t="s">
        <v>1125</v>
      </c>
      <c r="J385" s="977" t="e">
        <f>重み!M51</f>
        <v>#DIV/0!</v>
      </c>
      <c r="K385" s="971" t="s">
        <v>1608</v>
      </c>
      <c r="L385" s="972"/>
      <c r="M385" s="973"/>
      <c r="N385" s="974" t="s">
        <v>1125</v>
      </c>
      <c r="O385" s="977" t="e">
        <f>重み!N51</f>
        <v>#DIV/0!</v>
      </c>
    </row>
    <row r="386" spans="2:15" ht="16.5" hidden="1" thickBot="1">
      <c r="D386" s="954"/>
      <c r="E386" s="955"/>
      <c r="F386" s="978">
        <v>0</v>
      </c>
      <c r="G386" s="1100" t="s">
        <v>1630</v>
      </c>
      <c r="H386" s="1100"/>
      <c r="I386" s="1185" t="s">
        <v>173</v>
      </c>
      <c r="J386" s="1186"/>
      <c r="K386" s="978">
        <v>0</v>
      </c>
      <c r="L386" s="1095" t="s">
        <v>730</v>
      </c>
      <c r="M386" s="984"/>
      <c r="N386" s="1095"/>
      <c r="O386" s="1100"/>
    </row>
    <row r="387" spans="2:15" ht="15.75" hidden="1">
      <c r="B387" s="1">
        <v>1</v>
      </c>
      <c r="C387" s="1">
        <v>1</v>
      </c>
      <c r="D387" s="954"/>
      <c r="E387" s="955"/>
      <c r="F387" s="985" t="str">
        <f>IF(F386=$S$15,$T$10,IF(ROUNDDOWN(F386,0)=$S$10,$U$10,$T$10))</f>
        <v>　レベル　1</v>
      </c>
      <c r="G387" s="3439" t="s">
        <v>174</v>
      </c>
      <c r="H387" s="3440"/>
      <c r="I387" s="3405" t="s">
        <v>174</v>
      </c>
      <c r="J387" s="3437"/>
      <c r="K387" s="985" t="str">
        <f>IF(K386=$S$15,$T$10,IF(ROUNDDOWN(K386,0)=$S$10,$U$10,$T$10))</f>
        <v>　レベル　1</v>
      </c>
      <c r="L387" s="3401" t="s">
        <v>315</v>
      </c>
      <c r="M387" s="3427"/>
      <c r="N387" s="3427"/>
      <c r="O387" s="3402"/>
    </row>
    <row r="388" spans="2:15" ht="15.75" hidden="1">
      <c r="B388" s="1" t="s">
        <v>175</v>
      </c>
      <c r="C388" s="1" t="s">
        <v>175</v>
      </c>
      <c r="D388" s="954"/>
      <c r="E388" s="955"/>
      <c r="F388" s="990" t="str">
        <f>IF(F386=$S$15,$T$11,IF(ROUNDDOWN(F386,0)=$S$11,$U$11,$T$11))</f>
        <v>　レベル　2</v>
      </c>
      <c r="G388" s="3397" t="s">
        <v>1795</v>
      </c>
      <c r="H388" s="3399"/>
      <c r="I388" s="3405" t="s">
        <v>1795</v>
      </c>
      <c r="J388" s="3438"/>
      <c r="K388" s="990" t="str">
        <f>IF(K386=$S$15,$T$11,IF(ROUNDDOWN(K386,0)=$S$11,$U$11,$T$11))</f>
        <v>　レベル　2</v>
      </c>
      <c r="L388" s="3428" t="s">
        <v>1795</v>
      </c>
      <c r="M388" s="3429"/>
      <c r="N388" s="3429"/>
      <c r="O388" s="3430"/>
    </row>
    <row r="389" spans="2:15" ht="15.75" hidden="1">
      <c r="B389" s="1">
        <v>3</v>
      </c>
      <c r="C389" s="1">
        <v>3</v>
      </c>
      <c r="D389" s="954"/>
      <c r="E389" s="955"/>
      <c r="F389" s="990" t="str">
        <f>IF(F386=$S$15,$T$12,IF(ROUNDDOWN(F386,0)=$S$12,$U$12,$T$12))</f>
        <v>　レベル　3</v>
      </c>
      <c r="G389" s="3397" t="s">
        <v>2988</v>
      </c>
      <c r="H389" s="3399"/>
      <c r="I389" s="3405" t="s">
        <v>176</v>
      </c>
      <c r="J389" s="3437"/>
      <c r="K389" s="990" t="str">
        <f>IF(K386=$S$15,$T$12,IF(ROUNDDOWN(K386,0)=$S$12,$U$12,$T$12))</f>
        <v>　レベル　3</v>
      </c>
      <c r="L389" s="3428" t="s">
        <v>2987</v>
      </c>
      <c r="M389" s="3429"/>
      <c r="N389" s="3429"/>
      <c r="O389" s="3430"/>
    </row>
    <row r="390" spans="2:15" ht="15.75" hidden="1">
      <c r="B390" s="1">
        <v>4</v>
      </c>
      <c r="C390" s="1">
        <v>4</v>
      </c>
      <c r="D390" s="954"/>
      <c r="E390" s="955"/>
      <c r="F390" s="990" t="str">
        <f>IF(F386=$S$15,$T$13,IF(ROUNDDOWN(F386,0)=$S$13,$U$13,$T$13))</f>
        <v>　レベル　4</v>
      </c>
      <c r="G390" s="3397" t="s">
        <v>2989</v>
      </c>
      <c r="H390" s="3399"/>
      <c r="I390" s="3405" t="s">
        <v>1795</v>
      </c>
      <c r="J390" s="3437"/>
      <c r="K390" s="990" t="str">
        <f>IF(K386=$S$15,$T$13,IF(ROUNDDOWN(K386,0)=$S$13,$U$13,$T$13))</f>
        <v>　レベル　4</v>
      </c>
      <c r="L390" s="3428" t="s">
        <v>2989</v>
      </c>
      <c r="M390" s="3429"/>
      <c r="N390" s="3429"/>
      <c r="O390" s="3430"/>
    </row>
    <row r="391" spans="2:15" ht="15.75" hidden="1">
      <c r="B391" s="1">
        <v>5</v>
      </c>
      <c r="C391" s="1">
        <v>5</v>
      </c>
      <c r="D391" s="954"/>
      <c r="E391" s="955"/>
      <c r="F391" s="1001" t="str">
        <f>IF(F386=$S$15,$T$14,IF(ROUNDDOWN(F386,0)=$S$14,$U$14,$T$14))</f>
        <v>　レベル　5</v>
      </c>
      <c r="G391" s="3431" t="s">
        <v>2990</v>
      </c>
      <c r="H391" s="3432"/>
      <c r="I391" s="3435" t="s">
        <v>2991</v>
      </c>
      <c r="J391" s="3436"/>
      <c r="K391" s="1001" t="str">
        <f>IF(K386=$S$15,$T$14,IF(ROUNDDOWN(K386,0)=$S$14,$U$14,$T$14))</f>
        <v>　レベル　5</v>
      </c>
      <c r="L391" s="3424" t="s">
        <v>2990</v>
      </c>
      <c r="M391" s="3425"/>
      <c r="N391" s="3425"/>
      <c r="O391" s="3426"/>
    </row>
    <row r="392" spans="2:15" ht="15.75" hidden="1">
      <c r="B392" s="1008">
        <v>0</v>
      </c>
      <c r="C392" s="1008">
        <v>0</v>
      </c>
      <c r="D392" s="954"/>
      <c r="E392" s="959"/>
      <c r="F392" s="959"/>
      <c r="G392" s="1099"/>
      <c r="H392" s="1099"/>
      <c r="I392" s="1099"/>
      <c r="J392" s="1099"/>
      <c r="K392" s="1099"/>
      <c r="L392" s="1099"/>
      <c r="M392" s="1099"/>
      <c r="N392" s="1099"/>
      <c r="O392" s="1099"/>
    </row>
    <row r="393" spans="2:15" ht="15.75" hidden="1">
      <c r="D393" s="954"/>
      <c r="E393" s="1107"/>
      <c r="F393" s="2404" t="s">
        <v>1631</v>
      </c>
      <c r="G393" s="1045"/>
      <c r="H393" s="1094"/>
      <c r="I393" s="1074"/>
      <c r="J393" s="1048" t="e">
        <f>IF(OR(F395=0,AND(J394=0,O394=0)),$R$3,"")</f>
        <v>#DIV/0!</v>
      </c>
      <c r="K393" s="1133"/>
      <c r="L393" s="1045"/>
      <c r="M393" s="1094"/>
      <c r="N393" s="1074"/>
      <c r="O393" s="1048"/>
    </row>
    <row r="394" spans="2:15" ht="16.5" hidden="1" thickBot="1">
      <c r="D394" s="954"/>
      <c r="E394" s="1107"/>
      <c r="F394" s="971" t="s">
        <v>245</v>
      </c>
      <c r="G394" s="972"/>
      <c r="H394" s="973"/>
      <c r="I394" s="974" t="s">
        <v>1125</v>
      </c>
      <c r="J394" s="977" t="e">
        <f>重み!M52</f>
        <v>#DIV/0!</v>
      </c>
      <c r="K394" s="971" t="s">
        <v>1608</v>
      </c>
      <c r="L394" s="972"/>
      <c r="M394" s="973"/>
      <c r="N394" s="974" t="s">
        <v>1125</v>
      </c>
      <c r="O394" s="977" t="e">
        <f>重み!N52</f>
        <v>#DIV/0!</v>
      </c>
    </row>
    <row r="395" spans="2:15" ht="16.5" hidden="1" thickBot="1">
      <c r="D395" s="954"/>
      <c r="E395" s="1107"/>
      <c r="F395" s="978">
        <v>0</v>
      </c>
      <c r="G395" s="1095" t="s">
        <v>1632</v>
      </c>
      <c r="H395" s="983"/>
      <c r="I395" s="1121"/>
      <c r="J395" s="984"/>
      <c r="K395" s="978">
        <v>0</v>
      </c>
      <c r="L395" s="1095" t="s">
        <v>730</v>
      </c>
      <c r="M395" s="984"/>
      <c r="N395" s="1095"/>
      <c r="O395" s="1100"/>
    </row>
    <row r="396" spans="2:15" ht="15.75" hidden="1">
      <c r="B396" s="1">
        <v>1</v>
      </c>
      <c r="C396" s="1">
        <v>1</v>
      </c>
      <c r="D396" s="954"/>
      <c r="E396" s="1108"/>
      <c r="F396" s="985" t="str">
        <f>IF(F395=$S$15,$T$10,IF(ROUNDDOWN(F395,0)=$S$10,$U$10,$T$10))</f>
        <v>　レベル　1</v>
      </c>
      <c r="G396" s="3401" t="s">
        <v>315</v>
      </c>
      <c r="H396" s="3427"/>
      <c r="I396" s="3427"/>
      <c r="J396" s="3402"/>
      <c r="K396" s="985" t="str">
        <f>IF(K395=$S$15,$T$10,IF(ROUNDDOWN(K395,0)=$S$10,$U$10,$T$10))</f>
        <v>　レベル　1</v>
      </c>
      <c r="L396" s="3401" t="s">
        <v>315</v>
      </c>
      <c r="M396" s="3427"/>
      <c r="N396" s="3427"/>
      <c r="O396" s="3402"/>
    </row>
    <row r="397" spans="2:15" ht="15.75" hidden="1">
      <c r="B397" s="1" t="s">
        <v>175</v>
      </c>
      <c r="C397" s="1" t="s">
        <v>175</v>
      </c>
      <c r="D397" s="954"/>
      <c r="E397" s="1108"/>
      <c r="F397" s="990" t="str">
        <f>IF(F395=$S$15,$T$11,IF(ROUNDDOWN(F395,0)=$S$11,$U$11,$T$11))</f>
        <v>　レベル　2</v>
      </c>
      <c r="G397" s="3397" t="s">
        <v>1795</v>
      </c>
      <c r="H397" s="3422"/>
      <c r="I397" s="3422"/>
      <c r="J397" s="3404"/>
      <c r="K397" s="990" t="str">
        <f>IF(K395=$S$15,$T$11,IF(ROUNDDOWN(K395,0)=$S$11,$U$11,$T$11))</f>
        <v>　レベル　2</v>
      </c>
      <c r="L397" s="3428" t="s">
        <v>1795</v>
      </c>
      <c r="M397" s="3429"/>
      <c r="N397" s="3429"/>
      <c r="O397" s="3430"/>
    </row>
    <row r="398" spans="2:15" ht="15.75" hidden="1">
      <c r="B398" s="1">
        <v>3</v>
      </c>
      <c r="C398" s="1">
        <v>3</v>
      </c>
      <c r="D398" s="954"/>
      <c r="E398" s="1108"/>
      <c r="F398" s="990" t="str">
        <f>IF(F395=$S$15,$T$12,IF(ROUNDDOWN(F395,0)=$S$12,$U$12,$T$12))</f>
        <v>　レベル　3</v>
      </c>
      <c r="G398" s="3397" t="s">
        <v>2992</v>
      </c>
      <c r="H398" s="3422"/>
      <c r="I398" s="3422"/>
      <c r="J398" s="3404"/>
      <c r="K398" s="990" t="str">
        <f>IF(K395=$S$15,$T$12,IF(ROUNDDOWN(K395,0)=$S$12,$U$12,$T$12))</f>
        <v>　レベル　3</v>
      </c>
      <c r="L398" s="3428" t="s">
        <v>2992</v>
      </c>
      <c r="M398" s="3429"/>
      <c r="N398" s="3429"/>
      <c r="O398" s="3430"/>
    </row>
    <row r="399" spans="2:15" ht="15.75" hidden="1">
      <c r="B399" s="1">
        <v>4</v>
      </c>
      <c r="C399" s="1">
        <v>4</v>
      </c>
      <c r="D399" s="954"/>
      <c r="E399" s="1108"/>
      <c r="F399" s="990" t="str">
        <f>IF(F395=$S$15,$T$13,IF(ROUNDDOWN(F395,0)=$S$13,$U$13,$T$13))</f>
        <v>　レベル　4</v>
      </c>
      <c r="G399" s="3397" t="s">
        <v>2993</v>
      </c>
      <c r="H399" s="3422"/>
      <c r="I399" s="3422"/>
      <c r="J399" s="3404"/>
      <c r="K399" s="990" t="str">
        <f>IF(K395=$S$15,$T$13,IF(ROUNDDOWN(K395,0)=$S$13,$U$13,$T$13))</f>
        <v>　レベル　4</v>
      </c>
      <c r="L399" s="3428" t="s">
        <v>2993</v>
      </c>
      <c r="M399" s="3429"/>
      <c r="N399" s="3429"/>
      <c r="O399" s="3430"/>
    </row>
    <row r="400" spans="2:15" ht="15.75" hidden="1">
      <c r="B400" s="1">
        <v>5</v>
      </c>
      <c r="C400" s="1">
        <v>5</v>
      </c>
      <c r="D400" s="954"/>
      <c r="E400" s="1108"/>
      <c r="F400" s="1001" t="str">
        <f>IF(F395=$S$15,$T$14,IF(ROUNDDOWN(F395,0)=$S$14,$U$14,$T$14))</f>
        <v>　レベル　5</v>
      </c>
      <c r="G400" s="3394" t="s">
        <v>2994</v>
      </c>
      <c r="H400" s="3423"/>
      <c r="I400" s="3423"/>
      <c r="J400" s="3413"/>
      <c r="K400" s="1001" t="str">
        <f>IF(K395=$S$15,$T$14,IF(ROUNDDOWN(K395,0)=$S$14,$U$14,$T$14))</f>
        <v>　レベル　5</v>
      </c>
      <c r="L400" s="3424" t="s">
        <v>2994</v>
      </c>
      <c r="M400" s="3425"/>
      <c r="N400" s="3425"/>
      <c r="O400" s="3426"/>
    </row>
    <row r="401" spans="2:15" ht="15.75" hidden="1">
      <c r="B401" s="1008">
        <v>0</v>
      </c>
      <c r="C401" s="1008">
        <v>0</v>
      </c>
      <c r="D401" s="954"/>
      <c r="E401" s="955"/>
      <c r="F401" s="955"/>
      <c r="G401" s="1044"/>
      <c r="H401" s="1044"/>
      <c r="I401" s="1044"/>
      <c r="J401" s="1044"/>
      <c r="K401" s="1044"/>
      <c r="L401" s="1044"/>
      <c r="M401" s="1044"/>
      <c r="N401" s="1044"/>
      <c r="O401" s="1044"/>
    </row>
    <row r="402" spans="2:15" ht="15.75">
      <c r="D402" s="1386">
        <v>4.2</v>
      </c>
      <c r="E402" s="1091" t="s">
        <v>1080</v>
      </c>
      <c r="F402" s="962"/>
      <c r="G402" s="1092" t="e">
        <f>IF(AND(J413="対象外",J413&gt;0.001),"★入力エラー：レベル１～５を選択し直してください！","")</f>
        <v>#DIV/0!</v>
      </c>
      <c r="H402" s="1093"/>
      <c r="I402" s="1093"/>
      <c r="J402" s="1093"/>
      <c r="K402" s="1093"/>
      <c r="L402" s="1092"/>
      <c r="M402" s="1093"/>
      <c r="N402" s="1093"/>
      <c r="O402" s="1093"/>
    </row>
    <row r="403" spans="2:15" ht="15.75">
      <c r="D403" s="954"/>
      <c r="E403" s="1107"/>
      <c r="F403" s="965" t="s">
        <v>1081</v>
      </c>
      <c r="G403" s="1045"/>
      <c r="H403" s="1094"/>
      <c r="I403" s="1074"/>
      <c r="J403" s="1048" t="e">
        <f>IF(OR(F405=0,AND(J404=0,O404=0)),$R$3,"")</f>
        <v>#DIV/0!</v>
      </c>
      <c r="K403" s="1133"/>
      <c r="L403" s="1045"/>
      <c r="M403" s="1094"/>
      <c r="N403" s="1074"/>
      <c r="O403" s="1048"/>
    </row>
    <row r="404" spans="2:15" ht="16.5" thickBot="1">
      <c r="D404" s="954"/>
      <c r="E404" s="1107"/>
      <c r="F404" s="971" t="s">
        <v>1124</v>
      </c>
      <c r="G404" s="972"/>
      <c r="H404" s="973"/>
      <c r="I404" s="974" t="s">
        <v>1125</v>
      </c>
      <c r="J404" s="977" t="e">
        <f>重み!M54</f>
        <v>#DIV/0!</v>
      </c>
      <c r="K404" s="971" t="s">
        <v>1608</v>
      </c>
      <c r="L404" s="972"/>
      <c r="M404" s="973"/>
      <c r="N404" s="974" t="s">
        <v>1125</v>
      </c>
      <c r="O404" s="977" t="e">
        <f>重み!N54</f>
        <v>#DIV/0!</v>
      </c>
    </row>
    <row r="405" spans="2:15" ht="16.5" thickBot="1">
      <c r="D405" s="954"/>
      <c r="E405" s="1108"/>
      <c r="F405" s="978">
        <v>3</v>
      </c>
      <c r="G405" s="1095" t="s">
        <v>1082</v>
      </c>
      <c r="H405" s="983"/>
      <c r="I405" s="1121" t="s">
        <v>375</v>
      </c>
      <c r="J405" s="984"/>
      <c r="K405" s="978">
        <v>3</v>
      </c>
      <c r="L405" s="1095" t="s">
        <v>2641</v>
      </c>
      <c r="M405" s="984"/>
      <c r="N405" s="1095"/>
      <c r="O405" s="1100"/>
    </row>
    <row r="406" spans="2:15" ht="24" customHeight="1">
      <c r="B406" s="1">
        <v>1</v>
      </c>
      <c r="C406" s="1">
        <v>1</v>
      </c>
      <c r="D406" s="954"/>
      <c r="E406" s="959"/>
      <c r="F406" s="985" t="str">
        <f>IF(F405=$S$15,$T$10,IF(ROUNDDOWN(F405,0)=$S$10,$U$10,$T$10))</f>
        <v>　レベル　1</v>
      </c>
      <c r="G406" s="3401" t="s">
        <v>2637</v>
      </c>
      <c r="H406" s="3402"/>
      <c r="I406" s="3401" t="s">
        <v>2637</v>
      </c>
      <c r="J406" s="3402"/>
      <c r="K406" s="985" t="str">
        <f>IF(K405=$S$15,$T$10,IF(ROUNDDOWN(K405,0)=$S$10,$U$10,$T$10))</f>
        <v>　レベル　1</v>
      </c>
      <c r="L406" s="3401" t="s">
        <v>2640</v>
      </c>
      <c r="M406" s="3427"/>
      <c r="N406" s="3427"/>
      <c r="O406" s="3402"/>
    </row>
    <row r="407" spans="2:15" ht="24" customHeight="1">
      <c r="B407" s="1" t="s">
        <v>2387</v>
      </c>
      <c r="C407" s="1" t="s">
        <v>2387</v>
      </c>
      <c r="D407" s="954"/>
      <c r="E407" s="959"/>
      <c r="F407" s="990" t="str">
        <f>IF(F405=$S$15,$T$11,IF(ROUNDDOWN(F405,0)=$S$11,$U$11,$T$11))</f>
        <v>　レベル　2</v>
      </c>
      <c r="G407" s="3397" t="s">
        <v>1795</v>
      </c>
      <c r="H407" s="3398"/>
      <c r="I407" s="3397" t="s">
        <v>1795</v>
      </c>
      <c r="J407" s="3399"/>
      <c r="K407" s="990" t="str">
        <f>IF(K405=$S$15,$T$11,IF(ROUNDDOWN(K405,0)=$S$11,$U$11,$T$11))</f>
        <v>　レベル　2</v>
      </c>
      <c r="L407" s="3397" t="s">
        <v>1795</v>
      </c>
      <c r="M407" s="3433"/>
      <c r="N407" s="3433"/>
      <c r="O407" s="3434"/>
    </row>
    <row r="408" spans="2:15" ht="47.25" customHeight="1">
      <c r="B408" s="1">
        <v>3</v>
      </c>
      <c r="C408" s="1">
        <v>3</v>
      </c>
      <c r="D408" s="954"/>
      <c r="E408" s="959"/>
      <c r="F408" s="990" t="str">
        <f>IF(F405=$S$15,$T$12,IF(ROUNDDOWN(F405,0)=$S$12,$U$12,$T$12))</f>
        <v>■レベル　3</v>
      </c>
      <c r="G408" s="3397" t="s">
        <v>2995</v>
      </c>
      <c r="H408" s="3399"/>
      <c r="I408" s="3397" t="s">
        <v>2638</v>
      </c>
      <c r="J408" s="3399"/>
      <c r="K408" s="990" t="str">
        <f>IF(K405=$S$15,$T$12,IF(ROUNDDOWN(K405,0)=$S$12,$U$12,$T$12))</f>
        <v>■レベル　3</v>
      </c>
      <c r="L408" s="3428" t="s">
        <v>2995</v>
      </c>
      <c r="M408" s="3429"/>
      <c r="N408" s="3429"/>
      <c r="O408" s="3430"/>
    </row>
    <row r="409" spans="2:15" ht="47.25" customHeight="1">
      <c r="B409" s="1">
        <v>4</v>
      </c>
      <c r="C409" s="1">
        <v>4</v>
      </c>
      <c r="D409" s="954"/>
      <c r="E409" s="959"/>
      <c r="F409" s="990" t="str">
        <f>IF(F405=$S$15,$T$13,IF(ROUNDDOWN(F405,0)=$S$13,$U$13,$T$13))</f>
        <v>　レベル　4</v>
      </c>
      <c r="G409" s="3397" t="s">
        <v>2996</v>
      </c>
      <c r="H409" s="3399"/>
      <c r="I409" s="3397" t="s">
        <v>2997</v>
      </c>
      <c r="J409" s="3399"/>
      <c r="K409" s="990" t="str">
        <f>IF(K405=$S$15,$T$13,IF(ROUNDDOWN(K405,0)=$S$13,$U$13,$T$13))</f>
        <v>　レベル　4</v>
      </c>
      <c r="L409" s="3428" t="s">
        <v>2996</v>
      </c>
      <c r="M409" s="3429"/>
      <c r="N409" s="3429"/>
      <c r="O409" s="3430"/>
    </row>
    <row r="410" spans="2:15" ht="47.25" customHeight="1">
      <c r="B410" s="1">
        <v>5</v>
      </c>
      <c r="C410" s="1">
        <v>5</v>
      </c>
      <c r="D410" s="954"/>
      <c r="E410" s="959"/>
      <c r="F410" s="1001" t="str">
        <f>IF(F405=$S$15,$T$14,IF(ROUNDDOWN(F405,0)=$S$14,$U$14,$T$14))</f>
        <v>　レベル　5</v>
      </c>
      <c r="G410" s="3431" t="s">
        <v>2998</v>
      </c>
      <c r="H410" s="3432"/>
      <c r="I410" s="3431" t="s">
        <v>2639</v>
      </c>
      <c r="J410" s="3432"/>
      <c r="K410" s="1001" t="str">
        <f>IF(K405=$S$15,$T$14,IF(ROUNDDOWN(K405,0)=$S$14,$U$14,$T$14))</f>
        <v>　レベル　5</v>
      </c>
      <c r="L410" s="3424" t="s">
        <v>2998</v>
      </c>
      <c r="M410" s="3425"/>
      <c r="N410" s="3425"/>
      <c r="O410" s="3426"/>
    </row>
    <row r="411" spans="2:15" ht="15.75">
      <c r="B411" s="1008">
        <v>0</v>
      </c>
      <c r="C411" s="1008">
        <v>0</v>
      </c>
      <c r="D411" s="954"/>
      <c r="E411" s="959"/>
      <c r="F411" s="955"/>
      <c r="G411" s="1044"/>
      <c r="H411" s="1044"/>
      <c r="I411" s="1044"/>
      <c r="J411" s="1044"/>
      <c r="K411" s="1044"/>
      <c r="L411" s="1044"/>
      <c r="M411" s="1044"/>
      <c r="N411" s="1044"/>
      <c r="O411" s="1044"/>
    </row>
    <row r="412" spans="2:15" ht="15.75">
      <c r="D412" s="954"/>
      <c r="E412" s="959"/>
      <c r="F412" s="965" t="s">
        <v>1083</v>
      </c>
      <c r="G412" s="1045"/>
      <c r="H412" s="1094"/>
      <c r="I412" s="1074"/>
      <c r="J412" s="1048" t="e">
        <f>IF(OR(F414=0,AND(J413=0,O413=0)),$R$3,"")</f>
        <v>#DIV/0!</v>
      </c>
      <c r="K412" s="1133"/>
      <c r="L412" s="1045"/>
      <c r="M412" s="1094"/>
      <c r="N412" s="1074"/>
      <c r="O412" s="1048"/>
    </row>
    <row r="413" spans="2:15" ht="16.5" thickBot="1">
      <c r="D413" s="954"/>
      <c r="E413" s="959"/>
      <c r="F413" s="971" t="s">
        <v>2075</v>
      </c>
      <c r="G413" s="972"/>
      <c r="H413" s="973"/>
      <c r="I413" s="974" t="s">
        <v>1125</v>
      </c>
      <c r="J413" s="977" t="e">
        <f>重み!M55</f>
        <v>#DIV/0!</v>
      </c>
      <c r="K413" s="971" t="s">
        <v>1608</v>
      </c>
      <c r="L413" s="972"/>
      <c r="M413" s="973"/>
      <c r="N413" s="974" t="s">
        <v>1125</v>
      </c>
      <c r="O413" s="977" t="e">
        <f>重み!N55</f>
        <v>#DIV/0!</v>
      </c>
    </row>
    <row r="414" spans="2:15" ht="16.5" thickBot="1">
      <c r="D414" s="954"/>
      <c r="E414" s="959"/>
      <c r="F414" s="978">
        <v>3</v>
      </c>
      <c r="G414" s="1095" t="s">
        <v>17</v>
      </c>
      <c r="H414" s="983"/>
      <c r="I414" s="1121" t="s">
        <v>16</v>
      </c>
      <c r="J414" s="984"/>
      <c r="K414" s="978">
        <v>3</v>
      </c>
      <c r="L414" s="1095" t="s">
        <v>1857</v>
      </c>
      <c r="M414" s="984"/>
      <c r="N414" s="1095" t="s">
        <v>1553</v>
      </c>
      <c r="O414" s="984"/>
    </row>
    <row r="415" spans="2:15" ht="15.75" customHeight="1">
      <c r="B415" s="1">
        <v>1</v>
      </c>
      <c r="C415" s="1">
        <v>1</v>
      </c>
      <c r="D415" s="954"/>
      <c r="E415" s="959"/>
      <c r="F415" s="985" t="str">
        <f>IF(F414=$S$15,$T$10,IF(ROUNDDOWN(F414,0)=$S$10,$U$10,$T$10))</f>
        <v>　レベル　1</v>
      </c>
      <c r="G415" s="3401" t="s">
        <v>315</v>
      </c>
      <c r="H415" s="3402"/>
      <c r="I415" s="3401" t="s">
        <v>315</v>
      </c>
      <c r="J415" s="3402"/>
      <c r="K415" s="985" t="str">
        <f>IF(K414=$S$15,$T$10,IF(ROUNDDOWN(K414,0)=$S$10,$U$10,$T$10))</f>
        <v>　レベル　1</v>
      </c>
      <c r="L415" s="3401" t="s">
        <v>1343</v>
      </c>
      <c r="M415" s="3403"/>
      <c r="N415" s="3401" t="s">
        <v>1343</v>
      </c>
      <c r="O415" s="3403"/>
    </row>
    <row r="416" spans="2:15" ht="15.75" customHeight="1">
      <c r="B416" s="1" t="s">
        <v>2385</v>
      </c>
      <c r="C416" s="1" t="s">
        <v>2385</v>
      </c>
      <c r="D416" s="954"/>
      <c r="E416" s="959"/>
      <c r="F416" s="990" t="str">
        <f>IF(F414=$S$15,$T$11,IF(ROUNDDOWN(F414,0)=$S$11,$U$11,$T$11))</f>
        <v>　レベル　2</v>
      </c>
      <c r="G416" s="3397" t="s">
        <v>1795</v>
      </c>
      <c r="H416" s="3399"/>
      <c r="I416" s="3397" t="s">
        <v>1795</v>
      </c>
      <c r="J416" s="3399"/>
      <c r="K416" s="990" t="str">
        <f>IF(K414=$S$15,$T$11,IF(ROUNDDOWN(K414,0)=$S$11,$U$11,$T$11))</f>
        <v>　レベル　2</v>
      </c>
      <c r="L416" s="3397" t="s">
        <v>1795</v>
      </c>
      <c r="M416" s="3404"/>
      <c r="N416" s="3397" t="s">
        <v>1795</v>
      </c>
      <c r="O416" s="3404"/>
    </row>
    <row r="417" spans="2:15" ht="86.25" customHeight="1">
      <c r="B417" s="1">
        <v>3</v>
      </c>
      <c r="C417" s="1">
        <v>3</v>
      </c>
      <c r="D417" s="954"/>
      <c r="E417" s="959"/>
      <c r="F417" s="990" t="str">
        <f>IF(F414=$S$15,$T$12,IF(ROUNDDOWN(F414,0)=$S$12,$U$12,$T$12))</f>
        <v>■レベル　3</v>
      </c>
      <c r="G417" s="3397" t="s">
        <v>2999</v>
      </c>
      <c r="H417" s="3399"/>
      <c r="I417" s="3397" t="s">
        <v>13</v>
      </c>
      <c r="J417" s="3399"/>
      <c r="K417" s="990" t="str">
        <f>IF(K414=$S$15,$T$12,IF(ROUNDDOWN(K414,0)=$S$12,$U$12,$T$12))</f>
        <v>■レベル　3</v>
      </c>
      <c r="L417" s="3397" t="s">
        <v>3000</v>
      </c>
      <c r="M417" s="3404"/>
      <c r="N417" s="3397" t="s">
        <v>1765</v>
      </c>
      <c r="O417" s="3404"/>
    </row>
    <row r="418" spans="2:15" ht="108.75" customHeight="1">
      <c r="B418" s="1">
        <v>4</v>
      </c>
      <c r="C418" s="1">
        <v>4</v>
      </c>
      <c r="D418" s="954"/>
      <c r="E418" s="959"/>
      <c r="F418" s="990" t="str">
        <f>IF(F414=$S$15,$T$13,IF(ROUNDDOWN(F414,0)=$S$13,$U$13,$T$13))</f>
        <v>　レベル　4</v>
      </c>
      <c r="G418" s="3397" t="s">
        <v>3001</v>
      </c>
      <c r="H418" s="3399"/>
      <c r="I418" s="3397" t="s">
        <v>14</v>
      </c>
      <c r="J418" s="3399"/>
      <c r="K418" s="990" t="str">
        <f>IF(K414=$S$15,$T$13,IF(ROUNDDOWN(K414,0)=$S$13,$U$13,$T$13))</f>
        <v>　レベル　4</v>
      </c>
      <c r="L418" s="3397" t="s">
        <v>3002</v>
      </c>
      <c r="M418" s="3404"/>
      <c r="N418" s="3397" t="s">
        <v>1369</v>
      </c>
      <c r="O418" s="3404"/>
    </row>
    <row r="419" spans="2:15" ht="135.75" customHeight="1">
      <c r="B419" s="1">
        <v>5</v>
      </c>
      <c r="C419" s="1">
        <v>5</v>
      </c>
      <c r="D419" s="954"/>
      <c r="E419" s="959"/>
      <c r="F419" s="1001" t="str">
        <f>IF(F414=$S$15,$T$14,IF(ROUNDDOWN(F414,0)=$S$14,$U$14,$T$14))</f>
        <v>　レベル　5</v>
      </c>
      <c r="G419" s="3394" t="s">
        <v>3003</v>
      </c>
      <c r="H419" s="3400"/>
      <c r="I419" s="3394" t="s">
        <v>15</v>
      </c>
      <c r="J419" s="3400"/>
      <c r="K419" s="1001" t="str">
        <f>IF(K414=$S$15,$T$14,IF(ROUNDDOWN(K414,0)=$S$14,$U$14,$T$14))</f>
        <v>　レベル　5</v>
      </c>
      <c r="L419" s="3394" t="s">
        <v>3004</v>
      </c>
      <c r="M419" s="3413"/>
      <c r="N419" s="3394" t="s">
        <v>591</v>
      </c>
      <c r="O419" s="3413"/>
    </row>
    <row r="420" spans="2:15" ht="15.75">
      <c r="B420" s="1008">
        <v>0</v>
      </c>
      <c r="C420" s="1008">
        <v>0</v>
      </c>
      <c r="D420" s="954"/>
      <c r="E420" s="959"/>
      <c r="F420" s="955"/>
      <c r="G420" s="1044"/>
      <c r="H420" s="1044"/>
      <c r="I420" s="1044"/>
      <c r="J420" s="1044"/>
      <c r="K420" s="1044"/>
      <c r="L420" s="1044"/>
      <c r="M420" s="1044"/>
      <c r="N420" s="1044"/>
      <c r="O420" s="1044"/>
    </row>
    <row r="421" spans="2:15" ht="15.75">
      <c r="D421" s="954"/>
      <c r="E421" s="1107"/>
      <c r="F421" s="965" t="s">
        <v>1460</v>
      </c>
      <c r="G421" s="1045"/>
      <c r="H421" s="1094"/>
      <c r="I421" s="1074"/>
      <c r="J421" s="1048" t="e">
        <f>IF(OR(F423=0,AND(J422=0,O422=0)),$R$3,"")</f>
        <v>#DIV/0!</v>
      </c>
      <c r="K421" s="1133"/>
      <c r="L421" s="1045"/>
      <c r="M421" s="1094"/>
      <c r="N421" s="1074"/>
      <c r="O421" s="1048"/>
    </row>
    <row r="422" spans="2:15" ht="16.5" thickBot="1">
      <c r="D422" s="954"/>
      <c r="E422" s="1107"/>
      <c r="F422" s="971" t="s">
        <v>1085</v>
      </c>
      <c r="G422" s="972"/>
      <c r="H422" s="973"/>
      <c r="I422" s="974" t="s">
        <v>1125</v>
      </c>
      <c r="J422" s="977" t="e">
        <f>重み!M56</f>
        <v>#DIV/0!</v>
      </c>
      <c r="K422" s="971" t="s">
        <v>1608</v>
      </c>
      <c r="L422" s="972"/>
      <c r="M422" s="973"/>
      <c r="N422" s="974" t="s">
        <v>1125</v>
      </c>
      <c r="O422" s="977" t="e">
        <f>重み!N56</f>
        <v>#DIV/0!</v>
      </c>
    </row>
    <row r="423" spans="2:15" ht="16.5" thickBot="1">
      <c r="D423" s="954"/>
      <c r="E423" s="1107"/>
      <c r="F423" s="978">
        <v>3</v>
      </c>
      <c r="G423" s="1095" t="s">
        <v>2348</v>
      </c>
      <c r="H423" s="983"/>
      <c r="I423" s="1095" t="s">
        <v>1553</v>
      </c>
      <c r="J423" s="984"/>
      <c r="K423" s="978">
        <v>3</v>
      </c>
      <c r="L423" s="1095" t="s">
        <v>2236</v>
      </c>
      <c r="M423" s="984"/>
      <c r="N423" s="1095" t="s">
        <v>1553</v>
      </c>
      <c r="O423" s="984"/>
    </row>
    <row r="424" spans="2:15" ht="15.75" customHeight="1">
      <c r="B424" s="1">
        <v>1</v>
      </c>
      <c r="C424" s="1">
        <v>1</v>
      </c>
      <c r="D424" s="954"/>
      <c r="E424" s="1108"/>
      <c r="F424" s="985" t="str">
        <f>IF(F423=$S$15,$T$10,IF(ROUNDDOWN(F423,0)=$S$10,$U$10,$T$10))</f>
        <v>　レベル　1</v>
      </c>
      <c r="G424" s="3401" t="s">
        <v>315</v>
      </c>
      <c r="H424" s="3402"/>
      <c r="I424" s="3401" t="s">
        <v>1343</v>
      </c>
      <c r="J424" s="3403"/>
      <c r="K424" s="985" t="str">
        <f>IF(K423=$S$15,$T$10,IF(ROUNDDOWN(K423,0)=$S$10,$U$10,$T$10))</f>
        <v>　レベル　1</v>
      </c>
      <c r="L424" s="3401" t="s">
        <v>1343</v>
      </c>
      <c r="M424" s="3403"/>
      <c r="N424" s="3401" t="s">
        <v>1343</v>
      </c>
      <c r="O424" s="3403"/>
    </row>
    <row r="425" spans="2:15" ht="15.75">
      <c r="B425" s="1" t="s">
        <v>2385</v>
      </c>
      <c r="C425" s="1" t="s">
        <v>2385</v>
      </c>
      <c r="D425" s="954"/>
      <c r="E425" s="1108"/>
      <c r="F425" s="990" t="str">
        <f>IF(F423=$S$15,$T$11,IF(ROUNDDOWN(F423,0)=$S$11,$U$11,$T$11))</f>
        <v>　レベル　2</v>
      </c>
      <c r="G425" s="3397" t="s">
        <v>1795</v>
      </c>
      <c r="H425" s="3404"/>
      <c r="I425" s="3397" t="s">
        <v>1795</v>
      </c>
      <c r="J425" s="3404"/>
      <c r="K425" s="990" t="str">
        <f>IF(K423=$S$15,$T$11,IF(ROUNDDOWN(K423,0)=$S$11,$U$11,$T$11))</f>
        <v>　レベル　2</v>
      </c>
      <c r="L425" s="3397" t="s">
        <v>1795</v>
      </c>
      <c r="M425" s="3404"/>
      <c r="N425" s="3397" t="s">
        <v>1795</v>
      </c>
      <c r="O425" s="3404"/>
    </row>
    <row r="426" spans="2:15" ht="88.5" customHeight="1">
      <c r="B426" s="1">
        <v>3</v>
      </c>
      <c r="C426" s="1">
        <v>3</v>
      </c>
      <c r="D426" s="954"/>
      <c r="E426" s="1108"/>
      <c r="F426" s="990" t="str">
        <f>IF(F423=$S$15,$T$12,IF(ROUNDDOWN(F423,0)=$S$12,$U$12,$T$12))</f>
        <v>■レベル　3</v>
      </c>
      <c r="G426" s="3397" t="s">
        <v>3005</v>
      </c>
      <c r="H426" s="3404"/>
      <c r="I426" s="3397" t="s">
        <v>3006</v>
      </c>
      <c r="J426" s="3404"/>
      <c r="K426" s="990" t="str">
        <f>IF(K423=$S$15,$T$12,IF(ROUNDDOWN(K423,0)=$S$12,$U$12,$T$12))</f>
        <v>■レベル　3</v>
      </c>
      <c r="L426" s="3397" t="s">
        <v>3005</v>
      </c>
      <c r="M426" s="3404"/>
      <c r="N426" s="3397" t="s">
        <v>3006</v>
      </c>
      <c r="O426" s="3404"/>
    </row>
    <row r="427" spans="2:15" ht="73.5" customHeight="1">
      <c r="B427" s="1">
        <v>4</v>
      </c>
      <c r="C427" s="1">
        <v>4</v>
      </c>
      <c r="D427" s="954"/>
      <c r="E427" s="1108"/>
      <c r="F427" s="990" t="str">
        <f>IF(F423=$S$15,$T$13,IF(ROUNDDOWN(F423,0)=$S$13,$U$13,$T$13))</f>
        <v>　レベル　4</v>
      </c>
      <c r="G427" s="3397" t="s">
        <v>3007</v>
      </c>
      <c r="H427" s="3404"/>
      <c r="I427" s="3397" t="s">
        <v>1795</v>
      </c>
      <c r="J427" s="3404"/>
      <c r="K427" s="990" t="str">
        <f>IF(K423=$S$15,$T$13,IF(ROUNDDOWN(K423,0)=$S$13,$U$13,$T$13))</f>
        <v>　レベル　4</v>
      </c>
      <c r="L427" s="3397" t="s">
        <v>3007</v>
      </c>
      <c r="M427" s="3404"/>
      <c r="N427" s="3397" t="s">
        <v>1795</v>
      </c>
      <c r="O427" s="3404"/>
    </row>
    <row r="428" spans="2:15" ht="80.25" customHeight="1">
      <c r="B428" s="1">
        <v>5</v>
      </c>
      <c r="C428" s="1">
        <v>5</v>
      </c>
      <c r="D428" s="954"/>
      <c r="E428" s="1108"/>
      <c r="F428" s="1001" t="str">
        <f>IF(F423=$S$15,$T$14,IF(ROUNDDOWN(F423,0)=$S$14,$U$14,$T$14))</f>
        <v>　レベル　5</v>
      </c>
      <c r="G428" s="3394" t="s">
        <v>3008</v>
      </c>
      <c r="H428" s="3413"/>
      <c r="I428" s="3394" t="s">
        <v>3005</v>
      </c>
      <c r="J428" s="3413"/>
      <c r="K428" s="1001" t="str">
        <f>IF(K423=$S$15,$T$14,IF(ROUNDDOWN(K423,0)=$S$14,$U$14,$T$14))</f>
        <v>　レベル　5</v>
      </c>
      <c r="L428" s="3394" t="s">
        <v>3008</v>
      </c>
      <c r="M428" s="3413"/>
      <c r="N428" s="3394" t="s">
        <v>3005</v>
      </c>
      <c r="O428" s="3413"/>
    </row>
    <row r="429" spans="2:15" ht="15.75" hidden="1">
      <c r="B429" s="1008">
        <v>0</v>
      </c>
      <c r="C429" s="1008">
        <v>0</v>
      </c>
      <c r="D429" s="954"/>
      <c r="E429" s="1108"/>
      <c r="F429" s="1108"/>
      <c r="G429" s="1159"/>
      <c r="H429" s="1159"/>
      <c r="I429" s="1159"/>
      <c r="J429" s="1159"/>
      <c r="K429" s="1159"/>
      <c r="L429" s="1159"/>
      <c r="M429" s="1159"/>
      <c r="N429" s="1159"/>
      <c r="O429" s="1159"/>
    </row>
    <row r="430" spans="2:15" ht="15.75" hidden="1">
      <c r="D430" s="954"/>
      <c r="E430" s="1108"/>
      <c r="F430" s="2404" t="s">
        <v>1842</v>
      </c>
      <c r="G430" s="1045"/>
      <c r="H430" s="1094"/>
      <c r="I430" s="1074"/>
      <c r="J430" s="1048" t="e">
        <f>IF(OR(F432=0,AND(J431=0,O431=0)),$R$3,"")</f>
        <v>#DIV/0!</v>
      </c>
      <c r="K430" s="1133"/>
      <c r="L430" s="1045"/>
      <c r="M430" s="1094"/>
      <c r="N430" s="1074"/>
      <c r="O430" s="1048"/>
    </row>
    <row r="431" spans="2:15" ht="15.75" hidden="1">
      <c r="D431" s="954"/>
      <c r="E431" s="1108"/>
      <c r="F431" s="971" t="s">
        <v>2371</v>
      </c>
      <c r="G431" s="972"/>
      <c r="H431" s="973"/>
      <c r="I431" s="974" t="s">
        <v>1125</v>
      </c>
      <c r="J431" s="977" t="e">
        <f>重み!M57</f>
        <v>#DIV/0!</v>
      </c>
      <c r="K431" s="971" t="s">
        <v>1608</v>
      </c>
      <c r="L431" s="972"/>
      <c r="M431" s="973"/>
      <c r="N431" s="974" t="s">
        <v>1125</v>
      </c>
      <c r="O431" s="977" t="e">
        <f>重み!N57</f>
        <v>#DIV/0!</v>
      </c>
    </row>
    <row r="432" spans="2:15" ht="16.5" hidden="1" thickBot="1">
      <c r="D432" s="954"/>
      <c r="E432" s="1108"/>
      <c r="F432" s="978">
        <v>0</v>
      </c>
      <c r="G432" s="1095" t="s">
        <v>2103</v>
      </c>
      <c r="H432" s="983"/>
      <c r="I432" s="1121"/>
      <c r="J432" s="984"/>
      <c r="K432" s="978">
        <v>0</v>
      </c>
      <c r="L432" s="1095" t="s">
        <v>730</v>
      </c>
      <c r="M432" s="984"/>
      <c r="N432" s="1095"/>
      <c r="O432" s="1100"/>
    </row>
    <row r="433" spans="2:15" ht="15.75" hidden="1" customHeight="1">
      <c r="B433" s="1">
        <v>1</v>
      </c>
      <c r="C433" s="1">
        <v>1</v>
      </c>
      <c r="D433" s="954"/>
      <c r="E433" s="1108"/>
      <c r="F433" s="985" t="str">
        <f>IF(F432=$S$15,$T$10,IF(ROUNDDOWN(F432,0)=$S$10,$U$10,$T$10))</f>
        <v>　レベル　1</v>
      </c>
      <c r="G433" s="3401" t="s">
        <v>315</v>
      </c>
      <c r="H433" s="3427"/>
      <c r="I433" s="3427"/>
      <c r="J433" s="3402"/>
      <c r="K433" s="985" t="str">
        <f>IF(K432=$S$15,$T$10,IF(ROUNDDOWN(K432,0)=$S$10,$U$10,$T$10))</f>
        <v>　レベル　1</v>
      </c>
      <c r="L433" s="3401" t="s">
        <v>315</v>
      </c>
      <c r="M433" s="3427"/>
      <c r="N433" s="3427"/>
      <c r="O433" s="3402"/>
    </row>
    <row r="434" spans="2:15" ht="15.75" hidden="1">
      <c r="B434" s="1" t="s">
        <v>175</v>
      </c>
      <c r="C434" s="1" t="s">
        <v>175</v>
      </c>
      <c r="D434" s="954"/>
      <c r="E434" s="1108"/>
      <c r="F434" s="990" t="str">
        <f>IF(F432=$S$15,$T$11,IF(ROUNDDOWN(F432,0)=$S$11,$U$11,$T$11))</f>
        <v>　レベル　2</v>
      </c>
      <c r="G434" s="3397" t="s">
        <v>1795</v>
      </c>
      <c r="H434" s="3422"/>
      <c r="I434" s="3422"/>
      <c r="J434" s="3404"/>
      <c r="K434" s="990" t="str">
        <f>IF(K432=$S$15,$T$11,IF(ROUNDDOWN(K432,0)=$S$11,$U$11,$T$11))</f>
        <v>　レベル　2</v>
      </c>
      <c r="L434" s="3428" t="s">
        <v>1795</v>
      </c>
      <c r="M434" s="3429"/>
      <c r="N434" s="3429"/>
      <c r="O434" s="3430"/>
    </row>
    <row r="435" spans="2:15" ht="52.5" hidden="1" customHeight="1">
      <c r="B435" s="1">
        <v>3</v>
      </c>
      <c r="C435" s="1">
        <v>3</v>
      </c>
      <c r="D435" s="954"/>
      <c r="E435" s="1108"/>
      <c r="F435" s="990" t="str">
        <f>IF(F432=$S$15,$T$12,IF(ROUNDDOWN(F432,0)=$S$12,$U$12,$T$12))</f>
        <v>　レベル　3</v>
      </c>
      <c r="G435" s="3397" t="s">
        <v>3009</v>
      </c>
      <c r="H435" s="3422"/>
      <c r="I435" s="3422"/>
      <c r="J435" s="3404"/>
      <c r="K435" s="990" t="str">
        <f>IF(K432=$S$15,$T$12,IF(ROUNDDOWN(K432,0)=$S$12,$U$12,$T$12))</f>
        <v>　レベル　3</v>
      </c>
      <c r="L435" s="3428" t="s">
        <v>3009</v>
      </c>
      <c r="M435" s="3429"/>
      <c r="N435" s="3429"/>
      <c r="O435" s="3430"/>
    </row>
    <row r="436" spans="2:15" ht="15.75" hidden="1">
      <c r="B436" s="1" t="s">
        <v>175</v>
      </c>
      <c r="C436" s="1" t="s">
        <v>175</v>
      </c>
      <c r="D436" s="954"/>
      <c r="E436" s="1108"/>
      <c r="F436" s="990" t="str">
        <f>IF(F432=$S$15,$T$13,IF(ROUNDDOWN(F432,0)=$S$13,$U$13,$T$13))</f>
        <v>　レベル　4</v>
      </c>
      <c r="G436" s="3397" t="s">
        <v>1795</v>
      </c>
      <c r="H436" s="3422"/>
      <c r="I436" s="3422"/>
      <c r="J436" s="3404"/>
      <c r="K436" s="990" t="str">
        <f>IF(K432=$S$15,$T$13,IF(ROUNDDOWN(K432,0)=$S$13,$U$13,$T$13))</f>
        <v>　レベル　4</v>
      </c>
      <c r="L436" s="3428" t="s">
        <v>1795</v>
      </c>
      <c r="M436" s="3429"/>
      <c r="N436" s="3429"/>
      <c r="O436" s="3430"/>
    </row>
    <row r="437" spans="2:15" ht="6" hidden="1" customHeight="1">
      <c r="B437" s="1">
        <v>5</v>
      </c>
      <c r="C437" s="1">
        <v>5</v>
      </c>
      <c r="D437" s="954"/>
      <c r="E437" s="1108"/>
      <c r="F437" s="1001" t="str">
        <f>IF(F432=$S$15,$T$14,IF(ROUNDDOWN(F432,0)=$S$14,$U$14,$T$14))</f>
        <v>　レベル　5</v>
      </c>
      <c r="G437" s="3394" t="s">
        <v>3010</v>
      </c>
      <c r="H437" s="3423"/>
      <c r="I437" s="3423"/>
      <c r="J437" s="3413"/>
      <c r="K437" s="1001" t="str">
        <f>IF(K432=$S$15,$T$14,IF(ROUNDDOWN(K432,0)=$S$14,$U$14,$T$14))</f>
        <v>　レベル　5</v>
      </c>
      <c r="L437" s="3424" t="s">
        <v>3010</v>
      </c>
      <c r="M437" s="3425"/>
      <c r="N437" s="3425"/>
      <c r="O437" s="3426"/>
    </row>
    <row r="438" spans="2:15" ht="15.75">
      <c r="B438" s="1008">
        <v>0</v>
      </c>
      <c r="C438" s="1008">
        <v>0</v>
      </c>
      <c r="D438" s="954"/>
      <c r="E438" s="959"/>
      <c r="F438" s="959"/>
      <c r="G438" s="1099"/>
      <c r="H438" s="1099"/>
      <c r="I438" s="1099"/>
      <c r="J438" s="1099"/>
      <c r="K438" s="1099"/>
      <c r="L438" s="1099"/>
      <c r="M438" s="1099"/>
      <c r="N438" s="1099"/>
      <c r="O438" s="1099"/>
    </row>
    <row r="439" spans="2:15" ht="15.75">
      <c r="D439" s="1386">
        <v>4.3</v>
      </c>
      <c r="E439" s="1091" t="s">
        <v>1982</v>
      </c>
      <c r="F439" s="962"/>
      <c r="G439" s="1092"/>
      <c r="H439" s="1093"/>
      <c r="I439" s="1093"/>
      <c r="J439" s="1093"/>
      <c r="K439" s="1093"/>
      <c r="L439" s="1093"/>
      <c r="M439" s="1093"/>
      <c r="N439" s="1093"/>
      <c r="O439" s="1093"/>
    </row>
    <row r="440" spans="2:15" ht="15.75">
      <c r="D440" s="954"/>
      <c r="E440" s="959"/>
      <c r="F440" s="965" t="s">
        <v>1351</v>
      </c>
      <c r="G440" s="1045"/>
      <c r="H440" s="1094"/>
      <c r="I440" s="1074"/>
      <c r="J440" s="1048" t="e">
        <f>IF(OR(F442=0,J441=0),$R$3,"")</f>
        <v>#DIV/0!</v>
      </c>
      <c r="K440" s="1133" t="s">
        <v>1501</v>
      </c>
      <c r="L440" s="1045"/>
      <c r="M440" s="1094"/>
      <c r="N440" s="1074"/>
      <c r="O440" s="1048" t="e">
        <f>IF(OR(K442=0,O441=0),$R$3,"")</f>
        <v>#DIV/0!</v>
      </c>
    </row>
    <row r="441" spans="2:15" ht="16.5" thickBot="1">
      <c r="D441" s="954"/>
      <c r="E441" s="959"/>
      <c r="F441" s="971" t="s">
        <v>1352</v>
      </c>
      <c r="G441" s="972"/>
      <c r="H441" s="973"/>
      <c r="I441" s="974" t="s">
        <v>1125</v>
      </c>
      <c r="J441" s="977" t="e">
        <f>重み!M59</f>
        <v>#DIV/0!</v>
      </c>
      <c r="K441" s="971" t="s">
        <v>1637</v>
      </c>
      <c r="L441" s="972"/>
      <c r="M441" s="973"/>
      <c r="N441" s="974" t="s">
        <v>1125</v>
      </c>
      <c r="O441" s="977" t="e">
        <f>重み!M60</f>
        <v>#DIV/0!</v>
      </c>
    </row>
    <row r="442" spans="2:15" ht="16.5" thickBot="1">
      <c r="D442" s="954"/>
      <c r="E442" s="959"/>
      <c r="F442" s="978">
        <v>3</v>
      </c>
      <c r="G442" s="1095" t="s">
        <v>1502</v>
      </c>
      <c r="H442" s="983"/>
      <c r="I442" s="1121"/>
      <c r="J442" s="984"/>
      <c r="K442" s="978">
        <v>3</v>
      </c>
      <c r="L442" s="1095" t="s">
        <v>1503</v>
      </c>
      <c r="M442" s="984"/>
      <c r="N442" s="1095"/>
      <c r="O442" s="1100"/>
    </row>
    <row r="443" spans="2:15" ht="15.75">
      <c r="B443" s="1">
        <v>1</v>
      </c>
      <c r="C443" s="1">
        <v>1</v>
      </c>
      <c r="D443" s="954"/>
      <c r="E443" s="959"/>
      <c r="F443" s="985" t="str">
        <f>IF(F442=$S$15,$T$10,IF(ROUNDDOWN(F442,0)=$S$10,$U$10,$T$10))</f>
        <v>　レベル　1</v>
      </c>
      <c r="G443" s="3401" t="s">
        <v>315</v>
      </c>
      <c r="H443" s="3427"/>
      <c r="I443" s="3427"/>
      <c r="J443" s="3402"/>
      <c r="K443" s="985" t="str">
        <f>IF(K442=$S$15,$T$10,IF(ROUNDDOWN(K442,0)=$S$10,$U$10,$T$10))</f>
        <v>　レベル　1</v>
      </c>
      <c r="L443" s="3401" t="s">
        <v>315</v>
      </c>
      <c r="M443" s="3427"/>
      <c r="N443" s="3427"/>
      <c r="O443" s="3402"/>
    </row>
    <row r="444" spans="2:15" ht="15.75">
      <c r="B444" s="1" t="s">
        <v>1794</v>
      </c>
      <c r="C444" s="1" t="s">
        <v>1794</v>
      </c>
      <c r="D444" s="954"/>
      <c r="E444" s="959"/>
      <c r="F444" s="990" t="str">
        <f>IF(F442=$S$15,$T$11,IF(ROUNDDOWN(F442,0)=$S$11,$U$11,$T$11))</f>
        <v>　レベル　2</v>
      </c>
      <c r="G444" s="3397" t="s">
        <v>1795</v>
      </c>
      <c r="H444" s="3422"/>
      <c r="I444" s="3422"/>
      <c r="J444" s="3404"/>
      <c r="K444" s="990" t="str">
        <f>IF(K442=$S$15,$T$11,IF(ROUNDDOWN(K442,0)=$S$11,$U$11,$T$11))</f>
        <v>　レベル　2</v>
      </c>
      <c r="L444" s="3397" t="s">
        <v>1795</v>
      </c>
      <c r="M444" s="3422"/>
      <c r="N444" s="3422"/>
      <c r="O444" s="3404"/>
    </row>
    <row r="445" spans="2:15" ht="45" customHeight="1">
      <c r="B445" s="1">
        <v>3</v>
      </c>
      <c r="C445" s="1">
        <v>3</v>
      </c>
      <c r="D445" s="954"/>
      <c r="E445" s="959"/>
      <c r="F445" s="990" t="str">
        <f>IF(F442=$S$15,$T$12,IF(ROUNDDOWN(F442,0)=$S$12,$U$12,$T$12))</f>
        <v>■レベル　3</v>
      </c>
      <c r="G445" s="3397" t="s">
        <v>3011</v>
      </c>
      <c r="H445" s="3422"/>
      <c r="I445" s="3422"/>
      <c r="J445" s="3404"/>
      <c r="K445" s="990" t="str">
        <f>IF(K442=$S$15,$T$12,IF(ROUNDDOWN(K442,0)=$S$12,$U$12,$T$12))</f>
        <v>■レベル　3</v>
      </c>
      <c r="L445" s="3397" t="s">
        <v>3012</v>
      </c>
      <c r="M445" s="3422"/>
      <c r="N445" s="3422"/>
      <c r="O445" s="3404"/>
    </row>
    <row r="446" spans="2:15" ht="45" customHeight="1">
      <c r="B446" s="1">
        <v>4</v>
      </c>
      <c r="C446" s="1" t="s">
        <v>1794</v>
      </c>
      <c r="D446" s="954"/>
      <c r="E446" s="959"/>
      <c r="F446" s="990" t="str">
        <f>IF(F442=$S$15,$T$13,IF(ROUNDDOWN(F442,0)=$S$13,$U$13,$T$13))</f>
        <v>　レベル　4</v>
      </c>
      <c r="G446" s="3397" t="s">
        <v>3013</v>
      </c>
      <c r="H446" s="3422"/>
      <c r="I446" s="3422"/>
      <c r="J446" s="3404"/>
      <c r="K446" s="990" t="str">
        <f>IF(K442=$S$15,$T$13,IF(ROUNDDOWN(K442,0)=$S$13,$U$13,$T$13))</f>
        <v>　レベル　4</v>
      </c>
      <c r="L446" s="3397" t="s">
        <v>1795</v>
      </c>
      <c r="M446" s="3422"/>
      <c r="N446" s="3422"/>
      <c r="O446" s="3404"/>
    </row>
    <row r="447" spans="2:15" ht="45" customHeight="1">
      <c r="B447" s="1">
        <v>5</v>
      </c>
      <c r="C447" s="1">
        <v>5</v>
      </c>
      <c r="D447" s="954"/>
      <c r="E447" s="959"/>
      <c r="F447" s="1001" t="str">
        <f>IF(F442=$S$15,$T$14,IF(ROUNDDOWN(F442,0)=$S$14,$U$14,$T$14))</f>
        <v>　レベル　5</v>
      </c>
      <c r="G447" s="3394" t="s">
        <v>3014</v>
      </c>
      <c r="H447" s="3423"/>
      <c r="I447" s="3423"/>
      <c r="J447" s="3413"/>
      <c r="K447" s="1001" t="str">
        <f>IF(K442=$S$15,$T$14,IF(ROUNDDOWN(K442,0)=$S$14,$U$14,$T$14))</f>
        <v>　レベル　5</v>
      </c>
      <c r="L447" s="3394" t="s">
        <v>3015</v>
      </c>
      <c r="M447" s="3423"/>
      <c r="N447" s="3423"/>
      <c r="O447" s="3413"/>
    </row>
    <row r="448" spans="2:15">
      <c r="B448" s="1008">
        <v>0</v>
      </c>
      <c r="C448" s="1008">
        <v>0</v>
      </c>
    </row>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sheetData>
  <sheetProtection password="CC47" sheet="1" objects="1" scenarios="1"/>
  <mergeCells count="454">
    <mergeCell ref="N1:O1"/>
    <mergeCell ref="G314:J314"/>
    <mergeCell ref="L314:O314"/>
    <mergeCell ref="F19:F20"/>
    <mergeCell ref="F28:F29"/>
    <mergeCell ref="N34:O34"/>
    <mergeCell ref="G35:H35"/>
    <mergeCell ref="I35:J35"/>
    <mergeCell ref="N181:O181"/>
    <mergeCell ref="N177:O177"/>
    <mergeCell ref="N178:O178"/>
    <mergeCell ref="N179:O179"/>
    <mergeCell ref="N180:O180"/>
    <mergeCell ref="N175:O175"/>
    <mergeCell ref="N35:O35"/>
    <mergeCell ref="I34:J34"/>
    <mergeCell ref="N38:O38"/>
    <mergeCell ref="G39:H39"/>
    <mergeCell ref="I39:J39"/>
    <mergeCell ref="N39:O39"/>
    <mergeCell ref="G38:H38"/>
    <mergeCell ref="I38:J38"/>
    <mergeCell ref="G36:H36"/>
    <mergeCell ref="I36:J36"/>
    <mergeCell ref="N52:O52"/>
    <mergeCell ref="N53:O53"/>
    <mergeCell ref="N50:O50"/>
    <mergeCell ref="J51:K51"/>
    <mergeCell ref="L51:M51"/>
    <mergeCell ref="N51:O51"/>
    <mergeCell ref="N36:O36"/>
    <mergeCell ref="G37:H37"/>
    <mergeCell ref="I37:J37"/>
    <mergeCell ref="N37:O37"/>
    <mergeCell ref="H46:I46"/>
    <mergeCell ref="J46:K46"/>
    <mergeCell ref="J61:K61"/>
    <mergeCell ref="J62:K62"/>
    <mergeCell ref="J63:K63"/>
    <mergeCell ref="G57:G58"/>
    <mergeCell ref="H59:I59"/>
    <mergeCell ref="J59:K59"/>
    <mergeCell ref="J60:K60"/>
    <mergeCell ref="J50:K50"/>
    <mergeCell ref="L50:M50"/>
    <mergeCell ref="L52:M52"/>
    <mergeCell ref="L53:M53"/>
    <mergeCell ref="N171:O171"/>
    <mergeCell ref="L172:M172"/>
    <mergeCell ref="N172:O172"/>
    <mergeCell ref="L173:M173"/>
    <mergeCell ref="N173:O173"/>
    <mergeCell ref="G150:J150"/>
    <mergeCell ref="N154:O154"/>
    <mergeCell ref="N156:O156"/>
    <mergeCell ref="L174:M174"/>
    <mergeCell ref="N174:O174"/>
    <mergeCell ref="G175:J175"/>
    <mergeCell ref="L175:M175"/>
    <mergeCell ref="G177:J177"/>
    <mergeCell ref="L177:M177"/>
    <mergeCell ref="G178:J178"/>
    <mergeCell ref="G179:J179"/>
    <mergeCell ref="L179:M179"/>
    <mergeCell ref="G171:J171"/>
    <mergeCell ref="G173:J173"/>
    <mergeCell ref="L171:M171"/>
    <mergeCell ref="G186:I186"/>
    <mergeCell ref="J186:L186"/>
    <mergeCell ref="M186:N186"/>
    <mergeCell ref="G188:I188"/>
    <mergeCell ref="J188:L188"/>
    <mergeCell ref="M188:N188"/>
    <mergeCell ref="G180:J180"/>
    <mergeCell ref="G181:J181"/>
    <mergeCell ref="L181:M181"/>
    <mergeCell ref="G195:J195"/>
    <mergeCell ref="L195:O195"/>
    <mergeCell ref="G196:J196"/>
    <mergeCell ref="L196:O196"/>
    <mergeCell ref="G189:I189"/>
    <mergeCell ref="J189:L189"/>
    <mergeCell ref="M189:N189"/>
    <mergeCell ref="G190:I190"/>
    <mergeCell ref="J190:L190"/>
    <mergeCell ref="M190:N190"/>
    <mergeCell ref="G203:H203"/>
    <mergeCell ref="I203:J203"/>
    <mergeCell ref="G204:H204"/>
    <mergeCell ref="I204:J204"/>
    <mergeCell ref="G197:J197"/>
    <mergeCell ref="L197:O197"/>
    <mergeCell ref="L198:O198"/>
    <mergeCell ref="G199:J199"/>
    <mergeCell ref="L199:O199"/>
    <mergeCell ref="G215:J215"/>
    <mergeCell ref="L215:O215"/>
    <mergeCell ref="G216:J216"/>
    <mergeCell ref="L216:O216"/>
    <mergeCell ref="G213:J213"/>
    <mergeCell ref="L213:O213"/>
    <mergeCell ref="G214:J214"/>
    <mergeCell ref="L214:O214"/>
    <mergeCell ref="G206:H206"/>
    <mergeCell ref="I206:J206"/>
    <mergeCell ref="G208:H208"/>
    <mergeCell ref="I208:J208"/>
    <mergeCell ref="G224:H224"/>
    <mergeCell ref="L224:M224"/>
    <mergeCell ref="N224:O224"/>
    <mergeCell ref="G225:H225"/>
    <mergeCell ref="L225:M225"/>
    <mergeCell ref="N225:O225"/>
    <mergeCell ref="G217:J217"/>
    <mergeCell ref="L217:O217"/>
    <mergeCell ref="G223:H223"/>
    <mergeCell ref="L223:M223"/>
    <mergeCell ref="N223:O223"/>
    <mergeCell ref="I241:J241"/>
    <mergeCell ref="G242:H242"/>
    <mergeCell ref="I242:J242"/>
    <mergeCell ref="L242:M242"/>
    <mergeCell ref="N242:O242"/>
    <mergeCell ref="N233:O233"/>
    <mergeCell ref="G240:H240"/>
    <mergeCell ref="I240:J240"/>
    <mergeCell ref="L240:M240"/>
    <mergeCell ref="N240:O240"/>
    <mergeCell ref="G233:H233"/>
    <mergeCell ref="L233:M233"/>
    <mergeCell ref="I233:J233"/>
    <mergeCell ref="G248:H248"/>
    <mergeCell ref="I248:J248"/>
    <mergeCell ref="L248:M248"/>
    <mergeCell ref="N248:O248"/>
    <mergeCell ref="G246:H246"/>
    <mergeCell ref="I246:J246"/>
    <mergeCell ref="L246:M246"/>
    <mergeCell ref="N246:O246"/>
    <mergeCell ref="I243:J243"/>
    <mergeCell ref="N243:O243"/>
    <mergeCell ref="G244:H244"/>
    <mergeCell ref="I244:J244"/>
    <mergeCell ref="L244:M244"/>
    <mergeCell ref="N244:O244"/>
    <mergeCell ref="G258:J258"/>
    <mergeCell ref="L258:O258"/>
    <mergeCell ref="G259:J259"/>
    <mergeCell ref="L259:O259"/>
    <mergeCell ref="G256:J256"/>
    <mergeCell ref="L256:O256"/>
    <mergeCell ref="G257:J257"/>
    <mergeCell ref="L257:O257"/>
    <mergeCell ref="N249:O249"/>
    <mergeCell ref="G250:H250"/>
    <mergeCell ref="I250:J250"/>
    <mergeCell ref="L250:M250"/>
    <mergeCell ref="N250:O250"/>
    <mergeCell ref="G268:J268"/>
    <mergeCell ref="L268:M268"/>
    <mergeCell ref="N268:O268"/>
    <mergeCell ref="G269:J269"/>
    <mergeCell ref="L269:M269"/>
    <mergeCell ref="N269:O269"/>
    <mergeCell ref="G260:J260"/>
    <mergeCell ref="L260:O260"/>
    <mergeCell ref="G267:J267"/>
    <mergeCell ref="L267:M267"/>
    <mergeCell ref="N267:O267"/>
    <mergeCell ref="G276:J276"/>
    <mergeCell ref="G277:J277"/>
    <mergeCell ref="G278:J278"/>
    <mergeCell ref="G279:J279"/>
    <mergeCell ref="G270:J270"/>
    <mergeCell ref="L270:M270"/>
    <mergeCell ref="N270:O270"/>
    <mergeCell ref="G271:J271"/>
    <mergeCell ref="L271:M271"/>
    <mergeCell ref="N271:O271"/>
    <mergeCell ref="G286:H286"/>
    <mergeCell ref="I286:J286"/>
    <mergeCell ref="L286:O286"/>
    <mergeCell ref="G287:H287"/>
    <mergeCell ref="I287:J287"/>
    <mergeCell ref="L287:O287"/>
    <mergeCell ref="G280:J280"/>
    <mergeCell ref="G285:H285"/>
    <mergeCell ref="I285:J285"/>
    <mergeCell ref="L285:O285"/>
    <mergeCell ref="G298:J298"/>
    <mergeCell ref="L298:O298"/>
    <mergeCell ref="G299:J299"/>
    <mergeCell ref="L299:O299"/>
    <mergeCell ref="G288:H288"/>
    <mergeCell ref="I288:J288"/>
    <mergeCell ref="L288:O288"/>
    <mergeCell ref="G289:H289"/>
    <mergeCell ref="I289:J289"/>
    <mergeCell ref="L289:O289"/>
    <mergeCell ref="G292:J292"/>
    <mergeCell ref="L292:O292"/>
    <mergeCell ref="G302:J302"/>
    <mergeCell ref="L302:O302"/>
    <mergeCell ref="L307:O307"/>
    <mergeCell ref="G307:H307"/>
    <mergeCell ref="I307:J307"/>
    <mergeCell ref="G300:J300"/>
    <mergeCell ref="L300:O300"/>
    <mergeCell ref="G301:J301"/>
    <mergeCell ref="L301:O301"/>
    <mergeCell ref="L310:O310"/>
    <mergeCell ref="L311:O311"/>
    <mergeCell ref="G310:H310"/>
    <mergeCell ref="I310:J310"/>
    <mergeCell ref="G311:H311"/>
    <mergeCell ref="I311:J311"/>
    <mergeCell ref="L308:O308"/>
    <mergeCell ref="L309:O309"/>
    <mergeCell ref="G308:H308"/>
    <mergeCell ref="I308:J308"/>
    <mergeCell ref="G309:H309"/>
    <mergeCell ref="I309:J309"/>
    <mergeCell ref="F340:F341"/>
    <mergeCell ref="K340:K341"/>
    <mergeCell ref="G323:J323"/>
    <mergeCell ref="G333:H333"/>
    <mergeCell ref="G334:H334"/>
    <mergeCell ref="G335:H335"/>
    <mergeCell ref="G319:J319"/>
    <mergeCell ref="G320:J320"/>
    <mergeCell ref="G321:J321"/>
    <mergeCell ref="G322:J322"/>
    <mergeCell ref="G344:J344"/>
    <mergeCell ref="L344:O344"/>
    <mergeCell ref="G345:J345"/>
    <mergeCell ref="L345:O345"/>
    <mergeCell ref="G342:J342"/>
    <mergeCell ref="L342:O342"/>
    <mergeCell ref="G343:J343"/>
    <mergeCell ref="L343:O343"/>
    <mergeCell ref="G336:H336"/>
    <mergeCell ref="G337:H337"/>
    <mergeCell ref="G354:H354"/>
    <mergeCell ref="I354:J354"/>
    <mergeCell ref="L354:M354"/>
    <mergeCell ref="N354:O354"/>
    <mergeCell ref="G353:H353"/>
    <mergeCell ref="I353:J353"/>
    <mergeCell ref="L353:M353"/>
    <mergeCell ref="N353:O353"/>
    <mergeCell ref="G346:J346"/>
    <mergeCell ref="L346:O346"/>
    <mergeCell ref="G352:H352"/>
    <mergeCell ref="I352:J352"/>
    <mergeCell ref="L352:M352"/>
    <mergeCell ref="N352:O352"/>
    <mergeCell ref="G358:H358"/>
    <mergeCell ref="I358:J358"/>
    <mergeCell ref="L358:M358"/>
    <mergeCell ref="N358:O358"/>
    <mergeCell ref="G356:H356"/>
    <mergeCell ref="I356:J356"/>
    <mergeCell ref="L356:M356"/>
    <mergeCell ref="N356:O356"/>
    <mergeCell ref="G355:H355"/>
    <mergeCell ref="I355:J355"/>
    <mergeCell ref="L355:M355"/>
    <mergeCell ref="N355:O355"/>
    <mergeCell ref="G361:H361"/>
    <mergeCell ref="I361:J361"/>
    <mergeCell ref="L361:M361"/>
    <mergeCell ref="N361:O361"/>
    <mergeCell ref="G362:H362"/>
    <mergeCell ref="I362:J362"/>
    <mergeCell ref="L362:M362"/>
    <mergeCell ref="N362:O362"/>
    <mergeCell ref="G359:H359"/>
    <mergeCell ref="I359:J359"/>
    <mergeCell ref="L359:M359"/>
    <mergeCell ref="N359:O359"/>
    <mergeCell ref="G360:H360"/>
    <mergeCell ref="I360:J360"/>
    <mergeCell ref="L360:M360"/>
    <mergeCell ref="N360:O360"/>
    <mergeCell ref="G369:H369"/>
    <mergeCell ref="I369:J369"/>
    <mergeCell ref="L369:O369"/>
    <mergeCell ref="G370:H370"/>
    <mergeCell ref="I370:J370"/>
    <mergeCell ref="L370:O370"/>
    <mergeCell ref="G371:H371"/>
    <mergeCell ref="I371:J371"/>
    <mergeCell ref="L371:O371"/>
    <mergeCell ref="G372:H372"/>
    <mergeCell ref="I372:J372"/>
    <mergeCell ref="G381:J381"/>
    <mergeCell ref="L381:O381"/>
    <mergeCell ref="G373:H373"/>
    <mergeCell ref="I373:J373"/>
    <mergeCell ref="L373:O373"/>
    <mergeCell ref="G378:J378"/>
    <mergeCell ref="L378:O378"/>
    <mergeCell ref="L372:O372"/>
    <mergeCell ref="I387:J387"/>
    <mergeCell ref="L387:O387"/>
    <mergeCell ref="G388:H388"/>
    <mergeCell ref="I388:J388"/>
    <mergeCell ref="L388:O388"/>
    <mergeCell ref="G390:H390"/>
    <mergeCell ref="I390:J390"/>
    <mergeCell ref="L390:O390"/>
    <mergeCell ref="G379:J379"/>
    <mergeCell ref="L379:O379"/>
    <mergeCell ref="G380:J380"/>
    <mergeCell ref="L380:O380"/>
    <mergeCell ref="G389:H389"/>
    <mergeCell ref="I389:J389"/>
    <mergeCell ref="L389:O389"/>
    <mergeCell ref="G382:J382"/>
    <mergeCell ref="L382:O382"/>
    <mergeCell ref="G387:H387"/>
    <mergeCell ref="G400:J400"/>
    <mergeCell ref="L400:O400"/>
    <mergeCell ref="G397:J397"/>
    <mergeCell ref="L397:O397"/>
    <mergeCell ref="G398:J398"/>
    <mergeCell ref="L398:O398"/>
    <mergeCell ref="G399:J399"/>
    <mergeCell ref="L399:O399"/>
    <mergeCell ref="G391:H391"/>
    <mergeCell ref="I391:J391"/>
    <mergeCell ref="L391:O391"/>
    <mergeCell ref="G396:J396"/>
    <mergeCell ref="L396:O396"/>
    <mergeCell ref="G408:H408"/>
    <mergeCell ref="I408:J408"/>
    <mergeCell ref="L408:O408"/>
    <mergeCell ref="G409:H409"/>
    <mergeCell ref="I409:J409"/>
    <mergeCell ref="L409:O409"/>
    <mergeCell ref="G406:H406"/>
    <mergeCell ref="I406:J406"/>
    <mergeCell ref="L406:O406"/>
    <mergeCell ref="G407:H407"/>
    <mergeCell ref="I407:J407"/>
    <mergeCell ref="L407:O407"/>
    <mergeCell ref="L416:M416"/>
    <mergeCell ref="N416:O416"/>
    <mergeCell ref="L417:M417"/>
    <mergeCell ref="N417:O417"/>
    <mergeCell ref="G416:H416"/>
    <mergeCell ref="G417:H417"/>
    <mergeCell ref="I416:J416"/>
    <mergeCell ref="I417:J417"/>
    <mergeCell ref="G410:H410"/>
    <mergeCell ref="I410:J410"/>
    <mergeCell ref="L410:O410"/>
    <mergeCell ref="L415:M415"/>
    <mergeCell ref="N415:O415"/>
    <mergeCell ref="G415:H415"/>
    <mergeCell ref="I415:J415"/>
    <mergeCell ref="G424:H424"/>
    <mergeCell ref="I424:J424"/>
    <mergeCell ref="L424:M424"/>
    <mergeCell ref="N424:O424"/>
    <mergeCell ref="L418:M418"/>
    <mergeCell ref="N418:O418"/>
    <mergeCell ref="L419:M419"/>
    <mergeCell ref="N419:O419"/>
    <mergeCell ref="G418:H418"/>
    <mergeCell ref="G419:H419"/>
    <mergeCell ref="I418:J418"/>
    <mergeCell ref="I419:J419"/>
    <mergeCell ref="G427:H427"/>
    <mergeCell ref="I427:J427"/>
    <mergeCell ref="L427:M427"/>
    <mergeCell ref="N427:O427"/>
    <mergeCell ref="G426:H426"/>
    <mergeCell ref="I426:J426"/>
    <mergeCell ref="L426:M426"/>
    <mergeCell ref="N426:O426"/>
    <mergeCell ref="G425:H425"/>
    <mergeCell ref="I425:J425"/>
    <mergeCell ref="L425:M425"/>
    <mergeCell ref="N425:O425"/>
    <mergeCell ref="G435:J435"/>
    <mergeCell ref="L435:O435"/>
    <mergeCell ref="G436:J436"/>
    <mergeCell ref="L436:O436"/>
    <mergeCell ref="G433:J433"/>
    <mergeCell ref="L433:O433"/>
    <mergeCell ref="G434:J434"/>
    <mergeCell ref="L434:O434"/>
    <mergeCell ref="G428:H428"/>
    <mergeCell ref="I428:J428"/>
    <mergeCell ref="L428:M428"/>
    <mergeCell ref="N428:O428"/>
    <mergeCell ref="G446:J446"/>
    <mergeCell ref="L446:O446"/>
    <mergeCell ref="G447:J447"/>
    <mergeCell ref="L447:O447"/>
    <mergeCell ref="G444:J444"/>
    <mergeCell ref="L444:O444"/>
    <mergeCell ref="G445:J445"/>
    <mergeCell ref="L445:O445"/>
    <mergeCell ref="G437:J437"/>
    <mergeCell ref="L437:O437"/>
    <mergeCell ref="G443:J443"/>
    <mergeCell ref="L443:O443"/>
    <mergeCell ref="I95:J95"/>
    <mergeCell ref="I96:J96"/>
    <mergeCell ref="G97:H97"/>
    <mergeCell ref="I97:J97"/>
    <mergeCell ref="L93:M93"/>
    <mergeCell ref="N93:O93"/>
    <mergeCell ref="L95:M95"/>
    <mergeCell ref="N95:O95"/>
    <mergeCell ref="L97:M97"/>
    <mergeCell ref="N97:O97"/>
    <mergeCell ref="I93:J93"/>
    <mergeCell ref="G110:J110"/>
    <mergeCell ref="G111:J111"/>
    <mergeCell ref="G112:J112"/>
    <mergeCell ref="G113:J113"/>
    <mergeCell ref="L109:O109"/>
    <mergeCell ref="L110:O110"/>
    <mergeCell ref="L111:O111"/>
    <mergeCell ref="L112:O112"/>
    <mergeCell ref="L113:O113"/>
    <mergeCell ref="G109:J109"/>
    <mergeCell ref="L129:O129"/>
    <mergeCell ref="G154:I154"/>
    <mergeCell ref="G156:H156"/>
    <mergeCell ref="H152:I152"/>
    <mergeCell ref="I229:J229"/>
    <mergeCell ref="G230:H230"/>
    <mergeCell ref="I230:J230"/>
    <mergeCell ref="I231:J231"/>
    <mergeCell ref="G232:H232"/>
    <mergeCell ref="I232:J232"/>
    <mergeCell ref="G231:H231"/>
    <mergeCell ref="L231:M231"/>
    <mergeCell ref="N231:O231"/>
    <mergeCell ref="N232:O232"/>
    <mergeCell ref="G229:H229"/>
    <mergeCell ref="L229:M229"/>
    <mergeCell ref="N229:O229"/>
    <mergeCell ref="N230:O230"/>
    <mergeCell ref="G226:H226"/>
    <mergeCell ref="L226:M226"/>
    <mergeCell ref="N226:O226"/>
    <mergeCell ref="G227:H227"/>
    <mergeCell ref="L227:M227"/>
    <mergeCell ref="N227:O227"/>
  </mergeCells>
  <phoneticPr fontId="21"/>
  <conditionalFormatting sqref="I44">
    <cfRule type="expression" dxfId="141" priority="5" stopIfTrue="1">
      <formula>AND(J33&gt;0,$M$45&gt;0)</formula>
    </cfRule>
  </conditionalFormatting>
  <conditionalFormatting sqref="I56">
    <cfRule type="expression" dxfId="140" priority="6" stopIfTrue="1">
      <formula>AND(O33&gt;0,K57&gt;0)</formula>
    </cfRule>
  </conditionalFormatting>
  <conditionalFormatting sqref="L9 M144 K69 K117 K101 K85 K133 K255 K194 K212 K169 K238 K266 K284 K297 K306 M332 K350 K368 K377 K386 K395 K405 K414 K423 K432 K442 K221">
    <cfRule type="expression" dxfId="139" priority="7" stopIfTrue="1">
      <formula>AND(OR(K9&lt;1,K9&gt;5),K9&lt;&gt;0)</formula>
    </cfRule>
    <cfRule type="expression" dxfId="138" priority="8" stopIfTrue="1">
      <formula>$O8&gt;0</formula>
    </cfRule>
  </conditionalFormatting>
  <conditionalFormatting sqref="K340 F340">
    <cfRule type="expression" dxfId="137" priority="9" stopIfTrue="1">
      <formula>AND(OR(F340&lt;1,F340&gt;5),F340&lt;&gt;R347)</formula>
    </cfRule>
    <cfRule type="expression" dxfId="136" priority="10" stopIfTrue="1">
      <formula>J339&gt;0</formula>
    </cfRule>
  </conditionalFormatting>
  <conditionalFormatting sqref="K341 F341">
    <cfRule type="expression" dxfId="135" priority="11" stopIfTrue="1">
      <formula>AND(OR(F341&lt;1,F341&gt;5),F341&lt;&gt;#REF!)</formula>
    </cfRule>
    <cfRule type="expression" dxfId="134" priority="12" stopIfTrue="1">
      <formula>J340&gt;0</formula>
    </cfRule>
  </conditionalFormatting>
  <conditionalFormatting sqref="G44">
    <cfRule type="expression" dxfId="133" priority="13" stopIfTrue="1">
      <formula>AND(OR($G$44&lt;1,$G$44&gt;5),$G$44&lt;&gt;$R$40)</formula>
    </cfRule>
    <cfRule type="expression" dxfId="132" priority="14" stopIfTrue="1">
      <formula>AND(O33&gt;0,O$45&gt;0,I44=$T$4)</formula>
    </cfRule>
  </conditionalFormatting>
  <conditionalFormatting sqref="G56">
    <cfRule type="expression" dxfId="131" priority="15" stopIfTrue="1">
      <formula>AND(OR($G$56&lt;1,$G$56&gt;5),$G$56&lt;&gt;$W$40)</formula>
    </cfRule>
    <cfRule type="expression" dxfId="130" priority="16" stopIfTrue="1">
      <formula>AND(O33&gt;0,K57&gt;0,I56=$T$4)</formula>
    </cfRule>
  </conditionalFormatting>
  <conditionalFormatting sqref="F44">
    <cfRule type="expression" dxfId="129" priority="17" stopIfTrue="1">
      <formula>AND(OR($F$44&lt;1,$F$44&gt;5),$F$44&lt;&gt;$R$40)</formula>
    </cfRule>
    <cfRule type="expression" dxfId="128" priority="18" stopIfTrue="1">
      <formula>AND(J33&gt;0,$M$45&gt;0,I44=$T$4)</formula>
    </cfRule>
  </conditionalFormatting>
  <conditionalFormatting sqref="F9 F144 F169 F133 F117 F101 F85 F69 F203 F212 F221 F266 F275 F284 F297 F306 F332 F350 F368 F386 F405 F414 F432 F442 F377 F318 F238 F423 F395 F255 F194 F160 F185">
    <cfRule type="expression" dxfId="127" priority="19" stopIfTrue="1">
      <formula>AND(OR(F9&lt;1,F9&gt;5),F9&lt;&gt;0)</formula>
    </cfRule>
    <cfRule type="expression" dxfId="126" priority="20" stopIfTrue="1">
      <formula>$J8&gt;0</formula>
    </cfRule>
  </conditionalFormatting>
  <conditionalFormatting sqref="G59:G60">
    <cfRule type="expression" dxfId="125" priority="21" stopIfTrue="1">
      <formula>$I$56=$T$4</formula>
    </cfRule>
    <cfRule type="expression" dxfId="124" priority="22" stopIfTrue="1">
      <formula>AND($O$33&gt;0,$K$57&gt;0)</formula>
    </cfRule>
  </conditionalFormatting>
  <conditionalFormatting sqref="G61:G63">
    <cfRule type="expression" dxfId="123" priority="23" stopIfTrue="1">
      <formula>$I$56=$T$4</formula>
    </cfRule>
    <cfRule type="expression" dxfId="122" priority="24" stopIfTrue="1">
      <formula>AND($O$33&gt;0,$K$57&gt;0)</formula>
    </cfRule>
  </conditionalFormatting>
  <conditionalFormatting sqref="F50:G53">
    <cfRule type="expression" dxfId="121" priority="25" stopIfTrue="1">
      <formula>$J$33&gt;0</formula>
    </cfRule>
  </conditionalFormatting>
  <conditionalFormatting sqref="F46:G49">
    <cfRule type="expression" dxfId="120" priority="26" stopIfTrue="1">
      <formula>AND($J$33&gt;0,$M$45&gt;2000)</formula>
    </cfRule>
    <cfRule type="expression" dxfId="119" priority="27" stopIfTrue="1">
      <formula>AND($J$33&gt;0,$M$45&lt;2000,$F$41=$S$3)</formula>
    </cfRule>
  </conditionalFormatting>
  <conditionalFormatting sqref="F41">
    <cfRule type="expression" dxfId="118" priority="28" stopIfTrue="1">
      <formula>$M$45&lt;2000</formula>
    </cfRule>
  </conditionalFormatting>
  <conditionalFormatting sqref="F292">
    <cfRule type="expression" dxfId="117" priority="4" stopIfTrue="1">
      <formula>J283&gt;0</formula>
    </cfRule>
  </conditionalFormatting>
  <conditionalFormatting sqref="K292">
    <cfRule type="expression" dxfId="116" priority="3" stopIfTrue="1">
      <formula>O283&gt;0</formula>
    </cfRule>
  </conditionalFormatting>
  <conditionalFormatting sqref="F314">
    <cfRule type="expression" dxfId="115" priority="2" stopIfTrue="1">
      <formula>J305&gt;0</formula>
    </cfRule>
  </conditionalFormatting>
  <conditionalFormatting sqref="K314">
    <cfRule type="expression" dxfId="114" priority="1" stopIfTrue="1">
      <formula>O305&gt;0</formula>
    </cfRule>
  </conditionalFormatting>
  <dataValidations count="14">
    <dataValidation type="list" allowBlank="1" showInputMessage="1" sqref="K340 F340">
      <formula1>R342:R347</formula1>
    </dataValidation>
    <dataValidation type="list" allowBlank="1" showInputMessage="1" sqref="L9 M144 K69 K117 K101 K85 K133 K194 K212 K169 K238 K266 K297 M332 K350 K368 K377 K386 K395 K405 K414 K423 K432 K442 K255 K221">
      <formula1>$C10:$C15</formula1>
    </dataValidation>
    <dataValidation type="list" allowBlank="1" showInputMessage="1" sqref="K341 F341">
      <formula1>R343:R347</formula1>
    </dataValidation>
    <dataValidation type="list" allowBlank="1" showInputMessage="1" sqref="F9 F144 F169 F133 F117 F101 F85 F69 F203 F212 F221 F266 F275 F297 F332 F350 F185 F386 F405 F414 F432 F442 F377 F318 F238 F423 F395 F255 F194 F160 F368">
      <formula1>$B10:$B15</formula1>
    </dataValidation>
    <dataValidation type="list" allowBlank="1" showInputMessage="1" showErrorMessage="1" sqref="I56 I44">
      <formula1>$T$3:$T$4</formula1>
    </dataValidation>
    <dataValidation type="list" allowBlank="1" showInputMessage="1" showErrorMessage="1" sqref="G59:G63 F46:G53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F292 JB292 SX292 ACT292 AMP292 AWL292 BGH292 BQD292 BZZ292 CJV292 CTR292 DDN292 DNJ292 DXF292 EHB292 EQX292 FAT292 FKP292 FUL292 GEH292 GOD292 GXZ292 HHV292 HRR292 IBN292 ILJ292 IVF292 JFB292 JOX292 JYT292 KIP292 KSL292 LCH292 LMD292 LVZ292 MFV292 MPR292 MZN292 NJJ292 NTF292 ODB292 OMX292 OWT292 PGP292 PQL292 QAH292 QKD292 QTZ292 RDV292 RNR292 RXN292 SHJ292 SRF292 TBB292 TKX292 TUT292 UEP292 UOL292 UYH292 VID292 VRZ292 WBV292 WLR292 WVN292 K314 JG314 TC314 ACY314 AMU314 AWQ314 BGM314 BQI314 CAE314 CKA314 CTW314 DDS314 DNO314 DXK314 EHG314 ERC314 FAY314 FKU314 FUQ314 GEM314 GOI314 GYE314 HIA314 HRW314 IBS314 ILO314 IVK314 JFG314 JPC314 JYY314 KIU314 KSQ314 LCM314 LMI314 LWE314 MGA314 MPW314 MZS314 NJO314 NTK314 ODG314 ONC314 OWY314 PGU314 PQQ314 QAM314 QKI314 QUE314 REA314 RNW314 RXS314 SHO314 SRK314 TBG314 TLC314 TUY314 UEU314 UOQ314 UYM314 VII314 VSE314 WCA314 WLW314 WVS314 F314 JB314 SX314 ACT314 AMP314 AWL314 BGH314 BQD314 BZZ314 CJV314 CTR314 DDN314 DNJ314 DXF314 EHB314 EQX314 FAT314 FKP314 FUL314 GEH314 GOD314 GXZ314 HHV314 HRR314 IBN314 ILJ314 IVF314 JFB314 JOX314 JYT314 KIP314 KSL314 LCH314 LMD314 LVZ314 MFV314 MPR314 MZN314 NJJ314 NTF314 ODB314 OMX314 OWT314 PGP314 PQL314 QAH314 QKD314 QTZ314 RDV314 RNR314 RXN314 SHJ314 SRF314 TBB314 TKX314 TUT314 UEP314 UOL314 UYH314 VID314 VRZ314 WBV314 WLR314 WVN314">
      <formula1>"○,　"</formula1>
    </dataValidation>
    <dataValidation type="list" allowBlank="1" sqref="G56">
      <formula1>$B$57:$B$62</formula1>
    </dataValidation>
    <dataValidation type="list" allowBlank="1" showInputMessage="1" sqref="G44">
      <formula1>$C$45:$C$50</formula1>
    </dataValidation>
    <dataValidation type="list" allowBlank="1" showInputMessage="1" showErrorMessage="1" sqref="F41">
      <formula1>$S$3:$S$4</formula1>
    </dataValidation>
    <dataValidation type="list" allowBlank="1" showInputMessage="1" sqref="F44">
      <formula1>$B$45:$B$50</formula1>
    </dataValidation>
    <dataValidation type="list" allowBlank="1" showInputMessage="1" sqref="K284">
      <formula1>$C$285:$C$290</formula1>
    </dataValidation>
    <dataValidation type="list" allowBlank="1" showInputMessage="1" sqref="F284">
      <formula1>$B$285:$B$290</formula1>
    </dataValidation>
    <dataValidation type="list" allowBlank="1" showInputMessage="1" sqref="K306">
      <formula1>$C$307:$C$312</formula1>
    </dataValidation>
    <dataValidation type="list" allowBlank="1" showInputMessage="1" sqref="F306">
      <formula1>$B$307:$B$312</formula1>
    </dataValidation>
  </dataValidations>
  <printOptions horizontalCentered="1"/>
  <pageMargins left="0.59055118110236227" right="0.59055118110236227" top="0.78740157480314965" bottom="0.59055118110236227" header="0.51181102362204722" footer="0.51181102362204722"/>
  <pageSetup paperSize="9" scale="68" fitToHeight="10" orientation="portrait" verticalDpi="4294967293" r:id="rId1"/>
  <headerFooter alignWithMargins="0">
    <oddHeader>&amp;L&amp;F&amp;R&amp;A</oddHeader>
    <oddFooter>&amp;C&amp;P/&amp;N</oddFooter>
  </headerFooter>
  <rowBreaks count="6" manualBreakCount="6">
    <brk id="139" max="16383" man="1"/>
    <brk id="166" min="3" max="15" man="1"/>
    <brk id="261" min="3" max="15" man="1"/>
    <brk id="329" min="3" max="15" man="1"/>
    <brk id="363" min="3" max="15" man="1"/>
    <brk id="420" min="3" max="15" man="1"/>
  </rowBreaks>
</worksheet>
</file>

<file path=xl/worksheets/sheet7.xml><?xml version="1.0" encoding="utf-8"?>
<worksheet xmlns="http://schemas.openxmlformats.org/spreadsheetml/2006/main" xmlns:r="http://schemas.openxmlformats.org/officeDocument/2006/relationships">
  <sheetPr codeName="Sheet8">
    <pageSetUpPr autoPageBreaks="0"/>
  </sheetPr>
  <dimension ref="A1:AA410"/>
  <sheetViews>
    <sheetView showGridLines="0" zoomScaleNormal="100" zoomScaleSheetLayoutView="100" workbookViewId="0">
      <selection activeCell="H227" sqref="H227"/>
    </sheetView>
  </sheetViews>
  <sheetFormatPr defaultColWidth="0" defaultRowHeight="13.5" zeroHeight="1"/>
  <cols>
    <col min="1" max="1" width="1.25" customWidth="1"/>
    <col min="2" max="2" width="21.375" hidden="1" customWidth="1"/>
    <col min="3" max="3" width="6" hidden="1" customWidth="1"/>
    <col min="4" max="4" width="5" style="2452" customWidth="1"/>
    <col min="5" max="5" width="1.5" style="136" customWidth="1"/>
    <col min="6" max="15" width="12.5" style="136" customWidth="1"/>
    <col min="16" max="16" width="2.875" customWidth="1"/>
    <col min="17" max="17" width="8.625" hidden="1" customWidth="1"/>
    <col min="18" max="18" width="5.875" hidden="1" customWidth="1"/>
    <col min="19" max="19" width="9.75" hidden="1" customWidth="1"/>
    <col min="20" max="20" width="14.375" hidden="1" customWidth="1"/>
    <col min="21" max="21" width="10.25" hidden="1" customWidth="1"/>
    <col min="22" max="22" width="27.25" hidden="1" customWidth="1"/>
    <col min="23" max="23" width="2.5" hidden="1" customWidth="1"/>
    <col min="24" max="24" width="6" hidden="1" customWidth="1"/>
    <col min="25" max="25" width="14.375" hidden="1" customWidth="1"/>
    <col min="26" max="26" width="11.125" hidden="1" customWidth="1"/>
    <col min="27" max="27" width="2.5" hidden="1" customWidth="1"/>
    <col min="28" max="16384" width="9" hidden="1"/>
  </cols>
  <sheetData>
    <row r="1" spans="2:22" ht="15.75">
      <c r="D1" s="951"/>
      <c r="E1" s="1188"/>
      <c r="F1" s="1188"/>
      <c r="G1" s="952"/>
      <c r="H1" s="952"/>
      <c r="I1" s="952"/>
      <c r="J1" s="952"/>
      <c r="K1" s="1188"/>
      <c r="L1" s="1188"/>
      <c r="M1" s="953" t="s">
        <v>2253</v>
      </c>
      <c r="N1" s="3487" t="str">
        <f>メイン!C11</f>
        <v>○○ビル</v>
      </c>
      <c r="O1" s="3487"/>
      <c r="R1" t="s">
        <v>1094</v>
      </c>
    </row>
    <row r="2" spans="2:22" ht="16.5" thickBot="1">
      <c r="D2" s="951"/>
      <c r="E2" s="1189"/>
      <c r="F2" s="1189"/>
      <c r="G2" s="1110"/>
      <c r="H2" s="1110"/>
      <c r="I2" s="1110"/>
      <c r="J2" s="1110"/>
      <c r="K2" s="1189"/>
      <c r="L2" s="1189"/>
      <c r="M2" s="1189"/>
      <c r="N2" s="1189"/>
      <c r="O2" s="1189"/>
    </row>
    <row r="3" spans="2:22" ht="18.75" thickBot="1">
      <c r="D3" s="1454" t="s">
        <v>1353</v>
      </c>
      <c r="E3" s="1190"/>
      <c r="F3" s="550"/>
      <c r="G3" s="955"/>
      <c r="H3" s="955"/>
      <c r="I3" s="957"/>
      <c r="J3" s="958" t="s">
        <v>2813</v>
      </c>
      <c r="K3" s="959"/>
      <c r="L3" s="959"/>
      <c r="M3" s="550"/>
      <c r="N3" s="550"/>
      <c r="O3" s="1191" t="str">
        <f>IF(メイン!E39=0,"",メイン!E39)</f>
        <v/>
      </c>
      <c r="R3" t="s">
        <v>1121</v>
      </c>
      <c r="S3" t="s">
        <v>1603</v>
      </c>
      <c r="U3" t="str">
        <f>メイン!I39</f>
        <v>基本設計段階</v>
      </c>
    </row>
    <row r="4" spans="2:22" ht="6" customHeight="1">
      <c r="D4" s="954"/>
      <c r="E4" s="1190"/>
      <c r="F4" s="550"/>
      <c r="G4" s="955"/>
      <c r="H4" s="955"/>
      <c r="I4" s="1150"/>
      <c r="J4" s="955"/>
      <c r="K4" s="959"/>
      <c r="L4" s="959"/>
      <c r="M4" s="550"/>
      <c r="N4" s="550"/>
      <c r="O4" s="550"/>
      <c r="T4" t="s">
        <v>1604</v>
      </c>
      <c r="U4" t="str">
        <f>メイン!I40</f>
        <v>実施設計段階</v>
      </c>
      <c r="V4" t="s">
        <v>3281</v>
      </c>
    </row>
    <row r="5" spans="2:22" ht="15.75">
      <c r="D5" s="1386">
        <v>1</v>
      </c>
      <c r="E5" s="1192" t="s">
        <v>756</v>
      </c>
      <c r="F5" s="1192"/>
      <c r="G5" s="961"/>
      <c r="H5" s="961"/>
      <c r="I5" s="961"/>
      <c r="J5" s="961"/>
      <c r="K5" s="1192"/>
      <c r="L5" s="1192"/>
      <c r="M5" s="1192"/>
      <c r="N5" s="1192"/>
      <c r="O5" s="1192"/>
      <c r="U5" t="str">
        <f>メイン!I41</f>
        <v>竣工段階</v>
      </c>
    </row>
    <row r="6" spans="2:22" ht="15.75">
      <c r="D6" s="1386">
        <v>1.1000000000000001</v>
      </c>
      <c r="E6" s="1192" t="s">
        <v>1986</v>
      </c>
      <c r="F6" s="1192"/>
      <c r="G6" s="1193"/>
      <c r="H6" s="961"/>
      <c r="I6" s="961"/>
      <c r="J6" s="961"/>
      <c r="K6" s="1192"/>
      <c r="L6" s="1194"/>
      <c r="M6" s="1192"/>
      <c r="N6" s="1192"/>
      <c r="O6" s="1192"/>
      <c r="S6" t="s">
        <v>1354</v>
      </c>
      <c r="U6">
        <f>メイン!Q42</f>
        <v>0</v>
      </c>
    </row>
    <row r="7" spans="2:22" ht="15.75">
      <c r="D7" s="954"/>
      <c r="E7" s="959"/>
      <c r="F7" s="965" t="s">
        <v>1504</v>
      </c>
      <c r="G7" s="966"/>
      <c r="H7" s="1195"/>
      <c r="I7" s="952"/>
      <c r="J7" s="1048" t="e">
        <f>IF(OR(F9=0,AND(J8=0,O8=0)),$R$3,"")</f>
        <v>#DIV/0!</v>
      </c>
      <c r="K7" s="965"/>
      <c r="L7" s="966"/>
      <c r="M7" s="1195"/>
      <c r="N7" s="952"/>
      <c r="O7" s="967"/>
      <c r="S7" t="s">
        <v>1355</v>
      </c>
    </row>
    <row r="8" spans="2:22" ht="16.5" thickBot="1">
      <c r="D8" s="954"/>
      <c r="E8" s="959"/>
      <c r="F8" s="971" t="s">
        <v>374</v>
      </c>
      <c r="G8" s="972"/>
      <c r="H8" s="973"/>
      <c r="I8" s="974" t="s">
        <v>1125</v>
      </c>
      <c r="J8" s="977" t="e">
        <f>重み!M64</f>
        <v>#DIV/0!</v>
      </c>
      <c r="K8" s="971" t="s">
        <v>1608</v>
      </c>
      <c r="L8" s="972"/>
      <c r="M8" s="973"/>
      <c r="N8" s="974" t="s">
        <v>1125</v>
      </c>
      <c r="O8" s="977" t="e">
        <f>重み!N64</f>
        <v>#DIV/0!</v>
      </c>
    </row>
    <row r="9" spans="2:22" ht="16.5" thickBot="1">
      <c r="D9" s="954"/>
      <c r="E9" s="959"/>
      <c r="F9" s="978">
        <v>3</v>
      </c>
      <c r="G9" s="1095" t="s">
        <v>1505</v>
      </c>
      <c r="H9" s="984"/>
      <c r="I9" s="1185" t="s">
        <v>1444</v>
      </c>
      <c r="J9" s="1471"/>
      <c r="K9" s="978">
        <v>3</v>
      </c>
      <c r="L9" s="1095" t="s">
        <v>1506</v>
      </c>
      <c r="M9" s="984"/>
      <c r="N9" s="1095" t="s">
        <v>1356</v>
      </c>
      <c r="O9" s="984"/>
    </row>
    <row r="10" spans="2:22" ht="30.75" customHeight="1">
      <c r="B10" s="1196">
        <v>1</v>
      </c>
      <c r="C10" s="1">
        <v>1</v>
      </c>
      <c r="D10" s="954"/>
      <c r="E10" s="959"/>
      <c r="F10" s="985" t="str">
        <f>IF(F9=$S$15,$T$10,IF(ROUNDDOWN(F9,0)=$S$10,$U$10,$T$10))</f>
        <v>　レベル　1</v>
      </c>
      <c r="G10" s="3401" t="s">
        <v>1906</v>
      </c>
      <c r="H10" s="3402"/>
      <c r="I10" s="3408" t="s">
        <v>1907</v>
      </c>
      <c r="J10" s="3409"/>
      <c r="K10" s="985" t="str">
        <f>IF(K9=$S$15,$T$10,IF(ROUNDDOWN(K9,0)=$S$10,$U$10,$T$10))</f>
        <v>　レベル　1</v>
      </c>
      <c r="L10" s="3401" t="s">
        <v>1343</v>
      </c>
      <c r="M10" s="3403"/>
      <c r="N10" s="3401" t="s">
        <v>1343</v>
      </c>
      <c r="O10" s="3403"/>
      <c r="S10">
        <v>1</v>
      </c>
      <c r="T10" t="s">
        <v>1357</v>
      </c>
      <c r="U10" t="s">
        <v>2227</v>
      </c>
    </row>
    <row r="11" spans="2:22" ht="30.75" customHeight="1">
      <c r="B11" s="1196" t="s">
        <v>2385</v>
      </c>
      <c r="C11" s="1" t="s">
        <v>2385</v>
      </c>
      <c r="D11" s="954"/>
      <c r="E11" s="959"/>
      <c r="F11" s="990" t="str">
        <f>IF(F9=$S$15,$T$11,IF(ROUNDDOWN(F9,0)=$S$11,$U$11,$T$11))</f>
        <v>　レベル　2</v>
      </c>
      <c r="G11" s="3397" t="s">
        <v>1795</v>
      </c>
      <c r="H11" s="3399"/>
      <c r="I11" s="3405" t="s">
        <v>1908</v>
      </c>
      <c r="J11" s="3406"/>
      <c r="K11" s="990" t="str">
        <f>IF(K9=$S$15,$T$11,IF(ROUNDDOWN(K9,0)=$S$11,$U$11,$T$11))</f>
        <v>　レベル　2</v>
      </c>
      <c r="L11" s="3397" t="s">
        <v>1795</v>
      </c>
      <c r="M11" s="3404"/>
      <c r="N11" s="3397" t="s">
        <v>1795</v>
      </c>
      <c r="O11" s="3404"/>
      <c r="S11">
        <v>2</v>
      </c>
      <c r="T11" t="s">
        <v>1095</v>
      </c>
      <c r="U11" t="s">
        <v>1096</v>
      </c>
    </row>
    <row r="12" spans="2:22" ht="30.75" customHeight="1">
      <c r="B12" s="1197">
        <v>3</v>
      </c>
      <c r="C12" s="1">
        <v>3</v>
      </c>
      <c r="D12" s="954"/>
      <c r="E12" s="959"/>
      <c r="F12" s="990" t="str">
        <f>IF(F9=$S$15,$T$12,IF(ROUNDDOWN(F9,0)=$S$12,$U$12,$T$12))</f>
        <v>■レベル　3</v>
      </c>
      <c r="G12" s="3397" t="s">
        <v>1909</v>
      </c>
      <c r="H12" s="3399"/>
      <c r="I12" s="3405" t="s">
        <v>1910</v>
      </c>
      <c r="J12" s="3406"/>
      <c r="K12" s="990" t="str">
        <f>IF(K9=$S$15,$T$12,IF(ROUNDDOWN(K9,0)=$S$12,$U$12,$T$12))</f>
        <v>■レベル　3</v>
      </c>
      <c r="L12" s="3397" t="s">
        <v>3016</v>
      </c>
      <c r="M12" s="3404"/>
      <c r="N12" s="3397" t="s">
        <v>3017</v>
      </c>
      <c r="O12" s="3404"/>
      <c r="S12">
        <v>3</v>
      </c>
      <c r="T12" t="s">
        <v>1100</v>
      </c>
      <c r="U12" t="s">
        <v>1101</v>
      </c>
    </row>
    <row r="13" spans="2:22" ht="30.75" customHeight="1">
      <c r="B13" s="1196">
        <v>4</v>
      </c>
      <c r="C13" s="1">
        <v>4</v>
      </c>
      <c r="D13" s="954"/>
      <c r="E13" s="959"/>
      <c r="F13" s="990" t="str">
        <f>IF(F9=$S$15,$T$13,IF(ROUNDDOWN(F9,0)=$S$13,$U$13,$T$13))</f>
        <v>　レベル　4</v>
      </c>
      <c r="G13" s="3397" t="s">
        <v>1498</v>
      </c>
      <c r="H13" s="3399"/>
      <c r="I13" s="3405" t="s">
        <v>1911</v>
      </c>
      <c r="J13" s="3406"/>
      <c r="K13" s="990" t="str">
        <f>IF(K9=$S$15,$T$13,IF(ROUNDDOWN(K9,0)=$S$13,$U$13,$T$13))</f>
        <v>　レベル　4</v>
      </c>
      <c r="L13" s="3397" t="s">
        <v>1795</v>
      </c>
      <c r="M13" s="3404"/>
      <c r="N13" s="3397" t="s">
        <v>3018</v>
      </c>
      <c r="O13" s="3404"/>
      <c r="S13">
        <v>4</v>
      </c>
      <c r="T13" t="s">
        <v>1001</v>
      </c>
      <c r="U13" t="s">
        <v>1002</v>
      </c>
    </row>
    <row r="14" spans="2:22" ht="30.75" customHeight="1">
      <c r="B14" s="1196">
        <v>5</v>
      </c>
      <c r="C14" s="1">
        <v>5</v>
      </c>
      <c r="D14" s="954"/>
      <c r="E14" s="959"/>
      <c r="F14" s="1001" t="str">
        <f>IF(F9=$S$15,$T$14,IF(ROUNDDOWN(F9,0)=$S$14,$U$14,$T$14))</f>
        <v>　レベル　5</v>
      </c>
      <c r="G14" s="3394" t="s">
        <v>1912</v>
      </c>
      <c r="H14" s="3400"/>
      <c r="I14" s="3435" t="s">
        <v>1911</v>
      </c>
      <c r="J14" s="3461"/>
      <c r="K14" s="1001" t="str">
        <f>IF(K9=$S$15,$T$14,IF(ROUNDDOWN(K9,0)=$S$14,$U$14,$T$14))</f>
        <v>　レベル　5</v>
      </c>
      <c r="L14" s="3394" t="s">
        <v>3019</v>
      </c>
      <c r="M14" s="3413"/>
      <c r="N14" s="3394" t="s">
        <v>3020</v>
      </c>
      <c r="O14" s="3413"/>
      <c r="S14">
        <v>5</v>
      </c>
      <c r="T14" t="s">
        <v>1008</v>
      </c>
      <c r="U14" t="s">
        <v>1009</v>
      </c>
    </row>
    <row r="15" spans="2:22" ht="15.75">
      <c r="B15" s="1008">
        <v>0</v>
      </c>
      <c r="C15" s="1008">
        <v>0</v>
      </c>
      <c r="D15" s="954"/>
      <c r="E15" s="959"/>
      <c r="F15" s="1165"/>
      <c r="G15" s="1044"/>
      <c r="H15" s="1044"/>
      <c r="I15" s="1044"/>
      <c r="J15" s="1044"/>
      <c r="K15" s="1165"/>
      <c r="L15" s="1165"/>
      <c r="M15" s="1165"/>
      <c r="N15" s="1165"/>
      <c r="O15" s="1165"/>
      <c r="S15">
        <v>0</v>
      </c>
      <c r="T15" t="s">
        <v>2228</v>
      </c>
      <c r="U15" t="s">
        <v>2228</v>
      </c>
    </row>
    <row r="16" spans="2:22" ht="15.75">
      <c r="D16" s="954"/>
      <c r="E16" s="550"/>
      <c r="F16" s="1133" t="s">
        <v>1499</v>
      </c>
      <c r="G16" s="1045"/>
      <c r="H16" s="1094"/>
      <c r="I16" s="1074"/>
      <c r="J16" s="1048" t="e">
        <f>IF(OR(F18=0,AND(J17=0,O17=0)),$R$3,"")</f>
        <v>#DIV/0!</v>
      </c>
      <c r="K16" s="1133"/>
      <c r="L16" s="1045"/>
      <c r="M16" s="1094"/>
      <c r="N16" s="1074"/>
      <c r="O16" s="1048"/>
    </row>
    <row r="17" spans="1:15" ht="16.5" thickBot="1">
      <c r="D17" s="954"/>
      <c r="E17" s="550"/>
      <c r="F17" s="971" t="s">
        <v>2229</v>
      </c>
      <c r="G17" s="972"/>
      <c r="H17" s="973"/>
      <c r="I17" s="974" t="s">
        <v>1125</v>
      </c>
      <c r="J17" s="977" t="e">
        <f>重み!M65</f>
        <v>#DIV/0!</v>
      </c>
      <c r="K17" s="971" t="s">
        <v>1608</v>
      </c>
      <c r="L17" s="972"/>
      <c r="M17" s="973"/>
      <c r="N17" s="974" t="s">
        <v>1125</v>
      </c>
      <c r="O17" s="977" t="e">
        <f>重み!N65</f>
        <v>#DIV/0!</v>
      </c>
    </row>
    <row r="18" spans="1:15" ht="16.5" thickBot="1">
      <c r="D18" s="954"/>
      <c r="E18" s="550"/>
      <c r="F18" s="978">
        <v>3</v>
      </c>
      <c r="G18" s="1095" t="s">
        <v>1505</v>
      </c>
      <c r="H18" s="983"/>
      <c r="I18" s="983"/>
      <c r="J18" s="984"/>
      <c r="K18" s="978">
        <v>3</v>
      </c>
      <c r="L18" s="1095" t="s">
        <v>2230</v>
      </c>
      <c r="M18" s="984"/>
      <c r="N18" s="1095"/>
      <c r="O18" s="1100"/>
    </row>
    <row r="19" spans="1:15" ht="15.75">
      <c r="B19" s="1">
        <v>1</v>
      </c>
      <c r="C19" s="1">
        <v>1</v>
      </c>
      <c r="D19" s="954"/>
      <c r="E19" s="550"/>
      <c r="F19" s="985" t="str">
        <f>IF(F18=$S$15,$T$10,IF(ROUNDDOWN(F18,0)=$S$10,$U$10,$T$10))</f>
        <v>　レベル　1</v>
      </c>
      <c r="G19" s="3401" t="s">
        <v>1646</v>
      </c>
      <c r="H19" s="3462"/>
      <c r="I19" s="3462"/>
      <c r="J19" s="3403"/>
      <c r="K19" s="1198" t="str">
        <f>IF(K18=$S$15,$T$10,IF(ROUNDDOWN(K18,0)=$S$10,$U$10,$T$10))</f>
        <v>　レベル　1</v>
      </c>
      <c r="L19" s="3401" t="s">
        <v>1646</v>
      </c>
      <c r="M19" s="3462"/>
      <c r="N19" s="3462"/>
      <c r="O19" s="3403"/>
    </row>
    <row r="20" spans="1:15" ht="41.25" customHeight="1">
      <c r="B20" s="1">
        <v>2</v>
      </c>
      <c r="C20" s="1">
        <v>2</v>
      </c>
      <c r="D20" s="954"/>
      <c r="E20" s="550"/>
      <c r="F20" s="990" t="str">
        <f>IF(F18=$S$15,$T$11,IF(ROUNDDOWN(F18,0)=$S$11,$U$11,$T$11))</f>
        <v>　レベル　2</v>
      </c>
      <c r="G20" s="3397" t="s">
        <v>3021</v>
      </c>
      <c r="H20" s="3422"/>
      <c r="I20" s="3422"/>
      <c r="J20" s="3404"/>
      <c r="K20" s="1198" t="str">
        <f>IF(K18=$S$15,$T$11,IF(ROUNDDOWN(K18,0)=$S$11,$U$11,$T$11))</f>
        <v>　レベル　2</v>
      </c>
      <c r="L20" s="3420" t="s">
        <v>3022</v>
      </c>
      <c r="M20" s="3422"/>
      <c r="N20" s="3422"/>
      <c r="O20" s="3404"/>
    </row>
    <row r="21" spans="1:15" ht="60" customHeight="1">
      <c r="B21" s="1">
        <v>3</v>
      </c>
      <c r="C21" s="1">
        <v>3</v>
      </c>
      <c r="D21" s="954"/>
      <c r="E21" s="550"/>
      <c r="F21" s="990" t="str">
        <f>IF(F18=$S$15,$T$12,IF(ROUNDDOWN(F18,0)=$S$12,$U$12,$T$12))</f>
        <v>■レベル　3</v>
      </c>
      <c r="G21" s="3397" t="s">
        <v>3500</v>
      </c>
      <c r="H21" s="3422"/>
      <c r="I21" s="3422"/>
      <c r="J21" s="3404"/>
      <c r="K21" s="1198" t="str">
        <f>IF(K18=$S$15,$T$12,IF(ROUNDDOWN(K18,0)=$S$12,$U$12,$T$12))</f>
        <v>■レベル　3</v>
      </c>
      <c r="L21" s="3420" t="s">
        <v>3023</v>
      </c>
      <c r="M21" s="3422"/>
      <c r="N21" s="3422"/>
      <c r="O21" s="3404"/>
    </row>
    <row r="22" spans="1:15" ht="69.75" customHeight="1">
      <c r="B22" s="1">
        <v>4</v>
      </c>
      <c r="C22" s="1">
        <v>4</v>
      </c>
      <c r="D22" s="954"/>
      <c r="E22" s="550"/>
      <c r="F22" s="990" t="str">
        <f>IF(F18=$S$15,$T$13,IF(ROUNDDOWN(F18,0)=$S$13,$U$13,$T$13))</f>
        <v>　レベル　4</v>
      </c>
      <c r="G22" s="3397" t="s">
        <v>3024</v>
      </c>
      <c r="H22" s="3422"/>
      <c r="I22" s="3422"/>
      <c r="J22" s="3404"/>
      <c r="K22" s="1198" t="str">
        <f>IF(K18=$S$15,$T$13,IF(ROUNDDOWN(K18,0)=$S$13,$U$13,$T$13))</f>
        <v>　レベル　4</v>
      </c>
      <c r="L22" s="3420" t="s">
        <v>3025</v>
      </c>
      <c r="M22" s="3422"/>
      <c r="N22" s="3422"/>
      <c r="O22" s="3404"/>
    </row>
    <row r="23" spans="1:15" ht="69.75" customHeight="1">
      <c r="B23" s="1">
        <v>5</v>
      </c>
      <c r="C23" s="1">
        <v>5</v>
      </c>
      <c r="D23" s="954"/>
      <c r="E23" s="550"/>
      <c r="F23" s="1001" t="str">
        <f>IF(F18=$S$15,$T$14,IF(ROUNDDOWN(F18,0)=$S$14,$U$14,$T$14))</f>
        <v>　レベル　5</v>
      </c>
      <c r="G23" s="3394" t="s">
        <v>3026</v>
      </c>
      <c r="H23" s="3423"/>
      <c r="I23" s="3423"/>
      <c r="J23" s="3413"/>
      <c r="K23" s="1199" t="str">
        <f>IF(K18=$S$15,$T$14,IF(ROUNDDOWN(K18,0)=$S$14,$U$14,$T$14))</f>
        <v>　レベル　5</v>
      </c>
      <c r="L23" s="3552" t="s">
        <v>3027</v>
      </c>
      <c r="M23" s="3423"/>
      <c r="N23" s="3423"/>
      <c r="O23" s="3413"/>
    </row>
    <row r="24" spans="1:15" ht="15.75">
      <c r="B24" s="1008">
        <v>0</v>
      </c>
      <c r="C24" s="1008">
        <v>0</v>
      </c>
      <c r="D24" s="954"/>
      <c r="E24" s="550"/>
      <c r="F24" s="1165"/>
      <c r="G24" s="1044"/>
      <c r="H24" s="1044"/>
      <c r="I24" s="1044"/>
      <c r="J24" s="1044"/>
      <c r="K24" s="1165"/>
      <c r="L24" s="1165"/>
      <c r="M24" s="1165"/>
      <c r="N24" s="1165"/>
      <c r="O24" s="1165"/>
    </row>
    <row r="25" spans="1:15" s="2822" customFormat="1" ht="15.95" customHeight="1">
      <c r="A25" s="2820"/>
      <c r="B25" s="2820"/>
      <c r="C25" s="2820"/>
      <c r="D25" s="2821"/>
      <c r="E25" s="955"/>
      <c r="F25" s="1133" t="s">
        <v>1292</v>
      </c>
      <c r="G25" s="1045"/>
      <c r="H25" s="1094"/>
      <c r="I25" s="1074"/>
      <c r="J25" s="1048" t="e">
        <f>IF(OR(F27=0,J26=0),$R$3,"")</f>
        <v>#DIV/0!</v>
      </c>
      <c r="K25" s="1165"/>
      <c r="L25" s="1165"/>
      <c r="M25" s="1165"/>
      <c r="N25" s="1165"/>
      <c r="O25" s="1165"/>
    </row>
    <row r="26" spans="1:15" s="2822" customFormat="1" ht="15.95" customHeight="1" thickBot="1">
      <c r="A26" s="2820"/>
      <c r="B26" s="2820"/>
      <c r="C26" s="2820"/>
      <c r="D26" s="2821"/>
      <c r="E26" s="955"/>
      <c r="F26" s="1114" t="s">
        <v>3401</v>
      </c>
      <c r="G26" s="972"/>
      <c r="H26" s="973"/>
      <c r="I26" s="974" t="s">
        <v>1125</v>
      </c>
      <c r="J26" s="975" t="e">
        <f>重み!M66</f>
        <v>#DIV/0!</v>
      </c>
      <c r="K26" s="972"/>
      <c r="L26" s="973"/>
      <c r="M26" s="972"/>
      <c r="N26" s="1079"/>
      <c r="O26" s="1165"/>
    </row>
    <row r="27" spans="1:15" s="2822" customFormat="1" ht="15.95" customHeight="1" thickBot="1">
      <c r="A27" s="2820"/>
      <c r="B27" s="2820"/>
      <c r="C27" s="2820"/>
      <c r="D27" s="2821"/>
      <c r="E27" s="955"/>
      <c r="F27" s="978">
        <v>3</v>
      </c>
      <c r="G27" s="1095" t="s">
        <v>3402</v>
      </c>
      <c r="H27" s="984"/>
      <c r="I27" s="1095"/>
      <c r="J27" s="1100"/>
      <c r="K27" s="1200"/>
      <c r="L27" s="1120"/>
      <c r="M27" s="1200"/>
      <c r="N27" s="1100"/>
      <c r="O27" s="1165"/>
    </row>
    <row r="28" spans="1:15" s="2822" customFormat="1" ht="15.95" customHeight="1">
      <c r="A28" s="2820"/>
      <c r="B28" s="2820">
        <v>1</v>
      </c>
      <c r="C28" s="2820">
        <v>1</v>
      </c>
      <c r="D28" s="2821"/>
      <c r="E28" s="955"/>
      <c r="F28" s="985" t="str">
        <f>IF(F27=$S$15,$T$10,IF(ROUNDDOWN(F27,0)=$S$10,$U$10,$T$10))</f>
        <v>　レベル　1</v>
      </c>
      <c r="G28" s="3401" t="s">
        <v>3403</v>
      </c>
      <c r="H28" s="3427"/>
      <c r="I28" s="3427"/>
      <c r="J28" s="3427"/>
      <c r="K28" s="3556"/>
      <c r="L28" s="3556"/>
      <c r="M28" s="3556"/>
      <c r="N28" s="3557"/>
      <c r="O28" s="1165"/>
    </row>
    <row r="29" spans="1:15" s="2822" customFormat="1" ht="15.95" customHeight="1">
      <c r="A29" s="2820"/>
      <c r="B29" s="2820" t="s">
        <v>3404</v>
      </c>
      <c r="C29" s="2820" t="s">
        <v>3404</v>
      </c>
      <c r="D29" s="2821"/>
      <c r="E29" s="955"/>
      <c r="F29" s="990" t="str">
        <f>IF(F27=$S$15,$T$11,IF(ROUNDDOWN(F27,0)=$S$11,$U$11,$T$11))</f>
        <v>　レベル　2</v>
      </c>
      <c r="G29" s="3428" t="s">
        <v>1795</v>
      </c>
      <c r="H29" s="3558"/>
      <c r="I29" s="3558"/>
      <c r="J29" s="3558"/>
      <c r="K29" s="3559"/>
      <c r="L29" s="3559"/>
      <c r="M29" s="3559"/>
      <c r="N29" s="3560"/>
      <c r="O29" s="1165"/>
    </row>
    <row r="30" spans="1:15" s="2822" customFormat="1" ht="15.95" customHeight="1">
      <c r="A30" s="2820"/>
      <c r="B30" s="2820">
        <v>3</v>
      </c>
      <c r="C30" s="2820">
        <v>3</v>
      </c>
      <c r="D30" s="2821"/>
      <c r="E30" s="955"/>
      <c r="F30" s="990" t="str">
        <f>IF(F27=$S$15,$T$12,IF(ROUNDDOWN(F27,0)=$S$12,$U$12,$T$12))</f>
        <v>■レベル　3</v>
      </c>
      <c r="G30" s="3428" t="s">
        <v>3405</v>
      </c>
      <c r="H30" s="3558"/>
      <c r="I30" s="3558"/>
      <c r="J30" s="3558"/>
      <c r="K30" s="3559"/>
      <c r="L30" s="3559"/>
      <c r="M30" s="3559"/>
      <c r="N30" s="3560"/>
      <c r="O30" s="1165"/>
    </row>
    <row r="31" spans="1:15" s="2822" customFormat="1" ht="15.95" customHeight="1">
      <c r="A31" s="2820"/>
      <c r="B31" s="2820">
        <v>4</v>
      </c>
      <c r="C31" s="2820">
        <v>4</v>
      </c>
      <c r="D31" s="2821"/>
      <c r="E31" s="955"/>
      <c r="F31" s="990" t="str">
        <f>IF(F27=$S$15,$T$13,IF(ROUNDDOWN(F27,0)=$S$13,$U$13,$T$13))</f>
        <v>　レベル　4</v>
      </c>
      <c r="G31" s="3428" t="s">
        <v>3406</v>
      </c>
      <c r="H31" s="3558"/>
      <c r="I31" s="3558"/>
      <c r="J31" s="3558"/>
      <c r="K31" s="3559"/>
      <c r="L31" s="3559"/>
      <c r="M31" s="3559"/>
      <c r="N31" s="3560"/>
      <c r="O31" s="1165"/>
    </row>
    <row r="32" spans="1:15" s="2822" customFormat="1" ht="15.95" customHeight="1">
      <c r="A32" s="2820"/>
      <c r="B32" s="2820">
        <v>5</v>
      </c>
      <c r="C32" s="2820">
        <v>5</v>
      </c>
      <c r="D32" s="2821"/>
      <c r="E32" s="955"/>
      <c r="F32" s="1001" t="str">
        <f>IF(F27=$S$15,$T$14,IF(ROUNDDOWN(F27,0)=$S$14,$U$14,$T$14))</f>
        <v>　レベル　5</v>
      </c>
      <c r="G32" s="3424" t="s">
        <v>3407</v>
      </c>
      <c r="H32" s="3561"/>
      <c r="I32" s="3561"/>
      <c r="J32" s="3561"/>
      <c r="K32" s="3562"/>
      <c r="L32" s="3562"/>
      <c r="M32" s="3562"/>
      <c r="N32" s="3563"/>
      <c r="O32" s="1165"/>
    </row>
    <row r="33" spans="1:15" s="2822" customFormat="1" ht="15.95" customHeight="1">
      <c r="A33" s="2820"/>
      <c r="B33" s="2808">
        <v>0</v>
      </c>
      <c r="C33" s="2808">
        <v>0</v>
      </c>
      <c r="D33" s="2821"/>
      <c r="E33" s="955"/>
      <c r="F33" s="1165"/>
      <c r="G33" s="1044"/>
      <c r="H33" s="1044"/>
      <c r="I33" s="1044"/>
      <c r="J33" s="1044"/>
      <c r="K33" s="1165"/>
      <c r="L33" s="1165"/>
      <c r="M33" s="1165"/>
      <c r="N33" s="1165"/>
      <c r="O33" s="1165"/>
    </row>
    <row r="34" spans="1:15" ht="15.75">
      <c r="D34" s="1386">
        <v>1.2</v>
      </c>
      <c r="E34" s="1192" t="s">
        <v>1293</v>
      </c>
      <c r="F34" s="1201"/>
      <c r="G34" s="1092"/>
      <c r="H34" s="1202"/>
      <c r="I34" s="1202"/>
      <c r="J34" s="1202"/>
      <c r="K34" s="1201"/>
      <c r="L34" s="1201"/>
      <c r="M34" s="1201"/>
      <c r="N34" s="1201"/>
      <c r="O34" s="1203"/>
    </row>
    <row r="35" spans="1:15" ht="15.75">
      <c r="D35" s="954"/>
      <c r="E35" s="959"/>
      <c r="F35" s="1133" t="s">
        <v>1917</v>
      </c>
      <c r="G35" s="1045"/>
      <c r="H35" s="1094"/>
      <c r="I35" s="1074"/>
      <c r="J35" s="1048" t="e">
        <f>IF(OR(F37=0,AND(J36=0,O36=0)),$R$3,"")</f>
        <v>#DIV/0!</v>
      </c>
      <c r="K35" s="1074"/>
      <c r="L35" s="1074"/>
      <c r="M35" s="1044"/>
      <c r="N35" s="1074"/>
      <c r="O35" s="1074"/>
    </row>
    <row r="36" spans="1:15" s="2822" customFormat="1" ht="15.95" customHeight="1" thickBot="1">
      <c r="A36" s="2820"/>
      <c r="B36" s="2820" t="s">
        <v>1294</v>
      </c>
      <c r="C36" s="2820"/>
      <c r="D36" s="2821"/>
      <c r="E36" s="955"/>
      <c r="F36" s="1114" t="s">
        <v>3401</v>
      </c>
      <c r="G36" s="972"/>
      <c r="H36" s="973"/>
      <c r="I36" s="974" t="s">
        <v>1125</v>
      </c>
      <c r="J36" s="975" t="e">
        <f>重み!M68</f>
        <v>#DIV/0!</v>
      </c>
      <c r="K36" s="1115"/>
      <c r="L36" s="1117"/>
      <c r="M36" s="1118" t="s">
        <v>3408</v>
      </c>
      <c r="N36" s="974" t="s">
        <v>1125</v>
      </c>
      <c r="O36" s="976" t="e">
        <f>重み!N68</f>
        <v>#DIV/0!</v>
      </c>
    </row>
    <row r="37" spans="1:15" s="2822" customFormat="1" ht="15.95" customHeight="1" thickBot="1">
      <c r="A37" s="2820"/>
      <c r="B37" s="2820"/>
      <c r="C37" s="2820"/>
      <c r="D37" s="2821"/>
      <c r="E37" s="955"/>
      <c r="F37" s="978">
        <f>IF(F38=0,0,IF(F38+K48&gt;5,5,F38+K48))</f>
        <v>3</v>
      </c>
      <c r="G37" s="2823" t="s">
        <v>3409</v>
      </c>
      <c r="H37" s="983"/>
      <c r="I37" s="983"/>
      <c r="J37" s="983"/>
      <c r="K37" s="983"/>
      <c r="L37" s="2824"/>
      <c r="M37" s="2145">
        <f>IF(M38=0,0,IF(M38+N48&gt;5,5,M38+N48))</f>
        <v>0</v>
      </c>
      <c r="N37" s="1095" t="s">
        <v>3409</v>
      </c>
      <c r="O37" s="984"/>
    </row>
    <row r="38" spans="1:15" s="2822" customFormat="1" ht="15.95" customHeight="1" thickBot="1">
      <c r="A38" s="2820"/>
      <c r="B38" s="2820"/>
      <c r="C38" s="2820"/>
      <c r="D38" s="2821"/>
      <c r="E38" s="955"/>
      <c r="F38" s="978">
        <v>3</v>
      </c>
      <c r="G38" s="1100" t="s">
        <v>3410</v>
      </c>
      <c r="H38" s="984"/>
      <c r="I38" s="1095" t="s">
        <v>1295</v>
      </c>
      <c r="J38" s="984"/>
      <c r="K38" s="1095" t="s">
        <v>332</v>
      </c>
      <c r="L38" s="979" t="s">
        <v>375</v>
      </c>
      <c r="M38" s="978">
        <v>0</v>
      </c>
      <c r="N38" s="1095" t="s">
        <v>730</v>
      </c>
      <c r="O38" s="984"/>
    </row>
    <row r="39" spans="1:15" s="2822" customFormat="1" ht="32.1" customHeight="1">
      <c r="A39" s="2820"/>
      <c r="B39" s="2820">
        <v>1</v>
      </c>
      <c r="C39" s="2820">
        <v>1</v>
      </c>
      <c r="D39" s="2821"/>
      <c r="E39" s="955"/>
      <c r="F39" s="985" t="str">
        <f>IF(F38=$S$15,$T$10,IF(ROUNDDOWN(F38,0)=$S$10,$U$10,$T$10))</f>
        <v>　レベル　1</v>
      </c>
      <c r="G39" s="3401" t="s">
        <v>3403</v>
      </c>
      <c r="H39" s="3573"/>
      <c r="I39" s="2751" t="s">
        <v>3403</v>
      </c>
      <c r="J39" s="2752"/>
      <c r="K39" s="2745" t="s">
        <v>3411</v>
      </c>
      <c r="L39" s="2825" t="s">
        <v>3403</v>
      </c>
      <c r="M39" s="985" t="str">
        <f>IF(M38=$S$15,$T$10,IF(ROUNDDOWN(M38,0)=$S$10,$U$10,$T$10))</f>
        <v>　レベル　1</v>
      </c>
      <c r="N39" s="2751" t="s">
        <v>3403</v>
      </c>
      <c r="O39" s="989"/>
    </row>
    <row r="40" spans="1:15" s="2822" customFormat="1" ht="32.1" customHeight="1">
      <c r="A40" s="2820"/>
      <c r="B40" s="2820">
        <v>2</v>
      </c>
      <c r="C40" s="2820" t="s">
        <v>3404</v>
      </c>
      <c r="D40" s="2821"/>
      <c r="E40" s="955"/>
      <c r="F40" s="990" t="str">
        <f>IF(F38=$S$15,$T$11,IF(ROUNDDOWN(F38,0)=$S$11,$U$11,$T$11))</f>
        <v>　レベル　2</v>
      </c>
      <c r="G40" s="3397" t="s">
        <v>1795</v>
      </c>
      <c r="H40" s="3549"/>
      <c r="I40" s="2749" t="s">
        <v>3412</v>
      </c>
      <c r="J40" s="2750"/>
      <c r="K40" s="2747" t="s">
        <v>2241</v>
      </c>
      <c r="L40" s="2747" t="s">
        <v>3412</v>
      </c>
      <c r="M40" s="990" t="str">
        <f>IF(M38=$S$15,$T$11,IF(ROUNDDOWN(M38,0)=$S$11,$U$11,$T$11))</f>
        <v>　レベル　2</v>
      </c>
      <c r="N40" s="2749" t="s">
        <v>3412</v>
      </c>
      <c r="O40" s="996"/>
    </row>
    <row r="41" spans="1:15" s="2822" customFormat="1" ht="48" customHeight="1">
      <c r="A41" s="2820"/>
      <c r="B41" s="2820">
        <v>3</v>
      </c>
      <c r="C41" s="2820">
        <v>3</v>
      </c>
      <c r="D41" s="2821"/>
      <c r="E41" s="955"/>
      <c r="F41" s="990" t="str">
        <f>IF(F38=$S$15,$T$12,IF(ROUNDDOWN(F38,0)=$S$12,$U$12,$T$12))</f>
        <v>■レベル　3</v>
      </c>
      <c r="G41" s="3397" t="s">
        <v>3028</v>
      </c>
      <c r="H41" s="3549"/>
      <c r="I41" s="2749" t="s">
        <v>3413</v>
      </c>
      <c r="J41" s="2750"/>
      <c r="K41" s="2747" t="s">
        <v>3414</v>
      </c>
      <c r="L41" s="2747" t="s">
        <v>735</v>
      </c>
      <c r="M41" s="990" t="str">
        <f>IF(M38=$S$15,$T$12,IF(ROUNDDOWN(M38,0)=$S$12,$U$12,$T$12))</f>
        <v>　レベル　3</v>
      </c>
      <c r="N41" s="2749" t="s">
        <v>3415</v>
      </c>
      <c r="O41" s="996"/>
    </row>
    <row r="42" spans="1:15" s="2822" customFormat="1" ht="48" customHeight="1">
      <c r="A42" s="2820"/>
      <c r="B42" s="2820">
        <v>4</v>
      </c>
      <c r="C42" s="2820">
        <v>4</v>
      </c>
      <c r="D42" s="2821"/>
      <c r="E42" s="955"/>
      <c r="F42" s="990" t="str">
        <f>IF(F38=$S$15,$T$13,IF(ROUNDDOWN(F38,0)=$S$13,$U$13,$T$13))</f>
        <v>　レベル　4</v>
      </c>
      <c r="G42" s="3397" t="s">
        <v>3029</v>
      </c>
      <c r="H42" s="3549"/>
      <c r="I42" s="2749" t="s">
        <v>3416</v>
      </c>
      <c r="J42" s="2750"/>
      <c r="K42" s="2747" t="s">
        <v>3417</v>
      </c>
      <c r="L42" s="2747" t="s">
        <v>3412</v>
      </c>
      <c r="M42" s="990" t="str">
        <f>IF(M38=$S$15,$T$13,IF(ROUNDDOWN(M38,0)=$S$13,$U$13,$T$13))</f>
        <v>　レベル　4</v>
      </c>
      <c r="N42" s="2749" t="s">
        <v>3418</v>
      </c>
      <c r="O42" s="996"/>
    </row>
    <row r="43" spans="1:15" s="2822" customFormat="1" ht="48" customHeight="1">
      <c r="A43" s="2820"/>
      <c r="B43" s="2820">
        <v>5</v>
      </c>
      <c r="C43" s="2820">
        <v>5</v>
      </c>
      <c r="D43" s="2821"/>
      <c r="E43" s="955"/>
      <c r="F43" s="1001" t="str">
        <f>IF(F38=$S$15,$T$14,IF(ROUNDDOWN(F38,0)=$S$14,$U$14,$T$14))</f>
        <v>　レベル　5</v>
      </c>
      <c r="G43" s="3394" t="s">
        <v>3030</v>
      </c>
      <c r="H43" s="3564"/>
      <c r="I43" s="2753" t="s">
        <v>3419</v>
      </c>
      <c r="J43" s="2754"/>
      <c r="K43" s="2746" t="s">
        <v>3420</v>
      </c>
      <c r="L43" s="2748" t="s">
        <v>736</v>
      </c>
      <c r="M43" s="1001" t="str">
        <f>IF(M37=$S$15,$T$14,IF(ROUNDDOWN(M37,0)=$S$14,$U$14,$T$14))</f>
        <v>　レベル　5</v>
      </c>
      <c r="N43" s="2753" t="s">
        <v>3421</v>
      </c>
      <c r="O43" s="1007"/>
    </row>
    <row r="44" spans="1:15" s="2814" customFormat="1" ht="15.95" customHeight="1">
      <c r="A44" s="2807"/>
      <c r="B44" s="2808">
        <v>0</v>
      </c>
      <c r="C44" s="2808">
        <v>0</v>
      </c>
      <c r="D44" s="2809"/>
      <c r="E44" s="2810"/>
      <c r="F44" s="2826" t="s">
        <v>3422</v>
      </c>
      <c r="G44" s="2812"/>
      <c r="H44" s="2827"/>
      <c r="I44" s="2827"/>
      <c r="J44" s="2827"/>
      <c r="K44" s="2812"/>
      <c r="L44" s="2812"/>
      <c r="M44" s="2812"/>
      <c r="N44" s="2812"/>
      <c r="O44" s="2812"/>
    </row>
    <row r="45" spans="1:15" s="2814" customFormat="1" ht="15.95" customHeight="1" thickBot="1">
      <c r="A45" s="2807"/>
      <c r="B45" s="2818"/>
      <c r="C45" s="2818"/>
      <c r="D45" s="2809"/>
      <c r="E45" s="2810"/>
      <c r="F45" s="2828" t="s">
        <v>3401</v>
      </c>
      <c r="G45" s="2829"/>
      <c r="H45" s="2829"/>
      <c r="I45" s="2829"/>
      <c r="J45" s="2829"/>
      <c r="K45" s="2829"/>
      <c r="L45" s="2829"/>
      <c r="M45" s="2828" t="s">
        <v>3408</v>
      </c>
      <c r="N45" s="2829"/>
      <c r="O45" s="2830"/>
    </row>
    <row r="46" spans="1:15" s="2814" customFormat="1" ht="32.1" customHeight="1">
      <c r="A46" s="2807"/>
      <c r="B46" s="2818"/>
      <c r="C46" s="2818"/>
      <c r="D46" s="2809"/>
      <c r="E46" s="2810"/>
      <c r="F46" s="2831" t="s">
        <v>2239</v>
      </c>
      <c r="G46" s="2832" t="s">
        <v>3423</v>
      </c>
      <c r="H46" s="3565" t="s">
        <v>3424</v>
      </c>
      <c r="I46" s="3566"/>
      <c r="J46" s="3566"/>
      <c r="K46" s="3566"/>
      <c r="L46" s="3567"/>
      <c r="M46" s="2833" t="s">
        <v>2239</v>
      </c>
      <c r="N46" s="2834" t="s">
        <v>3425</v>
      </c>
      <c r="O46" s="2835" t="s">
        <v>507</v>
      </c>
    </row>
    <row r="47" spans="1:15" s="2814" customFormat="1" ht="32.1" customHeight="1" thickBot="1">
      <c r="A47" s="2807"/>
      <c r="B47" s="2818"/>
      <c r="C47" s="2818"/>
      <c r="D47" s="2809"/>
      <c r="E47" s="2810"/>
      <c r="F47" s="2836" t="s">
        <v>2239</v>
      </c>
      <c r="G47" s="2837" t="s">
        <v>3426</v>
      </c>
      <c r="H47" s="3568" t="s">
        <v>3427</v>
      </c>
      <c r="I47" s="3569"/>
      <c r="J47" s="3569"/>
      <c r="K47" s="3569"/>
      <c r="L47" s="3570"/>
      <c r="M47" s="2836" t="s">
        <v>2239</v>
      </c>
      <c r="N47" s="2838" t="s">
        <v>3428</v>
      </c>
      <c r="O47" s="2839" t="s">
        <v>507</v>
      </c>
    </row>
    <row r="48" spans="1:15" s="2814" customFormat="1" ht="15.95" customHeight="1">
      <c r="A48" s="2807"/>
      <c r="B48" s="2818"/>
      <c r="C48" s="2818"/>
      <c r="D48" s="2809"/>
      <c r="E48" s="2810"/>
      <c r="F48" s="2840"/>
      <c r="G48" s="2841"/>
      <c r="H48" s="2841"/>
      <c r="I48" s="2841"/>
      <c r="J48" s="2841" t="s">
        <v>3429</v>
      </c>
      <c r="K48" s="2842">
        <f>COUNTIF(F46:F47,S3)</f>
        <v>0</v>
      </c>
      <c r="L48" s="2843" t="s">
        <v>3430</v>
      </c>
      <c r="M48" s="2844" t="s">
        <v>3431</v>
      </c>
      <c r="N48" s="2845">
        <f>COUNTIF(M46:M47,S3)</f>
        <v>0</v>
      </c>
      <c r="O48" s="2846" t="s">
        <v>3432</v>
      </c>
    </row>
    <row r="49" spans="1:15" s="2810" customFormat="1" ht="15.95" customHeight="1">
      <c r="A49" s="2807"/>
      <c r="B49" s="2818">
        <v>0</v>
      </c>
      <c r="C49" s="2818">
        <v>0</v>
      </c>
      <c r="D49" s="2809"/>
      <c r="F49" s="2811" t="s">
        <v>3433</v>
      </c>
      <c r="G49" s="2812"/>
      <c r="H49" s="2812"/>
      <c r="I49" s="2812"/>
      <c r="J49" s="2812"/>
      <c r="K49" s="2812"/>
      <c r="L49" s="2812"/>
      <c r="M49" s="2812"/>
      <c r="N49" s="2812"/>
      <c r="O49" s="2812"/>
    </row>
    <row r="50" spans="1:15" s="2810" customFormat="1" ht="15.95" customHeight="1" thickBot="1">
      <c r="A50" s="2807"/>
      <c r="B50" s="2807"/>
      <c r="C50" s="2807"/>
      <c r="D50" s="2813"/>
      <c r="E50" s="2814"/>
      <c r="F50" s="2815" t="s">
        <v>3401</v>
      </c>
      <c r="G50" s="2816"/>
      <c r="H50" s="2816"/>
      <c r="I50" s="2816"/>
      <c r="J50" s="2816"/>
      <c r="K50" s="2847"/>
      <c r="L50" s="2816"/>
      <c r="M50" s="2815" t="s">
        <v>3408</v>
      </c>
      <c r="N50" s="2816"/>
      <c r="O50" s="2817"/>
    </row>
    <row r="51" spans="1:15" s="2810" customFormat="1" ht="15.95" customHeight="1" thickBot="1">
      <c r="A51" s="2807"/>
      <c r="B51" s="2818"/>
      <c r="C51" s="2818"/>
      <c r="D51" s="2809"/>
      <c r="F51" s="2819" t="str">
        <f>IF(F38+K48&gt;5,"○","")</f>
        <v/>
      </c>
      <c r="G51" s="3455" t="s">
        <v>3434</v>
      </c>
      <c r="H51" s="3456"/>
      <c r="I51" s="3456"/>
      <c r="J51" s="3456"/>
      <c r="K51" s="3571"/>
      <c r="L51" s="3572"/>
      <c r="M51" s="2819" t="str">
        <f>IF(M38+N48&gt;5,"○","")</f>
        <v/>
      </c>
      <c r="N51" s="2848" t="s">
        <v>3397</v>
      </c>
      <c r="O51" s="1612"/>
    </row>
    <row r="52" spans="1:15" s="2822" customFormat="1" ht="15.95" customHeight="1">
      <c r="A52" s="2820"/>
      <c r="B52" s="2820"/>
      <c r="C52" s="2820"/>
      <c r="D52" s="2821"/>
      <c r="E52" s="955"/>
      <c r="F52" s="1165"/>
      <c r="G52" s="1044"/>
      <c r="H52" s="1111"/>
      <c r="I52" s="1111"/>
      <c r="J52" s="1111"/>
      <c r="K52" s="1165"/>
      <c r="L52" s="1165"/>
      <c r="M52" s="1165"/>
      <c r="N52" s="1165"/>
      <c r="O52" s="1165"/>
    </row>
    <row r="53" spans="1:15" ht="15.75">
      <c r="D53" s="954"/>
      <c r="E53" s="1108"/>
      <c r="F53" s="1133" t="s">
        <v>1069</v>
      </c>
      <c r="G53" s="1045"/>
      <c r="H53" s="1094"/>
      <c r="I53" s="1074"/>
      <c r="J53" s="1048" t="e">
        <f>IF(OR(F55=0,J54=0),$R$3,"")</f>
        <v>#DIV/0!</v>
      </c>
      <c r="K53" s="1074"/>
      <c r="L53" s="1074"/>
      <c r="M53" s="1010"/>
      <c r="N53" s="1010"/>
      <c r="O53" s="1010"/>
    </row>
    <row r="54" spans="1:15" ht="16.5" thickBot="1">
      <c r="D54" s="954"/>
      <c r="E54" s="1108"/>
      <c r="F54" s="1114" t="s">
        <v>913</v>
      </c>
      <c r="G54" s="972"/>
      <c r="H54" s="973"/>
      <c r="I54" s="974" t="s">
        <v>1125</v>
      </c>
      <c r="J54" s="975" t="e">
        <f>重み!M69</f>
        <v>#DIV/0!</v>
      </c>
      <c r="K54" s="972"/>
      <c r="L54" s="973"/>
      <c r="M54" s="972"/>
      <c r="N54" s="1079"/>
      <c r="O54" s="1010"/>
    </row>
    <row r="55" spans="1:15" ht="16.5" thickBot="1">
      <c r="D55" s="954"/>
      <c r="E55" s="1108"/>
      <c r="F55" s="978">
        <v>3</v>
      </c>
      <c r="G55" s="1200" t="s">
        <v>1505</v>
      </c>
      <c r="H55" s="1120"/>
      <c r="I55" s="1120"/>
      <c r="J55" s="1100"/>
      <c r="K55" s="1200" t="s">
        <v>2242</v>
      </c>
      <c r="L55" s="1120"/>
      <c r="M55" s="1120"/>
      <c r="N55" s="1100"/>
      <c r="O55" s="1010"/>
    </row>
    <row r="56" spans="1:15" ht="15.75" customHeight="1">
      <c r="B56" s="1" t="s">
        <v>845</v>
      </c>
      <c r="C56" s="1">
        <v>1</v>
      </c>
      <c r="D56" s="954"/>
      <c r="E56" s="1204"/>
      <c r="F56" s="985" t="str">
        <f>IF(F55=$S$15,$T$10,IF(ROUNDDOWN(F55,0)=$S$10,$U$10,$T$10))</f>
        <v>　レベル　1</v>
      </c>
      <c r="G56" s="3401" t="s">
        <v>1477</v>
      </c>
      <c r="H56" s="3427"/>
      <c r="I56" s="3427"/>
      <c r="J56" s="3402"/>
      <c r="K56" s="3401" t="s">
        <v>266</v>
      </c>
      <c r="L56" s="3462"/>
      <c r="M56" s="3462"/>
      <c r="N56" s="3403"/>
      <c r="O56" s="1010"/>
    </row>
    <row r="57" spans="1:15" ht="15.75" customHeight="1">
      <c r="B57" s="1">
        <v>2</v>
      </c>
      <c r="C57" s="1">
        <v>2</v>
      </c>
      <c r="D57" s="954"/>
      <c r="E57" s="1204"/>
      <c r="F57" s="990" t="str">
        <f>IF(F55=$S$15,$T$11,IF(ROUNDDOWN(F55,0)=$S$11,$U$11,$T$11))</f>
        <v>　レベル　2</v>
      </c>
      <c r="G57" s="3397" t="s">
        <v>18</v>
      </c>
      <c r="H57" s="3398"/>
      <c r="I57" s="3398"/>
      <c r="J57" s="3399"/>
      <c r="K57" s="3397" t="s">
        <v>21</v>
      </c>
      <c r="L57" s="3422"/>
      <c r="M57" s="3422"/>
      <c r="N57" s="3404"/>
      <c r="O57" s="1010"/>
    </row>
    <row r="58" spans="1:15" ht="15.75" customHeight="1">
      <c r="B58" s="1">
        <v>3</v>
      </c>
      <c r="C58" s="1">
        <v>3</v>
      </c>
      <c r="D58" s="954"/>
      <c r="E58" s="1204"/>
      <c r="F58" s="990" t="str">
        <f>IF(F55=$S$15,$T$12,IF(ROUNDDOWN(F55,0)=$S$12,$U$12,$T$12))</f>
        <v>■レベル　3</v>
      </c>
      <c r="G58" s="3397" t="s">
        <v>279</v>
      </c>
      <c r="H58" s="3398"/>
      <c r="I58" s="3398"/>
      <c r="J58" s="3399"/>
      <c r="K58" s="3397" t="s">
        <v>1071</v>
      </c>
      <c r="L58" s="3422"/>
      <c r="M58" s="3422"/>
      <c r="N58" s="3404"/>
      <c r="O58" s="1010"/>
    </row>
    <row r="59" spans="1:15" ht="13.5" customHeight="1">
      <c r="B59" s="1">
        <v>4</v>
      </c>
      <c r="C59" s="1">
        <v>4</v>
      </c>
      <c r="D59" s="954"/>
      <c r="E59" s="1204"/>
      <c r="F59" s="990" t="str">
        <f>IF(F55=$S$15,$T$13,IF(ROUNDDOWN(F55,0)=$S$13,$U$13,$T$13))</f>
        <v>　レベル　4</v>
      </c>
      <c r="G59" s="3397" t="s">
        <v>19</v>
      </c>
      <c r="H59" s="3398"/>
      <c r="I59" s="3398"/>
      <c r="J59" s="3399"/>
      <c r="K59" s="3397" t="s">
        <v>1072</v>
      </c>
      <c r="L59" s="3422"/>
      <c r="M59" s="3422"/>
      <c r="N59" s="3404"/>
      <c r="O59" s="1010"/>
    </row>
    <row r="60" spans="1:15" ht="13.5" customHeight="1">
      <c r="B60" s="1">
        <v>5</v>
      </c>
      <c r="C60" s="1">
        <v>5</v>
      </c>
      <c r="D60" s="954"/>
      <c r="E60" s="1204"/>
      <c r="F60" s="1001" t="str">
        <f>IF(F55=$S$15,$T$14,IF(ROUNDDOWN(F55,0)=$S$14,$U$14,$T$14))</f>
        <v>　レベル　5</v>
      </c>
      <c r="G60" s="3394" t="s">
        <v>20</v>
      </c>
      <c r="H60" s="3449"/>
      <c r="I60" s="3449"/>
      <c r="J60" s="3400"/>
      <c r="K60" s="3394" t="s">
        <v>1073</v>
      </c>
      <c r="L60" s="3423"/>
      <c r="M60" s="3423"/>
      <c r="N60" s="3413"/>
      <c r="O60" s="1010"/>
    </row>
    <row r="61" spans="1:15" ht="15.75">
      <c r="B61" s="1008">
        <v>0</v>
      </c>
      <c r="C61" s="1008">
        <v>0</v>
      </c>
      <c r="D61" s="954"/>
      <c r="E61" s="550"/>
      <c r="F61" s="1109"/>
      <c r="G61" s="1044"/>
      <c r="H61" s="1044"/>
      <c r="I61" s="1044"/>
      <c r="J61" s="1044"/>
      <c r="K61" s="1165"/>
      <c r="L61" s="1165"/>
      <c r="M61" s="1165"/>
      <c r="N61" s="1165"/>
      <c r="O61" s="1165"/>
    </row>
    <row r="62" spans="1:15" ht="15.75">
      <c r="D62" s="954"/>
      <c r="E62" s="550"/>
      <c r="F62" s="1133" t="s">
        <v>2243</v>
      </c>
      <c r="G62" s="1045"/>
      <c r="H62" s="1094"/>
      <c r="I62" s="1074"/>
      <c r="J62" s="1048" t="e">
        <f>IF(OR(F64=0,AND(J63=0,O63=0)),$R$3,"")</f>
        <v>#DIV/0!</v>
      </c>
      <c r="K62" s="1133"/>
      <c r="L62" s="1045"/>
      <c r="M62" s="1094"/>
      <c r="N62" s="1074"/>
      <c r="O62" s="1048"/>
    </row>
    <row r="63" spans="1:15" ht="16.5" thickBot="1">
      <c r="D63" s="954"/>
      <c r="E63" s="550"/>
      <c r="F63" s="971" t="s">
        <v>2371</v>
      </c>
      <c r="G63" s="972"/>
      <c r="H63" s="973"/>
      <c r="I63" s="974" t="s">
        <v>1125</v>
      </c>
      <c r="J63" s="977" t="e">
        <f>重み!M70</f>
        <v>#DIV/0!</v>
      </c>
      <c r="K63" s="971" t="s">
        <v>1608</v>
      </c>
      <c r="L63" s="972"/>
      <c r="M63" s="973"/>
      <c r="N63" s="974" t="s">
        <v>1125</v>
      </c>
      <c r="O63" s="977" t="e">
        <f>重み!N70</f>
        <v>#DIV/0!</v>
      </c>
    </row>
    <row r="64" spans="1:15" ht="16.5" thickBot="1">
      <c r="D64" s="954"/>
      <c r="E64" s="550"/>
      <c r="F64" s="1049" t="e">
        <f>IF(H71=S3,F71,IF(J63=0,0,F72))</f>
        <v>#DIV/0!</v>
      </c>
      <c r="G64" s="1095" t="s">
        <v>1246</v>
      </c>
      <c r="H64" s="983"/>
      <c r="I64" s="983"/>
      <c r="J64" s="984"/>
      <c r="K64" s="1049" t="e">
        <f>IF(O63=0,0,K72)</f>
        <v>#DIV/0!</v>
      </c>
      <c r="L64" s="1095" t="s">
        <v>730</v>
      </c>
      <c r="M64" s="984"/>
      <c r="N64" s="1095"/>
      <c r="O64" s="1100"/>
    </row>
    <row r="65" spans="2:15" ht="15.75">
      <c r="B65" s="1">
        <v>1</v>
      </c>
      <c r="C65" s="1">
        <v>1</v>
      </c>
      <c r="D65" s="954"/>
      <c r="E65" s="550"/>
      <c r="F65" s="985" t="e">
        <f>IF(F64=$S$15,$T$10,IF(ROUNDDOWN(F64,0)=$S$10,$U$10,$T$10))</f>
        <v>#DIV/0!</v>
      </c>
      <c r="G65" s="3401" t="s">
        <v>315</v>
      </c>
      <c r="H65" s="3427"/>
      <c r="I65" s="3427"/>
      <c r="J65" s="3402"/>
      <c r="K65" s="985" t="e">
        <f>IF(K64=$S$15,$T$10,IF(ROUNDDOWN(K64,0)=$S$10,$U$10,$T$10))</f>
        <v>#DIV/0!</v>
      </c>
      <c r="L65" s="3401" t="s">
        <v>315</v>
      </c>
      <c r="M65" s="3427"/>
      <c r="N65" s="3427"/>
      <c r="O65" s="3402"/>
    </row>
    <row r="66" spans="2:15" ht="15.75">
      <c r="B66" s="1" t="s">
        <v>1794</v>
      </c>
      <c r="C66" s="1" t="s">
        <v>1794</v>
      </c>
      <c r="D66" s="954"/>
      <c r="E66" s="550"/>
      <c r="F66" s="990" t="e">
        <f>IF(F64=$S$15,$T$11,IF(ROUNDDOWN(F64,0)=$S$11,$U$11,$T$11))</f>
        <v>#DIV/0!</v>
      </c>
      <c r="G66" s="3397" t="s">
        <v>1795</v>
      </c>
      <c r="H66" s="3422"/>
      <c r="I66" s="3422"/>
      <c r="J66" s="3404"/>
      <c r="K66" s="990" t="e">
        <f>IF(K64=$S$15,$T$11,IF(ROUNDDOWN(K64,0)=$S$11,$U$11,$T$11))</f>
        <v>#DIV/0!</v>
      </c>
      <c r="L66" s="3428" t="s">
        <v>1795</v>
      </c>
      <c r="M66" s="3429"/>
      <c r="N66" s="3429"/>
      <c r="O66" s="3430"/>
    </row>
    <row r="67" spans="2:15" ht="15.75">
      <c r="B67" s="1">
        <v>3</v>
      </c>
      <c r="C67" s="1">
        <v>3</v>
      </c>
      <c r="D67" s="954"/>
      <c r="E67" s="550"/>
      <c r="F67" s="990" t="e">
        <f>IF(F64=$S$15,$T$12,IF(ROUNDDOWN(F64,0)=$S$12,$U$12,$T$12))</f>
        <v>#DIV/0!</v>
      </c>
      <c r="G67" s="3397" t="s">
        <v>3350</v>
      </c>
      <c r="H67" s="3422"/>
      <c r="I67" s="3422"/>
      <c r="J67" s="3404"/>
      <c r="K67" s="990" t="e">
        <f>IF(K64=$S$15,$T$12,IF(ROUNDDOWN(K64,0)=$S$12,$U$12,$T$12))</f>
        <v>#DIV/0!</v>
      </c>
      <c r="L67" s="3428" t="s">
        <v>3350</v>
      </c>
      <c r="M67" s="3429"/>
      <c r="N67" s="3429"/>
      <c r="O67" s="3430"/>
    </row>
    <row r="68" spans="2:15" ht="15.75">
      <c r="B68" s="1">
        <v>4</v>
      </c>
      <c r="C68" s="1">
        <v>4</v>
      </c>
      <c r="D68" s="954"/>
      <c r="E68" s="550"/>
      <c r="F68" s="990" t="e">
        <f>IF(F64=$S$15,$T$13,IF(ROUNDDOWN(F64,0)=$S$13,$U$13,$T$13))</f>
        <v>#DIV/0!</v>
      </c>
      <c r="G68" s="3397" t="s">
        <v>3351</v>
      </c>
      <c r="H68" s="3422"/>
      <c r="I68" s="3422"/>
      <c r="J68" s="3404"/>
      <c r="K68" s="990" t="e">
        <f>IF(K64=$S$15,$T$13,IF(ROUNDDOWN(K64,0)=$S$13,$U$13,$T$13))</f>
        <v>#DIV/0!</v>
      </c>
      <c r="L68" s="3428" t="s">
        <v>3351</v>
      </c>
      <c r="M68" s="3429"/>
      <c r="N68" s="3429"/>
      <c r="O68" s="3430"/>
    </row>
    <row r="69" spans="2:15" ht="15.75">
      <c r="B69" s="1">
        <v>5</v>
      </c>
      <c r="C69" s="1">
        <v>5</v>
      </c>
      <c r="D69" s="954"/>
      <c r="E69" s="550"/>
      <c r="F69" s="1001" t="e">
        <f>IF(F64=$S$15,$T$14,IF(ROUNDDOWN(F64,0)=$S$14,$U$14,$T$14))</f>
        <v>#DIV/0!</v>
      </c>
      <c r="G69" s="3394" t="s">
        <v>3352</v>
      </c>
      <c r="H69" s="3423"/>
      <c r="I69" s="3423"/>
      <c r="J69" s="3413"/>
      <c r="K69" s="1001" t="e">
        <f>IF(K64=$S$15,$T$14,IF(ROUNDDOWN(K64,0)=$S$14,$U$14,$T$14))</f>
        <v>#DIV/0!</v>
      </c>
      <c r="L69" s="3424" t="s">
        <v>3352</v>
      </c>
      <c r="M69" s="3425"/>
      <c r="N69" s="3425"/>
      <c r="O69" s="3426"/>
    </row>
    <row r="70" spans="2:15" ht="16.5" thickBot="1">
      <c r="B70" s="1008">
        <v>0</v>
      </c>
      <c r="C70" s="1008">
        <v>0</v>
      </c>
      <c r="D70" s="954"/>
      <c r="E70" s="550"/>
      <c r="F70" s="1205" t="s">
        <v>3282</v>
      </c>
      <c r="G70" s="1010"/>
      <c r="H70" s="1165"/>
      <c r="I70" s="1165"/>
      <c r="J70" s="1165"/>
      <c r="K70" s="1165"/>
      <c r="L70" s="1165"/>
      <c r="M70" s="1165"/>
      <c r="N70" s="1085"/>
      <c r="O70" s="1085"/>
    </row>
    <row r="71" spans="2:15" ht="16.5" thickBot="1">
      <c r="D71" s="954"/>
      <c r="E71" s="954"/>
      <c r="F71" s="978">
        <v>3</v>
      </c>
      <c r="G71" s="1206" t="s">
        <v>2237</v>
      </c>
      <c r="H71" s="1207"/>
      <c r="I71" s="1208"/>
      <c r="J71" s="1089"/>
      <c r="K71" s="978">
        <v>3</v>
      </c>
      <c r="L71" s="1206" t="s">
        <v>2237</v>
      </c>
      <c r="M71" s="1207"/>
      <c r="N71" s="1208"/>
      <c r="O71" s="1089"/>
    </row>
    <row r="72" spans="2:15" ht="16.5" thickBot="1">
      <c r="D72" s="954"/>
      <c r="E72" s="954"/>
      <c r="F72" s="1209">
        <f>IF(H71=$T$4,F71,IF(COUNTIF(F73:F76,"○")&lt;2,1,IF(COUNTIF(F73:F76,"○")=2,3,IF(COUNTIF(F73:F76,"○")=3,4,IF(COUNTIF(F73:F76,"○")=4,5)))))</f>
        <v>3</v>
      </c>
      <c r="G72" s="583" t="s">
        <v>1301</v>
      </c>
      <c r="H72" s="1210"/>
      <c r="I72" s="1210"/>
      <c r="J72" s="1210"/>
      <c r="K72" s="1209">
        <f>IF(M71=$T$4,K71,IF(COUNTIF(K73:K76,"○")&lt;2,1,IF(COUNTIF(K73:K76,"○")=2,3,IF(COUNTIF(K73:K76,"○")=3,4,IF(COUNTIF(K73:K76,"○")=4,5)))))</f>
        <v>3</v>
      </c>
      <c r="L72" s="583" t="s">
        <v>1074</v>
      </c>
      <c r="M72" s="1210"/>
      <c r="N72" s="1210"/>
      <c r="O72" s="1211"/>
    </row>
    <row r="73" spans="2:15" ht="48.75" customHeight="1">
      <c r="D73" s="954"/>
      <c r="E73" s="550"/>
      <c r="F73" s="1073" t="s">
        <v>2240</v>
      </c>
      <c r="G73" s="3585" t="s">
        <v>3501</v>
      </c>
      <c r="H73" s="3586"/>
      <c r="I73" s="3586"/>
      <c r="J73" s="3587"/>
      <c r="K73" s="1073" t="s">
        <v>2240</v>
      </c>
      <c r="L73" s="3585" t="s">
        <v>3501</v>
      </c>
      <c r="M73" s="3586"/>
      <c r="N73" s="3586"/>
      <c r="O73" s="3587"/>
    </row>
    <row r="74" spans="2:15" ht="65.25" customHeight="1">
      <c r="D74" s="954"/>
      <c r="E74" s="550"/>
      <c r="F74" s="1075" t="s">
        <v>2240</v>
      </c>
      <c r="G74" s="3585" t="s">
        <v>3502</v>
      </c>
      <c r="H74" s="3588"/>
      <c r="I74" s="3588"/>
      <c r="J74" s="3481"/>
      <c r="K74" s="1075" t="s">
        <v>2240</v>
      </c>
      <c r="L74" s="3585" t="s">
        <v>3502</v>
      </c>
      <c r="M74" s="3588"/>
      <c r="N74" s="3588"/>
      <c r="O74" s="3481"/>
    </row>
    <row r="75" spans="2:15" ht="54" customHeight="1">
      <c r="D75" s="954"/>
      <c r="E75" s="550"/>
      <c r="F75" s="1075"/>
      <c r="G75" s="3585" t="s">
        <v>3353</v>
      </c>
      <c r="H75" s="3588"/>
      <c r="I75" s="3588"/>
      <c r="J75" s="3481"/>
      <c r="K75" s="1075" t="s">
        <v>2239</v>
      </c>
      <c r="L75" s="3585" t="s">
        <v>3353</v>
      </c>
      <c r="M75" s="3588"/>
      <c r="N75" s="3588"/>
      <c r="O75" s="3481"/>
    </row>
    <row r="76" spans="2:15" ht="48.75" customHeight="1" thickBot="1">
      <c r="D76" s="954"/>
      <c r="E76" s="550"/>
      <c r="F76" s="1082"/>
      <c r="G76" s="3585" t="s">
        <v>1075</v>
      </c>
      <c r="H76" s="3588"/>
      <c r="I76" s="3588"/>
      <c r="J76" s="3481"/>
      <c r="K76" s="1082" t="s">
        <v>2239</v>
      </c>
      <c r="L76" s="3585" t="s">
        <v>1075</v>
      </c>
      <c r="M76" s="3588"/>
      <c r="N76" s="3588"/>
      <c r="O76" s="3481"/>
    </row>
    <row r="77" spans="2:15" ht="15.75">
      <c r="D77" s="954"/>
      <c r="E77" s="550"/>
      <c r="F77" s="1165"/>
      <c r="G77" s="1044"/>
      <c r="H77" s="1044"/>
      <c r="I77" s="1044"/>
      <c r="J77" s="1044"/>
      <c r="K77" s="1089"/>
      <c r="L77" s="1089"/>
      <c r="M77" s="1010"/>
      <c r="N77" s="1010"/>
      <c r="O77" s="1010"/>
    </row>
    <row r="78" spans="2:15" ht="15.75">
      <c r="D78" s="1386">
        <v>1.3</v>
      </c>
      <c r="E78" s="1192" t="s">
        <v>1</v>
      </c>
      <c r="F78" s="1201"/>
      <c r="G78" s="1092"/>
      <c r="H78" s="1202"/>
      <c r="I78" s="1202"/>
      <c r="J78" s="1202"/>
      <c r="K78" s="1201"/>
      <c r="L78" s="1201"/>
      <c r="M78" s="1212"/>
      <c r="N78" s="1212"/>
      <c r="O78" s="1212"/>
    </row>
    <row r="79" spans="2:15" ht="15.75">
      <c r="D79" s="954"/>
      <c r="E79" s="550"/>
      <c r="F79" s="1133" t="s">
        <v>3283</v>
      </c>
      <c r="G79" s="1045"/>
      <c r="H79" s="1094"/>
      <c r="I79" s="1074"/>
      <c r="J79" s="1048" t="e">
        <f>IF(OR(F81=0,J80=0),$R$3,"")</f>
        <v>#DIV/0!</v>
      </c>
      <c r="K79" s="1212"/>
      <c r="L79" s="1092"/>
      <c r="M79" s="1212"/>
      <c r="N79" s="1212"/>
      <c r="O79" s="1212"/>
    </row>
    <row r="80" spans="2:15" ht="16.5" thickBot="1">
      <c r="D80" s="1470"/>
      <c r="E80" s="1192"/>
      <c r="F80" s="1114" t="s">
        <v>1085</v>
      </c>
      <c r="G80" s="972"/>
      <c r="H80" s="973"/>
      <c r="I80" s="974" t="s">
        <v>1125</v>
      </c>
      <c r="J80" s="975" t="e">
        <f>重み!M72</f>
        <v>#DIV/0!</v>
      </c>
      <c r="K80" s="1115"/>
      <c r="L80" s="974" t="s">
        <v>1086</v>
      </c>
      <c r="M80" s="1213">
        <f>メイン!$J$66</f>
        <v>0</v>
      </c>
      <c r="N80" s="1214" t="s">
        <v>1087</v>
      </c>
      <c r="O80" s="1215"/>
    </row>
    <row r="81" spans="2:15" ht="16.5" thickBot="1">
      <c r="B81" s="1216" t="s">
        <v>1088</v>
      </c>
      <c r="C81" t="e">
        <f>IF(J80=0,0,IF(AND(M80&lt;2000,I103=0),F113,F104))</f>
        <v>#DIV/0!</v>
      </c>
      <c r="D81" s="1470"/>
      <c r="E81" s="1192"/>
      <c r="F81" s="1049" t="e">
        <f>IF(J80=0,0,IF(H88=S3,F88,IF(J80&gt;0,IF(K103=V3,F114,F104))))</f>
        <v>#DIV/0!</v>
      </c>
      <c r="G81" s="1095" t="s">
        <v>86</v>
      </c>
      <c r="H81" s="983"/>
      <c r="I81" s="983"/>
      <c r="J81" s="984"/>
      <c r="K81" s="983"/>
      <c r="L81" s="983"/>
      <c r="M81" s="984"/>
      <c r="N81" s="1217" t="s">
        <v>87</v>
      </c>
      <c r="O81" s="1100"/>
    </row>
    <row r="82" spans="2:15" ht="15.75">
      <c r="D82" s="954"/>
      <c r="E82" s="964"/>
      <c r="F82" s="985" t="e">
        <f>IF(F81=$S$15,$T$10,IF(ROUNDDOWN(F81,0)=$S$10,$U$10,$T$10))</f>
        <v>#DIV/0!</v>
      </c>
      <c r="G82" s="2649" t="s">
        <v>3354</v>
      </c>
      <c r="H82" s="1219"/>
      <c r="I82" s="1219"/>
      <c r="J82" s="1219"/>
      <c r="K82" s="1219"/>
      <c r="L82" s="1219"/>
      <c r="M82" s="1220"/>
      <c r="N82" s="3553" t="s">
        <v>3031</v>
      </c>
      <c r="O82" s="3536"/>
    </row>
    <row r="83" spans="2:15" ht="15.75">
      <c r="D83" s="954"/>
      <c r="E83" s="964"/>
      <c r="F83" s="990" t="e">
        <f>IF(F81=$S$15,$T$11,IF(ROUNDDOWN(F81,0)=$S$11,$U$11,$T$11))</f>
        <v>#DIV/0!</v>
      </c>
      <c r="G83" s="1221" t="s">
        <v>3355</v>
      </c>
      <c r="H83" s="2650"/>
      <c r="I83" s="2650"/>
      <c r="J83" s="2650"/>
      <c r="K83" s="2650"/>
      <c r="L83" s="2650"/>
      <c r="M83" s="2651"/>
      <c r="N83" s="3554"/>
      <c r="O83" s="3536"/>
    </row>
    <row r="84" spans="2:15" ht="15.75">
      <c r="D84" s="954"/>
      <c r="E84" s="964"/>
      <c r="F84" s="990" t="e">
        <f>IF(F81=$S$15,$T$12,IF(ROUNDDOWN(F81,0)=$S$12,$U$12,$T$12))</f>
        <v>#DIV/0!</v>
      </c>
      <c r="G84" s="1221" t="s">
        <v>3356</v>
      </c>
      <c r="H84" s="2650"/>
      <c r="I84" s="2650"/>
      <c r="J84" s="2650"/>
      <c r="K84" s="2650"/>
      <c r="L84" s="2650"/>
      <c r="M84" s="2651"/>
      <c r="N84" s="3554"/>
      <c r="O84" s="3536"/>
    </row>
    <row r="85" spans="2:15" ht="15.75">
      <c r="D85" s="954"/>
      <c r="E85" s="964"/>
      <c r="F85" s="990" t="e">
        <f>IF(F81=$S$15,$T$13,IF(ROUNDDOWN(F81,0)=$S$13,$U$13,$T$13))</f>
        <v>#DIV/0!</v>
      </c>
      <c r="G85" s="1221" t="s">
        <v>3357</v>
      </c>
      <c r="H85" s="2650"/>
      <c r="I85" s="2650"/>
      <c r="J85" s="2650"/>
      <c r="K85" s="2650"/>
      <c r="L85" s="2650"/>
      <c r="M85" s="2651"/>
      <c r="N85" s="3554"/>
      <c r="O85" s="3536"/>
    </row>
    <row r="86" spans="2:15" ht="15.75">
      <c r="D86" s="954"/>
      <c r="E86" s="964"/>
      <c r="F86" s="1001" t="e">
        <f>IF(F81=$S$15,$T$14,IF(ROUNDDOWN(F81,0)=$S$14,$U$14,$T$14))</f>
        <v>#DIV/0!</v>
      </c>
      <c r="G86" s="1224" t="s">
        <v>3358</v>
      </c>
      <c r="H86" s="1225"/>
      <c r="I86" s="1225"/>
      <c r="J86" s="1225"/>
      <c r="K86" s="1225"/>
      <c r="L86" s="1225"/>
      <c r="M86" s="1226"/>
      <c r="N86" s="3555"/>
      <c r="O86" s="3538"/>
    </row>
    <row r="87" spans="2:15" ht="16.5" thickBot="1">
      <c r="B87" t="s">
        <v>623</v>
      </c>
      <c r="D87" s="954"/>
      <c r="E87" s="964"/>
      <c r="F87" s="1205" t="s">
        <v>3282</v>
      </c>
      <c r="G87" s="1205"/>
      <c r="H87" s="1044"/>
      <c r="I87" s="1227"/>
      <c r="J87" s="1228"/>
      <c r="K87" s="1228"/>
      <c r="L87" s="1044"/>
      <c r="M87" s="1044"/>
      <c r="N87" s="1212"/>
      <c r="O87" s="1212"/>
    </row>
    <row r="88" spans="2:15" ht="16.5" thickBot="1">
      <c r="D88" s="954"/>
      <c r="E88" s="954"/>
      <c r="F88" s="978">
        <v>3</v>
      </c>
      <c r="G88" s="1206" t="s">
        <v>2237</v>
      </c>
      <c r="H88" s="1207"/>
      <c r="I88" s="2674"/>
      <c r="J88" s="1089"/>
      <c r="K88" s="1212"/>
      <c r="L88" s="1212"/>
      <c r="M88" s="1212"/>
      <c r="N88" s="1212"/>
      <c r="O88" s="1212"/>
    </row>
    <row r="89" spans="2:15" ht="16.5" hidden="1" thickBot="1">
      <c r="B89" s="1" t="s">
        <v>845</v>
      </c>
      <c r="C89" s="1">
        <v>1</v>
      </c>
      <c r="D89" s="954"/>
      <c r="E89" s="954"/>
      <c r="F89" s="1209">
        <f>IF(H88=$T$4,F88,IF(COUNTIF(F90:F101,"○")&lt;=2,2,IF(COUNTIF(F90:F101,"○")&lt;=5,3,IF(COUNTIF(F90:F101,"○")&lt;=8,4,IF(COUNTIF(F90:F101,"○")&gt;=9,5)))))</f>
        <v>3</v>
      </c>
      <c r="G89" s="583" t="s">
        <v>1415</v>
      </c>
      <c r="H89" s="1210"/>
      <c r="I89" s="2673"/>
      <c r="J89" s="1210"/>
      <c r="K89" s="1210"/>
      <c r="L89" s="1210"/>
      <c r="M89" s="1210"/>
      <c r="N89" s="1229"/>
    </row>
    <row r="90" spans="2:15" ht="15.75" hidden="1">
      <c r="B90" s="1">
        <v>2</v>
      </c>
      <c r="C90" s="1">
        <v>2</v>
      </c>
      <c r="D90" s="954"/>
      <c r="E90" s="550"/>
      <c r="F90" s="1073" t="s">
        <v>2240</v>
      </c>
      <c r="G90" s="1230" t="s">
        <v>3032</v>
      </c>
      <c r="H90" s="1231"/>
      <c r="I90" s="1231"/>
      <c r="J90" s="1231"/>
      <c r="K90" s="1231"/>
      <c r="L90" s="1231"/>
      <c r="M90" s="1231"/>
      <c r="N90" s="1232"/>
    </row>
    <row r="91" spans="2:15" ht="15.75" hidden="1">
      <c r="B91" s="1">
        <v>3</v>
      </c>
      <c r="C91" s="1">
        <v>3</v>
      </c>
      <c r="D91" s="954"/>
      <c r="E91" s="550"/>
      <c r="F91" s="1075" t="s">
        <v>2240</v>
      </c>
      <c r="G91" s="1233" t="s">
        <v>3033</v>
      </c>
      <c r="H91" s="1234"/>
      <c r="I91" s="1234"/>
      <c r="J91" s="1234"/>
      <c r="K91" s="1234"/>
      <c r="L91" s="1234"/>
      <c r="M91" s="1234"/>
      <c r="N91" s="1235"/>
    </row>
    <row r="92" spans="2:15" ht="15.75" hidden="1">
      <c r="B92" s="1">
        <v>4</v>
      </c>
      <c r="C92" s="1">
        <v>4</v>
      </c>
      <c r="D92" s="954"/>
      <c r="E92" s="550"/>
      <c r="F92" s="1075" t="s">
        <v>2240</v>
      </c>
      <c r="G92" s="1233" t="s">
        <v>22</v>
      </c>
      <c r="H92" s="1234"/>
      <c r="I92" s="1234"/>
      <c r="J92" s="1234"/>
      <c r="K92" s="1234"/>
      <c r="L92" s="1234"/>
      <c r="M92" s="1234"/>
      <c r="N92" s="1235"/>
    </row>
    <row r="93" spans="2:15" ht="15.75" hidden="1">
      <c r="B93" s="1">
        <v>5</v>
      </c>
      <c r="C93" s="1">
        <v>5</v>
      </c>
      <c r="D93" s="954"/>
      <c r="E93" s="550"/>
      <c r="F93" s="1075"/>
      <c r="G93" s="1233" t="s">
        <v>1416</v>
      </c>
      <c r="H93" s="1234"/>
      <c r="I93" s="1234"/>
      <c r="J93" s="1234"/>
      <c r="K93" s="1234"/>
      <c r="L93" s="1234"/>
      <c r="M93" s="1234"/>
      <c r="N93" s="1235"/>
    </row>
    <row r="94" spans="2:15" ht="15.75" hidden="1">
      <c r="B94" s="1008">
        <v>0</v>
      </c>
      <c r="C94" s="1008">
        <v>0</v>
      </c>
      <c r="D94" s="954"/>
      <c r="E94" s="550"/>
      <c r="F94" s="1075"/>
      <c r="G94" s="1233" t="s">
        <v>3034</v>
      </c>
      <c r="H94" s="1234"/>
      <c r="I94" s="1234"/>
      <c r="J94" s="1234"/>
      <c r="K94" s="1234"/>
      <c r="L94" s="1234"/>
      <c r="M94" s="1234"/>
      <c r="N94" s="1235"/>
    </row>
    <row r="95" spans="2:15" ht="15.75" hidden="1">
      <c r="D95" s="954"/>
      <c r="E95" s="550"/>
      <c r="F95" s="1075"/>
      <c r="G95" s="1233" t="s">
        <v>1417</v>
      </c>
      <c r="H95" s="1234"/>
      <c r="I95" s="1234"/>
      <c r="J95" s="1234"/>
      <c r="K95" s="1234"/>
      <c r="L95" s="1234"/>
      <c r="M95" s="1234"/>
      <c r="N95" s="1235"/>
    </row>
    <row r="96" spans="2:15" ht="15.75" hidden="1">
      <c r="D96" s="954"/>
      <c r="E96" s="550"/>
      <c r="F96" s="1075"/>
      <c r="G96" s="1233" t="s">
        <v>1076</v>
      </c>
      <c r="H96" s="1234"/>
      <c r="I96" s="1234"/>
      <c r="J96" s="1234"/>
      <c r="K96" s="1234"/>
      <c r="L96" s="1234"/>
      <c r="M96" s="1234"/>
      <c r="N96" s="1235"/>
    </row>
    <row r="97" spans="4:15" ht="15.75" hidden="1">
      <c r="D97" s="954"/>
      <c r="E97" s="550"/>
      <c r="F97" s="1075"/>
      <c r="G97" s="1233" t="s">
        <v>3035</v>
      </c>
      <c r="H97" s="1234"/>
      <c r="I97" s="1234"/>
      <c r="J97" s="1234"/>
      <c r="K97" s="1234"/>
      <c r="L97" s="1234"/>
      <c r="M97" s="1234"/>
      <c r="N97" s="1235"/>
    </row>
    <row r="98" spans="4:15" ht="15.75" hidden="1">
      <c r="D98" s="954"/>
      <c r="E98" s="550"/>
      <c r="F98" s="1075"/>
      <c r="G98" s="1233" t="s">
        <v>3036</v>
      </c>
      <c r="H98" s="1234"/>
      <c r="I98" s="1234"/>
      <c r="J98" s="1234"/>
      <c r="K98" s="1234"/>
      <c r="L98" s="1234"/>
      <c r="M98" s="1234"/>
      <c r="N98" s="1235"/>
    </row>
    <row r="99" spans="4:15" ht="15.75" hidden="1">
      <c r="D99" s="954"/>
      <c r="E99" s="550"/>
      <c r="F99" s="1075"/>
      <c r="G99" s="1233" t="s">
        <v>1418</v>
      </c>
      <c r="H99" s="1234"/>
      <c r="I99" s="1234"/>
      <c r="J99" s="1234"/>
      <c r="K99" s="1234"/>
      <c r="L99" s="1234"/>
      <c r="M99" s="1234"/>
      <c r="N99" s="1235"/>
    </row>
    <row r="100" spans="4:15" ht="15.75" hidden="1">
      <c r="D100" s="954"/>
      <c r="E100" s="550"/>
      <c r="F100" s="1075"/>
      <c r="G100" s="1233" t="s">
        <v>3037</v>
      </c>
      <c r="H100" s="1234"/>
      <c r="I100" s="1234"/>
      <c r="J100" s="1234"/>
      <c r="K100" s="1234"/>
      <c r="L100" s="1234"/>
      <c r="M100" s="1234"/>
      <c r="N100" s="1235"/>
    </row>
    <row r="101" spans="4:15" ht="16.5" hidden="1" thickBot="1">
      <c r="D101" s="954"/>
      <c r="E101" s="550"/>
      <c r="F101" s="1082"/>
      <c r="G101" s="1236" t="s">
        <v>3359</v>
      </c>
      <c r="H101" s="1237"/>
      <c r="I101" s="1237"/>
      <c r="J101" s="1237"/>
      <c r="K101" s="1237"/>
      <c r="L101" s="1237"/>
      <c r="M101" s="1237"/>
      <c r="N101" s="1238"/>
    </row>
    <row r="102" spans="4:15" ht="16.5" hidden="1" thickBot="1">
      <c r="D102" s="954"/>
      <c r="E102" s="550"/>
      <c r="F102" s="1239" t="s">
        <v>1077</v>
      </c>
      <c r="G102" s="1240">
        <f>COUNTIF(F90:F101,"○")</f>
        <v>3</v>
      </c>
      <c r="H102" s="1240"/>
      <c r="I102" s="1240"/>
      <c r="J102" s="1241"/>
      <c r="K102" s="1242"/>
      <c r="L102" s="1242"/>
      <c r="M102" s="1241"/>
      <c r="N102" s="1243"/>
    </row>
    <row r="103" spans="4:15" ht="14.25" thickBot="1">
      <c r="F103" s="1044" t="s">
        <v>3284</v>
      </c>
      <c r="G103" s="2672"/>
      <c r="H103" s="2672"/>
      <c r="I103" s="1764"/>
      <c r="J103" s="2636"/>
      <c r="K103" s="3516" t="s">
        <v>3281</v>
      </c>
      <c r="L103" s="3517"/>
      <c r="M103" s="3518"/>
      <c r="N103" s="1044"/>
      <c r="O103" s="1212"/>
    </row>
    <row r="104" spans="4:15" ht="14.25" thickBot="1">
      <c r="F104" s="1209">
        <f>IF(H87=$T$4,F87,ROUND(IF(G112&lt;=2,1,IF(G112&lt;=5,2,IF(G112&lt;=8,3,IF(G112&lt;=11,4,IF(G112&gt;=12,5))))),0))</f>
        <v>3</v>
      </c>
      <c r="G104" s="1210" t="s">
        <v>1419</v>
      </c>
      <c r="H104" s="1210"/>
      <c r="I104" s="583" t="s">
        <v>2642</v>
      </c>
      <c r="J104" s="1210"/>
      <c r="K104" s="1210"/>
      <c r="L104" s="1210"/>
      <c r="M104" s="1210"/>
      <c r="N104" s="1244" t="s">
        <v>1420</v>
      </c>
      <c r="O104" s="1212"/>
    </row>
    <row r="105" spans="4:15">
      <c r="F105" s="1245">
        <v>3</v>
      </c>
      <c r="G105" s="1219" t="s">
        <v>2643</v>
      </c>
      <c r="H105" s="1220"/>
      <c r="I105" s="1218" t="s">
        <v>2644</v>
      </c>
      <c r="J105" s="1219"/>
      <c r="K105" s="1219"/>
      <c r="L105" s="1219"/>
      <c r="M105" s="1219"/>
      <c r="N105" s="1246">
        <v>3</v>
      </c>
      <c r="O105" s="1212"/>
    </row>
    <row r="106" spans="4:15">
      <c r="F106" s="1247">
        <v>1</v>
      </c>
      <c r="G106" s="2650" t="s">
        <v>2645</v>
      </c>
      <c r="H106" s="2651"/>
      <c r="I106" s="1221" t="s">
        <v>2646</v>
      </c>
      <c r="J106" s="2650"/>
      <c r="K106" s="2650"/>
      <c r="L106" s="2650"/>
      <c r="M106" s="2650"/>
      <c r="N106" s="1248">
        <v>1</v>
      </c>
      <c r="O106" s="1212"/>
    </row>
    <row r="107" spans="4:15">
      <c r="F107" s="1247">
        <v>3</v>
      </c>
      <c r="G107" s="2650" t="s">
        <v>2647</v>
      </c>
      <c r="H107" s="2651"/>
      <c r="I107" s="1221" t="s">
        <v>2648</v>
      </c>
      <c r="J107" s="2650"/>
      <c r="K107" s="2650"/>
      <c r="L107" s="2650"/>
      <c r="M107" s="2650"/>
      <c r="N107" s="1248">
        <v>3</v>
      </c>
      <c r="O107" s="1212"/>
    </row>
    <row r="108" spans="4:15">
      <c r="F108" s="1247">
        <v>0</v>
      </c>
      <c r="G108" s="2650" t="s">
        <v>2649</v>
      </c>
      <c r="H108" s="2651"/>
      <c r="I108" s="1221" t="s">
        <v>2650</v>
      </c>
      <c r="J108" s="2650"/>
      <c r="K108" s="2650"/>
      <c r="L108" s="2650"/>
      <c r="M108" s="2650"/>
      <c r="N108" s="1248">
        <v>2</v>
      </c>
      <c r="O108" s="1212"/>
    </row>
    <row r="109" spans="4:15">
      <c r="F109" s="1247">
        <v>0</v>
      </c>
      <c r="G109" s="2650" t="s">
        <v>2651</v>
      </c>
      <c r="H109" s="2651"/>
      <c r="I109" s="1221" t="s">
        <v>2652</v>
      </c>
      <c r="J109" s="2650"/>
      <c r="K109" s="2650"/>
      <c r="L109" s="2650"/>
      <c r="M109" s="2650"/>
      <c r="N109" s="1248">
        <v>1</v>
      </c>
      <c r="O109" s="1212"/>
    </row>
    <row r="110" spans="4:15">
      <c r="F110" s="1247">
        <v>0</v>
      </c>
      <c r="G110" s="2650" t="s">
        <v>2653</v>
      </c>
      <c r="H110" s="2651"/>
      <c r="I110" s="1221" t="s">
        <v>2654</v>
      </c>
      <c r="J110" s="2650"/>
      <c r="K110" s="2650"/>
      <c r="L110" s="2650"/>
      <c r="M110" s="2650"/>
      <c r="N110" s="1248">
        <v>2</v>
      </c>
      <c r="O110" s="1212"/>
    </row>
    <row r="111" spans="4:15" ht="14.25" thickBot="1">
      <c r="F111" s="1249">
        <v>0</v>
      </c>
      <c r="G111" s="1225" t="s">
        <v>2655</v>
      </c>
      <c r="H111" s="1226"/>
      <c r="I111" s="1224" t="s">
        <v>2656</v>
      </c>
      <c r="J111" s="1225"/>
      <c r="K111" s="1225"/>
      <c r="L111" s="1225"/>
      <c r="M111" s="1225"/>
      <c r="N111" s="2658">
        <v>1</v>
      </c>
      <c r="O111" s="1212"/>
    </row>
    <row r="112" spans="4:15" ht="14.25">
      <c r="F112" s="1239" t="s">
        <v>2333</v>
      </c>
      <c r="G112" s="3519">
        <f>SUM(F105:F111)</f>
        <v>7</v>
      </c>
      <c r="H112" s="3519"/>
      <c r="I112" s="3519"/>
      <c r="J112" s="2655"/>
      <c r="K112" s="1242"/>
      <c r="L112" s="2655"/>
      <c r="M112" s="1242"/>
      <c r="N112" s="1251"/>
      <c r="O112" s="1212"/>
    </row>
    <row r="113" spans="2:15" ht="14.25" thickBot="1">
      <c r="F113" s="1044" t="s">
        <v>3285</v>
      </c>
      <c r="G113" s="2636"/>
      <c r="H113" s="2636"/>
      <c r="I113" s="2636"/>
      <c r="J113" s="2636"/>
      <c r="K113" s="2636"/>
      <c r="L113" s="2636"/>
      <c r="M113" s="2636"/>
      <c r="N113" s="2636"/>
      <c r="O113" s="1212"/>
    </row>
    <row r="114" spans="2:15" ht="14.25" thickBot="1">
      <c r="F114" s="1209">
        <f>IF(H87=$T$4,F87,ROUND(IF(G121&lt;=2,1,IF(G121&lt;=5,2,IF(G121&lt;=8,3,IF(G121&lt;=11,4,IF(G121&gt;=12,5))))),0))</f>
        <v>4</v>
      </c>
      <c r="G114" s="1210" t="s">
        <v>1419</v>
      </c>
      <c r="H114" s="1210"/>
      <c r="I114" s="583" t="s">
        <v>2642</v>
      </c>
      <c r="J114" s="1210"/>
      <c r="K114" s="1210"/>
      <c r="L114" s="1210"/>
      <c r="M114" s="1210"/>
      <c r="N114" s="1244" t="s">
        <v>1420</v>
      </c>
      <c r="O114" s="1212"/>
    </row>
    <row r="115" spans="2:15">
      <c r="F115" s="1252">
        <v>3</v>
      </c>
      <c r="G115" s="1219" t="s">
        <v>2657</v>
      </c>
      <c r="H115" s="1220"/>
      <c r="I115" s="1218" t="s">
        <v>2658</v>
      </c>
      <c r="J115" s="1219"/>
      <c r="K115" s="1219"/>
      <c r="L115" s="1219"/>
      <c r="M115" s="1219"/>
      <c r="N115" s="1246">
        <v>3</v>
      </c>
      <c r="O115" s="1212"/>
    </row>
    <row r="116" spans="2:15">
      <c r="F116" s="1253">
        <v>3</v>
      </c>
      <c r="G116" s="2650" t="s">
        <v>2659</v>
      </c>
      <c r="H116" s="2651"/>
      <c r="I116" s="1221" t="s">
        <v>2660</v>
      </c>
      <c r="J116" s="2650"/>
      <c r="K116" s="2650"/>
      <c r="L116" s="2650"/>
      <c r="M116" s="2650"/>
      <c r="N116" s="1248">
        <v>3</v>
      </c>
      <c r="O116" s="1212"/>
    </row>
    <row r="117" spans="2:15">
      <c r="F117" s="1253">
        <v>3</v>
      </c>
      <c r="G117" s="2650" t="s">
        <v>2661</v>
      </c>
      <c r="H117" s="2651"/>
      <c r="I117" s="1221" t="s">
        <v>2662</v>
      </c>
      <c r="J117" s="2650"/>
      <c r="K117" s="2650"/>
      <c r="L117" s="2650"/>
      <c r="M117" s="2650"/>
      <c r="N117" s="1248">
        <v>3</v>
      </c>
      <c r="O117" s="1212"/>
    </row>
    <row r="118" spans="2:15">
      <c r="F118" s="1253">
        <v>0</v>
      </c>
      <c r="G118" s="2650" t="s">
        <v>2663</v>
      </c>
      <c r="H118" s="2651"/>
      <c r="I118" s="1221" t="s">
        <v>2664</v>
      </c>
      <c r="J118" s="2650"/>
      <c r="K118" s="2650"/>
      <c r="L118" s="2650"/>
      <c r="M118" s="2650"/>
      <c r="N118" s="1248">
        <v>2</v>
      </c>
      <c r="O118" s="1212"/>
    </row>
    <row r="119" spans="2:15">
      <c r="F119" s="1253">
        <v>0</v>
      </c>
      <c r="G119" s="2650" t="s">
        <v>2665</v>
      </c>
      <c r="H119" s="2651"/>
      <c r="I119" s="1221" t="s">
        <v>2666</v>
      </c>
      <c r="J119" s="2650"/>
      <c r="K119" s="2650"/>
      <c r="L119" s="2650"/>
      <c r="M119" s="2650"/>
      <c r="N119" s="1248">
        <v>1</v>
      </c>
      <c r="O119" s="1212"/>
    </row>
    <row r="120" spans="2:15" ht="14.25" thickBot="1">
      <c r="F120" s="1254">
        <v>0</v>
      </c>
      <c r="G120" s="1225" t="s">
        <v>2667</v>
      </c>
      <c r="H120" s="2651"/>
      <c r="I120" s="1221" t="s">
        <v>2668</v>
      </c>
      <c r="J120" s="2650"/>
      <c r="K120" s="2650"/>
      <c r="L120" s="2650"/>
      <c r="M120" s="2650"/>
      <c r="N120" s="1248">
        <v>1</v>
      </c>
      <c r="O120" s="1212"/>
    </row>
    <row r="121" spans="2:15" ht="15.75">
      <c r="D121" s="954"/>
      <c r="E121" s="550"/>
      <c r="F121" s="1239" t="s">
        <v>2333</v>
      </c>
      <c r="G121" s="3519">
        <f>SUM(F115:F120)</f>
        <v>9</v>
      </c>
      <c r="H121" s="3519"/>
      <c r="I121" s="3519"/>
      <c r="J121" s="2655"/>
      <c r="K121" s="1242"/>
      <c r="L121" s="2655"/>
      <c r="M121" s="1242"/>
      <c r="N121" s="1251"/>
      <c r="O121" s="1212"/>
    </row>
    <row r="122" spans="2:15" s="2636" customFormat="1" ht="15.75">
      <c r="D122" s="954"/>
      <c r="E122" s="954"/>
      <c r="F122" s="954"/>
      <c r="G122" s="954"/>
      <c r="H122" s="954"/>
      <c r="I122" s="954"/>
      <c r="J122" s="954"/>
      <c r="K122" s="954"/>
      <c r="L122" s="954"/>
      <c r="M122" s="954"/>
      <c r="N122" s="954"/>
      <c r="O122" s="1212"/>
    </row>
    <row r="123" spans="2:15" ht="15.75">
      <c r="D123" s="954"/>
      <c r="E123" s="550"/>
      <c r="F123" s="1133" t="s">
        <v>3744</v>
      </c>
      <c r="G123" s="1045"/>
      <c r="H123" s="1094"/>
      <c r="I123" s="1074"/>
      <c r="J123" s="1048" t="e">
        <f>IF(OR(F125=0,J124=0),$R$3,"")</f>
        <v>#DIV/0!</v>
      </c>
      <c r="K123" s="1212"/>
      <c r="L123" s="1092"/>
      <c r="M123" s="1212"/>
      <c r="N123" s="1010"/>
      <c r="O123" s="1010"/>
    </row>
    <row r="124" spans="2:15" ht="16.5" thickBot="1">
      <c r="D124" s="1470"/>
      <c r="E124" s="1192"/>
      <c r="F124" s="1114" t="s">
        <v>374</v>
      </c>
      <c r="G124" s="972"/>
      <c r="H124" s="973"/>
      <c r="I124" s="974" t="s">
        <v>1125</v>
      </c>
      <c r="J124" s="975" t="e">
        <f>重み!M73</f>
        <v>#DIV/0!</v>
      </c>
      <c r="K124" s="1115"/>
      <c r="L124" s="974" t="s">
        <v>1086</v>
      </c>
      <c r="M124" s="1213">
        <f>メイン!$J$66</f>
        <v>0</v>
      </c>
      <c r="N124" s="1214" t="s">
        <v>1087</v>
      </c>
      <c r="O124" s="1215"/>
    </row>
    <row r="125" spans="2:15" ht="15" thickBot="1">
      <c r="B125" s="1216" t="s">
        <v>1088</v>
      </c>
      <c r="E125" s="1192"/>
      <c r="F125" s="1049" t="e">
        <f>IF(J124=0,0,IF(H132=S3,F132,F154))</f>
        <v>#DIV/0!</v>
      </c>
      <c r="G125" s="1095" t="s">
        <v>1445</v>
      </c>
      <c r="H125" s="983"/>
      <c r="I125" s="983"/>
      <c r="J125" s="984"/>
      <c r="K125" s="983"/>
      <c r="L125" s="983"/>
      <c r="M125" s="984"/>
      <c r="N125" s="1217" t="s">
        <v>87</v>
      </c>
      <c r="O125" s="1100"/>
    </row>
    <row r="126" spans="2:15" ht="15.75" customHeight="1">
      <c r="E126" s="964"/>
      <c r="F126" s="985" t="e">
        <f>IF(F125=$S$15,$T$10,IF(ROUNDDOWN(F125,0)=$S$10,$U$10,$T$10))</f>
        <v>#DIV/0!</v>
      </c>
      <c r="G126" s="2649" t="s">
        <v>2628</v>
      </c>
      <c r="H126" s="1219"/>
      <c r="I126" s="1219"/>
      <c r="J126" s="1219"/>
      <c r="K126" s="1219"/>
      <c r="L126" s="1219"/>
      <c r="M126" s="1220"/>
      <c r="N126" s="3553" t="s">
        <v>3031</v>
      </c>
      <c r="O126" s="3536"/>
    </row>
    <row r="127" spans="2:15" ht="15.75">
      <c r="E127" s="964"/>
      <c r="F127" s="990" t="e">
        <f>IF(F125=$S$15,$T$11,IF(ROUNDDOWN(F125,0)=$S$11,$U$11,$T$11))</f>
        <v>#DIV/0!</v>
      </c>
      <c r="G127" s="1221" t="s">
        <v>3360</v>
      </c>
      <c r="H127" s="2650"/>
      <c r="I127" s="2650"/>
      <c r="J127" s="2650"/>
      <c r="K127" s="2650"/>
      <c r="L127" s="2650"/>
      <c r="M127" s="2651"/>
      <c r="N127" s="3554"/>
      <c r="O127" s="3536"/>
    </row>
    <row r="128" spans="2:15" ht="15.75">
      <c r="E128" s="964"/>
      <c r="F128" s="990" t="e">
        <f>IF(F125=$S$15,$T$12,IF(ROUNDDOWN(F125,0)=$S$12,$U$12,$T$12))</f>
        <v>#DIV/0!</v>
      </c>
      <c r="G128" s="1221" t="s">
        <v>3361</v>
      </c>
      <c r="H128" s="2650"/>
      <c r="I128" s="2650"/>
      <c r="J128" s="2650"/>
      <c r="K128" s="2650"/>
      <c r="L128" s="2650"/>
      <c r="M128" s="2651"/>
      <c r="N128" s="3554"/>
      <c r="O128" s="3536"/>
    </row>
    <row r="129" spans="2:15" ht="15.75">
      <c r="E129" s="964"/>
      <c r="F129" s="990" t="e">
        <f>IF(F125=$S$15,$T$13,IF(ROUNDDOWN(F125,0)=$S$13,$U$13,$T$13))</f>
        <v>#DIV/0!</v>
      </c>
      <c r="G129" s="1221" t="s">
        <v>3362</v>
      </c>
      <c r="H129" s="2650"/>
      <c r="I129" s="2650"/>
      <c r="J129" s="2650"/>
      <c r="K129" s="2650"/>
      <c r="L129" s="2650"/>
      <c r="M129" s="2651"/>
      <c r="N129" s="3554"/>
      <c r="O129" s="3536"/>
    </row>
    <row r="130" spans="2:15" ht="15.75">
      <c r="E130" s="964"/>
      <c r="F130" s="1001" t="e">
        <f>IF(F125=$S$15,$T$14,IF(ROUNDDOWN(F125,0)=$S$14,$U$14,$T$14))</f>
        <v>#DIV/0!</v>
      </c>
      <c r="G130" s="1224" t="s">
        <v>3363</v>
      </c>
      <c r="H130" s="1225"/>
      <c r="I130" s="1225"/>
      <c r="J130" s="1225"/>
      <c r="K130" s="1225"/>
      <c r="L130" s="1225"/>
      <c r="M130" s="1226"/>
      <c r="N130" s="3555"/>
      <c r="O130" s="3538"/>
    </row>
    <row r="131" spans="2:15" ht="16.5" thickBot="1">
      <c r="B131" t="s">
        <v>623</v>
      </c>
      <c r="E131" s="964"/>
      <c r="F131" s="1205" t="s">
        <v>3282</v>
      </c>
      <c r="G131" s="1205"/>
      <c r="H131" s="1044"/>
      <c r="I131" s="1227"/>
      <c r="J131" s="1228"/>
      <c r="K131" s="1228"/>
      <c r="L131" s="1044"/>
      <c r="M131" s="1044"/>
      <c r="N131" s="1044"/>
      <c r="O131" s="1044"/>
    </row>
    <row r="132" spans="2:15" ht="16.5" thickBot="1">
      <c r="D132" s="954"/>
      <c r="E132" s="954"/>
      <c r="F132" s="978">
        <v>3</v>
      </c>
      <c r="G132" s="1206" t="s">
        <v>2237</v>
      </c>
      <c r="H132" s="1207"/>
      <c r="I132" s="2674"/>
      <c r="J132" s="1089"/>
      <c r="K132" s="1212"/>
      <c r="L132" s="1212"/>
      <c r="M132" s="1212"/>
      <c r="N132" s="1212"/>
      <c r="O132" s="1010"/>
    </row>
    <row r="133" spans="2:15" ht="16.5" hidden="1" thickBot="1">
      <c r="B133" s="1" t="s">
        <v>1794</v>
      </c>
      <c r="C133" s="1">
        <v>1</v>
      </c>
      <c r="D133" s="954"/>
      <c r="E133" s="954"/>
      <c r="F133" s="1209">
        <f>IF(H132=$T$4,F132,IF(G147&lt;=3,2,IF(G147&lt;=6,3,IF(G147&lt;=9,4,5))))</f>
        <v>3</v>
      </c>
      <c r="G133" s="583" t="s">
        <v>1079</v>
      </c>
      <c r="H133" s="1210"/>
      <c r="I133" s="1210"/>
      <c r="J133" s="1210"/>
      <c r="K133" s="1210"/>
      <c r="L133" s="583" t="s">
        <v>2187</v>
      </c>
      <c r="M133" s="1210"/>
      <c r="N133" s="1210"/>
      <c r="O133" s="1255"/>
    </row>
    <row r="134" spans="2:15" ht="27.75" hidden="1" customHeight="1">
      <c r="B134" s="1">
        <v>2</v>
      </c>
      <c r="C134" s="1">
        <v>2</v>
      </c>
      <c r="D134" s="954"/>
      <c r="E134" s="550"/>
      <c r="F134" s="1073" t="s">
        <v>2240</v>
      </c>
      <c r="G134" s="1256" t="s">
        <v>3038</v>
      </c>
      <c r="H134" s="1257"/>
      <c r="I134" s="1257"/>
      <c r="J134" s="1257"/>
      <c r="K134" s="1257"/>
      <c r="L134" s="3420" t="s">
        <v>2188</v>
      </c>
      <c r="M134" s="3422"/>
      <c r="N134" s="3422"/>
      <c r="O134" s="3404"/>
    </row>
    <row r="135" spans="2:15" ht="27.75" hidden="1" customHeight="1">
      <c r="B135" s="1">
        <v>3</v>
      </c>
      <c r="C135" s="1">
        <v>3</v>
      </c>
      <c r="D135" s="954"/>
      <c r="E135" s="550"/>
      <c r="F135" s="1075" t="s">
        <v>2240</v>
      </c>
      <c r="G135" s="1256" t="s">
        <v>3039</v>
      </c>
      <c r="H135" s="1257"/>
      <c r="I135" s="1257"/>
      <c r="J135" s="1257"/>
      <c r="K135" s="1257"/>
      <c r="L135" s="3420" t="s">
        <v>2189</v>
      </c>
      <c r="M135" s="3422"/>
      <c r="N135" s="3422"/>
      <c r="O135" s="3404"/>
    </row>
    <row r="136" spans="2:15" ht="49.5" hidden="1" customHeight="1">
      <c r="B136" s="1">
        <v>4</v>
      </c>
      <c r="C136" s="1">
        <v>4</v>
      </c>
      <c r="D136" s="954"/>
      <c r="E136" s="550"/>
      <c r="F136" s="1075" t="s">
        <v>2240</v>
      </c>
      <c r="G136" s="1256" t="s">
        <v>3040</v>
      </c>
      <c r="H136" s="1257"/>
      <c r="I136" s="1257"/>
      <c r="J136" s="1257"/>
      <c r="K136" s="1257"/>
      <c r="L136" s="3420" t="s">
        <v>3041</v>
      </c>
      <c r="M136" s="3422"/>
      <c r="N136" s="3422"/>
      <c r="O136" s="3404"/>
    </row>
    <row r="137" spans="2:15" ht="27.75" hidden="1" customHeight="1">
      <c r="B137" s="1">
        <v>5</v>
      </c>
      <c r="C137" s="1">
        <v>5</v>
      </c>
      <c r="D137" s="954"/>
      <c r="E137" s="550"/>
      <c r="F137" s="1075" t="s">
        <v>2240</v>
      </c>
      <c r="G137" s="1256" t="s">
        <v>3042</v>
      </c>
      <c r="H137" s="1257"/>
      <c r="I137" s="1257"/>
      <c r="J137" s="1257"/>
      <c r="K137" s="1257"/>
      <c r="L137" s="3420" t="s">
        <v>3043</v>
      </c>
      <c r="M137" s="3422"/>
      <c r="N137" s="3422"/>
      <c r="O137" s="3404"/>
    </row>
    <row r="138" spans="2:15" ht="27.75" hidden="1" customHeight="1">
      <c r="B138" s="1008">
        <v>0</v>
      </c>
      <c r="C138" s="1008">
        <v>0</v>
      </c>
      <c r="D138" s="954"/>
      <c r="E138" s="550"/>
      <c r="F138" s="1075"/>
      <c r="G138" s="3550" t="s">
        <v>3044</v>
      </c>
      <c r="H138" s="3429"/>
      <c r="I138" s="3429"/>
      <c r="J138" s="3429"/>
      <c r="K138" s="3430"/>
      <c r="L138" s="3420" t="s">
        <v>3045</v>
      </c>
      <c r="M138" s="3422"/>
      <c r="N138" s="3422"/>
      <c r="O138" s="3404"/>
    </row>
    <row r="139" spans="2:15" ht="27.75" hidden="1" customHeight="1">
      <c r="D139" s="954"/>
      <c r="E139" s="550"/>
      <c r="F139" s="1075"/>
      <c r="G139" s="1256" t="s">
        <v>2190</v>
      </c>
      <c r="H139" s="1257"/>
      <c r="I139" s="1257"/>
      <c r="J139" s="1257"/>
      <c r="K139" s="1257"/>
      <c r="L139" s="3420" t="s">
        <v>1435</v>
      </c>
      <c r="M139" s="3422"/>
      <c r="N139" s="3422"/>
      <c r="O139" s="3404"/>
    </row>
    <row r="140" spans="2:15" ht="27.75" hidden="1" customHeight="1">
      <c r="D140" s="954"/>
      <c r="E140" s="550"/>
      <c r="F140" s="1075"/>
      <c r="G140" s="3550" t="s">
        <v>3046</v>
      </c>
      <c r="H140" s="3429"/>
      <c r="I140" s="3429"/>
      <c r="J140" s="3429"/>
      <c r="K140" s="3430"/>
      <c r="L140" s="3420" t="s">
        <v>564</v>
      </c>
      <c r="M140" s="3422"/>
      <c r="N140" s="3422"/>
      <c r="O140" s="3404"/>
    </row>
    <row r="141" spans="2:15" ht="27.75" hidden="1" customHeight="1">
      <c r="D141" s="954"/>
      <c r="E141" s="550"/>
      <c r="F141" s="1075"/>
      <c r="G141" s="3550" t="s">
        <v>3047</v>
      </c>
      <c r="H141" s="3429"/>
      <c r="I141" s="3429"/>
      <c r="J141" s="3429"/>
      <c r="K141" s="3430"/>
      <c r="L141" s="3420" t="s">
        <v>3048</v>
      </c>
      <c r="M141" s="3422"/>
      <c r="N141" s="3422"/>
      <c r="O141" s="3404"/>
    </row>
    <row r="142" spans="2:15" ht="27.75" hidden="1" customHeight="1">
      <c r="D142" s="954"/>
      <c r="E142" s="550"/>
      <c r="F142" s="1075"/>
      <c r="G142" s="1256" t="s">
        <v>388</v>
      </c>
      <c r="H142" s="1257"/>
      <c r="I142" s="1257"/>
      <c r="J142" s="1257"/>
      <c r="K142" s="1257"/>
      <c r="L142" s="3420" t="s">
        <v>3049</v>
      </c>
      <c r="M142" s="3422"/>
      <c r="N142" s="3422"/>
      <c r="O142" s="3404"/>
    </row>
    <row r="143" spans="2:15" ht="27.75" hidden="1" customHeight="1">
      <c r="D143" s="954"/>
      <c r="E143" s="550"/>
      <c r="F143" s="1075"/>
      <c r="G143" s="1256" t="s">
        <v>3050</v>
      </c>
      <c r="H143" s="1257"/>
      <c r="I143" s="1257"/>
      <c r="J143" s="1257"/>
      <c r="K143" s="1257"/>
      <c r="L143" s="3420" t="s">
        <v>3051</v>
      </c>
      <c r="M143" s="3422"/>
      <c r="N143" s="3422"/>
      <c r="O143" s="3404"/>
    </row>
    <row r="144" spans="2:15" ht="27.75" hidden="1" customHeight="1">
      <c r="D144" s="954"/>
      <c r="E144" s="550"/>
      <c r="F144" s="1075"/>
      <c r="G144" s="1256" t="s">
        <v>92</v>
      </c>
      <c r="H144" s="1257"/>
      <c r="I144" s="1257"/>
      <c r="J144" s="1257"/>
      <c r="K144" s="1257"/>
      <c r="L144" s="3420" t="s">
        <v>1330</v>
      </c>
      <c r="M144" s="3422"/>
      <c r="N144" s="3422"/>
      <c r="O144" s="3404"/>
    </row>
    <row r="145" spans="2:15" ht="27.75" hidden="1" customHeight="1">
      <c r="D145" s="954"/>
      <c r="E145" s="550"/>
      <c r="F145" s="1075"/>
      <c r="G145" s="1256" t="s">
        <v>1331</v>
      </c>
      <c r="H145" s="1257"/>
      <c r="I145" s="1257"/>
      <c r="J145" s="1257"/>
      <c r="K145" s="1257"/>
      <c r="L145" s="3420" t="s">
        <v>1332</v>
      </c>
      <c r="M145" s="3422"/>
      <c r="N145" s="3422"/>
      <c r="O145" s="3404"/>
    </row>
    <row r="146" spans="2:15" ht="27.75" hidden="1" customHeight="1" thickBot="1">
      <c r="D146" s="954"/>
      <c r="E146" s="550"/>
      <c r="F146" s="1082"/>
      <c r="G146" s="1256" t="s">
        <v>3052</v>
      </c>
      <c r="H146" s="1257"/>
      <c r="I146" s="1257"/>
      <c r="J146" s="1257"/>
      <c r="K146" s="1257"/>
      <c r="L146" s="3420" t="s">
        <v>3053</v>
      </c>
      <c r="M146" s="3422"/>
      <c r="N146" s="3422"/>
      <c r="O146" s="3404"/>
    </row>
    <row r="147" spans="2:15" ht="15.75" hidden="1">
      <c r="D147" s="954"/>
      <c r="E147" s="550"/>
      <c r="F147" s="1239" t="s">
        <v>1333</v>
      </c>
      <c r="G147" s="1258">
        <f>COUNTIF(F134:F146,"○")</f>
        <v>4</v>
      </c>
      <c r="H147" s="1258"/>
      <c r="I147" s="1258"/>
      <c r="J147" s="1241"/>
      <c r="K147" s="1241"/>
      <c r="L147" s="1241"/>
      <c r="M147" s="1241"/>
      <c r="N147" s="1242"/>
      <c r="O147" s="1251"/>
    </row>
    <row r="148" spans="2:15" ht="14.25" thickBot="1">
      <c r="F148" s="1212"/>
      <c r="G148" s="1212"/>
      <c r="H148" s="1212"/>
      <c r="I148" s="1212"/>
      <c r="J148" s="1212"/>
      <c r="K148" s="1212"/>
      <c r="L148" s="1212"/>
      <c r="M148" s="1212"/>
      <c r="N148" s="1212"/>
      <c r="O148" s="1212"/>
    </row>
    <row r="149" spans="2:15" ht="14.25" hidden="1" thickBot="1">
      <c r="B149" s="1259" t="s">
        <v>565</v>
      </c>
      <c r="F149" s="1205" t="s">
        <v>3282</v>
      </c>
      <c r="G149" s="1044"/>
      <c r="H149" s="1227"/>
      <c r="I149" s="1228"/>
      <c r="J149" s="1228"/>
      <c r="K149" s="1044"/>
      <c r="L149" s="1212"/>
      <c r="M149" s="1212"/>
      <c r="N149" s="1044"/>
      <c r="O149" s="1212"/>
    </row>
    <row r="150" spans="2:15" ht="14.25" hidden="1" thickBot="1">
      <c r="F150" s="1260" t="s">
        <v>1334</v>
      </c>
      <c r="G150" s="3496" t="s">
        <v>566</v>
      </c>
      <c r="H150" s="3498"/>
      <c r="I150" s="3551" t="s">
        <v>3054</v>
      </c>
      <c r="J150" s="3551"/>
      <c r="K150" s="3551"/>
      <c r="L150" s="3551"/>
      <c r="M150" s="3551"/>
      <c r="N150" s="1044"/>
      <c r="O150" s="1212"/>
    </row>
    <row r="151" spans="2:15" ht="14.25" hidden="1" thickBot="1">
      <c r="F151" s="1260" t="s">
        <v>1335</v>
      </c>
      <c r="G151" s="3496" t="s">
        <v>1652</v>
      </c>
      <c r="H151" s="3498"/>
      <c r="I151" s="3551" t="s">
        <v>3055</v>
      </c>
      <c r="J151" s="3551"/>
      <c r="K151" s="3551"/>
      <c r="L151" s="3551"/>
      <c r="M151" s="3551"/>
      <c r="N151" s="1044"/>
      <c r="O151" s="1212"/>
    </row>
    <row r="152" spans="2:15" ht="14.25" hidden="1" thickBot="1">
      <c r="F152" s="1260" t="s">
        <v>1336</v>
      </c>
      <c r="G152" s="3496" t="s">
        <v>551</v>
      </c>
      <c r="H152" s="3498"/>
      <c r="I152" s="3551" t="s">
        <v>3056</v>
      </c>
      <c r="J152" s="3551"/>
      <c r="K152" s="3551"/>
      <c r="L152" s="3551"/>
      <c r="M152" s="3551"/>
      <c r="N152" s="1044"/>
      <c r="O152" s="1212"/>
    </row>
    <row r="153" spans="2:15" ht="14.25" thickBot="1">
      <c r="B153" s="1163" t="s">
        <v>622</v>
      </c>
      <c r="F153" s="1044" t="s">
        <v>3284</v>
      </c>
      <c r="G153" s="2672"/>
      <c r="H153" s="2672"/>
      <c r="I153" s="3516" t="s">
        <v>3281</v>
      </c>
      <c r="J153" s="3517"/>
      <c r="K153" s="3518"/>
      <c r="L153" s="1228" t="s">
        <v>3285</v>
      </c>
      <c r="M153" s="1228"/>
      <c r="N153" s="1044"/>
      <c r="O153" s="2672"/>
    </row>
    <row r="154" spans="2:15" ht="14.25" thickBot="1">
      <c r="F154" s="1209">
        <f>IF(H133=$T$4,F133,ROUND(IF(G166&lt;=1,2,IF(G166&lt;=4,3,IF(G166&lt;=8,4,IF(G166&gt;=9,5)))),0))</f>
        <v>3</v>
      </c>
      <c r="G154" s="583" t="s">
        <v>1419</v>
      </c>
      <c r="H154" s="583" t="s">
        <v>2676</v>
      </c>
      <c r="I154" s="1210"/>
      <c r="J154" s="1210"/>
      <c r="K154" s="1271" t="s">
        <v>1420</v>
      </c>
      <c r="L154" s="583" t="s">
        <v>2676</v>
      </c>
      <c r="M154" s="1210"/>
      <c r="N154" s="1210"/>
      <c r="O154" s="1137" t="s">
        <v>1420</v>
      </c>
    </row>
    <row r="155" spans="2:15" ht="30.75" customHeight="1">
      <c r="F155" s="1252">
        <v>1</v>
      </c>
      <c r="G155" s="583" t="s">
        <v>290</v>
      </c>
      <c r="H155" s="3530" t="s">
        <v>3057</v>
      </c>
      <c r="I155" s="3531"/>
      <c r="J155" s="3532"/>
      <c r="K155" s="1271">
        <v>1</v>
      </c>
      <c r="L155" s="3530" t="s">
        <v>2669</v>
      </c>
      <c r="M155" s="3531"/>
      <c r="N155" s="3532"/>
      <c r="O155" s="2676">
        <v>1</v>
      </c>
    </row>
    <row r="156" spans="2:15" ht="33.75" customHeight="1">
      <c r="F156" s="1253">
        <v>3</v>
      </c>
      <c r="G156" s="1261" t="s">
        <v>291</v>
      </c>
      <c r="H156" s="3589" t="s">
        <v>2670</v>
      </c>
      <c r="I156" s="3529"/>
      <c r="J156" s="3421"/>
      <c r="K156" s="1248">
        <v>3</v>
      </c>
      <c r="L156" s="3528" t="s">
        <v>2385</v>
      </c>
      <c r="M156" s="3529"/>
      <c r="N156" s="3421"/>
      <c r="O156" s="1378" t="s">
        <v>2385</v>
      </c>
    </row>
    <row r="157" spans="2:15" ht="29.25" customHeight="1">
      <c r="F157" s="1253">
        <v>0</v>
      </c>
      <c r="G157" s="1262"/>
      <c r="H157" s="3528" t="s">
        <v>2671</v>
      </c>
      <c r="I157" s="3529"/>
      <c r="J157" s="3421"/>
      <c r="K157" s="1248">
        <v>3</v>
      </c>
      <c r="L157" s="3528" t="s">
        <v>2385</v>
      </c>
      <c r="M157" s="3529"/>
      <c r="N157" s="3421"/>
      <c r="O157" s="1248" t="s">
        <v>2385</v>
      </c>
    </row>
    <row r="158" spans="2:15" ht="27.75" customHeight="1">
      <c r="F158" s="1253">
        <v>2</v>
      </c>
      <c r="G158" s="1262"/>
      <c r="H158" s="3528" t="s">
        <v>2385</v>
      </c>
      <c r="I158" s="3529"/>
      <c r="J158" s="3421"/>
      <c r="K158" s="1248" t="s">
        <v>2385</v>
      </c>
      <c r="L158" s="3528" t="s">
        <v>3058</v>
      </c>
      <c r="M158" s="3529"/>
      <c r="N158" s="3421"/>
      <c r="O158" s="1248">
        <v>2</v>
      </c>
    </row>
    <row r="159" spans="2:15" ht="28.5" customHeight="1">
      <c r="F159" s="1253">
        <v>0</v>
      </c>
      <c r="G159" s="1263"/>
      <c r="H159" s="3530" t="s">
        <v>2385</v>
      </c>
      <c r="I159" s="3531"/>
      <c r="J159" s="3532"/>
      <c r="K159" s="1271" t="s">
        <v>2385</v>
      </c>
      <c r="L159" s="3530" t="s">
        <v>2672</v>
      </c>
      <c r="M159" s="3531"/>
      <c r="N159" s="3532"/>
      <c r="O159" s="1271">
        <v>1</v>
      </c>
    </row>
    <row r="160" spans="2:15" ht="28.5" customHeight="1">
      <c r="F160" s="1253">
        <v>0</v>
      </c>
      <c r="G160" s="1261" t="s">
        <v>292</v>
      </c>
      <c r="H160" s="3539" t="s">
        <v>3059</v>
      </c>
      <c r="I160" s="3540"/>
      <c r="J160" s="3541"/>
      <c r="K160" s="1378">
        <v>1</v>
      </c>
      <c r="L160" s="3539" t="s">
        <v>3060</v>
      </c>
      <c r="M160" s="3540"/>
      <c r="N160" s="3541"/>
      <c r="O160" s="1378">
        <v>1</v>
      </c>
    </row>
    <row r="161" spans="2:15" ht="53.25" customHeight="1">
      <c r="F161" s="1253">
        <v>0</v>
      </c>
      <c r="G161" s="1262"/>
      <c r="H161" s="3528" t="s">
        <v>3061</v>
      </c>
      <c r="I161" s="3529"/>
      <c r="J161" s="3421"/>
      <c r="K161" s="1248">
        <v>2</v>
      </c>
      <c r="L161" s="3528" t="s">
        <v>2673</v>
      </c>
      <c r="M161" s="3529"/>
      <c r="N161" s="3421"/>
      <c r="O161" s="1248">
        <v>2</v>
      </c>
    </row>
    <row r="162" spans="2:15" ht="40.5" customHeight="1">
      <c r="F162" s="1253">
        <v>1</v>
      </c>
      <c r="G162" s="1263"/>
      <c r="H162" s="3530" t="s">
        <v>2385</v>
      </c>
      <c r="I162" s="3531"/>
      <c r="J162" s="3532"/>
      <c r="K162" s="2909" t="s">
        <v>3503</v>
      </c>
      <c r="L162" s="3530" t="s">
        <v>3062</v>
      </c>
      <c r="M162" s="3531"/>
      <c r="N162" s="3532"/>
      <c r="O162" s="1271">
        <v>1</v>
      </c>
    </row>
    <row r="163" spans="2:15" ht="28.5" customHeight="1">
      <c r="F163" s="1253">
        <v>0</v>
      </c>
      <c r="G163" s="1261" t="s">
        <v>1421</v>
      </c>
      <c r="H163" s="3539" t="s">
        <v>451</v>
      </c>
      <c r="I163" s="3540"/>
      <c r="J163" s="3541"/>
      <c r="K163" s="1378">
        <v>1</v>
      </c>
      <c r="L163" s="3539" t="s">
        <v>2674</v>
      </c>
      <c r="M163" s="3540"/>
      <c r="N163" s="3541"/>
      <c r="O163" s="1378">
        <v>1</v>
      </c>
    </row>
    <row r="164" spans="2:15" ht="28.5" customHeight="1">
      <c r="F164" s="1253">
        <v>0</v>
      </c>
      <c r="G164" s="1263"/>
      <c r="H164" s="3530" t="s">
        <v>2385</v>
      </c>
      <c r="I164" s="3531"/>
      <c r="J164" s="3532"/>
      <c r="K164" s="2909" t="s">
        <v>3504</v>
      </c>
      <c r="L164" s="3530" t="s">
        <v>2675</v>
      </c>
      <c r="M164" s="3531"/>
      <c r="N164" s="3532"/>
      <c r="O164" s="1271">
        <v>1</v>
      </c>
    </row>
    <row r="165" spans="2:15" ht="28.5" customHeight="1" thickBot="1">
      <c r="F165" s="1254">
        <v>0</v>
      </c>
      <c r="G165" s="583" t="s">
        <v>452</v>
      </c>
      <c r="H165" s="3530" t="s">
        <v>453</v>
      </c>
      <c r="I165" s="3531"/>
      <c r="J165" s="3532"/>
      <c r="K165" s="2658">
        <v>2</v>
      </c>
      <c r="L165" s="3530" t="s">
        <v>3063</v>
      </c>
      <c r="M165" s="3531"/>
      <c r="N165" s="3532"/>
      <c r="O165" s="2675">
        <v>2</v>
      </c>
    </row>
    <row r="166" spans="2:15" ht="28.5" customHeight="1">
      <c r="F166" s="1239" t="s">
        <v>1077</v>
      </c>
      <c r="G166" s="1258">
        <f>IF($I$153=$V$4,SUM(F155:F157,F160:F161,F163,F165),SUM(F155,F158:F165))</f>
        <v>4</v>
      </c>
      <c r="H166" s="1258"/>
      <c r="I166" s="1240"/>
      <c r="J166" s="1241"/>
      <c r="K166" s="1251"/>
      <c r="L166" s="1242"/>
      <c r="M166" s="1241"/>
      <c r="N166" s="1242"/>
      <c r="O166" s="1251"/>
    </row>
    <row r="167" spans="2:15">
      <c r="F167" s="1164" t="s">
        <v>376</v>
      </c>
      <c r="G167" s="1165"/>
      <c r="H167" s="1165"/>
      <c r="I167" s="1165"/>
      <c r="J167" s="1165"/>
      <c r="K167" s="1165"/>
      <c r="L167" s="1165"/>
      <c r="M167" s="1165"/>
      <c r="N167" s="1165"/>
      <c r="O167" s="1212"/>
    </row>
    <row r="168" spans="2:15">
      <c r="F168" s="1166" t="s">
        <v>2391</v>
      </c>
      <c r="G168" s="1167"/>
      <c r="H168" s="1166" t="s">
        <v>454</v>
      </c>
      <c r="I168" s="1167"/>
      <c r="J168" s="1167"/>
      <c r="K168" s="1167"/>
      <c r="L168" s="1167"/>
      <c r="M168" s="1167"/>
      <c r="N168" s="1168"/>
      <c r="O168" s="1212"/>
    </row>
    <row r="169" spans="2:15">
      <c r="F169" s="1166" t="s">
        <v>2677</v>
      </c>
      <c r="G169" s="1167"/>
      <c r="H169" s="1166" t="s">
        <v>2678</v>
      </c>
      <c r="I169" s="1167"/>
      <c r="J169" s="1167"/>
      <c r="K169" s="1167"/>
      <c r="L169" s="1167"/>
      <c r="M169" s="1167"/>
      <c r="N169" s="1168"/>
      <c r="O169" s="1212"/>
    </row>
    <row r="170" spans="2:15" ht="41.25" customHeight="1">
      <c r="F170" s="2678" t="s">
        <v>455</v>
      </c>
      <c r="G170" s="2681"/>
      <c r="H170" s="3499" t="s">
        <v>2679</v>
      </c>
      <c r="I170" s="3500"/>
      <c r="J170" s="3496" t="s">
        <v>3064</v>
      </c>
      <c r="K170" s="3497"/>
      <c r="L170" s="3497"/>
      <c r="M170" s="3497"/>
      <c r="N170" s="3498"/>
      <c r="O170" s="1212"/>
    </row>
    <row r="171" spans="2:15" s="2636" customFormat="1" ht="36.75" customHeight="1">
      <c r="D171" s="2452"/>
      <c r="E171" s="136"/>
      <c r="F171" s="2679"/>
      <c r="G171" s="2682"/>
      <c r="H171" s="3496" t="s">
        <v>2682</v>
      </c>
      <c r="I171" s="3498"/>
      <c r="J171" s="3496" t="s">
        <v>2680</v>
      </c>
      <c r="K171" s="3501"/>
      <c r="L171" s="3501"/>
      <c r="M171" s="3501"/>
      <c r="N171" s="3502"/>
      <c r="O171" s="1212"/>
    </row>
    <row r="172" spans="2:15">
      <c r="F172" s="1166" t="s">
        <v>456</v>
      </c>
      <c r="G172" s="1167"/>
      <c r="H172" s="2680" t="s">
        <v>2681</v>
      </c>
      <c r="I172" s="1166"/>
      <c r="J172" s="1167"/>
      <c r="K172" s="1167"/>
      <c r="L172" s="1167"/>
      <c r="M172" s="1167"/>
      <c r="N172" s="1168"/>
      <c r="O172" s="1212"/>
    </row>
    <row r="173" spans="2:15">
      <c r="F173" s="1166" t="s">
        <v>457</v>
      </c>
      <c r="G173" s="1167"/>
      <c r="H173" s="2680" t="s">
        <v>2683</v>
      </c>
      <c r="I173" s="1166"/>
      <c r="J173" s="1167"/>
      <c r="K173" s="1167"/>
      <c r="L173" s="1167"/>
      <c r="M173" s="1167"/>
      <c r="N173" s="1168"/>
      <c r="O173" s="1212"/>
    </row>
    <row r="174" spans="2:15" ht="30.75" customHeight="1">
      <c r="F174" s="1166" t="s">
        <v>458</v>
      </c>
      <c r="G174" s="2677"/>
      <c r="H174" s="3496" t="s">
        <v>2684</v>
      </c>
      <c r="I174" s="3497"/>
      <c r="J174" s="3497"/>
      <c r="K174" s="3497"/>
      <c r="L174" s="3497"/>
      <c r="M174" s="3497"/>
      <c r="N174" s="3498"/>
      <c r="O174" s="1212"/>
    </row>
    <row r="175" spans="2:15" ht="15.75">
      <c r="D175" s="954"/>
      <c r="E175" s="550"/>
      <c r="F175" s="1165"/>
      <c r="G175" s="1044"/>
      <c r="H175" s="1044"/>
      <c r="I175" s="1044"/>
      <c r="J175" s="1044"/>
      <c r="K175" s="1089"/>
      <c r="L175" s="1089"/>
      <c r="M175" s="1010"/>
      <c r="N175" s="1010"/>
      <c r="O175" s="1010"/>
    </row>
    <row r="176" spans="2:15" ht="15.75">
      <c r="B176" s="1163" t="s">
        <v>622</v>
      </c>
      <c r="D176" s="954"/>
      <c r="E176" s="550"/>
      <c r="F176" s="1133" t="s">
        <v>459</v>
      </c>
      <c r="G176" s="1045"/>
      <c r="H176" s="1094"/>
      <c r="I176" s="1074"/>
      <c r="J176" s="1048" t="e">
        <f>IF(OR(F178=0,J177=0),$R$3,"")</f>
        <v>#DIV/0!</v>
      </c>
      <c r="K176" s="1212"/>
      <c r="L176" s="1212"/>
      <c r="M176" s="1212"/>
      <c r="N176" s="1010"/>
      <c r="O176" s="1010"/>
    </row>
    <row r="177" spans="2:15" ht="16.5" thickBot="1">
      <c r="D177" s="954"/>
      <c r="E177" s="550"/>
      <c r="F177" s="1114"/>
      <c r="G177" s="972"/>
      <c r="H177" s="973"/>
      <c r="I177" s="974" t="s">
        <v>1125</v>
      </c>
      <c r="J177" s="975" t="e">
        <f>重み!M74</f>
        <v>#DIV/0!</v>
      </c>
      <c r="K177" s="1115"/>
      <c r="L177" s="974" t="s">
        <v>1086</v>
      </c>
      <c r="M177" s="1213">
        <f>メイン!$J$66</f>
        <v>0</v>
      </c>
      <c r="N177" s="1214"/>
      <c r="O177" s="1215"/>
    </row>
    <row r="178" spans="2:15" ht="16.5" thickBot="1">
      <c r="D178" s="1470"/>
      <c r="E178" s="1192"/>
      <c r="F178" s="1049" t="e">
        <f>IF(J177=0,0,F186)</f>
        <v>#DIV/0!</v>
      </c>
      <c r="G178" s="1095" t="s">
        <v>740</v>
      </c>
      <c r="H178" s="983"/>
      <c r="I178" s="983"/>
      <c r="J178" s="984"/>
      <c r="K178" s="983"/>
      <c r="L178" s="983"/>
      <c r="M178" s="983"/>
      <c r="N178" s="1217" t="s">
        <v>1087</v>
      </c>
      <c r="O178" s="1100"/>
    </row>
    <row r="179" spans="2:15" ht="15.75" customHeight="1">
      <c r="D179" s="954"/>
      <c r="E179" s="964"/>
      <c r="F179" s="985" t="e">
        <f>IF(F178=$S$15,$T$10,IF(ROUNDDOWN(F178,0)=$S$10,$U$10,$T$10))</f>
        <v>#DIV/0!</v>
      </c>
      <c r="G179" s="1218" t="s">
        <v>2628</v>
      </c>
      <c r="H179" s="1219"/>
      <c r="I179" s="1219"/>
      <c r="J179" s="1219"/>
      <c r="K179" s="1219"/>
      <c r="L179" s="1219"/>
      <c r="M179" s="1219"/>
      <c r="N179" s="3553" t="s">
        <v>3031</v>
      </c>
      <c r="O179" s="3536"/>
    </row>
    <row r="180" spans="2:15" ht="15.75">
      <c r="D180" s="954"/>
      <c r="E180" s="964"/>
      <c r="F180" s="990" t="e">
        <f>IF(F178=$S$15,$T$11,IF(ROUNDDOWN(F178,0)=$S$11,$U$11,$T$11))</f>
        <v>#DIV/0!</v>
      </c>
      <c r="G180" s="2649" t="s">
        <v>3364</v>
      </c>
      <c r="H180" s="2650"/>
      <c r="I180" s="2650"/>
      <c r="J180" s="2650"/>
      <c r="K180" s="2650"/>
      <c r="L180" s="2650"/>
      <c r="M180" s="2650"/>
      <c r="N180" s="3554"/>
      <c r="O180" s="3536"/>
    </row>
    <row r="181" spans="2:15" ht="15.75">
      <c r="D181" s="954"/>
      <c r="E181" s="964"/>
      <c r="F181" s="990" t="e">
        <f>IF(F178=$S$15,$T$12,IF(ROUNDDOWN(F178,0)=$S$12,$U$12,$T$12))</f>
        <v>#DIV/0!</v>
      </c>
      <c r="G181" s="2649" t="s">
        <v>3365</v>
      </c>
      <c r="H181" s="2650"/>
      <c r="I181" s="2650"/>
      <c r="J181" s="2650"/>
      <c r="K181" s="2650"/>
      <c r="L181" s="2650"/>
      <c r="M181" s="2650"/>
      <c r="N181" s="3554"/>
      <c r="O181" s="3536"/>
    </row>
    <row r="182" spans="2:15" ht="15.75">
      <c r="D182" s="954"/>
      <c r="E182" s="964"/>
      <c r="F182" s="990" t="e">
        <f>IF(F178=$S$15,$T$13,IF(ROUNDDOWN(F178,0)=$S$13,$U$13,$T$13))</f>
        <v>#DIV/0!</v>
      </c>
      <c r="G182" s="1221" t="s">
        <v>3366</v>
      </c>
      <c r="H182" s="2650"/>
      <c r="I182" s="2650"/>
      <c r="J182" s="2650"/>
      <c r="K182" s="2650"/>
      <c r="L182" s="2650"/>
      <c r="M182" s="2650"/>
      <c r="N182" s="3554"/>
      <c r="O182" s="3536"/>
    </row>
    <row r="183" spans="2:15" ht="15.75">
      <c r="D183" s="954"/>
      <c r="E183" s="964"/>
      <c r="F183" s="1001" t="e">
        <f>IF(F178=$S$15,$T$14,IF(ROUNDDOWN(F178,0)=$S$14,$U$14,$T$14))</f>
        <v>#DIV/0!</v>
      </c>
      <c r="G183" s="1224" t="s">
        <v>3367</v>
      </c>
      <c r="H183" s="1225"/>
      <c r="I183" s="1225"/>
      <c r="J183" s="1225"/>
      <c r="K183" s="1225"/>
      <c r="L183" s="1225"/>
      <c r="M183" s="1225"/>
      <c r="N183" s="3555"/>
      <c r="O183" s="3538"/>
    </row>
    <row r="184" spans="2:15" ht="16.5" thickBot="1">
      <c r="D184" s="954"/>
      <c r="E184" s="964"/>
      <c r="F184" s="1205" t="s">
        <v>3282</v>
      </c>
      <c r="G184" s="1264"/>
      <c r="H184" s="1264"/>
      <c r="I184" s="1165"/>
      <c r="J184" s="1264"/>
      <c r="K184" s="1264"/>
      <c r="L184" s="1264"/>
      <c r="M184" s="1264"/>
      <c r="N184" s="1264"/>
      <c r="O184" s="1264"/>
    </row>
    <row r="185" spans="2:15" ht="16.5" thickBot="1">
      <c r="D185" s="954"/>
      <c r="E185" s="964"/>
      <c r="F185" s="978">
        <v>3</v>
      </c>
      <c r="G185" s="1265" t="s">
        <v>2237</v>
      </c>
      <c r="H185" s="1207"/>
      <c r="I185" s="1010"/>
      <c r="J185" s="1266"/>
      <c r="K185" s="1267"/>
      <c r="L185" s="1266"/>
      <c r="M185" s="1266"/>
      <c r="N185" s="1208"/>
      <c r="O185" s="1267"/>
    </row>
    <row r="186" spans="2:15" ht="16.5" thickBot="1">
      <c r="B186" s="1">
        <v>1</v>
      </c>
      <c r="C186" s="1">
        <v>1</v>
      </c>
      <c r="D186" s="954"/>
      <c r="E186" s="964"/>
      <c r="F186" s="1209">
        <f>IF(H185=$T$4,F185,IF(SUM(F187,F190,F193)&lt;0,2,ROUND((IF(G196=0,3,IF(G196&lt;=2,4,5))),0)))</f>
        <v>3</v>
      </c>
      <c r="G186" s="1210" t="s">
        <v>1419</v>
      </c>
      <c r="H186" s="1210"/>
      <c r="I186" s="583" t="s">
        <v>289</v>
      </c>
      <c r="J186" s="1210"/>
      <c r="K186" s="1210"/>
      <c r="L186" s="583" t="s">
        <v>2685</v>
      </c>
      <c r="M186" s="1210"/>
      <c r="N186" s="1210"/>
      <c r="O186" s="1244" t="s">
        <v>2690</v>
      </c>
    </row>
    <row r="187" spans="2:15" ht="27" customHeight="1">
      <c r="B187" s="1">
        <v>2</v>
      </c>
      <c r="C187" s="1">
        <v>2</v>
      </c>
      <c r="D187" s="954"/>
      <c r="E187" s="964"/>
      <c r="F187" s="1268">
        <v>0</v>
      </c>
      <c r="G187" s="3543" t="s">
        <v>741</v>
      </c>
      <c r="H187" s="3544"/>
      <c r="I187" s="3539" t="s">
        <v>742</v>
      </c>
      <c r="J187" s="3540"/>
      <c r="K187" s="3541"/>
      <c r="L187" s="3539" t="s">
        <v>2686</v>
      </c>
      <c r="M187" s="3540"/>
      <c r="N187" s="3541"/>
      <c r="O187" s="1269" t="s">
        <v>2691</v>
      </c>
    </row>
    <row r="188" spans="2:15" ht="63.75" customHeight="1">
      <c r="B188" s="1">
        <v>3</v>
      </c>
      <c r="C188" s="1">
        <v>3</v>
      </c>
      <c r="D188" s="954"/>
      <c r="E188" s="964"/>
      <c r="F188" s="3526">
        <v>0</v>
      </c>
      <c r="G188" s="3545"/>
      <c r="H188" s="3546"/>
      <c r="I188" s="3528" t="s">
        <v>3065</v>
      </c>
      <c r="J188" s="3529"/>
      <c r="K188" s="3421"/>
      <c r="L188" s="3528" t="s">
        <v>3286</v>
      </c>
      <c r="M188" s="3529"/>
      <c r="N188" s="3421"/>
      <c r="O188" s="1270">
        <v>0</v>
      </c>
    </row>
    <row r="189" spans="2:15" ht="27" customHeight="1">
      <c r="B189" s="1">
        <v>4</v>
      </c>
      <c r="C189" s="1">
        <v>4</v>
      </c>
      <c r="D189" s="954"/>
      <c r="E189" s="964"/>
      <c r="F189" s="3542"/>
      <c r="G189" s="3547"/>
      <c r="H189" s="3548"/>
      <c r="I189" s="3530" t="s">
        <v>3066</v>
      </c>
      <c r="J189" s="3531"/>
      <c r="K189" s="3532"/>
      <c r="L189" s="3530" t="s">
        <v>3067</v>
      </c>
      <c r="M189" s="3531"/>
      <c r="N189" s="3532"/>
      <c r="O189" s="1271">
        <v>1</v>
      </c>
    </row>
    <row r="190" spans="2:15" ht="27" customHeight="1">
      <c r="B190" s="1">
        <v>5</v>
      </c>
      <c r="C190" s="1">
        <v>5</v>
      </c>
      <c r="D190" s="954"/>
      <c r="E190" s="964"/>
      <c r="F190" s="1272">
        <v>0</v>
      </c>
      <c r="G190" s="3543" t="s">
        <v>743</v>
      </c>
      <c r="H190" s="3544"/>
      <c r="I190" s="3539" t="s">
        <v>744</v>
      </c>
      <c r="J190" s="3540"/>
      <c r="K190" s="3541"/>
      <c r="L190" s="3539" t="s">
        <v>2687</v>
      </c>
      <c r="M190" s="3540"/>
      <c r="N190" s="3541"/>
      <c r="O190" s="1269" t="s">
        <v>2691</v>
      </c>
    </row>
    <row r="191" spans="2:15" ht="59.25" customHeight="1">
      <c r="B191" s="1008">
        <v>0</v>
      </c>
      <c r="C191" s="1008">
        <v>0</v>
      </c>
      <c r="D191" s="954"/>
      <c r="E191" s="964"/>
      <c r="F191" s="3526">
        <v>0</v>
      </c>
      <c r="G191" s="3545"/>
      <c r="H191" s="3546"/>
      <c r="I191" s="3528" t="s">
        <v>3068</v>
      </c>
      <c r="J191" s="3529"/>
      <c r="K191" s="3421"/>
      <c r="L191" s="3528" t="s">
        <v>3069</v>
      </c>
      <c r="M191" s="3529"/>
      <c r="N191" s="3421"/>
      <c r="O191" s="1270">
        <v>0</v>
      </c>
    </row>
    <row r="192" spans="2:15" ht="27" customHeight="1">
      <c r="D192" s="954"/>
      <c r="E192" s="964"/>
      <c r="F192" s="3542"/>
      <c r="G192" s="3547"/>
      <c r="H192" s="3548"/>
      <c r="I192" s="3530" t="s">
        <v>3066</v>
      </c>
      <c r="J192" s="3531"/>
      <c r="K192" s="3532"/>
      <c r="L192" s="3530" t="s">
        <v>3070</v>
      </c>
      <c r="M192" s="3531"/>
      <c r="N192" s="3532"/>
      <c r="O192" s="1271">
        <v>1</v>
      </c>
    </row>
    <row r="193" spans="2:15" ht="27" customHeight="1">
      <c r="D193" s="954"/>
      <c r="E193" s="964"/>
      <c r="F193" s="1272">
        <v>0</v>
      </c>
      <c r="G193" s="3533" t="s">
        <v>260</v>
      </c>
      <c r="H193" s="3534"/>
      <c r="I193" s="3539" t="s">
        <v>261</v>
      </c>
      <c r="J193" s="3540"/>
      <c r="K193" s="3541"/>
      <c r="L193" s="3539" t="s">
        <v>2688</v>
      </c>
      <c r="M193" s="3540"/>
      <c r="N193" s="3541"/>
      <c r="O193" s="1269" t="s">
        <v>2691</v>
      </c>
    </row>
    <row r="194" spans="2:15" ht="59.25" customHeight="1">
      <c r="D194" s="954"/>
      <c r="E194" s="964"/>
      <c r="F194" s="3526">
        <v>0</v>
      </c>
      <c r="G194" s="3535"/>
      <c r="H194" s="3536"/>
      <c r="I194" s="3528" t="s">
        <v>262</v>
      </c>
      <c r="J194" s="3529"/>
      <c r="K194" s="3421"/>
      <c r="L194" s="3528" t="s">
        <v>3287</v>
      </c>
      <c r="M194" s="3529"/>
      <c r="N194" s="3421"/>
      <c r="O194" s="1248">
        <v>0</v>
      </c>
    </row>
    <row r="195" spans="2:15" ht="27" customHeight="1" thickBot="1">
      <c r="D195" s="954"/>
      <c r="E195" s="964"/>
      <c r="F195" s="3527"/>
      <c r="G195" s="3537"/>
      <c r="H195" s="3538"/>
      <c r="I195" s="3530" t="s">
        <v>3066</v>
      </c>
      <c r="J195" s="3531"/>
      <c r="K195" s="3532"/>
      <c r="L195" s="3530" t="s">
        <v>3071</v>
      </c>
      <c r="M195" s="3531"/>
      <c r="N195" s="3532"/>
      <c r="O195" s="2658">
        <v>1</v>
      </c>
    </row>
    <row r="196" spans="2:15" ht="15.75">
      <c r="D196" s="954"/>
      <c r="E196" s="964"/>
      <c r="F196" s="1239" t="s">
        <v>2689</v>
      </c>
      <c r="G196" s="3519">
        <f>SUM(F187:F195)</f>
        <v>0</v>
      </c>
      <c r="H196" s="3519"/>
      <c r="I196" s="2646"/>
      <c r="J196" s="2655"/>
      <c r="K196" s="2655"/>
      <c r="L196" s="1242"/>
      <c r="M196" s="2655"/>
      <c r="N196" s="1242"/>
      <c r="O196" s="1251"/>
    </row>
    <row r="197" spans="2:15" ht="15.75">
      <c r="D197" s="954"/>
      <c r="E197" s="964"/>
      <c r="F197" s="1165"/>
      <c r="G197" s="1273"/>
      <c r="H197" s="1044"/>
      <c r="I197" s="1227"/>
      <c r="J197" s="1228"/>
      <c r="K197" s="1228"/>
      <c r="L197" s="1044"/>
      <c r="M197" s="1044"/>
      <c r="N197" s="1044"/>
      <c r="O197" s="1044"/>
    </row>
    <row r="198" spans="2:15" ht="15.75">
      <c r="D198" s="1386">
        <v>2</v>
      </c>
      <c r="E198" s="1192" t="s">
        <v>263</v>
      </c>
      <c r="F198" s="1201"/>
      <c r="G198" s="1202"/>
      <c r="H198" s="1202"/>
      <c r="I198" s="1202"/>
      <c r="J198" s="1202"/>
      <c r="K198" s="1201"/>
      <c r="L198" s="1201"/>
      <c r="M198" s="1201"/>
      <c r="N198" s="1201"/>
      <c r="O198" s="1201"/>
    </row>
    <row r="199" spans="2:15" ht="15.75">
      <c r="D199" s="1386">
        <v>2.1</v>
      </c>
      <c r="E199" s="1192" t="s">
        <v>264</v>
      </c>
      <c r="F199" s="1201"/>
      <c r="G199" s="1092"/>
      <c r="H199" s="1202"/>
      <c r="I199" s="1212"/>
      <c r="J199" s="1202"/>
      <c r="K199" s="1201"/>
      <c r="L199" s="1274"/>
      <c r="M199" s="1201"/>
      <c r="N199" s="1201"/>
      <c r="O199" s="1201"/>
    </row>
    <row r="200" spans="2:15" ht="15.75">
      <c r="D200" s="954"/>
      <c r="E200" s="959"/>
      <c r="F200" s="1133" t="s">
        <v>265</v>
      </c>
      <c r="G200" s="1045"/>
      <c r="H200" s="1094"/>
      <c r="I200" s="1074"/>
      <c r="J200" s="1048" t="e">
        <f>IF(OR(F202=0,J201=0),$R$3,"")</f>
        <v>#DIV/0!</v>
      </c>
      <c r="K200" s="1133" t="s">
        <v>2429</v>
      </c>
      <c r="L200" s="1045"/>
      <c r="M200" s="1094"/>
      <c r="N200" s="1074"/>
      <c r="O200" s="1048" t="e">
        <f>IF(OR(K202=0,O201=0),$R$3,"")</f>
        <v>#DIV/0!</v>
      </c>
    </row>
    <row r="201" spans="2:15" ht="16.5" thickBot="1">
      <c r="D201" s="954"/>
      <c r="E201" s="959"/>
      <c r="F201" s="971"/>
      <c r="G201" s="972"/>
      <c r="H201" s="973"/>
      <c r="I201" s="974" t="s">
        <v>1125</v>
      </c>
      <c r="J201" s="977" t="e">
        <f>重み!M77</f>
        <v>#DIV/0!</v>
      </c>
      <c r="K201" s="971"/>
      <c r="L201" s="972"/>
      <c r="M201" s="973"/>
      <c r="N201" s="974" t="s">
        <v>1125</v>
      </c>
      <c r="O201" s="977" t="e">
        <f>重み!M78</f>
        <v>#DIV/0!</v>
      </c>
    </row>
    <row r="202" spans="2:15" ht="16.5" thickBot="1">
      <c r="D202" s="954"/>
      <c r="E202" s="959"/>
      <c r="F202" s="978">
        <v>3</v>
      </c>
      <c r="G202" s="2405" t="s">
        <v>23</v>
      </c>
      <c r="H202" s="983"/>
      <c r="I202" s="1095" t="s">
        <v>372</v>
      </c>
      <c r="J202" s="984"/>
      <c r="K202" s="978">
        <v>3</v>
      </c>
      <c r="L202" s="1095" t="s">
        <v>1246</v>
      </c>
      <c r="M202" s="984"/>
      <c r="N202" s="1095"/>
      <c r="O202" s="1100"/>
    </row>
    <row r="203" spans="2:15" ht="16.5" customHeight="1">
      <c r="B203" s="1196" t="s">
        <v>1249</v>
      </c>
      <c r="C203" s="1" t="s">
        <v>1249</v>
      </c>
      <c r="D203" s="954"/>
      <c r="E203" s="959"/>
      <c r="F203" s="985" t="str">
        <f>IF(F202=$S$15,$T$10,IF(ROUNDDOWN(F202,0)=$S$10,$U$10,$T$10))</f>
        <v>　レベル　1</v>
      </c>
      <c r="G203" s="3401" t="s">
        <v>2692</v>
      </c>
      <c r="H203" s="3402"/>
      <c r="I203" s="3401" t="s">
        <v>2696</v>
      </c>
      <c r="J203" s="3402"/>
      <c r="K203" s="985" t="str">
        <f>IF(K202=$S$15,$T$10,IF(ROUNDDOWN(K202,0)=$S$10,$U$10,$T$10))</f>
        <v>　レベル　1</v>
      </c>
      <c r="L203" s="3401" t="s">
        <v>1795</v>
      </c>
      <c r="M203" s="3427"/>
      <c r="N203" s="3427"/>
      <c r="O203" s="3402"/>
    </row>
    <row r="204" spans="2:15" ht="30.75" customHeight="1">
      <c r="B204" s="1196">
        <v>2</v>
      </c>
      <c r="C204" s="1" t="s">
        <v>1249</v>
      </c>
      <c r="D204" s="954"/>
      <c r="E204" s="959"/>
      <c r="F204" s="990" t="str">
        <f>IF(F202=$S$15,$T$11,IF(ROUNDDOWN(F202,0)=$S$11,$U$11,$T$11))</f>
        <v>　レベル　2</v>
      </c>
      <c r="G204" s="3397" t="s">
        <v>797</v>
      </c>
      <c r="H204" s="3404"/>
      <c r="I204" s="3397" t="s">
        <v>2693</v>
      </c>
      <c r="J204" s="3404"/>
      <c r="K204" s="990" t="str">
        <f>IF(K202=$S$15,$T$11,IF(ROUNDDOWN(K202,0)=$S$11,$U$11,$T$11))</f>
        <v>　レベル　2</v>
      </c>
      <c r="L204" s="3397" t="s">
        <v>1795</v>
      </c>
      <c r="M204" s="3422"/>
      <c r="N204" s="3422"/>
      <c r="O204" s="3404"/>
    </row>
    <row r="205" spans="2:15" ht="24.75" customHeight="1">
      <c r="B205" s="1">
        <v>3</v>
      </c>
      <c r="C205" s="1">
        <v>3</v>
      </c>
      <c r="D205" s="954"/>
      <c r="E205" s="959"/>
      <c r="F205" s="990" t="str">
        <f>IF(F202=$S$15,$T$12,IF(ROUNDDOWN(F202,0)=$S$12,$U$12,$T$12))</f>
        <v>■レベル　3</v>
      </c>
      <c r="G205" s="3397" t="s">
        <v>267</v>
      </c>
      <c r="H205" s="3404"/>
      <c r="I205" s="3397" t="s">
        <v>2694</v>
      </c>
      <c r="J205" s="3404"/>
      <c r="K205" s="990" t="str">
        <f>IF(K202=$S$15,$T$12,IF(ROUNDDOWN(K202,0)=$S$12,$U$12,$T$12))</f>
        <v>■レベル　3</v>
      </c>
      <c r="L205" s="3397" t="s">
        <v>268</v>
      </c>
      <c r="M205" s="3422"/>
      <c r="N205" s="3422"/>
      <c r="O205" s="3404"/>
    </row>
    <row r="206" spans="2:15" ht="26.25" customHeight="1">
      <c r="B206" s="1">
        <v>4</v>
      </c>
      <c r="C206" s="1">
        <v>4</v>
      </c>
      <c r="D206" s="954"/>
      <c r="E206" s="959"/>
      <c r="F206" s="990" t="str">
        <f>IF(F202=$S$15,$T$13,IF(ROUNDDOWN(F202,0)=$S$13,$U$13,$T$13))</f>
        <v>　レベル　4</v>
      </c>
      <c r="G206" s="3397" t="s">
        <v>269</v>
      </c>
      <c r="H206" s="3404"/>
      <c r="I206" s="3397" t="s">
        <v>797</v>
      </c>
      <c r="J206" s="3404"/>
      <c r="K206" s="990" t="str">
        <f>IF(K202=$S$15,$T$13,IF(ROUNDDOWN(K202,0)=$S$13,$U$13,$T$13))</f>
        <v>　レベル　4</v>
      </c>
      <c r="L206" s="3397" t="s">
        <v>3072</v>
      </c>
      <c r="M206" s="3422"/>
      <c r="N206" s="3422"/>
      <c r="O206" s="3404"/>
    </row>
    <row r="207" spans="2:15" ht="43.5" customHeight="1">
      <c r="B207" s="1">
        <v>5</v>
      </c>
      <c r="C207" s="1">
        <v>5</v>
      </c>
      <c r="D207" s="954"/>
      <c r="E207" s="959"/>
      <c r="F207" s="1001" t="str">
        <f>IF(F202=$S$15,$T$14,IF(ROUNDDOWN(F202,0)=$S$14,$U$14,$T$14))</f>
        <v>　レベル　5</v>
      </c>
      <c r="G207" s="3394" t="s">
        <v>270</v>
      </c>
      <c r="H207" s="3413"/>
      <c r="I207" s="3394" t="s">
        <v>2695</v>
      </c>
      <c r="J207" s="3413"/>
      <c r="K207" s="1001" t="str">
        <f>IF(K202=$S$15,$T$14,IF(ROUNDDOWN(K202,0)=$S$14,$U$14,$T$14))</f>
        <v>　レベル　5</v>
      </c>
      <c r="L207" s="3394" t="s">
        <v>798</v>
      </c>
      <c r="M207" s="3423"/>
      <c r="N207" s="3423"/>
      <c r="O207" s="3413"/>
    </row>
    <row r="208" spans="2:15" ht="15.75">
      <c r="B208" s="1008">
        <v>0</v>
      </c>
      <c r="C208" s="1008">
        <v>0</v>
      </c>
      <c r="D208" s="954"/>
      <c r="E208" s="550"/>
      <c r="F208" s="1165"/>
      <c r="G208" s="1044"/>
      <c r="H208" s="1044"/>
      <c r="I208" s="1044"/>
      <c r="J208" s="1044"/>
      <c r="K208" s="1165"/>
      <c r="L208" s="1165"/>
      <c r="M208" s="1165"/>
      <c r="N208" s="1165"/>
      <c r="O208" s="1165"/>
    </row>
    <row r="209" spans="2:15" ht="15.75">
      <c r="D209" s="1275">
        <v>2.2000000000000002</v>
      </c>
      <c r="E209" s="1091" t="s">
        <v>1837</v>
      </c>
      <c r="F209" s="1276"/>
      <c r="G209" s="1276"/>
      <c r="H209" s="1092"/>
      <c r="I209" s="1202"/>
      <c r="J209" s="1202"/>
      <c r="K209" s="1201"/>
      <c r="L209" s="1274"/>
      <c r="M209" s="1201"/>
      <c r="N209" s="1201"/>
      <c r="O209" s="1201"/>
    </row>
    <row r="210" spans="2:15" ht="15.75">
      <c r="D210" s="1275"/>
      <c r="E210" s="1091"/>
      <c r="F210" s="1133" t="s">
        <v>431</v>
      </c>
      <c r="G210" s="1045"/>
      <c r="H210" s="1094"/>
      <c r="I210" s="1074"/>
      <c r="J210" s="1048" t="e">
        <f>IF(OR(F212=0,J211=0),$R$3,"")</f>
        <v>#DIV/0!</v>
      </c>
      <c r="K210" s="1133" t="s">
        <v>951</v>
      </c>
      <c r="L210" s="1045"/>
      <c r="M210" s="1094"/>
      <c r="N210" s="1074"/>
      <c r="O210" s="1048" t="e">
        <f>IF(OR(K212=0,O211=0),$R$3,"")</f>
        <v>#DIV/0!</v>
      </c>
    </row>
    <row r="211" spans="2:15" ht="16.5" thickBot="1">
      <c r="D211" s="954"/>
      <c r="E211" s="959"/>
      <c r="F211" s="971"/>
      <c r="G211" s="972"/>
      <c r="H211" s="973"/>
      <c r="I211" s="974" t="s">
        <v>1125</v>
      </c>
      <c r="J211" s="977" t="e">
        <f>重み!M80</f>
        <v>#DIV/0!</v>
      </c>
      <c r="K211" s="971"/>
      <c r="L211" s="972"/>
      <c r="M211" s="973"/>
      <c r="N211" s="974" t="s">
        <v>1125</v>
      </c>
      <c r="O211" s="977" t="e">
        <f>重み!M81</f>
        <v>#DIV/0!</v>
      </c>
    </row>
    <row r="212" spans="2:15" ht="16.5" thickBot="1">
      <c r="D212" s="954"/>
      <c r="E212" s="959"/>
      <c r="F212" s="978">
        <v>3</v>
      </c>
      <c r="G212" s="1095" t="s">
        <v>27</v>
      </c>
      <c r="H212" s="983"/>
      <c r="I212" s="983"/>
      <c r="J212" s="984"/>
      <c r="K212" s="978">
        <v>3</v>
      </c>
      <c r="L212" s="1095" t="s">
        <v>1246</v>
      </c>
      <c r="M212" s="984"/>
      <c r="N212" s="1095"/>
      <c r="O212" s="1100"/>
    </row>
    <row r="213" spans="2:15" ht="15.75">
      <c r="B213" s="1" t="s">
        <v>1249</v>
      </c>
      <c r="C213" s="1">
        <v>1</v>
      </c>
      <c r="D213" s="954"/>
      <c r="E213" s="959"/>
      <c r="F213" s="985" t="str">
        <f>IF(F212=$S$15,$T$10,IF(ROUNDDOWN(F212,0)=$S$10,$U$10,$T$10))</f>
        <v>　レベル　1</v>
      </c>
      <c r="G213" s="987" t="s">
        <v>1795</v>
      </c>
      <c r="H213" s="1277"/>
      <c r="I213" s="1277"/>
      <c r="J213" s="989"/>
      <c r="K213" s="985" t="str">
        <f>IF(K212=$S$15,$T$10,IF(ROUNDDOWN(K212,0)=$S$10,$U$10,$T$10))</f>
        <v>　レベル　1</v>
      </c>
      <c r="L213" s="987" t="s">
        <v>432</v>
      </c>
      <c r="M213" s="1277"/>
      <c r="N213" s="1277"/>
      <c r="O213" s="989"/>
    </row>
    <row r="214" spans="2:15" ht="15.75">
      <c r="B214" s="1" t="s">
        <v>1249</v>
      </c>
      <c r="C214" s="1">
        <v>2</v>
      </c>
      <c r="D214" s="954"/>
      <c r="E214" s="959"/>
      <c r="F214" s="990" t="str">
        <f>IF(F212=$S$15,$T$11,IF(ROUNDDOWN(F212,0)=$S$11,$U$11,$T$11))</f>
        <v>　レベル　2</v>
      </c>
      <c r="G214" s="994" t="s">
        <v>1795</v>
      </c>
      <c r="H214" s="1135"/>
      <c r="I214" s="1135"/>
      <c r="J214" s="996"/>
      <c r="K214" s="990" t="str">
        <f>IF(K212=$S$15,$T$11,IF(ROUNDDOWN(K212,0)=$S$11,$U$11,$T$11))</f>
        <v>　レベル　2</v>
      </c>
      <c r="L214" s="994" t="s">
        <v>433</v>
      </c>
      <c r="M214" s="1135"/>
      <c r="N214" s="1135"/>
      <c r="O214" s="996"/>
    </row>
    <row r="215" spans="2:15" ht="42" customHeight="1">
      <c r="B215" s="1">
        <v>3</v>
      </c>
      <c r="C215" s="1">
        <v>3</v>
      </c>
      <c r="D215" s="954"/>
      <c r="E215" s="959"/>
      <c r="F215" s="990" t="str">
        <f>IF(F212=$S$15,$T$12,IF(ROUNDDOWN(F212,0)=$S$12,$U$12,$T$12))</f>
        <v>■レベル　3</v>
      </c>
      <c r="G215" s="3397" t="s">
        <v>3073</v>
      </c>
      <c r="H215" s="3398"/>
      <c r="I215" s="3398"/>
      <c r="J215" s="3399"/>
      <c r="K215" s="990" t="str">
        <f>IF(K212=$S$15,$T$12,IF(ROUNDDOWN(K212,0)=$S$12,$U$12,$T$12))</f>
        <v>■レベル　3</v>
      </c>
      <c r="L215" s="994" t="s">
        <v>434</v>
      </c>
      <c r="M215" s="1135"/>
      <c r="N215" s="1135"/>
      <c r="O215" s="996"/>
    </row>
    <row r="216" spans="2:15" ht="42" customHeight="1">
      <c r="B216" s="1">
        <v>4</v>
      </c>
      <c r="C216" s="1">
        <v>4</v>
      </c>
      <c r="D216" s="954"/>
      <c r="E216" s="959"/>
      <c r="F216" s="990" t="str">
        <f>IF(F212=$S$15,$T$13,IF(ROUNDDOWN(F212,0)=$S$13,$U$13,$T$13))</f>
        <v>　レベル　4</v>
      </c>
      <c r="G216" s="3397" t="s">
        <v>3074</v>
      </c>
      <c r="H216" s="3422"/>
      <c r="I216" s="3422"/>
      <c r="J216" s="3404"/>
      <c r="K216" s="990" t="str">
        <f>IF(K212=$S$15,$T$13,IF(ROUNDDOWN(K212,0)=$S$13,$U$13,$T$13))</f>
        <v>　レベル　4</v>
      </c>
      <c r="L216" s="994" t="s">
        <v>2416</v>
      </c>
      <c r="M216" s="1135"/>
      <c r="N216" s="1135"/>
      <c r="O216" s="996"/>
    </row>
    <row r="217" spans="2:15" ht="42" customHeight="1">
      <c r="B217" s="1">
        <v>5</v>
      </c>
      <c r="C217" s="1">
        <v>5</v>
      </c>
      <c r="D217" s="954"/>
      <c r="E217" s="959"/>
      <c r="F217" s="1001" t="str">
        <f>IF(F212=$S$15,$T$14,IF(ROUNDDOWN(F212,0)=$S$14,$U$14,$T$14))</f>
        <v>　レベル　5</v>
      </c>
      <c r="G217" s="3394" t="s">
        <v>3075</v>
      </c>
      <c r="H217" s="3423"/>
      <c r="I217" s="3423"/>
      <c r="J217" s="3413"/>
      <c r="K217" s="1001" t="str">
        <f>IF(K212=$S$15,$T$14,IF(ROUNDDOWN(K212,0)=$S$14,$U$14,$T$14))</f>
        <v>　レベル　5</v>
      </c>
      <c r="L217" s="1005" t="s">
        <v>2417</v>
      </c>
      <c r="M217" s="1128"/>
      <c r="N217" s="1128"/>
      <c r="O217" s="1007"/>
    </row>
    <row r="218" spans="2:15" ht="15.75">
      <c r="B218" s="1008">
        <v>0</v>
      </c>
      <c r="C218" s="1008">
        <v>0</v>
      </c>
      <c r="D218" s="954"/>
      <c r="E218" s="959"/>
      <c r="F218" s="1165"/>
      <c r="G218" s="1044"/>
      <c r="H218" s="1044"/>
      <c r="I218" s="1044"/>
      <c r="J218" s="1044"/>
      <c r="K218" s="1165"/>
      <c r="L218" s="1165"/>
      <c r="M218" s="1165"/>
      <c r="N218" s="1165"/>
      <c r="O218" s="1278"/>
    </row>
    <row r="219" spans="2:15" ht="15.75">
      <c r="D219" s="954"/>
      <c r="E219" s="959"/>
      <c r="F219" s="1133" t="s">
        <v>952</v>
      </c>
      <c r="G219" s="1045"/>
      <c r="H219" s="1094"/>
      <c r="I219" s="1074"/>
      <c r="J219" s="1048" t="e">
        <f>IF(OR(F221=0,J220=0),$R$3,"")</f>
        <v>#DIV/0!</v>
      </c>
      <c r="K219" s="1133" t="s">
        <v>2418</v>
      </c>
      <c r="L219" s="1045"/>
      <c r="M219" s="1094"/>
      <c r="N219" s="1074"/>
      <c r="O219" s="1048" t="e">
        <f>IF(OR(K221=0,O220=0),$R$3,"")</f>
        <v>#DIV/0!</v>
      </c>
    </row>
    <row r="220" spans="2:15" ht="15.75" customHeight="1" thickBot="1">
      <c r="D220" s="954"/>
      <c r="E220" s="1279"/>
      <c r="F220" s="971"/>
      <c r="G220" s="972"/>
      <c r="H220" s="973"/>
      <c r="I220" s="974" t="s">
        <v>1125</v>
      </c>
      <c r="J220" s="977" t="e">
        <f>重み!M82</f>
        <v>#DIV/0!</v>
      </c>
      <c r="K220" s="971"/>
      <c r="L220" s="972"/>
      <c r="M220" s="973"/>
      <c r="N220" s="974" t="s">
        <v>1125</v>
      </c>
      <c r="O220" s="977" t="e">
        <f>重み!M83</f>
        <v>#DIV/0!</v>
      </c>
    </row>
    <row r="221" spans="2:15" ht="15.75" customHeight="1" thickBot="1">
      <c r="D221" s="954"/>
      <c r="E221" s="1279"/>
      <c r="F221" s="2145">
        <v>0</v>
      </c>
      <c r="G221" s="1095" t="s">
        <v>914</v>
      </c>
      <c r="H221" s="984"/>
      <c r="I221" s="983" t="s">
        <v>953</v>
      </c>
      <c r="J221" s="984"/>
      <c r="K221" s="978">
        <v>3</v>
      </c>
      <c r="L221" s="1095" t="s">
        <v>1246</v>
      </c>
      <c r="M221" s="984"/>
      <c r="N221" s="1095"/>
      <c r="O221" s="1100"/>
    </row>
    <row r="222" spans="2:15" ht="15.75" customHeight="1">
      <c r="B222" s="1">
        <v>1</v>
      </c>
      <c r="C222" s="1" t="s">
        <v>1249</v>
      </c>
      <c r="D222" s="954"/>
      <c r="E222" s="1204"/>
      <c r="F222" s="985" t="str">
        <f>IF(F221=$S$15,$T$10,IF(ROUNDDOWN(F221,0)=$S$10,$U$10,$T$10))</f>
        <v>　レベル　1</v>
      </c>
      <c r="G222" s="1472" t="s">
        <v>954</v>
      </c>
      <c r="H222" s="2716"/>
      <c r="I222" s="1472" t="s">
        <v>432</v>
      </c>
      <c r="J222" s="2716"/>
      <c r="K222" s="985" t="str">
        <f>IF(K221=$S$15,$T$10,IF(ROUNDDOWN(K221,0)=$S$10,$U$10,$T$10))</f>
        <v>　レベル　1</v>
      </c>
      <c r="L222" s="987" t="s">
        <v>1795</v>
      </c>
      <c r="M222" s="1277"/>
      <c r="N222" s="1277"/>
      <c r="O222" s="989"/>
    </row>
    <row r="223" spans="2:15" ht="15.75">
      <c r="B223" s="1">
        <v>2</v>
      </c>
      <c r="C223" s="1" t="s">
        <v>1249</v>
      </c>
      <c r="D223" s="954"/>
      <c r="E223" s="1204"/>
      <c r="F223" s="990" t="str">
        <f>IF(F221=$S$15,$T$11,IF(ROUNDDOWN(F221,0)=$S$11,$U$11,$T$11))</f>
        <v>　レベル　2</v>
      </c>
      <c r="G223" s="1474" t="s">
        <v>2419</v>
      </c>
      <c r="H223" s="2717"/>
      <c r="I223" s="1474" t="s">
        <v>2420</v>
      </c>
      <c r="J223" s="2717"/>
      <c r="K223" s="990" t="str">
        <f>IF(K221=$S$15,$T$11,IF(ROUNDDOWN(K221,0)=$S$11,$U$11,$T$11))</f>
        <v>　レベル　2</v>
      </c>
      <c r="L223" s="994" t="s">
        <v>1795</v>
      </c>
      <c r="M223" s="1135"/>
      <c r="N223" s="1135"/>
      <c r="O223" s="996"/>
    </row>
    <row r="224" spans="2:15" ht="15.75">
      <c r="B224" s="1">
        <v>3</v>
      </c>
      <c r="C224" s="1">
        <v>3</v>
      </c>
      <c r="D224" s="954"/>
      <c r="E224" s="1204"/>
      <c r="F224" s="990" t="str">
        <f>IF(F221=$S$15,$T$12,IF(ROUNDDOWN(F221,0)=$S$12,$U$12,$T$12))</f>
        <v>　レベル　3</v>
      </c>
      <c r="G224" s="1474" t="s">
        <v>2421</v>
      </c>
      <c r="H224" s="2717"/>
      <c r="I224" s="1474" t="s">
        <v>2422</v>
      </c>
      <c r="J224" s="2717"/>
      <c r="K224" s="990" t="str">
        <f>IF(K221=$S$15,$T$12,IF(ROUNDDOWN(K221,0)=$S$12,$U$12,$T$12))</f>
        <v>■レベル　3</v>
      </c>
      <c r="L224" s="994" t="s">
        <v>2423</v>
      </c>
      <c r="M224" s="1135"/>
      <c r="N224" s="1135"/>
      <c r="O224" s="996"/>
    </row>
    <row r="225" spans="2:15" ht="55.5" customHeight="1">
      <c r="B225" s="1">
        <v>4</v>
      </c>
      <c r="C225" s="1">
        <v>4</v>
      </c>
      <c r="D225" s="954"/>
      <c r="E225" s="1204"/>
      <c r="F225" s="990" t="str">
        <f>IF(F221=$S$15,$T$13,IF(ROUNDDOWN(F221,0)=$S$13,$U$13,$T$13))</f>
        <v>　レベル　4</v>
      </c>
      <c r="G225" s="1474" t="s">
        <v>1268</v>
      </c>
      <c r="H225" s="2717"/>
      <c r="I225" s="1474" t="s">
        <v>955</v>
      </c>
      <c r="J225" s="2717"/>
      <c r="K225" s="990" t="str">
        <f>IF(K221=$S$15,$T$13,IF(ROUNDDOWN(K221,0)=$S$13,$U$13,$T$13))</f>
        <v>　レベル　4</v>
      </c>
      <c r="L225" s="3397" t="s">
        <v>3076</v>
      </c>
      <c r="M225" s="3429"/>
      <c r="N225" s="3429"/>
      <c r="O225" s="3430"/>
    </row>
    <row r="226" spans="2:15" ht="55.5" customHeight="1">
      <c r="B226" s="1">
        <v>5</v>
      </c>
      <c r="C226" s="1">
        <v>5</v>
      </c>
      <c r="D226" s="954"/>
      <c r="E226" s="1204"/>
      <c r="F226" s="1001" t="str">
        <f>IF(F221=$S$15,$T$14,IF(ROUNDDOWN(F221,0)=$S$14,$U$14,$T$14))</f>
        <v>　レベル　5</v>
      </c>
      <c r="G226" s="2718" t="s">
        <v>956</v>
      </c>
      <c r="H226" s="2719"/>
      <c r="I226" s="2718" t="s">
        <v>1269</v>
      </c>
      <c r="J226" s="2719"/>
      <c r="K226" s="1001" t="str">
        <f>IF(K221=$S$15,$T$14,IF(ROUNDDOWN(K221,0)=$S$14,$U$14,$T$14))</f>
        <v>　レベル　5</v>
      </c>
      <c r="L226" s="3394" t="s">
        <v>3077</v>
      </c>
      <c r="M226" s="3425"/>
      <c r="N226" s="3425"/>
      <c r="O226" s="3426"/>
    </row>
    <row r="227" spans="2:15" ht="15.75">
      <c r="B227" s="1008">
        <v>0</v>
      </c>
      <c r="C227" s="1008">
        <v>0</v>
      </c>
      <c r="D227" s="954"/>
      <c r="E227" s="954"/>
      <c r="F227" s="1089"/>
      <c r="G227" s="1089"/>
      <c r="H227" s="1089"/>
      <c r="I227" s="1089"/>
      <c r="J227" s="1089"/>
      <c r="K227" s="1089"/>
      <c r="L227" s="1089"/>
      <c r="M227" s="1089"/>
      <c r="N227" s="1089"/>
      <c r="O227" s="1089"/>
    </row>
    <row r="228" spans="2:15" ht="15.75">
      <c r="D228" s="954"/>
      <c r="E228" s="954"/>
      <c r="F228" s="1133" t="s">
        <v>1890</v>
      </c>
      <c r="G228" s="1045"/>
      <c r="H228" s="1094"/>
      <c r="I228" s="1074"/>
      <c r="J228" s="1048" t="e">
        <f>IF(OR(F230=0,J229=0),$R$3,"")</f>
        <v>#DIV/0!</v>
      </c>
      <c r="K228" s="1133" t="s">
        <v>297</v>
      </c>
      <c r="L228" s="1045"/>
      <c r="M228" s="1094"/>
      <c r="N228" s="1074"/>
      <c r="O228" s="1048" t="e">
        <f>IF(OR(K230=0,O229=0),$R$3,"")</f>
        <v>#DIV/0!</v>
      </c>
    </row>
    <row r="229" spans="2:15" ht="15.75" customHeight="1" thickBot="1">
      <c r="D229" s="954"/>
      <c r="E229" s="1279"/>
      <c r="F229" s="971"/>
      <c r="G229" s="972"/>
      <c r="H229" s="973"/>
      <c r="I229" s="974" t="s">
        <v>1125</v>
      </c>
      <c r="J229" s="977" t="e">
        <f>重み!M84</f>
        <v>#DIV/0!</v>
      </c>
      <c r="K229" s="971"/>
      <c r="L229" s="972"/>
      <c r="M229" s="973"/>
      <c r="N229" s="974" t="s">
        <v>1125</v>
      </c>
      <c r="O229" s="977" t="e">
        <f>重み!M85</f>
        <v>#DIV/0!</v>
      </c>
    </row>
    <row r="230" spans="2:15" ht="15.75" customHeight="1" thickBot="1">
      <c r="D230" s="954"/>
      <c r="E230" s="1279"/>
      <c r="F230" s="978">
        <v>3</v>
      </c>
      <c r="G230" s="1095" t="s">
        <v>1246</v>
      </c>
      <c r="H230" s="984"/>
      <c r="I230" s="983"/>
      <c r="J230" s="984"/>
      <c r="K230" s="978">
        <v>3</v>
      </c>
      <c r="L230" s="1095" t="s">
        <v>1246</v>
      </c>
      <c r="M230" s="984"/>
      <c r="N230" s="1095"/>
      <c r="O230" s="1100"/>
    </row>
    <row r="231" spans="2:15" ht="15.75" customHeight="1">
      <c r="B231" s="1196" t="s">
        <v>1249</v>
      </c>
      <c r="C231" s="1">
        <v>1</v>
      </c>
      <c r="D231" s="954"/>
      <c r="E231" s="1204"/>
      <c r="F231" s="985" t="str">
        <f>IF(F230=$S$15,$T$10,IF(ROUNDDOWN(F230,0)=$S$10,$U$10,$T$10))</f>
        <v>　レベル　1</v>
      </c>
      <c r="G231" s="994" t="s">
        <v>1795</v>
      </c>
      <c r="H231" s="1277"/>
      <c r="I231" s="1277"/>
      <c r="J231" s="989"/>
      <c r="K231" s="985" t="str">
        <f>IF(K230=$S$15,$T$10,IF(ROUNDDOWN(K230,0)=$S$10,$U$10,$T$10))</f>
        <v>　レベル　1</v>
      </c>
      <c r="L231" s="987" t="s">
        <v>298</v>
      </c>
      <c r="M231" s="1277"/>
      <c r="N231" s="1277"/>
      <c r="O231" s="989"/>
    </row>
    <row r="232" spans="2:15" ht="15.75">
      <c r="B232" s="1" t="s">
        <v>1249</v>
      </c>
      <c r="C232" s="1">
        <v>2</v>
      </c>
      <c r="D232" s="954"/>
      <c r="E232" s="1204"/>
      <c r="F232" s="990" t="str">
        <f>IF(F230=$S$15,$T$11,IF(ROUNDDOWN(F230,0)=$S$11,$U$11,$T$11))</f>
        <v>　レベル　2</v>
      </c>
      <c r="G232" s="994" t="s">
        <v>1795</v>
      </c>
      <c r="H232" s="1135"/>
      <c r="I232" s="1135"/>
      <c r="J232" s="996"/>
      <c r="K232" s="990" t="str">
        <f>IF(K230=$S$15,$T$11,IF(ROUNDDOWN(K230,0)=$S$11,$U$11,$T$11))</f>
        <v>　レベル　2</v>
      </c>
      <c r="L232" s="994" t="s">
        <v>1891</v>
      </c>
      <c r="M232" s="1135"/>
      <c r="N232" s="1135"/>
      <c r="O232" s="996"/>
    </row>
    <row r="233" spans="2:15" ht="15.75">
      <c r="B233" s="1">
        <v>3</v>
      </c>
      <c r="C233" s="1">
        <v>3</v>
      </c>
      <c r="D233" s="954"/>
      <c r="E233" s="1204"/>
      <c r="F233" s="990" t="str">
        <f>IF(F230=$S$15,$T$12,IF(ROUNDDOWN(F230,0)=$S$12,$U$12,$T$12))</f>
        <v>■レベル　3</v>
      </c>
      <c r="G233" s="994" t="s">
        <v>1892</v>
      </c>
      <c r="H233" s="1135"/>
      <c r="I233" s="1135"/>
      <c r="J233" s="996"/>
      <c r="K233" s="990" t="str">
        <f>IF(K230=$S$15,$T$12,IF(ROUNDDOWN(K230,0)=$S$12,$U$12,$T$12))</f>
        <v>■レベル　3</v>
      </c>
      <c r="L233" s="994" t="s">
        <v>1893</v>
      </c>
      <c r="M233" s="1135"/>
      <c r="N233" s="1135"/>
      <c r="O233" s="996"/>
    </row>
    <row r="234" spans="2:15" ht="15.75">
      <c r="B234" s="1196">
        <v>4</v>
      </c>
      <c r="C234" s="1">
        <v>4</v>
      </c>
      <c r="D234" s="954"/>
      <c r="E234" s="1204"/>
      <c r="F234" s="990" t="str">
        <f>IF(F230=$S$15,$T$13,IF(ROUNDDOWN(F230,0)=$S$13,$U$13,$T$13))</f>
        <v>　レベル　4</v>
      </c>
      <c r="G234" s="994" t="s">
        <v>3078</v>
      </c>
      <c r="H234" s="1135"/>
      <c r="I234" s="1135"/>
      <c r="J234" s="996"/>
      <c r="K234" s="990" t="str">
        <f>IF(K230=$S$15,$T$13,IF(ROUNDDOWN(K230,0)=$S$13,$U$13,$T$13))</f>
        <v>　レベル　4</v>
      </c>
      <c r="L234" s="994" t="s">
        <v>1350</v>
      </c>
      <c r="M234" s="1135"/>
      <c r="N234" s="1135"/>
      <c r="O234" s="996"/>
    </row>
    <row r="235" spans="2:15" ht="16.5" customHeight="1">
      <c r="B235" s="1196">
        <v>5</v>
      </c>
      <c r="C235" s="1">
        <v>5</v>
      </c>
      <c r="D235" s="954"/>
      <c r="E235" s="1204"/>
      <c r="F235" s="1001" t="str">
        <f>IF(F230=$S$15,$T$14,IF(ROUNDDOWN(F230,0)=$S$14,$U$14,$T$14))</f>
        <v>　レベル　5</v>
      </c>
      <c r="G235" s="1005" t="s">
        <v>3079</v>
      </c>
      <c r="H235" s="1128"/>
      <c r="I235" s="1128"/>
      <c r="J235" s="1007"/>
      <c r="K235" s="1001" t="str">
        <f>IF(K230=$S$15,$T$14,IF(ROUNDDOWN(K230,0)=$S$14,$U$14,$T$14))</f>
        <v>　レベル　5</v>
      </c>
      <c r="L235" s="1005" t="s">
        <v>1296</v>
      </c>
      <c r="M235" s="1128"/>
      <c r="N235" s="1128"/>
      <c r="O235" s="1007"/>
    </row>
    <row r="236" spans="2:15" ht="15.75">
      <c r="B236" s="1008">
        <v>0</v>
      </c>
      <c r="C236" s="1008">
        <v>0</v>
      </c>
      <c r="D236" s="954"/>
      <c r="E236" s="954"/>
      <c r="F236" s="1089"/>
      <c r="G236" s="1089"/>
      <c r="H236" s="1089"/>
      <c r="I236" s="1089"/>
      <c r="J236" s="1089"/>
      <c r="K236" s="1089"/>
      <c r="L236" s="1089"/>
      <c r="M236" s="1089"/>
      <c r="N236" s="1089"/>
      <c r="O236" s="1089"/>
    </row>
    <row r="237" spans="2:15" ht="15.75">
      <c r="D237" s="1386">
        <v>2.2999999999999998</v>
      </c>
      <c r="E237" s="1192" t="s">
        <v>634</v>
      </c>
      <c r="F237" s="1201"/>
      <c r="G237" s="1044"/>
      <c r="H237" s="1044"/>
      <c r="I237" s="1044"/>
      <c r="J237" s="1044"/>
      <c r="K237" s="1165"/>
      <c r="L237" s="1165"/>
      <c r="M237" s="1165"/>
      <c r="N237" s="1165"/>
      <c r="O237" s="1278"/>
    </row>
    <row r="238" spans="2:15" ht="15.75">
      <c r="B238" s="1163" t="s">
        <v>1297</v>
      </c>
      <c r="D238" s="1386"/>
      <c r="E238" s="1192"/>
      <c r="F238" s="1133" t="s">
        <v>299</v>
      </c>
      <c r="G238" s="1045"/>
      <c r="H238" s="1094"/>
      <c r="I238" s="1074"/>
      <c r="J238" s="1048" t="e">
        <f>IF(OR(F240=0,J239=0),$R$3,"")</f>
        <v>#DIV/0!</v>
      </c>
      <c r="K238" s="1133" t="s">
        <v>300</v>
      </c>
      <c r="L238" s="1045"/>
      <c r="M238" s="1094"/>
      <c r="N238" s="1074"/>
      <c r="O238" s="1048" t="e">
        <f>IF(OR(K240=0,O239=0),$R$3,"")</f>
        <v>#DIV/0!</v>
      </c>
    </row>
    <row r="239" spans="2:15" ht="16.5" thickBot="1">
      <c r="D239" s="1386"/>
      <c r="E239" s="1192"/>
      <c r="F239" s="971" t="s">
        <v>2371</v>
      </c>
      <c r="G239" s="972"/>
      <c r="H239" s="973"/>
      <c r="I239" s="974" t="s">
        <v>301</v>
      </c>
      <c r="J239" s="977" t="e">
        <f>重み!M87</f>
        <v>#DIV/0!</v>
      </c>
      <c r="K239" s="971" t="s">
        <v>2371</v>
      </c>
      <c r="L239" s="972"/>
      <c r="M239" s="973"/>
      <c r="N239" s="974" t="s">
        <v>301</v>
      </c>
      <c r="O239" s="977" t="e">
        <f>重み!M88</f>
        <v>#DIV/0!</v>
      </c>
    </row>
    <row r="240" spans="2:15" ht="16.5" thickBot="1">
      <c r="D240" s="1386"/>
      <c r="E240" s="1192"/>
      <c r="F240" s="978">
        <v>3</v>
      </c>
      <c r="G240" s="1095" t="s">
        <v>302</v>
      </c>
      <c r="H240" s="984"/>
      <c r="I240" s="983"/>
      <c r="J240" s="984"/>
      <c r="K240" s="978">
        <v>3</v>
      </c>
      <c r="L240" s="1095" t="s">
        <v>302</v>
      </c>
      <c r="M240" s="984"/>
      <c r="N240" s="1095"/>
      <c r="O240" s="1100"/>
    </row>
    <row r="241" spans="2:15" ht="15.75">
      <c r="B241" s="1">
        <v>1</v>
      </c>
      <c r="C241" s="1">
        <v>1</v>
      </c>
      <c r="D241" s="1386"/>
      <c r="E241" s="1192"/>
      <c r="F241" s="985" t="str">
        <f>IF(F240=$S$15,$T$10,IF(ROUNDDOWN(F240,0)=$S$10,$U$10,$T$10))</f>
        <v>　レベル　1</v>
      </c>
      <c r="G241" s="994" t="s">
        <v>1298</v>
      </c>
      <c r="H241" s="1277"/>
      <c r="I241" s="1277"/>
      <c r="J241" s="989"/>
      <c r="K241" s="985" t="str">
        <f>IF(K240=$S$15,$T$10,IF(ROUNDDOWN(K240,0)=$S$10,$U$10,$T$10))</f>
        <v>　レベル　1</v>
      </c>
      <c r="L241" s="3401" t="s">
        <v>1298</v>
      </c>
      <c r="M241" s="3503"/>
      <c r="N241" s="3503"/>
      <c r="O241" s="3504"/>
    </row>
    <row r="242" spans="2:15" ht="15.75">
      <c r="B242" s="1">
        <v>2</v>
      </c>
      <c r="C242" s="1">
        <v>2</v>
      </c>
      <c r="D242" s="1386"/>
      <c r="E242" s="1192"/>
      <c r="F242" s="990" t="str">
        <f>IF(F240=$S$15,$T$11,IF(ROUNDDOWN(F240,0)=$S$11,$U$11,$T$11))</f>
        <v>　レベル　2</v>
      </c>
      <c r="G242" s="994" t="s">
        <v>1299</v>
      </c>
      <c r="H242" s="1135"/>
      <c r="I242" s="1135"/>
      <c r="J242" s="996"/>
      <c r="K242" s="990" t="str">
        <f>IF(K240=$S$15,$T$11,IF(ROUNDDOWN(K240,0)=$S$11,$U$11,$T$11))</f>
        <v>　レベル　2</v>
      </c>
      <c r="L242" s="3397" t="s">
        <v>1299</v>
      </c>
      <c r="M242" s="3429"/>
      <c r="N242" s="3429"/>
      <c r="O242" s="3430"/>
    </row>
    <row r="243" spans="2:15" ht="15.75">
      <c r="B243" s="1">
        <v>3</v>
      </c>
      <c r="C243" s="1">
        <v>3</v>
      </c>
      <c r="D243" s="1386"/>
      <c r="E243" s="1192"/>
      <c r="F243" s="990" t="str">
        <f>IF(F240=$S$15,$T$12,IF(ROUNDDOWN(F240,0)=$S$12,$U$12,$T$12))</f>
        <v>■レベル　3</v>
      </c>
      <c r="G243" s="994" t="s">
        <v>2697</v>
      </c>
      <c r="H243" s="1135"/>
      <c r="I243" s="1135"/>
      <c r="J243" s="996"/>
      <c r="K243" s="990" t="str">
        <f>IF(K240=$S$15,$T$12,IF(ROUNDDOWN(K240,0)=$S$12,$U$12,$T$12))</f>
        <v>■レベル　3</v>
      </c>
      <c r="L243" s="3397" t="s">
        <v>2698</v>
      </c>
      <c r="M243" s="3429"/>
      <c r="N243" s="3429"/>
      <c r="O243" s="3430"/>
    </row>
    <row r="244" spans="2:15" ht="15.75">
      <c r="B244" s="1" t="s">
        <v>303</v>
      </c>
      <c r="C244" s="1" t="s">
        <v>303</v>
      </c>
      <c r="D244" s="1386"/>
      <c r="E244" s="1192"/>
      <c r="F244" s="990" t="str">
        <f>IF(F240=$S$15,$T$13,IF(ROUNDDOWN(F240,0)=$S$13,$U$13,$T$13))</f>
        <v>　レベル　4</v>
      </c>
      <c r="G244" s="3397" t="s">
        <v>1795</v>
      </c>
      <c r="H244" s="3429"/>
      <c r="I244" s="3429"/>
      <c r="J244" s="3430"/>
      <c r="K244" s="990" t="str">
        <f>IF(K240=$S$15,$T$13,IF(ROUNDDOWN(K240,0)=$S$13,$U$13,$T$13))</f>
        <v>　レベル　4</v>
      </c>
      <c r="L244" s="3397" t="s">
        <v>1795</v>
      </c>
      <c r="M244" s="3429"/>
      <c r="N244" s="3429"/>
      <c r="O244" s="3430"/>
    </row>
    <row r="245" spans="2:15" ht="15.75">
      <c r="B245" s="1">
        <v>5</v>
      </c>
      <c r="C245" s="1">
        <v>5</v>
      </c>
      <c r="D245" s="1386"/>
      <c r="E245" s="1192"/>
      <c r="F245" s="1001" t="str">
        <f>IF(F240=$S$15,$T$14,IF(ROUNDDOWN(F240,0)=$S$14,$U$14,$T$14))</f>
        <v>　レベル　5</v>
      </c>
      <c r="G245" s="1005" t="s">
        <v>1300</v>
      </c>
      <c r="H245" s="1128"/>
      <c r="I245" s="1128"/>
      <c r="J245" s="1007"/>
      <c r="K245" s="1001" t="str">
        <f>IF(K240=$S$15,$T$14,IF(ROUNDDOWN(K240,0)=$S$14,$U$14,$T$14))</f>
        <v>　レベル　5</v>
      </c>
      <c r="L245" s="3394" t="s">
        <v>1300</v>
      </c>
      <c r="M245" s="3425"/>
      <c r="N245" s="3425"/>
      <c r="O245" s="3426"/>
    </row>
    <row r="246" spans="2:15" ht="15.75">
      <c r="B246" s="1008">
        <v>0</v>
      </c>
      <c r="C246" s="1008">
        <v>0</v>
      </c>
      <c r="D246" s="1386"/>
      <c r="E246" s="1192"/>
      <c r="F246" s="1212"/>
      <c r="G246" s="1212"/>
      <c r="H246" s="1212"/>
      <c r="I246" s="1212"/>
      <c r="J246" s="1212"/>
      <c r="K246" s="1212"/>
      <c r="L246" s="1212"/>
      <c r="M246" s="1212"/>
      <c r="N246" s="1212"/>
      <c r="O246" s="1212"/>
    </row>
    <row r="247" spans="2:15" ht="15.75">
      <c r="B247" s="1163" t="s">
        <v>1297</v>
      </c>
      <c r="D247" s="1386"/>
      <c r="E247" s="1192"/>
      <c r="F247" s="1133" t="s">
        <v>304</v>
      </c>
      <c r="G247" s="1045"/>
      <c r="H247" s="1094"/>
      <c r="I247" s="1074"/>
      <c r="J247" s="1048" t="e">
        <f>IF(OR(F249=0,J248=0),$R$3,"")</f>
        <v>#DIV/0!</v>
      </c>
      <c r="K247" s="1212"/>
      <c r="L247" s="1212"/>
      <c r="M247" s="1212"/>
      <c r="N247" s="1212"/>
      <c r="O247" s="1212"/>
    </row>
    <row r="248" spans="2:15" ht="16.5" thickBot="1">
      <c r="D248" s="1386"/>
      <c r="E248" s="1192"/>
      <c r="F248" s="971" t="s">
        <v>2371</v>
      </c>
      <c r="G248" s="972"/>
      <c r="H248" s="973"/>
      <c r="I248" s="974" t="s">
        <v>301</v>
      </c>
      <c r="J248" s="977" t="e">
        <f>重み!M89</f>
        <v>#DIV/0!</v>
      </c>
      <c r="K248" s="1212"/>
      <c r="L248" s="1212"/>
      <c r="M248" s="1212"/>
      <c r="N248" s="1212"/>
      <c r="O248" s="1212"/>
    </row>
    <row r="249" spans="2:15" ht="16.5" thickBot="1">
      <c r="D249" s="1386"/>
      <c r="E249" s="1192"/>
      <c r="F249" s="978">
        <v>3</v>
      </c>
      <c r="G249" s="1095" t="s">
        <v>302</v>
      </c>
      <c r="H249" s="984"/>
      <c r="I249" s="983"/>
      <c r="J249" s="984"/>
      <c r="K249" s="1212"/>
      <c r="L249" s="1212"/>
      <c r="M249" s="1212"/>
      <c r="N249" s="1212"/>
      <c r="O249" s="1212"/>
    </row>
    <row r="250" spans="2:15" ht="15.75">
      <c r="B250" s="1">
        <v>1</v>
      </c>
      <c r="C250" s="1">
        <v>1</v>
      </c>
      <c r="D250" s="1386"/>
      <c r="E250" s="1192"/>
      <c r="F250" s="985" t="str">
        <f>IF(F249=$S$15,$T$10,IF(ROUNDDOWN(F249,0)=$S$10,$U$10,$T$10))</f>
        <v>　レベル　1</v>
      </c>
      <c r="G250" s="3401" t="s">
        <v>1298</v>
      </c>
      <c r="H250" s="3503"/>
      <c r="I250" s="3503"/>
      <c r="J250" s="3504"/>
      <c r="K250" s="1212"/>
      <c r="L250" s="1212"/>
      <c r="M250" s="1212"/>
      <c r="N250" s="1212"/>
      <c r="O250" s="1212"/>
    </row>
    <row r="251" spans="2:15" ht="15.75">
      <c r="B251" s="1">
        <v>2</v>
      </c>
      <c r="C251" s="1">
        <v>2</v>
      </c>
      <c r="D251" s="1386"/>
      <c r="E251" s="1192"/>
      <c r="F251" s="990" t="str">
        <f>IF(F249=$S$15,$T$11,IF(ROUNDDOWN(F249,0)=$S$11,$U$11,$T$11))</f>
        <v>　レベル　2</v>
      </c>
      <c r="G251" s="3397" t="s">
        <v>1299</v>
      </c>
      <c r="H251" s="3429"/>
      <c r="I251" s="3429"/>
      <c r="J251" s="3430"/>
      <c r="K251" s="1212"/>
      <c r="L251" s="1212"/>
      <c r="M251" s="1212"/>
      <c r="N251" s="1212"/>
      <c r="O251" s="1212"/>
    </row>
    <row r="252" spans="2:15" ht="15.75">
      <c r="B252" s="1">
        <v>3</v>
      </c>
      <c r="C252" s="1">
        <v>3</v>
      </c>
      <c r="D252" s="1386"/>
      <c r="E252" s="1192"/>
      <c r="F252" s="990" t="str">
        <f>IF(F249=$S$15,$T$12,IF(ROUNDDOWN(F249,0)=$S$12,$U$12,$T$12))</f>
        <v>■レベル　3</v>
      </c>
      <c r="G252" s="3397" t="s">
        <v>2698</v>
      </c>
      <c r="H252" s="3429"/>
      <c r="I252" s="3429"/>
      <c r="J252" s="3430"/>
      <c r="K252" s="1212"/>
      <c r="L252" s="1212"/>
      <c r="M252" s="1212"/>
      <c r="N252" s="1212"/>
      <c r="O252" s="1212"/>
    </row>
    <row r="253" spans="2:15" ht="15.75">
      <c r="B253" s="1" t="s">
        <v>303</v>
      </c>
      <c r="C253" s="1">
        <v>4</v>
      </c>
      <c r="D253" s="1386"/>
      <c r="E253" s="1192"/>
      <c r="F253" s="990" t="str">
        <f>IF(F249=$S$15,$T$13,IF(ROUNDDOWN(F249,0)=$S$13,$U$13,$T$13))</f>
        <v>　レベル　4</v>
      </c>
      <c r="G253" s="3397" t="s">
        <v>1795</v>
      </c>
      <c r="H253" s="3429"/>
      <c r="I253" s="3429"/>
      <c r="J253" s="3430"/>
      <c r="K253" s="1212"/>
      <c r="L253" s="1212"/>
      <c r="M253" s="1212"/>
      <c r="N253" s="1212"/>
      <c r="O253" s="1212"/>
    </row>
    <row r="254" spans="2:15" ht="15.75">
      <c r="B254" s="1">
        <v>5</v>
      </c>
      <c r="C254" s="1">
        <v>5</v>
      </c>
      <c r="D254" s="1386"/>
      <c r="E254" s="1192"/>
      <c r="F254" s="1001" t="str">
        <f>IF(F249=$S$15,$T$14,IF(ROUNDDOWN(F249,0)=$S$14,$U$14,$T$14))</f>
        <v>　レベル　5</v>
      </c>
      <c r="G254" s="3394" t="s">
        <v>305</v>
      </c>
      <c r="H254" s="3425"/>
      <c r="I254" s="3425"/>
      <c r="J254" s="3426"/>
      <c r="K254" s="1212"/>
      <c r="L254" s="1212"/>
      <c r="M254" s="1212"/>
      <c r="N254" s="1212"/>
      <c r="O254" s="1212"/>
    </row>
    <row r="255" spans="2:15" ht="15.75">
      <c r="B255" s="1008">
        <v>0</v>
      </c>
      <c r="C255" s="1008">
        <v>0</v>
      </c>
      <c r="D255" s="1386"/>
      <c r="E255" s="1192"/>
      <c r="F255" s="1201"/>
      <c r="G255" s="1044"/>
      <c r="H255" s="1044"/>
      <c r="I255" s="1044"/>
      <c r="J255" s="1044"/>
      <c r="K255" s="1165"/>
      <c r="L255" s="1165"/>
      <c r="M255" s="1165"/>
      <c r="N255" s="1165"/>
      <c r="O255" s="1278"/>
    </row>
    <row r="256" spans="2:15" ht="15.75">
      <c r="D256" s="1386">
        <v>2.4</v>
      </c>
      <c r="E256" s="1192" t="s">
        <v>53</v>
      </c>
      <c r="F256" s="1201"/>
      <c r="G256" s="1202"/>
      <c r="H256" s="1202"/>
      <c r="I256" s="1202"/>
      <c r="J256" s="1202"/>
      <c r="K256" s="1201"/>
      <c r="L256" s="1201"/>
      <c r="M256" s="1201"/>
      <c r="N256" s="1201"/>
      <c r="O256" s="1201"/>
    </row>
    <row r="257" spans="2:15" ht="15.75">
      <c r="D257" s="1386"/>
      <c r="E257" s="1192"/>
      <c r="F257" s="1133" t="s">
        <v>306</v>
      </c>
      <c r="G257" s="1202"/>
      <c r="H257" s="1202"/>
      <c r="I257" s="1202"/>
      <c r="J257" s="1202"/>
      <c r="K257" s="1201"/>
      <c r="L257" s="1201"/>
      <c r="M257" s="1201"/>
      <c r="N257" s="1201"/>
      <c r="O257" s="1201"/>
    </row>
    <row r="258" spans="2:15" ht="16.5" thickBot="1">
      <c r="D258" s="954"/>
      <c r="E258" s="959"/>
      <c r="F258" s="1114"/>
      <c r="G258" s="972"/>
      <c r="H258" s="973"/>
      <c r="I258" s="974" t="s">
        <v>1125</v>
      </c>
      <c r="J258" s="975" t="e">
        <f>重み!M91</f>
        <v>#DIV/0!</v>
      </c>
      <c r="K258" s="1115"/>
      <c r="L258" s="1117"/>
      <c r="M258" s="1010"/>
      <c r="N258" s="1010"/>
      <c r="O258" s="1280"/>
    </row>
    <row r="259" spans="2:15" ht="16.5" thickBot="1">
      <c r="D259" s="954"/>
      <c r="E259" s="959"/>
      <c r="F259" s="1209" t="e">
        <f>IF(K268&lt;&gt;0,ROUND((K269*K268)/K268,1),ROUND((G269*G268+I269*I268)/(G268+I268),1))</f>
        <v>#DIV/0!</v>
      </c>
      <c r="G259" s="1181" t="s">
        <v>307</v>
      </c>
      <c r="H259" s="1281"/>
      <c r="I259" s="1095" t="s">
        <v>308</v>
      </c>
      <c r="J259" s="1282"/>
      <c r="K259" s="3494" t="s">
        <v>309</v>
      </c>
      <c r="L259" s="3514"/>
      <c r="M259" s="1010"/>
      <c r="N259" s="1010"/>
      <c r="O259" s="1010"/>
    </row>
    <row r="260" spans="2:15" ht="15.75">
      <c r="D260" s="954"/>
      <c r="E260" s="959"/>
      <c r="F260" s="985" t="e">
        <f>IF(F259=$S$15,$T$10,IF(ROUNDDOWN(F259,0)=$S$10,$U$10,$T$10))</f>
        <v>#DIV/0!</v>
      </c>
      <c r="G260" s="3401" t="s">
        <v>3288</v>
      </c>
      <c r="H260" s="3402"/>
      <c r="I260" s="3401" t="s">
        <v>3288</v>
      </c>
      <c r="J260" s="3403"/>
      <c r="K260" s="3401" t="s">
        <v>1795</v>
      </c>
      <c r="L260" s="3402"/>
      <c r="M260" s="1074"/>
      <c r="N260" s="1074"/>
      <c r="O260" s="1074"/>
    </row>
    <row r="261" spans="2:15" ht="15.75">
      <c r="D261" s="954"/>
      <c r="E261" s="959"/>
      <c r="F261" s="990" t="e">
        <f>IF(F259=$S$15,$T$11,IF(ROUNDDOWN(F259,0)=$S$11,$U$11,$T$11))</f>
        <v>#DIV/0!</v>
      </c>
      <c r="G261" s="3397" t="s">
        <v>1795</v>
      </c>
      <c r="H261" s="3404"/>
      <c r="I261" s="3397" t="s">
        <v>1795</v>
      </c>
      <c r="J261" s="3404"/>
      <c r="K261" s="3397" t="s">
        <v>1795</v>
      </c>
      <c r="L261" s="3399"/>
      <c r="M261" s="1074"/>
      <c r="N261" s="1074"/>
      <c r="O261" s="1074"/>
    </row>
    <row r="262" spans="2:15" ht="37.5" customHeight="1">
      <c r="D262" s="954"/>
      <c r="E262" s="959"/>
      <c r="F262" s="990" t="e">
        <f>IF(F259=$S$15,$T$12,IF(ROUNDDOWN(F259,0)=$S$12,$U$12,$T$12))</f>
        <v>#DIV/0!</v>
      </c>
      <c r="G262" s="3397" t="s">
        <v>3289</v>
      </c>
      <c r="H262" s="3404"/>
      <c r="I262" s="3397" t="s">
        <v>3289</v>
      </c>
      <c r="J262" s="3404"/>
      <c r="K262" s="3397" t="s">
        <v>3290</v>
      </c>
      <c r="L262" s="3399"/>
      <c r="M262" s="1074"/>
      <c r="N262" s="1074"/>
      <c r="O262" s="1074"/>
    </row>
    <row r="263" spans="2:15" ht="15.75">
      <c r="D263" s="954"/>
      <c r="E263" s="959"/>
      <c r="F263" s="990" t="e">
        <f>IF(F259=$S$15,$T$13,IF(ROUNDDOWN(F259,0)=$S$13,$U$13,$T$13))</f>
        <v>#DIV/0!</v>
      </c>
      <c r="G263" s="3397" t="s">
        <v>3291</v>
      </c>
      <c r="H263" s="3404"/>
      <c r="I263" s="3397" t="s">
        <v>1795</v>
      </c>
      <c r="J263" s="3404"/>
      <c r="K263" s="3397" t="s">
        <v>3293</v>
      </c>
      <c r="L263" s="3399"/>
      <c r="M263" s="1074"/>
      <c r="N263" s="1074"/>
      <c r="O263" s="1074"/>
    </row>
    <row r="264" spans="2:15" ht="15.75">
      <c r="D264" s="954"/>
      <c r="E264" s="959"/>
      <c r="F264" s="1001" t="e">
        <f>IF(F259=$S$15,$T$14,IF(ROUNDDOWN(F259,0)=$S$14,$U$14,$T$14))</f>
        <v>#DIV/0!</v>
      </c>
      <c r="G264" s="3394" t="s">
        <v>3294</v>
      </c>
      <c r="H264" s="3413"/>
      <c r="I264" s="3394" t="s">
        <v>3295</v>
      </c>
      <c r="J264" s="3413"/>
      <c r="K264" s="3394" t="s">
        <v>3296</v>
      </c>
      <c r="L264" s="3400"/>
      <c r="M264" s="1074"/>
      <c r="N264" s="1074"/>
      <c r="O264" s="1074"/>
    </row>
    <row r="265" spans="2:15" ht="16.5" thickBot="1">
      <c r="D265" s="1059"/>
      <c r="E265" s="1283"/>
      <c r="F265" s="1284" t="s">
        <v>3282</v>
      </c>
      <c r="G265" s="1285"/>
      <c r="H265" s="1285"/>
      <c r="I265" s="1285"/>
      <c r="J265" s="1286"/>
      <c r="K265" s="1056"/>
      <c r="L265" s="1056"/>
      <c r="M265" s="1056"/>
      <c r="N265" s="1056"/>
      <c r="O265" s="1056"/>
    </row>
    <row r="266" spans="2:15" ht="16.5" thickBot="1">
      <c r="D266" s="954"/>
      <c r="E266" s="1287"/>
      <c r="F266" s="978">
        <v>3</v>
      </c>
      <c r="G266" s="1063" t="s">
        <v>2237</v>
      </c>
      <c r="H266" s="1064"/>
      <c r="I266" s="1288"/>
      <c r="J266" s="1151"/>
      <c r="K266" s="1010"/>
      <c r="L266" s="1010"/>
      <c r="M266" s="1010"/>
      <c r="N266" s="1010"/>
      <c r="O266" s="1010"/>
    </row>
    <row r="267" spans="2:15" ht="15.75">
      <c r="B267" s="1">
        <v>1</v>
      </c>
      <c r="C267" s="1">
        <v>1</v>
      </c>
      <c r="D267" s="954"/>
      <c r="E267" s="1287"/>
      <c r="F267" s="1289" t="s">
        <v>316</v>
      </c>
      <c r="G267" s="1290" t="s">
        <v>317</v>
      </c>
      <c r="H267" s="1291"/>
      <c r="I267" s="1290" t="s">
        <v>318</v>
      </c>
      <c r="J267" s="1291"/>
      <c r="K267" s="3515" t="s">
        <v>319</v>
      </c>
      <c r="L267" s="3514"/>
      <c r="M267" s="1010"/>
      <c r="N267" s="1010"/>
      <c r="O267" s="1010"/>
    </row>
    <row r="268" spans="2:15" ht="15.75">
      <c r="B268" s="1" t="s">
        <v>1794</v>
      </c>
      <c r="C268" s="1">
        <v>2</v>
      </c>
      <c r="D268" s="954"/>
      <c r="E268" s="550"/>
      <c r="F268" s="1292" t="s">
        <v>320</v>
      </c>
      <c r="G268" s="1293">
        <f>IF(メイン!J66&gt;=2000,メイン!J47+メイン!J57+メイン!J61+メイン!J62+メイン!J60,0)</f>
        <v>0</v>
      </c>
      <c r="H268" s="1294"/>
      <c r="I268" s="1293">
        <f>IF(メイン!J66&gt;=2000,メイン!J49+メイン!J54+メイン!J56+メイン!J64,0)</f>
        <v>0</v>
      </c>
      <c r="J268" s="1294"/>
      <c r="K268" s="1293">
        <f>IF(メイン!J66&lt;2000,メイン!J66,0)</f>
        <v>0</v>
      </c>
      <c r="L268" s="1294"/>
      <c r="M268" s="1010"/>
      <c r="N268" s="1010"/>
      <c r="O268" s="1010"/>
    </row>
    <row r="269" spans="2:15" ht="16.5" thickBot="1">
      <c r="B269" s="1">
        <v>3</v>
      </c>
      <c r="C269" s="1">
        <v>3</v>
      </c>
      <c r="D269" s="954"/>
      <c r="E269" s="550"/>
      <c r="F269" s="1295" t="s">
        <v>321</v>
      </c>
      <c r="G269" s="1296">
        <f>IF(H266=T4,F266,IF(COUNTIF(F270:F273,$S$3)&lt;1,1,IF(COUNTIF(F270:F273,$S$3)=1,3,IF(COUNTIF(F270:F273,$S$3)=2,4,IF(COUNTIF(F270:F273,$S$3)&gt;=3,5)))))</f>
        <v>3</v>
      </c>
      <c r="H269" s="1297"/>
      <c r="I269" s="1296">
        <f>IF(H266=T4,F266,IF(COUNTIF(F270:F273,$S$3)&lt;1,1,IF(COUNTIF(F270:F273,$S$3)=1,3,IF(COUNTIF(F270:F273,$S$3)&gt;=2,5))))</f>
        <v>3</v>
      </c>
      <c r="J269" s="1297"/>
      <c r="K269" s="1296">
        <f>IF(H266=T4,F266,IF(COUNTIF(F270:F273,$S$3)=1,4,IF(COUNTIF(F270:F273,$S$3)&gt;=2,5,3)))</f>
        <v>4</v>
      </c>
      <c r="L269" s="1297"/>
      <c r="M269" s="1010"/>
      <c r="N269" s="1010"/>
      <c r="O269" s="1010"/>
    </row>
    <row r="270" spans="2:15" ht="35.25" customHeight="1">
      <c r="B270" s="1">
        <v>4</v>
      </c>
      <c r="C270" s="1">
        <v>4</v>
      </c>
      <c r="D270" s="954"/>
      <c r="E270" s="1287"/>
      <c r="F270" s="1298" t="s">
        <v>2240</v>
      </c>
      <c r="G270" s="3592" t="s">
        <v>460</v>
      </c>
      <c r="H270" s="3593"/>
      <c r="I270" s="3593"/>
      <c r="J270" s="3593"/>
      <c r="K270" s="3593"/>
      <c r="L270" s="3594"/>
      <c r="M270" s="1010"/>
      <c r="N270" s="1010"/>
      <c r="O270" s="1010"/>
    </row>
    <row r="271" spans="2:15" ht="30.75" customHeight="1">
      <c r="B271" s="1">
        <v>5</v>
      </c>
      <c r="C271" s="1">
        <v>5</v>
      </c>
      <c r="D271" s="954"/>
      <c r="E271" s="550"/>
      <c r="F271" s="1301"/>
      <c r="G271" s="3509" t="s">
        <v>461</v>
      </c>
      <c r="H271" s="3510"/>
      <c r="I271" s="3510"/>
      <c r="J271" s="3510"/>
      <c r="K271" s="3510"/>
      <c r="L271" s="3511"/>
      <c r="M271" s="1010"/>
      <c r="N271" s="1010"/>
      <c r="O271" s="1010"/>
    </row>
    <row r="272" spans="2:15" ht="30.75" customHeight="1">
      <c r="B272" s="1008">
        <v>0</v>
      </c>
      <c r="C272" s="1008">
        <v>0</v>
      </c>
      <c r="D272" s="954"/>
      <c r="E272" s="550"/>
      <c r="F272" s="1301"/>
      <c r="G272" s="3509" t="s">
        <v>462</v>
      </c>
      <c r="H272" s="3510"/>
      <c r="I272" s="3510"/>
      <c r="J272" s="3510"/>
      <c r="K272" s="3510"/>
      <c r="L272" s="3511"/>
      <c r="M272" s="1010"/>
      <c r="N272" s="1010"/>
      <c r="O272" s="1010"/>
    </row>
    <row r="273" spans="2:15" ht="35.25" customHeight="1" thickBot="1">
      <c r="D273" s="954"/>
      <c r="E273" s="550"/>
      <c r="F273" s="1302"/>
      <c r="G273" s="3520" t="s">
        <v>463</v>
      </c>
      <c r="H273" s="3521"/>
      <c r="I273" s="3521"/>
      <c r="J273" s="3521"/>
      <c r="K273" s="3521"/>
      <c r="L273" s="3522"/>
      <c r="M273" s="1280"/>
      <c r="N273" s="1280"/>
      <c r="O273" s="1280"/>
    </row>
    <row r="274" spans="2:15" ht="15.75">
      <c r="D274" s="954"/>
      <c r="E274" s="550"/>
      <c r="F274" s="1303"/>
      <c r="G274" s="1304"/>
      <c r="H274" s="1304"/>
      <c r="I274" s="1304"/>
      <c r="J274" s="1304"/>
      <c r="K274" s="1303"/>
      <c r="L274" s="1304"/>
      <c r="M274" s="1304"/>
      <c r="N274" s="1304"/>
      <c r="O274" s="1304"/>
    </row>
    <row r="275" spans="2:15" ht="15.75">
      <c r="D275" s="954"/>
      <c r="E275" s="550"/>
      <c r="F275" s="1133" t="s">
        <v>464</v>
      </c>
      <c r="G275" s="1202"/>
      <c r="H275" s="1202"/>
      <c r="I275" s="1202"/>
      <c r="J275" s="1202"/>
      <c r="K275" s="1303"/>
      <c r="L275" s="1304"/>
      <c r="M275" s="1304"/>
      <c r="N275" s="1304"/>
      <c r="O275" s="1304"/>
    </row>
    <row r="276" spans="2:15" ht="16.5" thickBot="1">
      <c r="D276" s="954"/>
      <c r="E276" s="550"/>
      <c r="F276" s="1114"/>
      <c r="G276" s="972"/>
      <c r="H276" s="973"/>
      <c r="I276" s="974" t="s">
        <v>1125</v>
      </c>
      <c r="J276" s="977" t="e">
        <f>重み!M92</f>
        <v>#DIV/0!</v>
      </c>
      <c r="K276" s="1303"/>
      <c r="L276" s="1304"/>
      <c r="M276" s="1304"/>
      <c r="N276" s="1304"/>
      <c r="O276" s="1304"/>
    </row>
    <row r="277" spans="2:15" ht="16.5" thickBot="1">
      <c r="D277" s="954"/>
      <c r="E277" s="550"/>
      <c r="F277" s="1209" t="e">
        <f>ROUND((G287*G286+J287*J286)/(G286+J286),1)</f>
        <v>#DIV/0!</v>
      </c>
      <c r="G277" s="1181" t="s">
        <v>465</v>
      </c>
      <c r="H277" s="1281"/>
      <c r="I277" s="1095" t="s">
        <v>466</v>
      </c>
      <c r="J277" s="1282"/>
      <c r="K277" s="1303"/>
      <c r="L277" s="1304"/>
      <c r="M277" s="1304"/>
      <c r="N277" s="1304"/>
      <c r="O277" s="1304"/>
    </row>
    <row r="278" spans="2:15" ht="15.75" customHeight="1">
      <c r="D278" s="954"/>
      <c r="E278" s="550"/>
      <c r="F278" s="985" t="e">
        <f>IF(F277=$S$15,$T$10,IF(ROUNDDOWN(F277,0)=$S$10,$U$10,$T$10))</f>
        <v>#DIV/0!</v>
      </c>
      <c r="G278" s="3401" t="s">
        <v>3288</v>
      </c>
      <c r="H278" s="3402"/>
      <c r="I278" s="3401" t="s">
        <v>3288</v>
      </c>
      <c r="J278" s="3403"/>
      <c r="K278" s="1303"/>
      <c r="L278" s="1304"/>
      <c r="M278" s="1304"/>
      <c r="N278" s="1304"/>
      <c r="O278" s="1304"/>
    </row>
    <row r="279" spans="2:15" ht="15.75" customHeight="1">
      <c r="D279" s="954"/>
      <c r="E279" s="550"/>
      <c r="F279" s="990" t="e">
        <f>IF(F277=$S$15,$T$11,IF(ROUNDDOWN(F277,0)=$S$11,$U$11,$T$11))</f>
        <v>#DIV/0!</v>
      </c>
      <c r="G279" s="3397" t="s">
        <v>3292</v>
      </c>
      <c r="H279" s="3404"/>
      <c r="I279" s="3397" t="s">
        <v>3292</v>
      </c>
      <c r="J279" s="3404"/>
      <c r="K279" s="1303"/>
      <c r="L279" s="1304"/>
      <c r="M279" s="1304"/>
      <c r="N279" s="1304"/>
      <c r="O279" s="1304"/>
    </row>
    <row r="280" spans="2:15" ht="15.75" customHeight="1">
      <c r="D280" s="954"/>
      <c r="E280" s="550"/>
      <c r="F280" s="990" t="e">
        <f>IF(F277=$S$15,$T$12,IF(ROUNDDOWN(F277,0)=$S$12,$U$12,$T$12))</f>
        <v>#DIV/0!</v>
      </c>
      <c r="G280" s="3397" t="s">
        <v>3291</v>
      </c>
      <c r="H280" s="3404"/>
      <c r="I280" s="3397" t="s">
        <v>3291</v>
      </c>
      <c r="J280" s="3404"/>
      <c r="K280" s="1303"/>
      <c r="L280" s="1304"/>
      <c r="M280" s="1304"/>
      <c r="N280" s="1304"/>
      <c r="O280" s="1304"/>
    </row>
    <row r="281" spans="2:15" ht="15.75">
      <c r="D281" s="954"/>
      <c r="E281" s="550"/>
      <c r="F281" s="990" t="e">
        <f>IF(F277=$S$15,$T$13,IF(ROUNDDOWN(F277,0)=$S$13,$U$13,$T$13))</f>
        <v>#DIV/0!</v>
      </c>
      <c r="G281" s="3397" t="s">
        <v>3297</v>
      </c>
      <c r="H281" s="3404"/>
      <c r="I281" s="3397" t="s">
        <v>1795</v>
      </c>
      <c r="J281" s="3404"/>
      <c r="K281" s="1303"/>
      <c r="L281" s="1304"/>
      <c r="M281" s="1304"/>
      <c r="N281" s="1304"/>
      <c r="O281" s="1304"/>
    </row>
    <row r="282" spans="2:15" ht="15.75" customHeight="1">
      <c r="D282" s="954"/>
      <c r="E282" s="550"/>
      <c r="F282" s="1001" t="e">
        <f>IF(F277=$S$15,$T$14,IF(ROUNDDOWN(F277,0)=$S$14,$U$14,$T$14))</f>
        <v>#DIV/0!</v>
      </c>
      <c r="G282" s="3394" t="s">
        <v>3298</v>
      </c>
      <c r="H282" s="3413"/>
      <c r="I282" s="3394" t="s">
        <v>3294</v>
      </c>
      <c r="J282" s="3413"/>
      <c r="K282" s="1303"/>
      <c r="L282" s="1304"/>
      <c r="M282" s="1304"/>
      <c r="N282" s="1304"/>
      <c r="O282" s="1304"/>
    </row>
    <row r="283" spans="2:15" ht="16.5" thickBot="1">
      <c r="D283" s="954"/>
      <c r="E283" s="550"/>
      <c r="F283" s="1284" t="s">
        <v>3282</v>
      </c>
      <c r="G283" s="1286"/>
      <c r="H283" s="1285"/>
      <c r="I283" s="1286"/>
      <c r="J283" s="1285"/>
      <c r="K283" s="1303"/>
      <c r="L283" s="1304"/>
      <c r="M283" s="1304"/>
      <c r="N283" s="1304"/>
      <c r="O283" s="1304"/>
    </row>
    <row r="284" spans="2:15" ht="16.5" thickBot="1">
      <c r="D284" s="954"/>
      <c r="E284" s="550"/>
      <c r="F284" s="978">
        <v>1</v>
      </c>
      <c r="G284" s="1063" t="s">
        <v>2237</v>
      </c>
      <c r="H284" s="1064"/>
      <c r="I284" s="1278"/>
      <c r="J284" s="1288"/>
      <c r="K284" s="1303"/>
      <c r="L284" s="1304"/>
      <c r="M284" s="1304"/>
      <c r="N284" s="1304"/>
      <c r="O284" s="1304"/>
    </row>
    <row r="285" spans="2:15" ht="15.75">
      <c r="B285" s="1">
        <v>1</v>
      </c>
      <c r="C285" s="1">
        <v>1</v>
      </c>
      <c r="D285" s="954"/>
      <c r="E285" s="550"/>
      <c r="F285" s="1305" t="s">
        <v>316</v>
      </c>
      <c r="G285" s="1290" t="s">
        <v>1461</v>
      </c>
      <c r="H285" s="1291"/>
      <c r="I285" s="1291"/>
      <c r="J285" s="1290" t="s">
        <v>1295</v>
      </c>
      <c r="K285" s="1291"/>
      <c r="L285" s="1291"/>
      <c r="M285" s="1304"/>
      <c r="N285" s="1304"/>
      <c r="O285" s="1304"/>
    </row>
    <row r="286" spans="2:15" ht="15.75">
      <c r="B286" s="1" t="s">
        <v>1794</v>
      </c>
      <c r="C286" s="1">
        <v>2</v>
      </c>
      <c r="D286" s="954"/>
      <c r="E286" s="550"/>
      <c r="F286" s="1292" t="s">
        <v>320</v>
      </c>
      <c r="G286" s="1293">
        <f>メイン!J47+メイン!J49+メイン!J57+メイン!J61+メイン!J62+メイン!J64+メイン!J60</f>
        <v>0</v>
      </c>
      <c r="H286" s="1306"/>
      <c r="I286" s="1294"/>
      <c r="J286" s="1293">
        <f>メイン!J54+メイン!J56</f>
        <v>0</v>
      </c>
      <c r="K286" s="1306"/>
      <c r="L286" s="1294"/>
      <c r="M286" s="1304"/>
      <c r="N286" s="1304"/>
      <c r="O286" s="1304"/>
    </row>
    <row r="287" spans="2:15" ht="16.5" thickBot="1">
      <c r="B287" s="1">
        <v>3</v>
      </c>
      <c r="C287" s="1">
        <v>3</v>
      </c>
      <c r="D287" s="954"/>
      <c r="E287" s="550"/>
      <c r="F287" s="1295" t="s">
        <v>321</v>
      </c>
      <c r="G287" s="1296">
        <f>IF(H284=T4,F284,IF(G295&lt;1,1,IF(G295=1,2,IF(G295=2,3,IF(G295=3,4,5)))))</f>
        <v>3</v>
      </c>
      <c r="H287" s="1297"/>
      <c r="I287" s="1297"/>
      <c r="J287" s="1296">
        <f>IF(H284=T4,F284,IF(J295&lt;1,1,IF(J295=1,2,IF(J295=2,3,5))))</f>
        <v>3</v>
      </c>
      <c r="K287" s="1297"/>
      <c r="L287" s="1297"/>
      <c r="M287" s="1304"/>
      <c r="N287" s="1304"/>
      <c r="O287" s="1304"/>
    </row>
    <row r="288" spans="2:15" ht="45" customHeight="1">
      <c r="B288" s="1">
        <v>4</v>
      </c>
      <c r="C288" s="1">
        <v>4</v>
      </c>
      <c r="D288" s="954"/>
      <c r="E288" s="550"/>
      <c r="F288" s="1298" t="s">
        <v>2240</v>
      </c>
      <c r="G288" s="3592" t="s">
        <v>3080</v>
      </c>
      <c r="H288" s="3593"/>
      <c r="I288" s="3593"/>
      <c r="J288" s="3593"/>
      <c r="K288" s="3593"/>
      <c r="L288" s="3594"/>
      <c r="M288" s="1304"/>
      <c r="N288" s="1304"/>
      <c r="O288" s="1304"/>
    </row>
    <row r="289" spans="2:15" ht="15.75" customHeight="1">
      <c r="B289" s="1">
        <v>5</v>
      </c>
      <c r="C289" s="1">
        <v>5</v>
      </c>
      <c r="D289" s="954"/>
      <c r="E289" s="550"/>
      <c r="F289" s="1301"/>
      <c r="G289" s="3509" t="s">
        <v>467</v>
      </c>
      <c r="H289" s="3510"/>
      <c r="I289" s="3510"/>
      <c r="J289" s="3510"/>
      <c r="K289" s="3510"/>
      <c r="L289" s="3511"/>
      <c r="M289" s="1304"/>
      <c r="N289" s="1304"/>
      <c r="O289" s="1304"/>
    </row>
    <row r="290" spans="2:15" ht="31.5" customHeight="1">
      <c r="B290" s="1008">
        <v>0</v>
      </c>
      <c r="C290" s="1008">
        <v>0</v>
      </c>
      <c r="D290" s="954"/>
      <c r="E290" s="550"/>
      <c r="F290" s="1301"/>
      <c r="G290" s="3509" t="s">
        <v>3081</v>
      </c>
      <c r="H290" s="3510"/>
      <c r="I290" s="3510"/>
      <c r="J290" s="3510"/>
      <c r="K290" s="3510"/>
      <c r="L290" s="3511"/>
      <c r="M290" s="1304"/>
      <c r="N290" s="1304"/>
      <c r="O290" s="1304"/>
    </row>
    <row r="291" spans="2:15" ht="15.75" customHeight="1">
      <c r="D291" s="954"/>
      <c r="E291" s="550"/>
      <c r="F291" s="1301" t="s">
        <v>2240</v>
      </c>
      <c r="G291" s="3509" t="s">
        <v>468</v>
      </c>
      <c r="H291" s="3510"/>
      <c r="I291" s="3510"/>
      <c r="J291" s="3510"/>
      <c r="K291" s="3510"/>
      <c r="L291" s="3511"/>
      <c r="M291" s="1304"/>
      <c r="N291" s="1304"/>
      <c r="O291" s="1304"/>
    </row>
    <row r="292" spans="2:15" ht="15.75" customHeight="1">
      <c r="D292" s="954"/>
      <c r="E292" s="550"/>
      <c r="F292" s="1301"/>
      <c r="G292" s="3509" t="s">
        <v>469</v>
      </c>
      <c r="H292" s="3510"/>
      <c r="I292" s="3510"/>
      <c r="J292" s="3510"/>
      <c r="K292" s="3510"/>
      <c r="L292" s="3511"/>
      <c r="M292" s="1304"/>
      <c r="N292" s="1304"/>
      <c r="O292" s="1304"/>
    </row>
    <row r="293" spans="2:15" ht="36.75" customHeight="1">
      <c r="D293" s="954"/>
      <c r="E293" s="550"/>
      <c r="F293" s="1301"/>
      <c r="G293" s="3509" t="s">
        <v>1462</v>
      </c>
      <c r="H293" s="3510"/>
      <c r="I293" s="3510"/>
      <c r="J293" s="3510"/>
      <c r="K293" s="3510"/>
      <c r="L293" s="3511"/>
      <c r="M293" s="1304"/>
      <c r="N293" s="1304"/>
      <c r="O293" s="1304"/>
    </row>
    <row r="294" spans="2:15" ht="20.25" customHeight="1" thickBot="1">
      <c r="D294" s="954"/>
      <c r="E294" s="550"/>
      <c r="F294" s="2199"/>
      <c r="G294" s="3523" t="s">
        <v>24</v>
      </c>
      <c r="H294" s="3524"/>
      <c r="I294" s="3524"/>
      <c r="J294" s="3524"/>
      <c r="K294" s="3524"/>
      <c r="L294" s="3525"/>
      <c r="M294" s="1304"/>
      <c r="N294" s="1304"/>
      <c r="O294" s="1304"/>
    </row>
    <row r="295" spans="2:15" ht="15.75">
      <c r="D295" s="954"/>
      <c r="E295" s="550"/>
      <c r="F295" s="2201" t="s">
        <v>25</v>
      </c>
      <c r="G295" s="2200">
        <f>COUNTIF(F288:F294,$S$3)</f>
        <v>2</v>
      </c>
      <c r="H295" s="1297"/>
      <c r="I295" s="1297"/>
      <c r="J295" s="2200">
        <f>G295-COUNTIF(F293,$S$3)</f>
        <v>2</v>
      </c>
      <c r="K295" s="1297"/>
      <c r="L295" s="1297"/>
      <c r="M295" s="1304"/>
      <c r="N295" s="1304"/>
      <c r="O295" s="1304"/>
    </row>
    <row r="296" spans="2:15" ht="15.75">
      <c r="D296" s="954"/>
      <c r="E296" s="550"/>
      <c r="F296" s="1303"/>
      <c r="G296" s="1304"/>
      <c r="H296" s="1304"/>
      <c r="I296" s="1304"/>
      <c r="J296" s="1304"/>
      <c r="K296" s="1303"/>
      <c r="L296" s="1304"/>
      <c r="M296" s="1304"/>
      <c r="N296" s="1304"/>
      <c r="O296" s="1304"/>
    </row>
    <row r="297" spans="2:15" ht="15.75">
      <c r="D297" s="954"/>
      <c r="E297" s="550"/>
      <c r="F297" s="1133" t="s">
        <v>1463</v>
      </c>
      <c r="G297" s="1202"/>
      <c r="H297" s="1202"/>
      <c r="I297" s="1202"/>
      <c r="J297" s="1202"/>
      <c r="K297" s="1201"/>
      <c r="L297" s="1201"/>
      <c r="M297" s="1304"/>
      <c r="N297" s="1304"/>
      <c r="O297" s="1304"/>
    </row>
    <row r="298" spans="2:15" ht="16.5" thickBot="1">
      <c r="D298" s="954"/>
      <c r="E298" s="1279"/>
      <c r="F298" s="1114"/>
      <c r="G298" s="972"/>
      <c r="H298" s="973"/>
      <c r="I298" s="974" t="s">
        <v>1125</v>
      </c>
      <c r="J298" s="975" t="e">
        <f>重み!M93</f>
        <v>#DIV/0!</v>
      </c>
      <c r="K298" s="1115"/>
      <c r="L298" s="1115"/>
      <c r="M298" s="1115"/>
      <c r="N298" s="1117"/>
      <c r="O298" s="1010"/>
    </row>
    <row r="299" spans="2:15" ht="16.5" thickBot="1">
      <c r="D299" s="954"/>
      <c r="E299" s="1279"/>
      <c r="F299" s="1209">
        <f>IF(メイン!J66&gt;2000,G308,K308)</f>
        <v>3</v>
      </c>
      <c r="G299" s="1181" t="s">
        <v>664</v>
      </c>
      <c r="H299" s="1281"/>
      <c r="I299" s="1095"/>
      <c r="J299" s="1316"/>
      <c r="K299" s="2203" t="s">
        <v>28</v>
      </c>
      <c r="L299" s="1281"/>
      <c r="M299" s="1095"/>
      <c r="N299" s="1282"/>
      <c r="O299" s="1010"/>
    </row>
    <row r="300" spans="2:15" ht="15.75" customHeight="1">
      <c r="D300" s="954"/>
      <c r="E300" s="1108"/>
      <c r="F300" s="985" t="str">
        <f>IF(F299=$S$15,$T$10,IF(ROUNDDOWN(F299,0)=$S$10,$U$10,$T$10))</f>
        <v>　レベル　1</v>
      </c>
      <c r="G300" s="3576" t="s">
        <v>3288</v>
      </c>
      <c r="H300" s="3512"/>
      <c r="I300" s="3512"/>
      <c r="J300" s="3513"/>
      <c r="K300" s="3576" t="s">
        <v>266</v>
      </c>
      <c r="L300" s="3512"/>
      <c r="M300" s="3512"/>
      <c r="N300" s="3513"/>
      <c r="O300" s="1010"/>
    </row>
    <row r="301" spans="2:15" ht="15.75" customHeight="1">
      <c r="D301" s="954"/>
      <c r="E301" s="1108"/>
      <c r="F301" s="990" t="str">
        <f>IF(F299=$S$15,$T$11,IF(ROUNDDOWN(F299,0)=$S$11,$U$11,$T$11))</f>
        <v>　レベル　2</v>
      </c>
      <c r="G301" s="3574" t="s">
        <v>1795</v>
      </c>
      <c r="H301" s="3575"/>
      <c r="I301" s="3577"/>
      <c r="J301" s="3578"/>
      <c r="K301" s="3574" t="s">
        <v>1795</v>
      </c>
      <c r="L301" s="3575"/>
      <c r="M301" s="3577"/>
      <c r="N301" s="3578"/>
      <c r="O301" s="1010"/>
    </row>
    <row r="302" spans="2:15" ht="15.75" customHeight="1">
      <c r="D302" s="954"/>
      <c r="E302" s="1108"/>
      <c r="F302" s="990" t="str">
        <f>IF(F299=$S$15,$T$12,IF(ROUNDDOWN(F299,0)=$S$12,$U$12,$T$12))</f>
        <v>■レベル　3</v>
      </c>
      <c r="G302" s="3574" t="s">
        <v>3299</v>
      </c>
      <c r="H302" s="3575"/>
      <c r="I302" s="3577"/>
      <c r="J302" s="3578"/>
      <c r="K302" s="3574" t="s">
        <v>3288</v>
      </c>
      <c r="L302" s="3575"/>
      <c r="M302" s="3577"/>
      <c r="N302" s="3578"/>
      <c r="O302" s="1010"/>
    </row>
    <row r="303" spans="2:15" ht="15.75" customHeight="1">
      <c r="D303" s="954"/>
      <c r="E303" s="1108"/>
      <c r="F303" s="990" t="str">
        <f>IF(F299=$S$15,$T$13,IF(ROUNDDOWN(F299,0)=$S$13,$U$13,$T$13))</f>
        <v>　レベル　4</v>
      </c>
      <c r="G303" s="3574" t="s">
        <v>3297</v>
      </c>
      <c r="H303" s="3575"/>
      <c r="I303" s="3577"/>
      <c r="J303" s="3578"/>
      <c r="K303" s="3574" t="s">
        <v>3292</v>
      </c>
      <c r="L303" s="3575"/>
      <c r="M303" s="3577"/>
      <c r="N303" s="3578"/>
      <c r="O303" s="1010"/>
    </row>
    <row r="304" spans="2:15" ht="15.75" customHeight="1">
      <c r="D304" s="954"/>
      <c r="E304" s="1108"/>
      <c r="F304" s="1001" t="str">
        <f>IF(F299=$S$15,$T$14,IF(ROUNDDOWN(F299,0)=$S$14,$U$14,$T$14))</f>
        <v>　レベル　5</v>
      </c>
      <c r="G304" s="3505" t="s">
        <v>3298</v>
      </c>
      <c r="H304" s="3506"/>
      <c r="I304" s="3507"/>
      <c r="J304" s="3508"/>
      <c r="K304" s="3505" t="s">
        <v>3295</v>
      </c>
      <c r="L304" s="3506"/>
      <c r="M304" s="3507"/>
      <c r="N304" s="3508"/>
      <c r="O304" s="1010"/>
    </row>
    <row r="305" spans="2:15" ht="16.5" thickBot="1">
      <c r="D305" s="1059"/>
      <c r="E305" s="1308"/>
      <c r="F305" s="1284" t="s">
        <v>3282</v>
      </c>
      <c r="G305" s="1286"/>
      <c r="H305" s="1285"/>
      <c r="I305" s="1286"/>
      <c r="J305" s="1285"/>
      <c r="K305" s="1286"/>
      <c r="L305" s="1286"/>
      <c r="M305" s="1055"/>
      <c r="N305" s="1055"/>
      <c r="O305" s="1055"/>
    </row>
    <row r="306" spans="2:15" ht="16.5" thickBot="1">
      <c r="D306" s="954"/>
      <c r="E306" s="550"/>
      <c r="F306" s="978">
        <v>3</v>
      </c>
      <c r="G306" s="1063" t="s">
        <v>2237</v>
      </c>
      <c r="H306" s="1064"/>
      <c r="I306" s="1151"/>
      <c r="J306" s="1288"/>
      <c r="K306" s="1278"/>
      <c r="L306" s="1278"/>
      <c r="M306" s="1165"/>
      <c r="N306" s="1165"/>
      <c r="O306" s="1165"/>
    </row>
    <row r="307" spans="2:15" ht="15.75">
      <c r="B307" s="1">
        <v>1</v>
      </c>
      <c r="C307" s="1">
        <v>1</v>
      </c>
      <c r="D307" s="954"/>
      <c r="E307" s="550"/>
      <c r="F307" s="1309" t="s">
        <v>1464</v>
      </c>
      <c r="G307" s="1290" t="s">
        <v>32</v>
      </c>
      <c r="H307" s="1310"/>
      <c r="I307" s="1290"/>
      <c r="J307" s="1310"/>
      <c r="K307" s="1290" t="s">
        <v>33</v>
      </c>
      <c r="L307" s="1310"/>
      <c r="M307" s="1290"/>
      <c r="N307" s="1310"/>
      <c r="O307" s="1165"/>
    </row>
    <row r="308" spans="2:15" ht="16.5" thickBot="1">
      <c r="B308" s="1">
        <v>3</v>
      </c>
      <c r="C308" s="1">
        <v>3</v>
      </c>
      <c r="D308" s="954"/>
      <c r="E308" s="550"/>
      <c r="F308" s="1311" t="s">
        <v>321</v>
      </c>
      <c r="G308" s="1312">
        <f>IF(H306=T4,F306,IF(COUNTIF(F309:F314,$S$3)&lt;1,1,IF(COUNTIF(F309:F314,$S$3)&lt;=2,3,IF(COUNTIF(F309:F314,$S$3)=3,4,IF(COUNTIF(F309:F314,$S$3)&gt;=4,5)))))</f>
        <v>3</v>
      </c>
      <c r="H308" s="1313"/>
      <c r="I308" s="1312"/>
      <c r="J308" s="1313"/>
      <c r="K308" s="1312">
        <f>IF(H306=T4,F306,IF(COUNTIF(F309:F311,$S$3)+COUNTIF(F313:F314,$S$3)=1,4,IF(COUNTIF(F309:F311,$S$3)+COUNTIF(F313:F314,$S$3)&gt;=2,5,3)))</f>
        <v>3</v>
      </c>
      <c r="L308" s="1313"/>
      <c r="M308" s="1312"/>
      <c r="N308" s="1313"/>
      <c r="O308" s="1165"/>
    </row>
    <row r="309" spans="2:15" ht="15.75" customHeight="1">
      <c r="B309" s="1">
        <v>4</v>
      </c>
      <c r="C309" s="1">
        <v>4</v>
      </c>
      <c r="D309" s="954"/>
      <c r="E309" s="1287"/>
      <c r="F309" s="1298"/>
      <c r="G309" s="3579" t="s">
        <v>26</v>
      </c>
      <c r="H309" s="3580"/>
      <c r="I309" s="3580"/>
      <c r="J309" s="3580"/>
      <c r="K309" s="3580"/>
      <c r="L309" s="3580"/>
      <c r="M309" s="3580"/>
      <c r="N309" s="3581"/>
      <c r="O309" s="1165"/>
    </row>
    <row r="310" spans="2:15" ht="15.75" customHeight="1">
      <c r="B310" s="1">
        <v>5</v>
      </c>
      <c r="C310" s="1">
        <v>5</v>
      </c>
      <c r="D310" s="954"/>
      <c r="E310" s="1287"/>
      <c r="F310" s="1301"/>
      <c r="G310" s="3582" t="s">
        <v>470</v>
      </c>
      <c r="H310" s="3510"/>
      <c r="I310" s="3510"/>
      <c r="J310" s="3510"/>
      <c r="K310" s="3510"/>
      <c r="L310" s="3510"/>
      <c r="M310" s="3510"/>
      <c r="N310" s="3511"/>
      <c r="O310" s="1165"/>
    </row>
    <row r="311" spans="2:15" ht="15.75">
      <c r="B311" s="1008">
        <v>0</v>
      </c>
      <c r="C311" s="1008">
        <v>0</v>
      </c>
      <c r="D311" s="954"/>
      <c r="E311" s="1287"/>
      <c r="F311" s="1301"/>
      <c r="G311" s="3582" t="s">
        <v>29</v>
      </c>
      <c r="H311" s="3510"/>
      <c r="I311" s="3510"/>
      <c r="J311" s="3510"/>
      <c r="K311" s="3510"/>
      <c r="L311" s="3510"/>
      <c r="M311" s="3510"/>
      <c r="N311" s="3511"/>
      <c r="O311" s="1165"/>
    </row>
    <row r="312" spans="2:15" ht="72.75" customHeight="1">
      <c r="B312" s="1687"/>
      <c r="C312" s="1687"/>
      <c r="D312" s="954"/>
      <c r="E312" s="1287"/>
      <c r="F312" s="2198" t="s">
        <v>2240</v>
      </c>
      <c r="G312" s="3509" t="s">
        <v>3505</v>
      </c>
      <c r="H312" s="3510"/>
      <c r="I312" s="3510"/>
      <c r="J312" s="3510"/>
      <c r="K312" s="3510"/>
      <c r="L312" s="3510"/>
      <c r="M312" s="3510"/>
      <c r="N312" s="3511"/>
      <c r="O312" s="1165"/>
    </row>
    <row r="313" spans="2:15" ht="15.75">
      <c r="B313" s="1687"/>
      <c r="C313" s="1687"/>
      <c r="D313" s="954"/>
      <c r="E313" s="1287"/>
      <c r="F313" s="2198"/>
      <c r="G313" s="3582" t="s">
        <v>30</v>
      </c>
      <c r="H313" s="3510"/>
      <c r="I313" s="3510"/>
      <c r="J313" s="3510"/>
      <c r="K313" s="3510"/>
      <c r="L313" s="3510"/>
      <c r="M313" s="3510"/>
      <c r="N313" s="3511"/>
      <c r="O313" s="1165"/>
    </row>
    <row r="314" spans="2:15" ht="16.5" thickBot="1">
      <c r="D314" s="954"/>
      <c r="E314" s="1287"/>
      <c r="F314" s="1307"/>
      <c r="G314" s="3520" t="s">
        <v>31</v>
      </c>
      <c r="H314" s="3425"/>
      <c r="I314" s="3425"/>
      <c r="J314" s="3425"/>
      <c r="K314" s="3425"/>
      <c r="L314" s="3425"/>
      <c r="M314" s="3425"/>
      <c r="N314" s="3426"/>
      <c r="O314" s="1165"/>
    </row>
    <row r="315" spans="2:15" ht="15.75">
      <c r="D315" s="954"/>
      <c r="E315" s="550"/>
      <c r="F315" s="1151"/>
      <c r="G315" s="1315"/>
      <c r="H315" s="1315"/>
      <c r="I315" s="1315"/>
      <c r="J315" s="1303"/>
      <c r="K315" s="1315"/>
      <c r="L315" s="1315"/>
      <c r="M315" s="1165"/>
      <c r="N315" s="1165"/>
      <c r="O315" s="1165"/>
    </row>
    <row r="316" spans="2:15" ht="15.75">
      <c r="D316" s="954"/>
      <c r="E316" s="550"/>
      <c r="F316" s="1133" t="s">
        <v>471</v>
      </c>
      <c r="G316" s="1202"/>
      <c r="H316" s="1202"/>
      <c r="I316" s="1202"/>
      <c r="J316" s="1048" t="e">
        <f>IF(OR(F318=0,J317=0),$R$3,"")</f>
        <v>#DIV/0!</v>
      </c>
      <c r="K316" s="1315"/>
      <c r="L316" s="1315"/>
      <c r="M316" s="1165"/>
      <c r="N316" s="1165"/>
      <c r="O316" s="1165"/>
    </row>
    <row r="317" spans="2:15" ht="16.5" thickBot="1">
      <c r="D317" s="954"/>
      <c r="E317" s="550"/>
      <c r="F317" s="1114"/>
      <c r="G317" s="972"/>
      <c r="H317" s="973"/>
      <c r="I317" s="974" t="s">
        <v>1125</v>
      </c>
      <c r="J317" s="975" t="e">
        <f>重み!M94</f>
        <v>#DIV/0!</v>
      </c>
      <c r="K317" s="1115"/>
      <c r="L317" s="1115"/>
      <c r="M317" s="1115"/>
      <c r="N317" s="1115"/>
      <c r="O317" s="984"/>
    </row>
    <row r="318" spans="2:15" ht="16.5" thickBot="1">
      <c r="D318" s="954"/>
      <c r="E318" s="550"/>
      <c r="F318" s="978">
        <v>3</v>
      </c>
      <c r="G318" s="982" t="s">
        <v>664</v>
      </c>
      <c r="H318" s="983"/>
      <c r="I318" s="983"/>
      <c r="J318" s="983"/>
      <c r="K318" s="983"/>
      <c r="L318" s="1316"/>
      <c r="M318" s="983"/>
      <c r="N318" s="983"/>
      <c r="O318" s="984"/>
    </row>
    <row r="319" spans="2:15" ht="15.75" customHeight="1">
      <c r="B319" s="1">
        <v>1</v>
      </c>
      <c r="C319" s="1">
        <v>1</v>
      </c>
      <c r="D319" s="954"/>
      <c r="E319" s="550"/>
      <c r="F319" s="985" t="str">
        <f>IF(F318=$S$15,$T$10,IF(ROUNDDOWN(F318,0)=$S$10,$U$10,$T$10))</f>
        <v>　レベル　1</v>
      </c>
      <c r="G319" s="987" t="s">
        <v>315</v>
      </c>
      <c r="H319" s="988"/>
      <c r="I319" s="988"/>
      <c r="J319" s="988"/>
      <c r="K319" s="988"/>
      <c r="L319" s="1317"/>
      <c r="M319" s="988"/>
      <c r="N319" s="988"/>
      <c r="O319" s="989"/>
    </row>
    <row r="320" spans="2:15" ht="15.75" customHeight="1">
      <c r="B320" s="1" t="s">
        <v>1249</v>
      </c>
      <c r="C320" s="1">
        <v>2</v>
      </c>
      <c r="D320" s="954"/>
      <c r="E320" s="550"/>
      <c r="F320" s="990" t="str">
        <f>IF(F318=$S$15,$T$11,IF(ROUNDDOWN(F318,0)=$S$11,$U$11,$T$11))</f>
        <v>　レベル　2</v>
      </c>
      <c r="G320" s="994" t="s">
        <v>1795</v>
      </c>
      <c r="H320" s="995"/>
      <c r="I320" s="995"/>
      <c r="J320" s="995"/>
      <c r="K320" s="995"/>
      <c r="L320" s="1318"/>
      <c r="M320" s="995"/>
      <c r="N320" s="995"/>
      <c r="O320" s="996"/>
    </row>
    <row r="321" spans="2:15" ht="15.75">
      <c r="B321" s="1">
        <v>3</v>
      </c>
      <c r="C321" s="1">
        <v>3</v>
      </c>
      <c r="D321" s="954"/>
      <c r="E321" s="550"/>
      <c r="F321" s="990" t="str">
        <f>IF(F318=$S$15,$T$12,IF(ROUNDDOWN(F318,0)=$S$12,$U$12,$T$12))</f>
        <v>■レベル　3</v>
      </c>
      <c r="G321" s="994" t="s">
        <v>3082</v>
      </c>
      <c r="H321" s="995"/>
      <c r="I321" s="995"/>
      <c r="J321" s="995"/>
      <c r="K321" s="995"/>
      <c r="L321" s="1318"/>
      <c r="M321" s="995"/>
      <c r="N321" s="995"/>
      <c r="O321" s="996"/>
    </row>
    <row r="322" spans="2:15" ht="15.75">
      <c r="B322" s="1">
        <v>4</v>
      </c>
      <c r="C322" s="1">
        <v>4</v>
      </c>
      <c r="D322" s="954"/>
      <c r="E322" s="550"/>
      <c r="F322" s="990" t="str">
        <f>IF(F318=$S$15,$T$13,IF(ROUNDDOWN(F318,0)=$S$13,$U$13,$T$13))</f>
        <v>　レベル　4</v>
      </c>
      <c r="G322" s="994" t="s">
        <v>3083</v>
      </c>
      <c r="H322" s="995"/>
      <c r="I322" s="995"/>
      <c r="J322" s="995"/>
      <c r="K322" s="995"/>
      <c r="L322" s="1318"/>
      <c r="M322" s="995"/>
      <c r="N322" s="995"/>
      <c r="O322" s="996"/>
    </row>
    <row r="323" spans="2:15" ht="15.75">
      <c r="B323" s="1">
        <v>5</v>
      </c>
      <c r="C323" s="1">
        <v>5</v>
      </c>
      <c r="D323" s="954"/>
      <c r="E323" s="550"/>
      <c r="F323" s="1001" t="str">
        <f>IF(F318=$S$15,$T$14,IF(ROUNDDOWN(F318,0)=$S$14,$U$14,$T$14))</f>
        <v>　レベル　5</v>
      </c>
      <c r="G323" s="1005" t="s">
        <v>3084</v>
      </c>
      <c r="H323" s="1006"/>
      <c r="I323" s="1006"/>
      <c r="J323" s="1006"/>
      <c r="K323" s="1006"/>
      <c r="L323" s="1319"/>
      <c r="M323" s="1006"/>
      <c r="N323" s="1006"/>
      <c r="O323" s="1007"/>
    </row>
    <row r="324" spans="2:15" ht="15.75">
      <c r="B324" s="1008">
        <v>0</v>
      </c>
      <c r="C324" s="1008">
        <v>0</v>
      </c>
      <c r="D324" s="954"/>
      <c r="E324" s="550"/>
      <c r="F324" s="1151"/>
      <c r="G324" s="1315"/>
      <c r="H324" s="1315"/>
      <c r="I324" s="1315"/>
      <c r="J324" s="1303"/>
      <c r="K324" s="1315"/>
      <c r="L324" s="1315"/>
      <c r="M324" s="1165"/>
      <c r="N324" s="1165"/>
      <c r="O324" s="1165"/>
    </row>
    <row r="325" spans="2:15" ht="15.75">
      <c r="D325" s="954"/>
      <c r="E325" s="550"/>
      <c r="F325" s="1133" t="s">
        <v>472</v>
      </c>
      <c r="G325" s="1202"/>
      <c r="H325" s="1202"/>
      <c r="I325" s="1202"/>
      <c r="J325" s="1202"/>
      <c r="K325" s="1201"/>
      <c r="L325" s="1201"/>
      <c r="M325" s="1165"/>
      <c r="N325" s="1165"/>
      <c r="O325" s="1165"/>
    </row>
    <row r="326" spans="2:15" ht="16.5" thickBot="1">
      <c r="D326" s="954"/>
      <c r="E326" s="1279"/>
      <c r="F326" s="1114"/>
      <c r="G326" s="972"/>
      <c r="H326" s="973"/>
      <c r="I326" s="974" t="s">
        <v>1125</v>
      </c>
      <c r="J326" s="975" t="e">
        <f>重み!M95</f>
        <v>#DIV/0!</v>
      </c>
      <c r="K326" s="1115"/>
      <c r="L326" s="1115"/>
      <c r="M326" s="1115"/>
      <c r="N326" s="1115"/>
      <c r="O326" s="984"/>
    </row>
    <row r="327" spans="2:15" ht="16.5" thickBot="1">
      <c r="D327" s="954"/>
      <c r="E327" s="1279"/>
      <c r="F327" s="1320">
        <f>IF(H334=T4,F334,IF(COUNTIF(F336:F341,$S$3)&lt;1,1,IF(COUNTIF(F336:F341,$S$3)=1,2,IF(COUNTIF(F336:F341,$S$3)=2,3,IF(COUNTIF(F336:F341,$S$3)=3,4,5)))))</f>
        <v>3</v>
      </c>
      <c r="G327" s="1181" t="s">
        <v>664</v>
      </c>
      <c r="H327" s="1281"/>
      <c r="I327" s="1321"/>
      <c r="J327" s="1282"/>
      <c r="K327" s="983"/>
      <c r="L327" s="1316"/>
      <c r="M327" s="983"/>
      <c r="N327" s="983"/>
      <c r="O327" s="984"/>
    </row>
    <row r="328" spans="2:15" ht="15.75">
      <c r="D328" s="954"/>
      <c r="E328" s="1204"/>
      <c r="F328" s="985" t="str">
        <f>IF(F327=$S$15,$T$10,IF(ROUNDDOWN(F327,0)=$S$10,$U$10,$T$10))</f>
        <v>　レベル　1</v>
      </c>
      <c r="G328" s="2194" t="s">
        <v>3288</v>
      </c>
      <c r="H328" s="1317"/>
      <c r="I328" s="1317"/>
      <c r="J328" s="1317"/>
      <c r="K328" s="988"/>
      <c r="L328" s="1317"/>
      <c r="M328" s="988"/>
      <c r="N328" s="988"/>
      <c r="O328" s="989"/>
    </row>
    <row r="329" spans="2:15" ht="15.75" customHeight="1">
      <c r="D329" s="954"/>
      <c r="E329" s="1204"/>
      <c r="F329" s="990" t="str">
        <f>IF(F327=$S$15,$T$11,IF(ROUNDDOWN(F327,0)=$S$11,$U$11,$T$11))</f>
        <v>　レベル　2</v>
      </c>
      <c r="G329" s="1152" t="s">
        <v>3292</v>
      </c>
      <c r="H329" s="1318"/>
      <c r="I329" s="1318"/>
      <c r="J329" s="1318"/>
      <c r="K329" s="995"/>
      <c r="L329" s="1318"/>
      <c r="M329" s="995"/>
      <c r="N329" s="995"/>
      <c r="O329" s="996"/>
    </row>
    <row r="330" spans="2:15" ht="15.75" customHeight="1">
      <c r="D330" s="954"/>
      <c r="E330" s="1204"/>
      <c r="F330" s="990" t="str">
        <f>IF(F327=$S$15,$T$12,IF(ROUNDDOWN(F327,0)=$S$12,$U$12,$T$12))</f>
        <v>■レベル　3</v>
      </c>
      <c r="G330" s="1152" t="s">
        <v>3291</v>
      </c>
      <c r="H330" s="1318"/>
      <c r="I330" s="1318"/>
      <c r="J330" s="1318"/>
      <c r="K330" s="995"/>
      <c r="L330" s="1318"/>
      <c r="M330" s="995"/>
      <c r="N330" s="995"/>
      <c r="O330" s="996"/>
    </row>
    <row r="331" spans="2:15" ht="15.75" customHeight="1">
      <c r="D331" s="954"/>
      <c r="E331" s="1204"/>
      <c r="F331" s="990" t="str">
        <f>IF(F327=$S$15,$T$13,IF(ROUNDDOWN(F327,0)=$S$13,$U$13,$T$13))</f>
        <v>　レベル　4</v>
      </c>
      <c r="G331" s="1152" t="s">
        <v>3297</v>
      </c>
      <c r="H331" s="1318"/>
      <c r="I331" s="1318"/>
      <c r="J331" s="1318"/>
      <c r="K331" s="995"/>
      <c r="L331" s="1318"/>
      <c r="M331" s="995"/>
      <c r="N331" s="995"/>
      <c r="O331" s="996"/>
    </row>
    <row r="332" spans="2:15" ht="15.75" customHeight="1">
      <c r="D332" s="954"/>
      <c r="E332" s="1204"/>
      <c r="F332" s="1001" t="str">
        <f>IF(F327=$S$15,$T$14,IF(ROUNDDOWN(F327,0)=$S$14,$U$14,$T$14))</f>
        <v>　レベル　5</v>
      </c>
      <c r="G332" s="1127" t="s">
        <v>3300</v>
      </c>
      <c r="H332" s="1319"/>
      <c r="I332" s="1319"/>
      <c r="J332" s="1319"/>
      <c r="K332" s="1006"/>
      <c r="L332" s="1319"/>
      <c r="M332" s="1006"/>
      <c r="N332" s="1006"/>
      <c r="O332" s="1007"/>
    </row>
    <row r="333" spans="2:15" ht="16.5" thickBot="1">
      <c r="D333" s="1059"/>
      <c r="E333" s="1308"/>
      <c r="F333" s="1284" t="s">
        <v>3282</v>
      </c>
      <c r="G333" s="1286"/>
      <c r="H333" s="1285"/>
      <c r="I333" s="1286"/>
      <c r="J333" s="1285"/>
      <c r="K333" s="1286"/>
      <c r="L333" s="1286"/>
      <c r="M333" s="1055"/>
      <c r="N333" s="1055"/>
      <c r="O333" s="1055"/>
    </row>
    <row r="334" spans="2:15" ht="16.5" thickBot="1">
      <c r="D334" s="954"/>
      <c r="E334" s="550"/>
      <c r="F334" s="978">
        <v>3</v>
      </c>
      <c r="G334" s="1063" t="s">
        <v>2237</v>
      </c>
      <c r="H334" s="1064"/>
      <c r="I334" s="1151"/>
      <c r="J334" s="1288"/>
      <c r="K334" s="1278"/>
      <c r="L334" s="1278"/>
      <c r="M334" s="1165"/>
      <c r="N334" s="1165"/>
      <c r="O334" s="1165"/>
    </row>
    <row r="335" spans="2:15" ht="16.5" thickBot="1">
      <c r="B335" s="1">
        <v>1</v>
      </c>
      <c r="C335" s="1">
        <v>1</v>
      </c>
      <c r="D335" s="954"/>
      <c r="E335" s="550"/>
      <c r="F335" s="1309" t="s">
        <v>1464</v>
      </c>
      <c r="G335" s="1290" t="s">
        <v>32</v>
      </c>
      <c r="H335" s="1310"/>
      <c r="I335" s="1290"/>
      <c r="J335" s="1310"/>
      <c r="K335" s="1290"/>
      <c r="L335" s="1310"/>
      <c r="M335" s="1165"/>
      <c r="N335" s="1165"/>
      <c r="O335" s="1165"/>
    </row>
    <row r="336" spans="2:15" ht="15.75" customHeight="1">
      <c r="B336" s="1">
        <v>4</v>
      </c>
      <c r="C336" s="1">
        <v>4</v>
      </c>
      <c r="D336" s="954"/>
      <c r="E336" s="550"/>
      <c r="F336" s="1298"/>
      <c r="G336" s="1314" t="s">
        <v>3085</v>
      </c>
      <c r="H336" s="1322"/>
      <c r="I336" s="1322"/>
      <c r="J336" s="1322"/>
      <c r="K336" s="1322"/>
      <c r="L336" s="1323"/>
      <c r="M336" s="1165"/>
      <c r="N336" s="1165"/>
      <c r="O336" s="1165"/>
    </row>
    <row r="337" spans="2:15" ht="15.75" customHeight="1">
      <c r="B337" s="1">
        <v>5</v>
      </c>
      <c r="C337" s="1">
        <v>5</v>
      </c>
      <c r="D337" s="954"/>
      <c r="E337" s="550"/>
      <c r="F337" s="1301"/>
      <c r="G337" s="1256" t="s">
        <v>3086</v>
      </c>
      <c r="H337" s="1257"/>
      <c r="I337" s="1257"/>
      <c r="J337" s="1257"/>
      <c r="K337" s="1257"/>
      <c r="L337" s="1324"/>
      <c r="M337" s="1165"/>
      <c r="N337" s="1165"/>
      <c r="O337" s="1165"/>
    </row>
    <row r="338" spans="2:15" ht="73.5" customHeight="1">
      <c r="B338" s="1"/>
      <c r="C338" s="1"/>
      <c r="D338" s="954"/>
      <c r="E338" s="550"/>
      <c r="F338" s="2198" t="s">
        <v>2240</v>
      </c>
      <c r="G338" s="3509" t="s">
        <v>3087</v>
      </c>
      <c r="H338" s="3590"/>
      <c r="I338" s="3590"/>
      <c r="J338" s="3590"/>
      <c r="K338" s="3590"/>
      <c r="L338" s="3591"/>
      <c r="M338" s="1165"/>
      <c r="N338" s="1165"/>
      <c r="O338" s="1165"/>
    </row>
    <row r="339" spans="2:15" ht="15.75" customHeight="1">
      <c r="B339" s="1"/>
      <c r="C339" s="1"/>
      <c r="D339" s="954"/>
      <c r="E339" s="550"/>
      <c r="F339" s="2198"/>
      <c r="G339" s="2202" t="s">
        <v>3088</v>
      </c>
      <c r="H339" s="2204"/>
      <c r="I339" s="2204"/>
      <c r="J339" s="2204"/>
      <c r="K339" s="2204"/>
      <c r="L339" s="2189"/>
      <c r="M339" s="1165"/>
      <c r="N339" s="1165"/>
      <c r="O339" s="1165"/>
    </row>
    <row r="340" spans="2:15" ht="15.75" customHeight="1">
      <c r="B340" s="1"/>
      <c r="C340" s="1"/>
      <c r="D340" s="954"/>
      <c r="E340" s="550"/>
      <c r="F340" s="2198" t="s">
        <v>2240</v>
      </c>
      <c r="G340" s="2202" t="s">
        <v>34</v>
      </c>
      <c r="H340" s="2204"/>
      <c r="I340" s="2204"/>
      <c r="J340" s="2204"/>
      <c r="K340" s="2204"/>
      <c r="L340" s="2189"/>
      <c r="M340" s="1165"/>
      <c r="N340" s="1165"/>
      <c r="O340" s="1165"/>
    </row>
    <row r="341" spans="2:15" ht="16.5" thickBot="1">
      <c r="B341" s="1008">
        <v>0</v>
      </c>
      <c r="C341" s="1008">
        <v>0</v>
      </c>
      <c r="D341" s="954"/>
      <c r="E341" s="1287"/>
      <c r="F341" s="1307"/>
      <c r="G341" s="3520" t="s">
        <v>35</v>
      </c>
      <c r="H341" s="3583"/>
      <c r="I341" s="3583"/>
      <c r="J341" s="3583"/>
      <c r="K341" s="3583"/>
      <c r="L341" s="3584"/>
      <c r="M341" s="1165"/>
      <c r="N341" s="1165"/>
      <c r="O341" s="1165"/>
    </row>
    <row r="342" spans="2:15" ht="15.75">
      <c r="D342" s="954"/>
      <c r="E342" s="550"/>
      <c r="F342" s="1315"/>
      <c r="G342" s="1315"/>
      <c r="H342" s="1325"/>
      <c r="I342" s="1325"/>
      <c r="J342" s="1325"/>
      <c r="K342" s="1325"/>
      <c r="L342" s="1278"/>
      <c r="M342" s="1278"/>
      <c r="N342" s="1165"/>
      <c r="O342" s="1165"/>
    </row>
    <row r="343" spans="2:15" ht="15.75">
      <c r="D343" s="1386">
        <v>3</v>
      </c>
      <c r="E343" s="1192" t="s">
        <v>1025</v>
      </c>
      <c r="F343" s="1201"/>
      <c r="G343" s="1202"/>
      <c r="H343" s="1202"/>
      <c r="I343" s="1202"/>
      <c r="J343" s="1202"/>
      <c r="K343" s="1201"/>
      <c r="L343" s="1201"/>
      <c r="M343" s="1201"/>
      <c r="N343" s="1201"/>
      <c r="O343" s="1201"/>
    </row>
    <row r="344" spans="2:15" ht="15.75">
      <c r="D344" s="1386">
        <v>3.1</v>
      </c>
      <c r="E344" s="1192" t="s">
        <v>1465</v>
      </c>
      <c r="F344" s="1201"/>
      <c r="G344" s="1092"/>
      <c r="H344" s="1202"/>
      <c r="I344" s="1202"/>
      <c r="J344" s="1202"/>
      <c r="K344" s="1201"/>
      <c r="L344" s="1274"/>
      <c r="M344" s="1201"/>
      <c r="N344" s="1201"/>
      <c r="O344" s="1201"/>
    </row>
    <row r="345" spans="2:15" ht="15.75">
      <c r="D345" s="954"/>
      <c r="E345" s="959"/>
      <c r="F345" s="1133" t="s">
        <v>1280</v>
      </c>
      <c r="G345" s="1045"/>
      <c r="H345" s="1094"/>
      <c r="I345" s="1074"/>
      <c r="J345" s="1048" t="e">
        <f>IF(OR(F347=0,AND(J346=0,O346=0)),$R$3,"")</f>
        <v>#DIV/0!</v>
      </c>
      <c r="K345" s="1133"/>
      <c r="L345" s="1045"/>
      <c r="M345" s="1094"/>
      <c r="N345" s="1074"/>
      <c r="O345" s="1048"/>
    </row>
    <row r="346" spans="2:15" ht="16.5" thickBot="1">
      <c r="D346" s="954"/>
      <c r="E346" s="959"/>
      <c r="F346" s="971" t="s">
        <v>245</v>
      </c>
      <c r="G346" s="972"/>
      <c r="H346" s="973"/>
      <c r="I346" s="974" t="s">
        <v>1125</v>
      </c>
      <c r="J346" s="977" t="e">
        <f>重み!M99</f>
        <v>#DIV/0!</v>
      </c>
      <c r="K346" s="971" t="s">
        <v>1608</v>
      </c>
      <c r="L346" s="972"/>
      <c r="M346" s="973"/>
      <c r="N346" s="974" t="s">
        <v>1125</v>
      </c>
      <c r="O346" s="977" t="e">
        <f>重み!N99</f>
        <v>#DIV/0!</v>
      </c>
    </row>
    <row r="347" spans="2:15" ht="16.5" thickBot="1">
      <c r="D347" s="954"/>
      <c r="E347" s="959"/>
      <c r="F347" s="978">
        <v>3</v>
      </c>
      <c r="G347" s="1095" t="s">
        <v>1466</v>
      </c>
      <c r="H347" s="984"/>
      <c r="I347" s="3494" t="s">
        <v>1467</v>
      </c>
      <c r="J347" s="3514"/>
      <c r="K347" s="978">
        <v>3</v>
      </c>
      <c r="L347" s="1095" t="s">
        <v>1281</v>
      </c>
      <c r="M347" s="984"/>
      <c r="N347" s="1095" t="s">
        <v>1282</v>
      </c>
      <c r="O347" s="984"/>
    </row>
    <row r="348" spans="2:15" ht="15.75">
      <c r="B348" s="1">
        <v>1</v>
      </c>
      <c r="C348" s="1">
        <v>1</v>
      </c>
      <c r="D348" s="954"/>
      <c r="E348" s="959"/>
      <c r="F348" s="985" t="str">
        <f>IF(F347=$S$15,$T$10,IF(ROUNDDOWN(F347,0)=$S$10,$U$10,$T$10))</f>
        <v>　レベル　1</v>
      </c>
      <c r="G348" s="987" t="s">
        <v>1283</v>
      </c>
      <c r="H348" s="1277"/>
      <c r="I348" s="987" t="s">
        <v>1284</v>
      </c>
      <c r="J348" s="1326"/>
      <c r="K348" s="985" t="str">
        <f>IF(K347=$S$15,$T$10,IF(ROUNDDOWN(K347,0)=$S$10,$U$10,$T$10))</f>
        <v>　レベル　1</v>
      </c>
      <c r="L348" s="3401" t="s">
        <v>1283</v>
      </c>
      <c r="M348" s="3403"/>
      <c r="N348" s="3401" t="s">
        <v>1285</v>
      </c>
      <c r="O348" s="3403"/>
    </row>
    <row r="349" spans="2:15" ht="15.75" customHeight="1">
      <c r="B349" s="1">
        <v>2</v>
      </c>
      <c r="C349" s="1">
        <v>2</v>
      </c>
      <c r="D349" s="954"/>
      <c r="E349" s="959"/>
      <c r="F349" s="990" t="str">
        <f>IF(F347=$S$15,$T$11,IF(ROUNDDOWN(F347,0)=$S$11,$U$11,$T$11))</f>
        <v>　レベル　2</v>
      </c>
      <c r="G349" s="994" t="s">
        <v>3089</v>
      </c>
      <c r="H349" s="1135"/>
      <c r="I349" s="994" t="s">
        <v>3090</v>
      </c>
      <c r="J349" s="1327"/>
      <c r="K349" s="990" t="str">
        <f>IF(K347=$S$15,$T$11,IF(ROUNDDOWN(K347,0)=$S$11,$U$11,$T$11))</f>
        <v>　レベル　2</v>
      </c>
      <c r="L349" s="3397" t="s">
        <v>3089</v>
      </c>
      <c r="M349" s="3404"/>
      <c r="N349" s="3397" t="s">
        <v>3091</v>
      </c>
      <c r="O349" s="3404"/>
    </row>
    <row r="350" spans="2:15" ht="15.75" customHeight="1">
      <c r="B350" s="1">
        <v>3</v>
      </c>
      <c r="C350" s="1">
        <v>3</v>
      </c>
      <c r="D350" s="954"/>
      <c r="E350" s="959"/>
      <c r="F350" s="990" t="str">
        <f>IF(F347=$S$15,$T$12,IF(ROUNDDOWN(F347,0)=$S$12,$U$12,$T$12))</f>
        <v>■レベル　3</v>
      </c>
      <c r="G350" s="994" t="s">
        <v>3092</v>
      </c>
      <c r="H350" s="1135"/>
      <c r="I350" s="994" t="s">
        <v>3089</v>
      </c>
      <c r="J350" s="1327"/>
      <c r="K350" s="990" t="str">
        <f>IF(K347=$S$15,$T$12,IF(ROUNDDOWN(K347,0)=$S$12,$U$12,$T$12))</f>
        <v>■レベル　3</v>
      </c>
      <c r="L350" s="3397" t="s">
        <v>3092</v>
      </c>
      <c r="M350" s="3404"/>
      <c r="N350" s="3397" t="s">
        <v>3093</v>
      </c>
      <c r="O350" s="3404"/>
    </row>
    <row r="351" spans="2:15" ht="15.75" customHeight="1">
      <c r="B351" s="1">
        <v>4</v>
      </c>
      <c r="C351" s="1">
        <v>4</v>
      </c>
      <c r="D351" s="954"/>
      <c r="E351" s="959"/>
      <c r="F351" s="990" t="str">
        <f>IF(F347=$S$15,$T$13,IF(ROUNDDOWN(F347,0)=$S$13,$U$13,$T$13))</f>
        <v>　レベル　4</v>
      </c>
      <c r="G351" s="994" t="s">
        <v>3094</v>
      </c>
      <c r="H351" s="1135"/>
      <c r="I351" s="994" t="s">
        <v>3092</v>
      </c>
      <c r="J351" s="1327"/>
      <c r="K351" s="990" t="str">
        <f>IF(K347=$S$15,$T$13,IF(ROUNDDOWN(K347,0)=$S$13,$U$13,$T$13))</f>
        <v>　レベル　4</v>
      </c>
      <c r="L351" s="3397" t="s">
        <v>3094</v>
      </c>
      <c r="M351" s="3404"/>
      <c r="N351" s="3397" t="s">
        <v>3095</v>
      </c>
      <c r="O351" s="3404"/>
    </row>
    <row r="352" spans="2:15" ht="15.75">
      <c r="B352" s="1">
        <v>5</v>
      </c>
      <c r="C352" s="1">
        <v>5</v>
      </c>
      <c r="D352" s="954"/>
      <c r="E352" s="959"/>
      <c r="F352" s="1001" t="str">
        <f>IF(F347=$S$15,$T$14,IF(ROUNDDOWN(F347,0)=$S$14,$U$14,$T$14))</f>
        <v>　レベル　5</v>
      </c>
      <c r="G352" s="1005" t="s">
        <v>1286</v>
      </c>
      <c r="H352" s="1128"/>
      <c r="I352" s="1005" t="s">
        <v>1287</v>
      </c>
      <c r="J352" s="1328"/>
      <c r="K352" s="1001" t="str">
        <f>IF(K347=$S$15,$T$14,IF(ROUNDDOWN(K347,0)=$S$14,$U$14,$T$14))</f>
        <v>　レベル　5</v>
      </c>
      <c r="L352" s="3394" t="s">
        <v>1286</v>
      </c>
      <c r="M352" s="3413"/>
      <c r="N352" s="3394" t="s">
        <v>1288</v>
      </c>
      <c r="O352" s="3413"/>
    </row>
    <row r="353" spans="2:15" ht="15.75">
      <c r="B353" s="1008">
        <v>0</v>
      </c>
      <c r="C353" s="1008">
        <v>0</v>
      </c>
      <c r="D353" s="954"/>
      <c r="E353" s="959"/>
      <c r="F353" s="1165"/>
      <c r="G353" s="1044"/>
      <c r="H353" s="1044"/>
      <c r="I353" s="1044"/>
      <c r="J353" s="1044"/>
      <c r="K353" s="1165"/>
      <c r="L353" s="1165"/>
      <c r="M353" s="1165"/>
      <c r="N353" s="1165"/>
      <c r="O353" s="1165"/>
    </row>
    <row r="354" spans="2:15" ht="15.75">
      <c r="D354" s="954"/>
      <c r="E354" s="959"/>
      <c r="F354" s="1133" t="s">
        <v>1289</v>
      </c>
      <c r="G354" s="1045"/>
      <c r="H354" s="1094"/>
      <c r="I354" s="1074"/>
      <c r="J354" s="1048" t="e">
        <f>IF(OR(F356=0,AND(J355=0,O355=0)),$R$3,"")</f>
        <v>#DIV/0!</v>
      </c>
      <c r="K354" s="1133"/>
      <c r="L354" s="1045"/>
      <c r="M354" s="1094"/>
      <c r="N354" s="1074"/>
      <c r="O354" s="1048"/>
    </row>
    <row r="355" spans="2:15" ht="16.5" thickBot="1">
      <c r="D355" s="954"/>
      <c r="E355" s="959"/>
      <c r="F355" s="971" t="s">
        <v>1290</v>
      </c>
      <c r="G355" s="972"/>
      <c r="H355" s="973"/>
      <c r="I355" s="974" t="s">
        <v>1125</v>
      </c>
      <c r="J355" s="977" t="e">
        <f>重み!M100</f>
        <v>#DIV/0!</v>
      </c>
      <c r="K355" s="971" t="s">
        <v>1608</v>
      </c>
      <c r="L355" s="972"/>
      <c r="M355" s="973"/>
      <c r="N355" s="974" t="s">
        <v>1125</v>
      </c>
      <c r="O355" s="977" t="e">
        <f>重み!N100</f>
        <v>#DIV/0!</v>
      </c>
    </row>
    <row r="356" spans="2:15" ht="16.5" thickBot="1">
      <c r="D356" s="954"/>
      <c r="E356" s="959"/>
      <c r="F356" s="978">
        <v>3</v>
      </c>
      <c r="G356" s="1095" t="s">
        <v>1468</v>
      </c>
      <c r="H356" s="983"/>
      <c r="I356" s="983"/>
      <c r="J356" s="984"/>
      <c r="K356" s="978">
        <v>3</v>
      </c>
      <c r="L356" s="1095" t="s">
        <v>208</v>
      </c>
      <c r="M356" s="984"/>
      <c r="N356" s="1095"/>
      <c r="O356" s="1100"/>
    </row>
    <row r="357" spans="2:15" ht="15.75">
      <c r="B357" s="1">
        <v>1</v>
      </c>
      <c r="C357" s="1">
        <v>1</v>
      </c>
      <c r="D357" s="954"/>
      <c r="E357" s="959"/>
      <c r="F357" s="985" t="str">
        <f>IF(F356=$S$15,$T$10,IF(ROUNDDOWN(F356,0)=$S$10,$U$10,$T$10))</f>
        <v>　レベル　1</v>
      </c>
      <c r="G357" s="987" t="s">
        <v>1469</v>
      </c>
      <c r="H357" s="1277"/>
      <c r="I357" s="1277"/>
      <c r="J357" s="1326"/>
      <c r="K357" s="985" t="str">
        <f>IF(K356=$S$15,$T$10,IF(ROUNDDOWN(K356,0)=$S$10,$U$10,$T$10))</f>
        <v>　レベル　1</v>
      </c>
      <c r="L357" s="3401" t="s">
        <v>209</v>
      </c>
      <c r="M357" s="3427"/>
      <c r="N357" s="3427"/>
      <c r="O357" s="3402"/>
    </row>
    <row r="358" spans="2:15" ht="15.75">
      <c r="B358" s="1">
        <v>2</v>
      </c>
      <c r="C358" s="1">
        <v>2</v>
      </c>
      <c r="D358" s="954"/>
      <c r="E358" s="959"/>
      <c r="F358" s="990" t="str">
        <f>IF(F356=$S$15,$T$11,IF(ROUNDDOWN(F356,0)=$S$11,$U$11,$T$11))</f>
        <v>　レベル　2</v>
      </c>
      <c r="G358" s="994" t="s">
        <v>1470</v>
      </c>
      <c r="H358" s="1135"/>
      <c r="I358" s="1135"/>
      <c r="J358" s="1327"/>
      <c r="K358" s="990" t="str">
        <f>IF(K356=$S$15,$T$11,IF(ROUNDDOWN(K356,0)=$S$11,$U$11,$T$11))</f>
        <v>　レベル　2</v>
      </c>
      <c r="L358" s="3428" t="s">
        <v>210</v>
      </c>
      <c r="M358" s="3429"/>
      <c r="N358" s="3429"/>
      <c r="O358" s="3430"/>
    </row>
    <row r="359" spans="2:15" ht="15.75">
      <c r="B359" s="1">
        <v>3</v>
      </c>
      <c r="C359" s="1">
        <v>3</v>
      </c>
      <c r="D359" s="954"/>
      <c r="E359" s="1189"/>
      <c r="F359" s="990" t="str">
        <f>IF(F356=$S$15,$T$12,IF(ROUNDDOWN(F356,0)=$S$12,$U$12,$T$12))</f>
        <v>■レベル　3</v>
      </c>
      <c r="G359" s="994" t="s">
        <v>1471</v>
      </c>
      <c r="H359" s="1135"/>
      <c r="I359" s="1135"/>
      <c r="J359" s="1327"/>
      <c r="K359" s="990" t="str">
        <f>IF(K356=$S$15,$T$12,IF(ROUNDDOWN(K356,0)=$S$12,$U$12,$T$12))</f>
        <v>■レベル　3</v>
      </c>
      <c r="L359" s="3428" t="s">
        <v>211</v>
      </c>
      <c r="M359" s="3429"/>
      <c r="N359" s="3429"/>
      <c r="O359" s="3430"/>
    </row>
    <row r="360" spans="2:15" ht="15.75">
      <c r="B360" s="1">
        <v>4</v>
      </c>
      <c r="C360" s="1">
        <v>4</v>
      </c>
      <c r="D360" s="954"/>
      <c r="E360" s="959"/>
      <c r="F360" s="990" t="str">
        <f>IF(F356=$S$15,$T$13,IF(ROUNDDOWN(F356,0)=$S$13,$U$13,$T$13))</f>
        <v>　レベル　4</v>
      </c>
      <c r="G360" s="994" t="s">
        <v>1472</v>
      </c>
      <c r="H360" s="1135"/>
      <c r="I360" s="1135"/>
      <c r="J360" s="1327"/>
      <c r="K360" s="990" t="str">
        <f>IF(K356=$S$15,$T$13,IF(ROUNDDOWN(K356,0)=$S$13,$U$13,$T$13))</f>
        <v>　レベル　4</v>
      </c>
      <c r="L360" s="3428" t="s">
        <v>212</v>
      </c>
      <c r="M360" s="3429"/>
      <c r="N360" s="3429"/>
      <c r="O360" s="3430"/>
    </row>
    <row r="361" spans="2:15" ht="15.75">
      <c r="B361" s="1">
        <v>5</v>
      </c>
      <c r="C361" s="1">
        <v>5</v>
      </c>
      <c r="D361" s="954"/>
      <c r="E361" s="959"/>
      <c r="F361" s="1001" t="str">
        <f>IF(F356=$S$15,$T$14,IF(ROUNDDOWN(F356,0)=$S$14,$U$14,$T$14))</f>
        <v>　レベル　5</v>
      </c>
      <c r="G361" s="1005" t="s">
        <v>213</v>
      </c>
      <c r="H361" s="1128"/>
      <c r="I361" s="1128"/>
      <c r="J361" s="1328"/>
      <c r="K361" s="1001" t="str">
        <f>IF(K356=$S$15,$T$14,IF(ROUNDDOWN(K356,0)=$S$14,$U$14,$T$14))</f>
        <v>　レベル　5</v>
      </c>
      <c r="L361" s="3424" t="s">
        <v>213</v>
      </c>
      <c r="M361" s="3425"/>
      <c r="N361" s="3425"/>
      <c r="O361" s="3426"/>
    </row>
    <row r="362" spans="2:15" ht="15.75" customHeight="1">
      <c r="B362" s="1008">
        <v>0</v>
      </c>
      <c r="C362" s="1008">
        <v>0</v>
      </c>
      <c r="D362" s="954"/>
      <c r="E362" s="959"/>
      <c r="F362" s="1099"/>
      <c r="G362" s="1329" t="s">
        <v>1473</v>
      </c>
      <c r="H362" s="1330" t="s">
        <v>214</v>
      </c>
      <c r="I362" s="1330"/>
      <c r="J362" s="1331"/>
      <c r="K362" s="1331"/>
      <c r="L362" s="1099"/>
      <c r="M362" s="1099"/>
      <c r="N362" s="1099"/>
      <c r="O362" s="1099"/>
    </row>
    <row r="363" spans="2:15" ht="15.75">
      <c r="D363" s="954"/>
      <c r="E363" s="959"/>
      <c r="F363" s="1099"/>
      <c r="G363" s="1332"/>
      <c r="H363" s="1333" t="s">
        <v>215</v>
      </c>
      <c r="I363" s="1333"/>
      <c r="J363" s="1332"/>
      <c r="K363" s="1332"/>
      <c r="L363" s="1099"/>
      <c r="M363" s="1099"/>
      <c r="N363" s="1099"/>
      <c r="O363" s="1099"/>
    </row>
    <row r="364" spans="2:15" ht="15.75">
      <c r="D364" s="954"/>
      <c r="E364" s="959"/>
      <c r="F364" s="1099"/>
      <c r="G364" s="1099"/>
      <c r="H364" s="1099"/>
      <c r="I364" s="1099"/>
      <c r="J364" s="1099"/>
      <c r="K364" s="1099"/>
      <c r="L364" s="1099"/>
      <c r="M364" s="1099"/>
      <c r="N364" s="1099"/>
      <c r="O364" s="1099"/>
    </row>
    <row r="365" spans="2:15" ht="15.75">
      <c r="D365" s="1386">
        <v>3.2</v>
      </c>
      <c r="E365" s="1192" t="s">
        <v>1474</v>
      </c>
      <c r="F365" s="1133"/>
      <c r="G365" s="1045"/>
      <c r="H365" s="1094"/>
      <c r="I365" s="1074"/>
      <c r="J365" s="1048" t="e">
        <f>IF(OR(F367=0,AND(J366=0,O366=0)),$R$3,"")</f>
        <v>#DIV/0!</v>
      </c>
      <c r="K365" s="1074"/>
      <c r="L365" s="1074"/>
      <c r="M365" s="1044"/>
      <c r="N365" s="1074"/>
      <c r="O365" s="1048"/>
    </row>
    <row r="366" spans="2:15" ht="16.5" thickBot="1">
      <c r="D366" s="954"/>
      <c r="E366" s="959"/>
      <c r="F366" s="1114" t="s">
        <v>245</v>
      </c>
      <c r="G366" s="972"/>
      <c r="H366" s="973"/>
      <c r="I366" s="974" t="s">
        <v>1125</v>
      </c>
      <c r="J366" s="975" t="e">
        <f>重み!M101</f>
        <v>#DIV/0!</v>
      </c>
      <c r="K366" s="1115"/>
      <c r="L366" s="1117"/>
      <c r="M366" s="1118" t="s">
        <v>1608</v>
      </c>
      <c r="N366" s="974" t="s">
        <v>1125</v>
      </c>
      <c r="O366" s="976" t="e">
        <f>重み!N101</f>
        <v>#DIV/0!</v>
      </c>
    </row>
    <row r="367" spans="2:15" ht="16.5" thickBot="1">
      <c r="D367" s="954"/>
      <c r="E367" s="959"/>
      <c r="F367" s="978">
        <v>3</v>
      </c>
      <c r="G367" s="3494" t="s">
        <v>1475</v>
      </c>
      <c r="H367" s="3514"/>
      <c r="I367" s="1095" t="s">
        <v>1476</v>
      </c>
      <c r="J367" s="984"/>
      <c r="K367" s="1119" t="s">
        <v>1635</v>
      </c>
      <c r="L367" s="1120"/>
      <c r="M367" s="978">
        <v>3</v>
      </c>
      <c r="N367" s="1095" t="s">
        <v>1625</v>
      </c>
      <c r="O367" s="984"/>
    </row>
    <row r="368" spans="2:15" ht="15.75" customHeight="1">
      <c r="B368" s="1" t="s">
        <v>1794</v>
      </c>
      <c r="C368" s="1" t="s">
        <v>1794</v>
      </c>
      <c r="D368" s="954"/>
      <c r="E368" s="959"/>
      <c r="F368" s="985" t="str">
        <f>IF(F367=$S$15,$T$10,IF(ROUNDDOWN(F367,0)=$S$10,$U$10,$T$10))</f>
        <v>　レベル　1</v>
      </c>
      <c r="G368" s="3401" t="s">
        <v>1477</v>
      </c>
      <c r="H368" s="3403"/>
      <c r="I368" s="3401" t="s">
        <v>1477</v>
      </c>
      <c r="J368" s="3403"/>
      <c r="K368" s="3401" t="s">
        <v>1477</v>
      </c>
      <c r="L368" s="3403"/>
      <c r="M368" s="985" t="str">
        <f>IF(M367=$S$15,$T$10,IF(ROUNDDOWN(M367,0)=$S$10,$U$10,$T$10))</f>
        <v>　レベル　1</v>
      </c>
      <c r="N368" s="3401" t="s">
        <v>1477</v>
      </c>
      <c r="O368" s="3403"/>
    </row>
    <row r="369" spans="2:15" ht="15.75" customHeight="1">
      <c r="B369" s="1">
        <v>2</v>
      </c>
      <c r="C369" s="1">
        <v>2</v>
      </c>
      <c r="D369" s="954"/>
      <c r="E369" s="959"/>
      <c r="F369" s="990" t="str">
        <f>IF(F367=$S$15,$T$11,IF(ROUNDDOWN(F367,0)=$S$11,$U$11,$T$11))</f>
        <v>　レベル　2</v>
      </c>
      <c r="G369" s="3397" t="s">
        <v>1478</v>
      </c>
      <c r="H369" s="3404"/>
      <c r="I369" s="3397" t="s">
        <v>1479</v>
      </c>
      <c r="J369" s="3404"/>
      <c r="K369" s="3397" t="s">
        <v>1480</v>
      </c>
      <c r="L369" s="3404"/>
      <c r="M369" s="990" t="str">
        <f>IF(M367=$S$15,$T$11,IF(ROUNDDOWN(M367,0)=$S$11,$U$11,$T$11))</f>
        <v>　レベル　2</v>
      </c>
      <c r="N369" s="3397" t="s">
        <v>1481</v>
      </c>
      <c r="O369" s="3404"/>
    </row>
    <row r="370" spans="2:15" ht="15.75" customHeight="1">
      <c r="B370" s="1">
        <v>3</v>
      </c>
      <c r="C370" s="1">
        <v>3</v>
      </c>
      <c r="D370" s="954"/>
      <c r="E370" s="959"/>
      <c r="F370" s="990" t="str">
        <f>IF(F367=$S$15,$T$12,IF(ROUNDDOWN(F367,0)=$S$12,$U$12,$T$12))</f>
        <v>■レベル　3</v>
      </c>
      <c r="G370" s="3397" t="s">
        <v>1482</v>
      </c>
      <c r="H370" s="3404"/>
      <c r="I370" s="3397" t="s">
        <v>1483</v>
      </c>
      <c r="J370" s="3404"/>
      <c r="K370" s="3397" t="s">
        <v>2360</v>
      </c>
      <c r="L370" s="3404"/>
      <c r="M370" s="990" t="str">
        <f>IF(M367=$S$15,$T$12,IF(ROUNDDOWN(M367,0)=$S$12,$U$12,$T$12))</f>
        <v>■レベル　3</v>
      </c>
      <c r="N370" s="3397" t="s">
        <v>2361</v>
      </c>
      <c r="O370" s="3404"/>
    </row>
    <row r="371" spans="2:15" ht="15.75" customHeight="1">
      <c r="B371" s="1">
        <v>4</v>
      </c>
      <c r="C371" s="1">
        <v>4</v>
      </c>
      <c r="D371" s="954"/>
      <c r="E371" s="959"/>
      <c r="F371" s="990" t="str">
        <f>IF(F367=$S$15,$T$13,IF(ROUNDDOWN(F367,0)=$S$13,$U$13,$T$13))</f>
        <v>　レベル　4</v>
      </c>
      <c r="G371" s="3397" t="s">
        <v>2362</v>
      </c>
      <c r="H371" s="3404"/>
      <c r="I371" s="3397" t="s">
        <v>2363</v>
      </c>
      <c r="J371" s="3404"/>
      <c r="K371" s="3397" t="s">
        <v>1482</v>
      </c>
      <c r="L371" s="3404"/>
      <c r="M371" s="990" t="str">
        <f>IF(M367=$S$15,$T$13,IF(ROUNDDOWN(M367,0)=$S$13,$U$13,$T$13))</f>
        <v>　レベル　4</v>
      </c>
      <c r="N371" s="3397" t="s">
        <v>1916</v>
      </c>
      <c r="O371" s="3404"/>
    </row>
    <row r="372" spans="2:15" ht="15.75" customHeight="1">
      <c r="B372" s="1">
        <v>5</v>
      </c>
      <c r="C372" s="1">
        <v>5</v>
      </c>
      <c r="D372" s="954"/>
      <c r="E372" s="959"/>
      <c r="F372" s="1001" t="str">
        <f>IF(F367=$S$15,$T$14,IF(ROUNDDOWN(F367,0)=$S$14,$U$14,$T$14))</f>
        <v>　レベル　5</v>
      </c>
      <c r="G372" s="3394" t="s">
        <v>1744</v>
      </c>
      <c r="H372" s="3413"/>
      <c r="I372" s="3394" t="s">
        <v>1745</v>
      </c>
      <c r="J372" s="3413"/>
      <c r="K372" s="3394" t="s">
        <v>1746</v>
      </c>
      <c r="L372" s="3413"/>
      <c r="M372" s="1001" t="str">
        <f>IF(M367=$S$15,$T$14,IF(ROUNDDOWN(M367,0)=$S$14,$U$14,$T$14))</f>
        <v>　レベル　5</v>
      </c>
      <c r="N372" s="3394" t="s">
        <v>1747</v>
      </c>
      <c r="O372" s="3413"/>
    </row>
    <row r="373" spans="2:15" ht="15.75">
      <c r="B373" s="1008">
        <v>0</v>
      </c>
      <c r="C373" s="1008">
        <v>0</v>
      </c>
      <c r="D373" s="1334"/>
      <c r="E373" s="550"/>
      <c r="F373" s="1165"/>
      <c r="G373" s="1044"/>
      <c r="H373" s="1044"/>
      <c r="I373" s="1044"/>
      <c r="J373" s="1044"/>
      <c r="K373" s="1165"/>
      <c r="L373" s="1165"/>
      <c r="M373" s="1165"/>
      <c r="N373" s="1165"/>
      <c r="O373" s="1278"/>
    </row>
    <row r="374" spans="2:15" ht="15.75">
      <c r="D374" s="1386">
        <v>3.3</v>
      </c>
      <c r="E374" s="1192" t="s">
        <v>1748</v>
      </c>
      <c r="F374" s="1201"/>
      <c r="G374" s="1092"/>
      <c r="H374" s="1202"/>
      <c r="I374" s="1202"/>
      <c r="J374" s="1202"/>
      <c r="K374" s="1201"/>
      <c r="L374" s="1274"/>
      <c r="M374" s="1201"/>
      <c r="N374" s="1201"/>
      <c r="O374" s="1201"/>
    </row>
    <row r="375" spans="2:15" ht="15.75">
      <c r="D375" s="1386"/>
      <c r="E375" s="1192"/>
      <c r="F375" s="1133" t="s">
        <v>216</v>
      </c>
      <c r="G375" s="1045"/>
      <c r="H375" s="1094"/>
      <c r="I375" s="1074"/>
      <c r="J375" s="1048"/>
      <c r="K375" s="1133" t="s">
        <v>217</v>
      </c>
      <c r="L375" s="1045"/>
      <c r="M375" s="1094"/>
      <c r="N375" s="1074"/>
      <c r="O375" s="1048"/>
    </row>
    <row r="376" spans="2:15" ht="16.5" thickBot="1">
      <c r="D376" s="954"/>
      <c r="E376" s="959"/>
      <c r="F376" s="971"/>
      <c r="G376" s="972"/>
      <c r="H376" s="973"/>
      <c r="I376" s="974" t="s">
        <v>1125</v>
      </c>
      <c r="J376" s="977" t="e">
        <f>重み!M103</f>
        <v>#DIV/0!</v>
      </c>
      <c r="K376" s="971"/>
      <c r="L376" s="972"/>
      <c r="M376" s="973"/>
      <c r="N376" s="974" t="s">
        <v>1125</v>
      </c>
      <c r="O376" s="977" t="e">
        <f>重み!M104</f>
        <v>#DIV/0!</v>
      </c>
    </row>
    <row r="377" spans="2:15" ht="16.5" thickBot="1">
      <c r="D377" s="954"/>
      <c r="E377" s="959"/>
      <c r="F377" s="978">
        <v>3</v>
      </c>
      <c r="G377" s="1095" t="s">
        <v>1246</v>
      </c>
      <c r="H377" s="984"/>
      <c r="I377" s="983"/>
      <c r="J377" s="984"/>
      <c r="K377" s="978">
        <v>3</v>
      </c>
      <c r="L377" s="1095" t="s">
        <v>1246</v>
      </c>
      <c r="M377" s="984"/>
      <c r="N377" s="1095"/>
      <c r="O377" s="1100"/>
    </row>
    <row r="378" spans="2:15" ht="21" customHeight="1">
      <c r="B378" s="1">
        <v>1</v>
      </c>
      <c r="C378" s="1">
        <v>1</v>
      </c>
      <c r="D378" s="954"/>
      <c r="E378" s="959"/>
      <c r="F378" s="985" t="str">
        <f>IF(F377=$S$15,$T$10,IF(ROUNDDOWN(F377,0)=$S$10,$U$10,$T$10))</f>
        <v>　レベル　1</v>
      </c>
      <c r="G378" s="3401" t="s">
        <v>1749</v>
      </c>
      <c r="H378" s="3503"/>
      <c r="I378" s="3503"/>
      <c r="J378" s="3504"/>
      <c r="K378" s="985" t="str">
        <f>IF(K377=$S$15,$T$10,IF(ROUNDDOWN(K377,0)=$S$10,$U$10,$T$10))</f>
        <v>　レベル　1</v>
      </c>
      <c r="L378" s="3401" t="s">
        <v>3096</v>
      </c>
      <c r="M378" s="3503"/>
      <c r="N378" s="3503"/>
      <c r="O378" s="3504"/>
    </row>
    <row r="379" spans="2:15" ht="38.25" customHeight="1">
      <c r="B379" s="1">
        <v>2</v>
      </c>
      <c r="C379" s="1">
        <v>2</v>
      </c>
      <c r="D379" s="954"/>
      <c r="E379" s="959"/>
      <c r="F379" s="990" t="str">
        <f>IF(F377=$S$15,$T$11,IF(ROUNDDOWN(F377,0)=$S$11,$U$11,$T$11))</f>
        <v>　レベル　2</v>
      </c>
      <c r="G379" s="3428" t="s">
        <v>1260</v>
      </c>
      <c r="H379" s="3429"/>
      <c r="I379" s="3429"/>
      <c r="J379" s="3430"/>
      <c r="K379" s="990" t="str">
        <f>IF(K377=$S$15,$T$11,IF(ROUNDDOWN(K377,0)=$S$11,$U$11,$T$11))</f>
        <v>　レベル　2</v>
      </c>
      <c r="L379" s="3428" t="s">
        <v>3097</v>
      </c>
      <c r="M379" s="3429"/>
      <c r="N379" s="3429"/>
      <c r="O379" s="3430"/>
    </row>
    <row r="380" spans="2:15" ht="38.25" customHeight="1">
      <c r="B380" s="1">
        <v>3</v>
      </c>
      <c r="C380" s="1">
        <v>3</v>
      </c>
      <c r="D380" s="954"/>
      <c r="E380" s="959"/>
      <c r="F380" s="990" t="str">
        <f>IF(F377=$S$15,$T$12,IF(ROUNDDOWN(F377,0)=$S$12,$U$12,$T$12))</f>
        <v>■レベル　3</v>
      </c>
      <c r="G380" s="3428" t="s">
        <v>3098</v>
      </c>
      <c r="H380" s="3429"/>
      <c r="I380" s="3429"/>
      <c r="J380" s="3430"/>
      <c r="K380" s="990" t="str">
        <f>IF(K377=$S$15,$T$12,IF(ROUNDDOWN(K377,0)=$S$12,$U$12,$T$12))</f>
        <v>■レベル　3</v>
      </c>
      <c r="L380" s="3428" t="s">
        <v>3099</v>
      </c>
      <c r="M380" s="3429"/>
      <c r="N380" s="3429"/>
      <c r="O380" s="3430"/>
    </row>
    <row r="381" spans="2:15" ht="38.25" customHeight="1">
      <c r="B381" s="1">
        <v>4</v>
      </c>
      <c r="C381" s="1">
        <v>4</v>
      </c>
      <c r="D381" s="954"/>
      <c r="E381" s="959"/>
      <c r="F381" s="990" t="str">
        <f>IF(F377=$S$15,$T$13,IF(ROUNDDOWN(F377,0)=$S$13,$U$13,$T$13))</f>
        <v>　レベル　4</v>
      </c>
      <c r="G381" s="3428" t="s">
        <v>3100</v>
      </c>
      <c r="H381" s="3429"/>
      <c r="I381" s="3429"/>
      <c r="J381" s="3430"/>
      <c r="K381" s="990" t="str">
        <f>IF(K377=$S$15,$T$13,IF(ROUNDDOWN(K377,0)=$S$13,$U$13,$T$13))</f>
        <v>　レベル　4</v>
      </c>
      <c r="L381" s="3428" t="s">
        <v>3101</v>
      </c>
      <c r="M381" s="3429"/>
      <c r="N381" s="3429"/>
      <c r="O381" s="3430"/>
    </row>
    <row r="382" spans="2:15" ht="38.25" customHeight="1">
      <c r="B382" s="1">
        <v>5</v>
      </c>
      <c r="C382" s="1">
        <v>5</v>
      </c>
      <c r="D382" s="954"/>
      <c r="E382" s="959"/>
      <c r="F382" s="1001" t="str">
        <f>IF(F377=$S$15,$T$14,IF(ROUNDDOWN(F377,0)=$S$14,$U$14,$T$14))</f>
        <v>　レベル　5</v>
      </c>
      <c r="G382" s="3424" t="s">
        <v>3102</v>
      </c>
      <c r="H382" s="3425"/>
      <c r="I382" s="3425"/>
      <c r="J382" s="3426"/>
      <c r="K382" s="1001" t="str">
        <f>IF(K377=$S$15,$T$14,IF(ROUNDDOWN(K377,0)=$S$14,$U$14,$T$14))</f>
        <v>　レベル　5</v>
      </c>
      <c r="L382" s="3424" t="s">
        <v>3103</v>
      </c>
      <c r="M382" s="3425"/>
      <c r="N382" s="3425"/>
      <c r="O382" s="3426"/>
    </row>
    <row r="383" spans="2:15" ht="15.75">
      <c r="B383" s="1008">
        <v>0</v>
      </c>
      <c r="C383" s="1008">
        <v>0</v>
      </c>
      <c r="D383" s="954"/>
      <c r="E383" s="1108"/>
      <c r="F383" s="1132"/>
      <c r="G383" s="1132"/>
      <c r="H383" s="1132"/>
      <c r="I383" s="1132"/>
      <c r="J383" s="1130"/>
      <c r="K383" s="1130"/>
      <c r="L383" s="1132"/>
      <c r="M383" s="1132"/>
      <c r="N383" s="1130"/>
      <c r="O383" s="1335"/>
    </row>
    <row r="384" spans="2:15" ht="15.75">
      <c r="D384" s="954"/>
      <c r="E384" s="1108"/>
      <c r="F384" s="1133" t="s">
        <v>1261</v>
      </c>
      <c r="G384" s="1045"/>
      <c r="H384" s="1094"/>
      <c r="I384" s="1074"/>
      <c r="J384" s="1048"/>
      <c r="K384" s="1133" t="s">
        <v>88</v>
      </c>
      <c r="L384" s="1045"/>
      <c r="M384" s="1094"/>
      <c r="N384" s="1074"/>
      <c r="O384" s="1048"/>
    </row>
    <row r="385" spans="2:15" ht="16.5" thickBot="1">
      <c r="D385" s="954"/>
      <c r="E385" s="1108"/>
      <c r="F385" s="971"/>
      <c r="G385" s="972"/>
      <c r="H385" s="973"/>
      <c r="I385" s="974" t="s">
        <v>1125</v>
      </c>
      <c r="J385" s="977" t="e">
        <f>重み!M105</f>
        <v>#DIV/0!</v>
      </c>
      <c r="K385" s="971"/>
      <c r="L385" s="972"/>
      <c r="M385" s="973"/>
      <c r="N385" s="974" t="s">
        <v>1125</v>
      </c>
      <c r="O385" s="977" t="e">
        <f>重み!M106</f>
        <v>#DIV/0!</v>
      </c>
    </row>
    <row r="386" spans="2:15" ht="15.75" customHeight="1" thickBot="1">
      <c r="D386" s="954"/>
      <c r="E386" s="1108"/>
      <c r="F386" s="978">
        <v>3</v>
      </c>
      <c r="G386" s="1095" t="s">
        <v>1246</v>
      </c>
      <c r="H386" s="984"/>
      <c r="I386" s="983"/>
      <c r="J386" s="984"/>
      <c r="K386" s="978">
        <v>3</v>
      </c>
      <c r="L386" s="1095" t="s">
        <v>1246</v>
      </c>
      <c r="M386" s="984"/>
      <c r="N386" s="1095"/>
      <c r="O386" s="1100"/>
    </row>
    <row r="387" spans="2:15" ht="15.75" customHeight="1">
      <c r="B387" s="1">
        <v>1</v>
      </c>
      <c r="C387" s="1">
        <v>1</v>
      </c>
      <c r="D387" s="954"/>
      <c r="E387" s="1108"/>
      <c r="F387" s="985" t="str">
        <f>IF(F386=$S$15,$T$10,IF(ROUNDDOWN(F386,0)=$S$10,$U$10,$T$10))</f>
        <v>　レベル　1</v>
      </c>
      <c r="G387" s="3401" t="s">
        <v>1262</v>
      </c>
      <c r="H387" s="3503"/>
      <c r="I387" s="3503"/>
      <c r="J387" s="3504"/>
      <c r="K387" s="985" t="str">
        <f>IF(K386=$S$15,$T$10,IF(ROUNDDOWN(K386,0)=$S$10,$U$10,$T$10))</f>
        <v>　レベル　1</v>
      </c>
      <c r="L387" s="3401" t="s">
        <v>1263</v>
      </c>
      <c r="M387" s="3503"/>
      <c r="N387" s="3503"/>
      <c r="O387" s="3504"/>
    </row>
    <row r="388" spans="2:15" ht="15.75" customHeight="1">
      <c r="B388" s="1" t="s">
        <v>1249</v>
      </c>
      <c r="C388" s="1" t="s">
        <v>1249</v>
      </c>
      <c r="D388" s="954"/>
      <c r="E388" s="1108"/>
      <c r="F388" s="990" t="str">
        <f>IF(F386=$S$15,$T$11,IF(ROUNDDOWN(F386,0)=$S$11,$U$11,$T$11))</f>
        <v>　レベル　2</v>
      </c>
      <c r="G388" s="3428" t="s">
        <v>1795</v>
      </c>
      <c r="H388" s="3429"/>
      <c r="I388" s="3429"/>
      <c r="J388" s="3430"/>
      <c r="K388" s="990" t="str">
        <f>IF(K386=$S$15,$T$11,IF(ROUNDDOWN(K386,0)=$S$11,$U$11,$T$11))</f>
        <v>　レベル　2</v>
      </c>
      <c r="L388" s="3428" t="s">
        <v>1795</v>
      </c>
      <c r="M388" s="3429"/>
      <c r="N388" s="3429"/>
      <c r="O388" s="3430"/>
    </row>
    <row r="389" spans="2:15" ht="15.75">
      <c r="B389" s="1">
        <v>3</v>
      </c>
      <c r="C389" s="1">
        <v>3</v>
      </c>
      <c r="D389" s="954"/>
      <c r="E389" s="1108"/>
      <c r="F389" s="990" t="str">
        <f>IF(F386=$S$15,$T$12,IF(ROUNDDOWN(F386,0)=$S$12,$U$12,$T$12))</f>
        <v>■レベル　3</v>
      </c>
      <c r="G389" s="3428" t="s">
        <v>89</v>
      </c>
      <c r="H389" s="3429"/>
      <c r="I389" s="3429"/>
      <c r="J389" s="3430"/>
      <c r="K389" s="990" t="str">
        <f>IF(K386=$S$15,$T$12,IF(ROUNDDOWN(K386,0)=$S$12,$U$12,$T$12))</f>
        <v>■レベル　3</v>
      </c>
      <c r="L389" s="3428" t="s">
        <v>90</v>
      </c>
      <c r="M389" s="3429"/>
      <c r="N389" s="3429"/>
      <c r="O389" s="3430"/>
    </row>
    <row r="390" spans="2:15" ht="15.75" customHeight="1">
      <c r="B390" s="1" t="s">
        <v>1249</v>
      </c>
      <c r="C390" s="1" t="s">
        <v>1249</v>
      </c>
      <c r="D390" s="954"/>
      <c r="E390" s="1108" t="s">
        <v>91</v>
      </c>
      <c r="F390" s="990" t="str">
        <f>IF(F386=$S$15,$T$13,IF(ROUNDDOWN(F386,0)=$S$13,$U$13,$T$13))</f>
        <v>　レベル　4</v>
      </c>
      <c r="G390" s="3428" t="s">
        <v>1795</v>
      </c>
      <c r="H390" s="3429"/>
      <c r="I390" s="3429"/>
      <c r="J390" s="3430"/>
      <c r="K390" s="990" t="str">
        <f>IF(K386=$S$15,$T$13,IF(ROUNDDOWN(K386,0)=$S$13,$U$13,$T$13))</f>
        <v>　レベル　4</v>
      </c>
      <c r="L390" s="3428" t="s">
        <v>1795</v>
      </c>
      <c r="M390" s="3429"/>
      <c r="N390" s="3429"/>
      <c r="O390" s="3430"/>
    </row>
    <row r="391" spans="2:15" ht="32.25" customHeight="1">
      <c r="B391" s="1">
        <v>5</v>
      </c>
      <c r="C391" s="1">
        <v>5</v>
      </c>
      <c r="D391" s="954"/>
      <c r="E391" s="1108"/>
      <c r="F391" s="1001" t="str">
        <f>IF(F386=$S$15,$T$14,IF(ROUNDDOWN(F386,0)=$S$14,$U$14,$T$14))</f>
        <v>　レベル　5</v>
      </c>
      <c r="G391" s="3424" t="s">
        <v>3104</v>
      </c>
      <c r="H391" s="3425"/>
      <c r="I391" s="3425"/>
      <c r="J391" s="3426"/>
      <c r="K391" s="1001" t="str">
        <f>IF(K386=$S$15,$T$14,IF(ROUNDDOWN(K386,0)=$S$14,$U$14,$T$14))</f>
        <v>　レベル　5</v>
      </c>
      <c r="L391" s="3424" t="s">
        <v>1264</v>
      </c>
      <c r="M391" s="3425"/>
      <c r="N391" s="3425"/>
      <c r="O391" s="3426"/>
    </row>
    <row r="392" spans="2:15" ht="15.75">
      <c r="B392" s="1008">
        <v>0</v>
      </c>
      <c r="C392" s="1008">
        <v>0</v>
      </c>
      <c r="D392" s="954"/>
      <c r="E392" s="1108"/>
      <c r="F392" s="1132"/>
      <c r="G392" s="1132"/>
      <c r="H392" s="1132"/>
      <c r="I392" s="1132"/>
      <c r="J392" s="1130"/>
      <c r="K392" s="1130"/>
      <c r="L392" s="1132"/>
      <c r="M392" s="1132"/>
      <c r="N392" s="1130"/>
      <c r="O392" s="1335"/>
    </row>
    <row r="393" spans="2:15" ht="15.75">
      <c r="D393" s="954"/>
      <c r="E393" s="1108"/>
      <c r="F393" s="1133" t="s">
        <v>1265</v>
      </c>
      <c r="G393" s="1045"/>
      <c r="H393" s="1094"/>
      <c r="I393" s="1074"/>
      <c r="J393" s="1048"/>
      <c r="K393" s="1133" t="s">
        <v>1266</v>
      </c>
      <c r="L393" s="1045"/>
      <c r="M393" s="1094"/>
      <c r="N393" s="1074"/>
      <c r="O393" s="1048"/>
    </row>
    <row r="394" spans="2:15" ht="16.5" thickBot="1">
      <c r="D394" s="954"/>
      <c r="E394" s="1108"/>
      <c r="F394" s="971"/>
      <c r="G394" s="972"/>
      <c r="H394" s="973"/>
      <c r="I394" s="974" t="s">
        <v>1125</v>
      </c>
      <c r="J394" s="977" t="e">
        <f>重み!M107</f>
        <v>#DIV/0!</v>
      </c>
      <c r="K394" s="971"/>
      <c r="L394" s="972"/>
      <c r="M394" s="973"/>
      <c r="N394" s="974" t="s">
        <v>1125</v>
      </c>
      <c r="O394" s="977" t="e">
        <f>重み!M108</f>
        <v>#DIV/0!</v>
      </c>
    </row>
    <row r="395" spans="2:15" ht="16.5" thickBot="1">
      <c r="D395" s="954"/>
      <c r="E395" s="1108"/>
      <c r="F395" s="978">
        <v>3</v>
      </c>
      <c r="G395" s="1095" t="s">
        <v>1246</v>
      </c>
      <c r="H395" s="984"/>
      <c r="I395" s="983"/>
      <c r="J395" s="984"/>
      <c r="K395" s="978">
        <v>3</v>
      </c>
      <c r="L395" s="1095" t="s">
        <v>1246</v>
      </c>
      <c r="M395" s="984"/>
      <c r="N395" s="1095"/>
      <c r="O395" s="1100"/>
    </row>
    <row r="396" spans="2:15" ht="30.75" customHeight="1">
      <c r="B396" s="1">
        <v>1</v>
      </c>
      <c r="C396" s="1" t="s">
        <v>1249</v>
      </c>
      <c r="D396" s="954"/>
      <c r="E396" s="1336" t="str">
        <f>IF(AND(D398="対象外",H397&gt;0.001),"★入力エラー：レベル１～５を選択し直してください！","")</f>
        <v/>
      </c>
      <c r="F396" s="985" t="str">
        <f>IF(F395=$S$15,$T$10,IF(ROUNDDOWN(F395,0)=$S$10,$U$10,$T$10))</f>
        <v>　レベル　1</v>
      </c>
      <c r="G396" s="3401" t="s">
        <v>3105</v>
      </c>
      <c r="H396" s="3503"/>
      <c r="I396" s="3503"/>
      <c r="J396" s="3504"/>
      <c r="K396" s="985" t="str">
        <f>IF(K395=$S$15,$T$10,IF(ROUNDDOWN(K395,0)=$S$10,$U$10,$T$10))</f>
        <v>　レベル　1</v>
      </c>
      <c r="L396" s="3401" t="s">
        <v>1795</v>
      </c>
      <c r="M396" s="3503"/>
      <c r="N396" s="3503"/>
      <c r="O396" s="3504"/>
    </row>
    <row r="397" spans="2:15" ht="15.75">
      <c r="B397" s="1" t="s">
        <v>1249</v>
      </c>
      <c r="C397" s="1" t="s">
        <v>1249</v>
      </c>
      <c r="D397" s="954"/>
      <c r="E397" s="1108"/>
      <c r="F397" s="990" t="str">
        <f>IF(F395=$S$15,$T$11,IF(ROUNDDOWN(F395,0)=$S$11,$U$11,$T$11))</f>
        <v>　レベル　2</v>
      </c>
      <c r="G397" s="3428" t="s">
        <v>1795</v>
      </c>
      <c r="H397" s="3429"/>
      <c r="I397" s="3429"/>
      <c r="J397" s="3430"/>
      <c r="K397" s="990" t="str">
        <f>IF(K395=$S$15,$T$11,IF(ROUNDDOWN(K395,0)=$S$11,$U$11,$T$11))</f>
        <v>　レベル　2</v>
      </c>
      <c r="L397" s="3428" t="s">
        <v>1795</v>
      </c>
      <c r="M397" s="3429"/>
      <c r="N397" s="3429"/>
      <c r="O397" s="3430"/>
    </row>
    <row r="398" spans="2:15" ht="35.25" customHeight="1">
      <c r="B398" s="1">
        <v>3</v>
      </c>
      <c r="C398" s="1">
        <v>3</v>
      </c>
      <c r="D398" s="954"/>
      <c r="E398" s="1108"/>
      <c r="F398" s="990" t="str">
        <f>IF(F395=$S$15,$T$12,IF(ROUNDDOWN(F395,0)=$S$12,$U$12,$T$12))</f>
        <v>■レベル　3</v>
      </c>
      <c r="G398" s="3428" t="s">
        <v>3106</v>
      </c>
      <c r="H398" s="3429"/>
      <c r="I398" s="3429"/>
      <c r="J398" s="3430"/>
      <c r="K398" s="990" t="str">
        <f>IF(K395=$S$15,$T$12,IF(ROUNDDOWN(K395,0)=$S$12,$U$12,$T$12))</f>
        <v>■レベル　3</v>
      </c>
      <c r="L398" s="3428" t="s">
        <v>1267</v>
      </c>
      <c r="M398" s="3429"/>
      <c r="N398" s="3429"/>
      <c r="O398" s="3430"/>
    </row>
    <row r="399" spans="2:15" ht="31.5" customHeight="1">
      <c r="B399" s="1">
        <v>4</v>
      </c>
      <c r="C399" s="1">
        <v>4</v>
      </c>
      <c r="D399" s="954"/>
      <c r="E399" s="1108"/>
      <c r="F399" s="990" t="str">
        <f>IF(F395=$S$15,$T$13,IF(ROUNDDOWN(F395,0)=$S$13,$U$13,$T$13))</f>
        <v>　レベル　4</v>
      </c>
      <c r="G399" s="3428" t="s">
        <v>3107</v>
      </c>
      <c r="H399" s="3429"/>
      <c r="I399" s="3429"/>
      <c r="J399" s="3430"/>
      <c r="K399" s="990" t="str">
        <f>IF(K395=$S$15,$T$13,IF(ROUNDDOWN(K395,0)=$S$13,$U$13,$T$13))</f>
        <v>　レベル　4</v>
      </c>
      <c r="L399" s="3428" t="s">
        <v>383</v>
      </c>
      <c r="M399" s="3429"/>
      <c r="N399" s="3429"/>
      <c r="O399" s="3430"/>
    </row>
    <row r="400" spans="2:15" ht="36.75" customHeight="1">
      <c r="B400" s="1">
        <v>5</v>
      </c>
      <c r="C400" s="1" t="s">
        <v>1249</v>
      </c>
      <c r="D400" s="954"/>
      <c r="E400" s="1108"/>
      <c r="F400" s="1001" t="str">
        <f>IF(F395=$S$15,$T$14,IF(ROUNDDOWN(F395,0)=$S$14,$U$14,$T$14))</f>
        <v>　レベル　5</v>
      </c>
      <c r="G400" s="3424" t="s">
        <v>3108</v>
      </c>
      <c r="H400" s="3425"/>
      <c r="I400" s="3425"/>
      <c r="J400" s="3426"/>
      <c r="K400" s="1001" t="str">
        <f>IF(K395=$S$15,$T$14,IF(ROUNDDOWN(K395,0)=$S$14,$U$14,$T$14))</f>
        <v>　レベル　5</v>
      </c>
      <c r="L400" s="3424" t="s">
        <v>1795</v>
      </c>
      <c r="M400" s="3425"/>
      <c r="N400" s="3425"/>
      <c r="O400" s="3426"/>
    </row>
    <row r="401" spans="2:3">
      <c r="B401" s="1008">
        <v>0</v>
      </c>
      <c r="C401" s="1008">
        <v>0</v>
      </c>
    </row>
    <row r="402" spans="2:3" hidden="1"/>
    <row r="403" spans="2:3" hidden="1"/>
    <row r="404" spans="2:3" hidden="1"/>
    <row r="405" spans="2:3"/>
    <row r="406" spans="2:3"/>
    <row r="407" spans="2:3"/>
    <row r="408" spans="2:3"/>
    <row r="409" spans="2:3"/>
    <row r="410" spans="2:3"/>
  </sheetData>
  <sheetProtection password="CC47" sheet="1" objects="1" scenarios="1"/>
  <mergeCells count="317">
    <mergeCell ref="N1:O1"/>
    <mergeCell ref="L159:N159"/>
    <mergeCell ref="H156:J156"/>
    <mergeCell ref="L156:N156"/>
    <mergeCell ref="G312:N312"/>
    <mergeCell ref="G313:N313"/>
    <mergeCell ref="G338:L338"/>
    <mergeCell ref="G302:H302"/>
    <mergeCell ref="I302:J302"/>
    <mergeCell ref="K302:L302"/>
    <mergeCell ref="M303:N303"/>
    <mergeCell ref="M302:N302"/>
    <mergeCell ref="G300:H300"/>
    <mergeCell ref="G270:L270"/>
    <mergeCell ref="G262:H262"/>
    <mergeCell ref="I301:J301"/>
    <mergeCell ref="G282:H282"/>
    <mergeCell ref="I282:J282"/>
    <mergeCell ref="G290:L290"/>
    <mergeCell ref="G291:L291"/>
    <mergeCell ref="G288:L288"/>
    <mergeCell ref="M301:N301"/>
    <mergeCell ref="G271:L271"/>
    <mergeCell ref="G261:H261"/>
    <mergeCell ref="G73:J73"/>
    <mergeCell ref="L73:O73"/>
    <mergeCell ref="G74:J74"/>
    <mergeCell ref="L74:O74"/>
    <mergeCell ref="G253:J253"/>
    <mergeCell ref="G254:J254"/>
    <mergeCell ref="G75:J75"/>
    <mergeCell ref="L75:O75"/>
    <mergeCell ref="G112:I112"/>
    <mergeCell ref="G76:J76"/>
    <mergeCell ref="L76:O76"/>
    <mergeCell ref="N82:O86"/>
    <mergeCell ref="N126:O130"/>
    <mergeCell ref="L136:O136"/>
    <mergeCell ref="L137:O137"/>
    <mergeCell ref="L134:O134"/>
    <mergeCell ref="G251:J251"/>
    <mergeCell ref="H158:J158"/>
    <mergeCell ref="L158:N158"/>
    <mergeCell ref="H159:J159"/>
    <mergeCell ref="L145:O145"/>
    <mergeCell ref="L140:O140"/>
    <mergeCell ref="L155:N155"/>
    <mergeCell ref="G138:K138"/>
    <mergeCell ref="K371:L371"/>
    <mergeCell ref="G303:H303"/>
    <mergeCell ref="I303:J303"/>
    <mergeCell ref="K303:L303"/>
    <mergeCell ref="L360:O360"/>
    <mergeCell ref="L358:O358"/>
    <mergeCell ref="L359:O359"/>
    <mergeCell ref="G371:H371"/>
    <mergeCell ref="I371:J371"/>
    <mergeCell ref="L348:M348"/>
    <mergeCell ref="N371:O371"/>
    <mergeCell ref="G367:H367"/>
    <mergeCell ref="G314:N314"/>
    <mergeCell ref="G309:N309"/>
    <mergeCell ref="G310:N310"/>
    <mergeCell ref="G311:N311"/>
    <mergeCell ref="G341:L341"/>
    <mergeCell ref="N351:O351"/>
    <mergeCell ref="K368:L368"/>
    <mergeCell ref="K369:L369"/>
    <mergeCell ref="L350:M350"/>
    <mergeCell ref="N350:O350"/>
    <mergeCell ref="L352:M352"/>
    <mergeCell ref="N352:O352"/>
    <mergeCell ref="L139:O139"/>
    <mergeCell ref="L146:O146"/>
    <mergeCell ref="G150:H150"/>
    <mergeCell ref="I150:M150"/>
    <mergeCell ref="G151:H151"/>
    <mergeCell ref="I151:M151"/>
    <mergeCell ref="L142:O142"/>
    <mergeCell ref="L143:O143"/>
    <mergeCell ref="H164:J164"/>
    <mergeCell ref="L164:N164"/>
    <mergeCell ref="H165:J165"/>
    <mergeCell ref="L165:N165"/>
    <mergeCell ref="K301:L301"/>
    <mergeCell ref="H163:J163"/>
    <mergeCell ref="L163:N163"/>
    <mergeCell ref="G293:L293"/>
    <mergeCell ref="I300:J300"/>
    <mergeCell ref="K300:L300"/>
    <mergeCell ref="G301:H301"/>
    <mergeCell ref="I264:J264"/>
    <mergeCell ref="K264:L264"/>
    <mergeCell ref="G260:H260"/>
    <mergeCell ref="I260:J260"/>
    <mergeCell ref="L193:N193"/>
    <mergeCell ref="I190:K190"/>
    <mergeCell ref="L190:N190"/>
    <mergeCell ref="L206:O206"/>
    <mergeCell ref="I206:J206"/>
    <mergeCell ref="G206:H206"/>
    <mergeCell ref="G205:H205"/>
    <mergeCell ref="L205:O205"/>
    <mergeCell ref="I205:J205"/>
    <mergeCell ref="G196:H196"/>
    <mergeCell ref="L203:O203"/>
    <mergeCell ref="G390:J390"/>
    <mergeCell ref="L390:O390"/>
    <mergeCell ref="G372:H372"/>
    <mergeCell ref="I372:J372"/>
    <mergeCell ref="N372:O372"/>
    <mergeCell ref="G379:J379"/>
    <mergeCell ref="L379:O379"/>
    <mergeCell ref="G389:J389"/>
    <mergeCell ref="L389:O389"/>
    <mergeCell ref="L387:O387"/>
    <mergeCell ref="K372:L372"/>
    <mergeCell ref="L378:O378"/>
    <mergeCell ref="L13:M13"/>
    <mergeCell ref="G20:J20"/>
    <mergeCell ref="N13:O13"/>
    <mergeCell ref="G22:J22"/>
    <mergeCell ref="L22:O22"/>
    <mergeCell ref="G14:H14"/>
    <mergeCell ref="I14:J14"/>
    <mergeCell ref="L20:O20"/>
    <mergeCell ref="L144:O144"/>
    <mergeCell ref="L135:O135"/>
    <mergeCell ref="G28:N28"/>
    <mergeCell ref="G29:N29"/>
    <mergeCell ref="G30:N30"/>
    <mergeCell ref="G31:N31"/>
    <mergeCell ref="G32:N32"/>
    <mergeCell ref="G43:H43"/>
    <mergeCell ref="H46:L46"/>
    <mergeCell ref="H47:L47"/>
    <mergeCell ref="G51:L51"/>
    <mergeCell ref="G40:H40"/>
    <mergeCell ref="G39:H39"/>
    <mergeCell ref="K60:N60"/>
    <mergeCell ref="G65:J65"/>
    <mergeCell ref="L65:O65"/>
    <mergeCell ref="G10:H10"/>
    <mergeCell ref="I10:J10"/>
    <mergeCell ref="G11:H11"/>
    <mergeCell ref="I11:J11"/>
    <mergeCell ref="L10:M10"/>
    <mergeCell ref="N10:O10"/>
    <mergeCell ref="L11:M11"/>
    <mergeCell ref="N11:O11"/>
    <mergeCell ref="L12:M12"/>
    <mergeCell ref="N12:O12"/>
    <mergeCell ref="G12:H12"/>
    <mergeCell ref="I12:J12"/>
    <mergeCell ref="L14:M14"/>
    <mergeCell ref="N14:O14"/>
    <mergeCell ref="G19:J19"/>
    <mergeCell ref="L19:O19"/>
    <mergeCell ref="G23:J23"/>
    <mergeCell ref="L23:O23"/>
    <mergeCell ref="L189:N189"/>
    <mergeCell ref="N179:O183"/>
    <mergeCell ref="G187:H189"/>
    <mergeCell ref="I187:K187"/>
    <mergeCell ref="L187:N187"/>
    <mergeCell ref="G21:J21"/>
    <mergeCell ref="L21:O21"/>
    <mergeCell ref="L67:O67"/>
    <mergeCell ref="G68:J68"/>
    <mergeCell ref="L68:O68"/>
    <mergeCell ref="G69:J69"/>
    <mergeCell ref="L69:O69"/>
    <mergeCell ref="G67:J67"/>
    <mergeCell ref="G66:J66"/>
    <mergeCell ref="L66:O66"/>
    <mergeCell ref="G41:H41"/>
    <mergeCell ref="G141:K141"/>
    <mergeCell ref="L141:O141"/>
    <mergeCell ref="G42:H42"/>
    <mergeCell ref="G59:J59"/>
    <mergeCell ref="K59:N59"/>
    <mergeCell ref="G58:J58"/>
    <mergeCell ref="K58:N58"/>
    <mergeCell ref="G57:J57"/>
    <mergeCell ref="K57:N57"/>
    <mergeCell ref="G60:J60"/>
    <mergeCell ref="H162:J162"/>
    <mergeCell ref="L162:N162"/>
    <mergeCell ref="G56:J56"/>
    <mergeCell ref="K56:N56"/>
    <mergeCell ref="H160:J160"/>
    <mergeCell ref="L160:N160"/>
    <mergeCell ref="H161:J161"/>
    <mergeCell ref="L161:N161"/>
    <mergeCell ref="L138:O138"/>
    <mergeCell ref="G140:K140"/>
    <mergeCell ref="H157:J157"/>
    <mergeCell ref="L157:N157"/>
    <mergeCell ref="G152:H152"/>
    <mergeCell ref="I152:M152"/>
    <mergeCell ref="I153:K153"/>
    <mergeCell ref="H155:J155"/>
    <mergeCell ref="F191:F192"/>
    <mergeCell ref="I191:K191"/>
    <mergeCell ref="L191:N191"/>
    <mergeCell ref="I192:K192"/>
    <mergeCell ref="L192:N192"/>
    <mergeCell ref="G190:H192"/>
    <mergeCell ref="F188:F189"/>
    <mergeCell ref="I188:K188"/>
    <mergeCell ref="L188:N188"/>
    <mergeCell ref="I189:K189"/>
    <mergeCell ref="L204:O204"/>
    <mergeCell ref="I203:J203"/>
    <mergeCell ref="I204:J204"/>
    <mergeCell ref="G203:H203"/>
    <mergeCell ref="G204:H204"/>
    <mergeCell ref="F194:F195"/>
    <mergeCell ref="I194:K194"/>
    <mergeCell ref="L194:N194"/>
    <mergeCell ref="I195:K195"/>
    <mergeCell ref="L195:N195"/>
    <mergeCell ref="G193:H195"/>
    <mergeCell ref="I193:K193"/>
    <mergeCell ref="G273:L273"/>
    <mergeCell ref="G272:L272"/>
    <mergeCell ref="I262:J262"/>
    <mergeCell ref="K262:L262"/>
    <mergeCell ref="G294:L294"/>
    <mergeCell ref="G263:H263"/>
    <mergeCell ref="I263:J263"/>
    <mergeCell ref="K263:L263"/>
    <mergeCell ref="K260:L260"/>
    <mergeCell ref="I261:J261"/>
    <mergeCell ref="G292:L292"/>
    <mergeCell ref="G264:H264"/>
    <mergeCell ref="L241:O241"/>
    <mergeCell ref="L207:O207"/>
    <mergeCell ref="G215:J215"/>
    <mergeCell ref="G216:J216"/>
    <mergeCell ref="I207:J207"/>
    <mergeCell ref="G207:H207"/>
    <mergeCell ref="G217:J217"/>
    <mergeCell ref="L225:O225"/>
    <mergeCell ref="L226:O226"/>
    <mergeCell ref="G252:J252"/>
    <mergeCell ref="G400:J400"/>
    <mergeCell ref="L400:O400"/>
    <mergeCell ref="G398:J398"/>
    <mergeCell ref="L398:O398"/>
    <mergeCell ref="G399:J399"/>
    <mergeCell ref="L399:O399"/>
    <mergeCell ref="L381:O381"/>
    <mergeCell ref="N369:O369"/>
    <mergeCell ref="G370:H370"/>
    <mergeCell ref="L391:O391"/>
    <mergeCell ref="G388:J388"/>
    <mergeCell ref="N370:O370"/>
    <mergeCell ref="G369:H369"/>
    <mergeCell ref="G382:J382"/>
    <mergeCell ref="K370:L370"/>
    <mergeCell ref="G391:J391"/>
    <mergeCell ref="L388:O388"/>
    <mergeCell ref="G380:J380"/>
    <mergeCell ref="L380:O380"/>
    <mergeCell ref="G381:J381"/>
    <mergeCell ref="I370:J370"/>
    <mergeCell ref="I369:J369"/>
    <mergeCell ref="G378:J378"/>
    <mergeCell ref="G13:H13"/>
    <mergeCell ref="I13:J13"/>
    <mergeCell ref="L382:O382"/>
    <mergeCell ref="G387:J387"/>
    <mergeCell ref="I347:J347"/>
    <mergeCell ref="G396:J396"/>
    <mergeCell ref="K259:L259"/>
    <mergeCell ref="K267:L267"/>
    <mergeCell ref="G368:H368"/>
    <mergeCell ref="I368:J368"/>
    <mergeCell ref="N368:O368"/>
    <mergeCell ref="L357:O357"/>
    <mergeCell ref="K304:L304"/>
    <mergeCell ref="M304:N304"/>
    <mergeCell ref="N348:O348"/>
    <mergeCell ref="L349:M349"/>
    <mergeCell ref="N349:O349"/>
    <mergeCell ref="L361:O361"/>
    <mergeCell ref="L351:M351"/>
    <mergeCell ref="L242:O242"/>
    <mergeCell ref="L243:O243"/>
    <mergeCell ref="L244:O244"/>
    <mergeCell ref="K103:M103"/>
    <mergeCell ref="G121:I121"/>
    <mergeCell ref="H174:N174"/>
    <mergeCell ref="H170:I170"/>
    <mergeCell ref="H171:I171"/>
    <mergeCell ref="J170:N170"/>
    <mergeCell ref="J171:N171"/>
    <mergeCell ref="L396:O396"/>
    <mergeCell ref="G397:J397"/>
    <mergeCell ref="L397:O397"/>
    <mergeCell ref="G250:J250"/>
    <mergeCell ref="L245:O245"/>
    <mergeCell ref="G244:J244"/>
    <mergeCell ref="G278:H278"/>
    <mergeCell ref="I278:J278"/>
    <mergeCell ref="G304:H304"/>
    <mergeCell ref="I304:J304"/>
    <mergeCell ref="G279:H279"/>
    <mergeCell ref="I279:J279"/>
    <mergeCell ref="G281:H281"/>
    <mergeCell ref="I281:J281"/>
    <mergeCell ref="G280:H280"/>
    <mergeCell ref="I280:J280"/>
    <mergeCell ref="G289:L289"/>
    <mergeCell ref="K261:L261"/>
    <mergeCell ref="M300:N300"/>
  </mergeCells>
  <phoneticPr fontId="21"/>
  <conditionalFormatting sqref="K9 K18 K202 K212 K221 K230 K240 K347 K356 M367 K386 K377 K395">
    <cfRule type="expression" dxfId="113" priority="15" stopIfTrue="1">
      <formula>AND(OR(K9&lt;1,K9&gt;5),K9&lt;&gt;0)</formula>
    </cfRule>
    <cfRule type="expression" dxfId="112" priority="16" stopIfTrue="1">
      <formula>$O8&gt;0</formula>
    </cfRule>
  </conditionalFormatting>
  <conditionalFormatting sqref="H334 H284 H306 H266">
    <cfRule type="expression" dxfId="111" priority="17" stopIfTrue="1">
      <formula>J258&gt;0</formula>
    </cfRule>
  </conditionalFormatting>
  <conditionalFormatting sqref="F336 F341">
    <cfRule type="expression" dxfId="110" priority="18" stopIfTrue="1">
      <formula>AND($J$326&gt;0.001,$H$334=$T$3)</formula>
    </cfRule>
  </conditionalFormatting>
  <conditionalFormatting sqref="F337:F340">
    <cfRule type="expression" dxfId="109" priority="19" stopIfTrue="1">
      <formula>AND($J$326&gt;0.001,$H$334=$T$3)</formula>
    </cfRule>
  </conditionalFormatting>
  <conditionalFormatting sqref="F9 F18 F55 F221 F202 F212 F230 F395 F347 F356 F367 F377 F386 F318 F240 F249">
    <cfRule type="expression" dxfId="108" priority="21" stopIfTrue="1">
      <formula>AND(OR(F9&lt;1,F9&gt;5),F9&lt;&gt;0)</formula>
    </cfRule>
    <cfRule type="expression" dxfId="107" priority="22" stopIfTrue="1">
      <formula>$J8&gt;0</formula>
    </cfRule>
  </conditionalFormatting>
  <conditionalFormatting sqref="F334 F306 F284 F266 F185 F132 F88 F71">
    <cfRule type="expression" dxfId="106" priority="23" stopIfTrue="1">
      <formula>AND(OR(F71&lt;1,F71&gt;5),F71&lt;&gt;0)</formula>
    </cfRule>
    <cfRule type="expression" dxfId="105" priority="24" stopIfTrue="1">
      <formula>AND($J63&gt;0,$H71="ON")</formula>
    </cfRule>
  </conditionalFormatting>
  <conditionalFormatting sqref="F309:F314">
    <cfRule type="expression" dxfId="104" priority="25" stopIfTrue="1">
      <formula>AND($J$298&gt;0.001,$H$306=$T$3)</formula>
    </cfRule>
  </conditionalFormatting>
  <conditionalFormatting sqref="F288:F292">
    <cfRule type="expression" dxfId="103" priority="26" stopIfTrue="1">
      <formula>AND($J$276&gt;0.001,$H$284=$T$3)</formula>
    </cfRule>
  </conditionalFormatting>
  <conditionalFormatting sqref="F293:F294">
    <cfRule type="expression" dxfId="102" priority="27" stopIfTrue="1">
      <formula>AND($J$276&gt;0.001,$H$284=$T$3,$G$286&gt;0)</formula>
    </cfRule>
  </conditionalFormatting>
  <conditionalFormatting sqref="H185">
    <cfRule type="expression" dxfId="101" priority="28" stopIfTrue="1">
      <formula>$J$177&gt;0</formula>
    </cfRule>
  </conditionalFormatting>
  <conditionalFormatting sqref="H132">
    <cfRule type="expression" dxfId="100" priority="33" stopIfTrue="1">
      <formula>$J$124&gt;0</formula>
    </cfRule>
  </conditionalFormatting>
  <conditionalFormatting sqref="F134:F146">
    <cfRule type="expression" dxfId="99" priority="34" stopIfTrue="1">
      <formula>AND($J$124&gt;0,$H$132=$T$4)</formula>
    </cfRule>
    <cfRule type="expression" dxfId="98" priority="35" stopIfTrue="1">
      <formula>$J$124&gt;0</formula>
    </cfRule>
  </conditionalFormatting>
  <conditionalFormatting sqref="H88">
    <cfRule type="expression" dxfId="97" priority="36" stopIfTrue="1">
      <formula>$J$80&gt;0</formula>
    </cfRule>
  </conditionalFormatting>
  <conditionalFormatting sqref="F90:F101">
    <cfRule type="expression" dxfId="96" priority="37" stopIfTrue="1">
      <formula>AND($J$80&gt;0,$H$88=$T$4)</formula>
    </cfRule>
    <cfRule type="expression" dxfId="95" priority="38" stopIfTrue="1">
      <formula>$J$80&gt;0</formula>
    </cfRule>
  </conditionalFormatting>
  <conditionalFormatting sqref="F73:F76">
    <cfRule type="expression" dxfId="94" priority="39" stopIfTrue="1">
      <formula>AND($J$63&gt;0,$H$71&lt;&gt;"ON")</formula>
    </cfRule>
  </conditionalFormatting>
  <conditionalFormatting sqref="K73:K76">
    <cfRule type="expression" dxfId="93" priority="40" stopIfTrue="1">
      <formula>AND($O$63&gt;0,$M$71&lt;&gt;"ON")</formula>
    </cfRule>
  </conditionalFormatting>
  <conditionalFormatting sqref="H71">
    <cfRule type="expression" dxfId="92" priority="41" stopIfTrue="1">
      <formula>$J$63&gt;0</formula>
    </cfRule>
  </conditionalFormatting>
  <conditionalFormatting sqref="M71">
    <cfRule type="expression" dxfId="91" priority="42" stopIfTrue="1">
      <formula>$O$63&gt;0</formula>
    </cfRule>
  </conditionalFormatting>
  <conditionalFormatting sqref="K71">
    <cfRule type="expression" dxfId="90" priority="43" stopIfTrue="1">
      <formula>AND(OR(K71&lt;1,K71&gt;5),K71&lt;&gt;0)</formula>
    </cfRule>
    <cfRule type="expression" dxfId="89" priority="44" stopIfTrue="1">
      <formula>AND($O$63&gt;0,$M$71="ON")</formula>
    </cfRule>
  </conditionalFormatting>
  <conditionalFormatting sqref="K103">
    <cfRule type="expression" dxfId="88" priority="12" stopIfTrue="1">
      <formula>$O$3=$U$3</formula>
    </cfRule>
  </conditionalFormatting>
  <conditionalFormatting sqref="F105:F111">
    <cfRule type="expression" dxfId="87" priority="13" stopIfTrue="1">
      <formula>OR($J$80=0,500&gt;=$M$80,$K$103&lt;&gt;$V$4)</formula>
    </cfRule>
  </conditionalFormatting>
  <conditionalFormatting sqref="F115:F120">
    <cfRule type="expression" dxfId="86" priority="14" stopIfTrue="1">
      <formula>AND($J$80&gt;0,$K$103&lt;&gt;$V$4,$M$80&gt;500)</formula>
    </cfRule>
  </conditionalFormatting>
  <conditionalFormatting sqref="I153">
    <cfRule type="expression" dxfId="85" priority="11" stopIfTrue="1">
      <formula>$O$3=$U$3</formula>
    </cfRule>
  </conditionalFormatting>
  <conditionalFormatting sqref="F165 F160:F161 F163 F155">
    <cfRule type="expression" dxfId="84" priority="5" stopIfTrue="1">
      <formula>AND($J$124&gt;0,$M$124&gt;500)</formula>
    </cfRule>
  </conditionalFormatting>
  <conditionalFormatting sqref="F156:F157">
    <cfRule type="expression" dxfId="83" priority="6" stopIfTrue="1">
      <formula>AND($J$124&gt;0,$M$124&gt;500,$I$153=$V$4)</formula>
    </cfRule>
  </conditionalFormatting>
  <conditionalFormatting sqref="F158:F159 F162 F164">
    <cfRule type="expression" dxfId="82" priority="7" stopIfTrue="1">
      <formula>AND($J$124&gt;0,$M$124&gt;500,$I$153&lt;&gt;$V$4)</formula>
    </cfRule>
  </conditionalFormatting>
  <conditionalFormatting sqref="F270:F273">
    <cfRule type="expression" dxfId="81" priority="54" stopIfTrue="1">
      <formula>AND($J$258&gt;0.0001,H$266=$T$3)</formula>
    </cfRule>
  </conditionalFormatting>
  <conditionalFormatting sqref="F187:F195">
    <cfRule type="expression" dxfId="80" priority="4" stopIfTrue="1">
      <formula>$J$177&gt;0</formula>
    </cfRule>
  </conditionalFormatting>
  <conditionalFormatting sqref="F46:F47">
    <cfRule type="expression" dxfId="79" priority="2" stopIfTrue="1">
      <formula>$J$36&gt;0</formula>
    </cfRule>
  </conditionalFormatting>
  <conditionalFormatting sqref="M48">
    <cfRule type="expression" dxfId="78" priority="3" stopIfTrue="1">
      <formula>$O$36&gt;0</formula>
    </cfRule>
  </conditionalFormatting>
  <conditionalFormatting sqref="M46:M47">
    <cfRule type="expression" dxfId="77" priority="1" stopIfTrue="1">
      <formula>$O$36&gt;0</formula>
    </cfRule>
  </conditionalFormatting>
  <dataValidations count="16">
    <dataValidation type="list" allowBlank="1" showInputMessage="1" sqref="K9 K18 K395 K202 K212 K221 K230 K240 K347 K356 M367 K377 K386 M3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formula1>$C10:$C15</formula1>
    </dataValidation>
    <dataValidation type="list" allowBlank="1" showInputMessage="1" showErrorMessage="1" sqref="F336:F341 F270:F273 F288:F294 F309:F314">
      <formula1>$S$3:$S$4</formula1>
    </dataValidation>
    <dataValidation type="list" allowBlank="1" showInputMessage="1" sqref="F9 F18 F88 WVN27 F55 F221 F202 F212 F230 F347 F356 F367 F377 F386 F395 F318 F284 F266 F249 F240 F185 F132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F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ormula1>$B10:$B15</formula1>
    </dataValidation>
    <dataValidation type="list" allowBlank="1" showInputMessage="1" sqref="F306">
      <formula1>$B307:$B311</formula1>
    </dataValidation>
    <dataValidation type="list" allowBlank="1" showInputMessage="1" showErrorMessage="1" sqref="H334 H306 M71 H71 H88 H132 H185 H266 H284">
      <formula1>$T$3:$T$4</formula1>
    </dataValidation>
    <dataValidation type="list" allowBlank="1" showInputMessage="1" showErrorMessage="1" sqref="F187 F193 F190">
      <formula1>"0,-1"</formula1>
    </dataValidation>
    <dataValidation type="list" allowBlank="1" showInputMessage="1" showErrorMessage="1" sqref="F162:F164 F106 F109 F159:F160 F155 F111 F119:F120 F194 F191 F188:F189">
      <formula1>"0,1"</formula1>
    </dataValidation>
    <dataValidation type="list" allowBlank="1" showInputMessage="1" showErrorMessage="1" sqref="F115:F117 F105 F107 F156:F157">
      <formula1>"0,3"</formula1>
    </dataValidation>
    <dataValidation type="list" allowBlank="1" showInputMessage="1" showErrorMessage="1" sqref="F118 F108 F110 F161 F158 F165">
      <formula1>"0,2"</formula1>
    </dataValidation>
    <dataValidation type="list" allowBlank="1" showInputMessage="1" showErrorMessage="1" sqref="K103:M103 I153:K153">
      <formula1>$V$3:$V$4</formula1>
    </dataValidation>
    <dataValidation type="list" allowBlank="1" showInputMessage="1" showErrorMessage="1" sqref="F134 F90">
      <formula1>"○, "</formula1>
    </dataValidation>
    <dataValidation type="list" allowBlank="1" showInputMessage="1" showErrorMessage="1" sqref="F135:F146 F73:F76 K73:K76 F91:F101 M46:M47 JI46:JI47 TE46:TE47 ADA46:ADA47 AMW46:AMW47 AWS46:AWS47 BGO46:BGO47 BQK46:BQK47 CAG46:CAG47 CKC46:CKC47 CTY46:CTY47 DDU46:DDU47 DNQ46:DNQ47 DXM46:DXM47 EHI46:EHI47 ERE46:ERE47 FBA46:FBA47 FKW46:FKW47 FUS46:FUS47 GEO46:GEO47 GOK46:GOK47 GYG46:GYG47 HIC46:HIC47 HRY46:HRY47 IBU46:IBU47 ILQ46:ILQ47 IVM46:IVM47 JFI46:JFI47 JPE46:JPE47 JZA46:JZA47 KIW46:KIW47 KSS46:KSS47 LCO46:LCO47 LMK46:LMK47 LWG46:LWG47 MGC46:MGC47 MPY46:MPY47 MZU46:MZU47 NJQ46:NJQ47 NTM46:NTM47 ODI46:ODI47 ONE46:ONE47 OXA46:OXA47 PGW46:PGW47 PQS46:PQS47 QAO46:QAO47 QKK46:QKK47 QUG46:QUG47 REC46:REC47 RNY46:RNY47 RXU46:RXU47 SHQ46:SHQ47 SRM46:SRM47 TBI46:TBI47 TLE46:TLE47 TVA46:TVA47 UEW46:UEW47 UOS46:UOS47 UYO46:UYO47 VIK46:VIK47 VSG46:VSG47 WCC46:WCC47 WLY46:WLY47 WVU46:WVU47 F46:F47 JB46:JB47 SX46:SX47 ACT46:ACT47 AMP46:AMP47 AWL46:AWL47 BGH46:BGH47 BQD46:BQD47 BZZ46:BZZ47 CJV46:CJV47 CTR46:CTR47 DDN46:DDN47 DNJ46:DNJ47 DXF46:DXF47 EHB46:EHB47 EQX46:EQX47 FAT46:FAT47 FKP46:FKP47 FUL46:FUL47 GEH46:GEH47 GOD46:GOD47 GXZ46:GXZ47 HHV46:HHV47 HRR46:HRR47 IBN46:IBN47 ILJ46:ILJ47 IVF46:IVF47 JFB46:JFB47 JOX46:JOX47 JYT46:JYT47 KIP46:KIP47 KSL46:KSL47 LCH46:LCH47 LMD46:LMD47 LVZ46:LVZ47 MFV46:MFV47 MPR46:MPR47 MZN46:MZN47 NJJ46:NJJ47 NTF46:NTF47 ODB46:ODB47 OMX46:OMX47 OWT46:OWT47 PGP46:PGP47 PQL46:PQL47 QAH46:QAH47 QKD46:QKD47 QTZ46:QTZ47 RDV46:RDV47 RNR46:RNR47 RXN46:RXN47 SHJ46:SHJ47 SRF46:SRF47 TBB46:TBB47 TKX46:TKX47 TUT46:TUT47 UEP46:UEP47 UOL46:UOL47 UYH46:UYH47 VID46:VID47 VRZ46:VRZ47 WBV46:WBV47 WLR46:WLR47 WVN46:WVN47">
      <formula1>"○,　"</formula1>
    </dataValidation>
    <dataValidation type="list" allowBlank="1" showInputMessage="1" sqref="K71">
      <formula1>$C$65:$C$70</formula1>
    </dataValidation>
    <dataValidation type="list" allowBlank="1" showInputMessage="1" sqref="F71">
      <formula1>$B$65:$B$70</formula1>
    </dataValidation>
    <dataValidation type="list" allowBlank="1" showInputMessage="1" sqref="F334">
      <formula1>$B335:$B341</formula1>
    </dataValidation>
    <dataValidation allowBlank="1" showInputMessage="1"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F37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dataValidations>
  <printOptions horizontalCentered="1"/>
  <pageMargins left="0.59055118110236227" right="0.59055118110236227" top="0.78740157480314965" bottom="0.59055118110236227" header="0.51181102362204722" footer="0.51181102362204722"/>
  <pageSetup paperSize="9" scale="64" fitToHeight="6" orientation="portrait" verticalDpi="4294967293" r:id="rId1"/>
  <headerFooter alignWithMargins="0">
    <oddHeader>&amp;L&amp;F&amp;R&amp;A</oddHeader>
    <oddFooter>&amp;C&amp;P/&amp;N</oddFooter>
  </headerFooter>
  <rowBreaks count="6" manualBreakCount="6">
    <brk id="52" min="2" max="15" man="1"/>
    <brk id="122" min="2" max="15" man="1"/>
    <brk id="175" min="2" max="15" man="1"/>
    <brk id="218" min="2" max="15" man="1"/>
    <brk id="274" min="2" max="15" man="1"/>
    <brk id="342" min="2" max="15" man="1"/>
  </rowBreaks>
  <legacyDrawing r:id="rId2"/>
</worksheet>
</file>

<file path=xl/worksheets/sheet8.xml><?xml version="1.0" encoding="utf-8"?>
<worksheet xmlns="http://schemas.openxmlformats.org/spreadsheetml/2006/main" xmlns:r="http://schemas.openxmlformats.org/officeDocument/2006/relationships">
  <sheetPr codeName="Sheet9">
    <pageSetUpPr autoPageBreaks="0"/>
  </sheetPr>
  <dimension ref="A1:AA278"/>
  <sheetViews>
    <sheetView showGridLines="0" zoomScale="85" zoomScaleNormal="85" zoomScalePageLayoutView="50" workbookViewId="0">
      <selection activeCell="G51" sqref="G51"/>
    </sheetView>
  </sheetViews>
  <sheetFormatPr defaultColWidth="0" defaultRowHeight="13.5" zeroHeight="1"/>
  <cols>
    <col min="1" max="1" width="2.375" customWidth="1"/>
    <col min="2" max="2" width="7.125" hidden="1" customWidth="1"/>
    <col min="3" max="3" width="3.375" hidden="1" customWidth="1"/>
    <col min="4" max="4" width="4.375" style="2452" customWidth="1"/>
    <col min="5" max="5" width="2.125" style="136" customWidth="1"/>
    <col min="6" max="8" width="12.125" style="136" customWidth="1"/>
    <col min="9" max="9" width="14.875" style="136" customWidth="1"/>
    <col min="10" max="15" width="12.125" style="136" customWidth="1"/>
    <col min="16" max="16" width="1.75" customWidth="1"/>
    <col min="17" max="17" width="10.125" hidden="1" customWidth="1"/>
  </cols>
  <sheetData>
    <row r="1" spans="2:21" ht="15.75">
      <c r="D1" s="954"/>
      <c r="E1" s="1337"/>
      <c r="F1" s="1338"/>
      <c r="G1" s="1338"/>
      <c r="H1" s="1338"/>
      <c r="I1" s="1338"/>
      <c r="J1" s="1339"/>
      <c r="K1" s="1338"/>
      <c r="L1" s="1338"/>
      <c r="M1" s="953" t="s">
        <v>2253</v>
      </c>
      <c r="N1" s="3487" t="str">
        <f>メイン!C11</f>
        <v>○○ビル</v>
      </c>
      <c r="O1" s="3487"/>
      <c r="R1" t="s">
        <v>1094</v>
      </c>
    </row>
    <row r="2" spans="2:21" ht="16.5" thickBot="1">
      <c r="D2" s="954"/>
      <c r="E2" s="550"/>
      <c r="F2" s="955"/>
      <c r="G2" s="955"/>
      <c r="H2" s="955"/>
      <c r="I2" s="955"/>
      <c r="J2" s="1340"/>
      <c r="K2" s="955"/>
      <c r="L2" s="955"/>
      <c r="M2" s="955"/>
      <c r="N2" s="955"/>
      <c r="O2" s="955"/>
    </row>
    <row r="3" spans="2:21" ht="18.75" thickBot="1">
      <c r="D3" s="1341" t="s">
        <v>2179</v>
      </c>
      <c r="E3" s="1342"/>
      <c r="F3" s="956"/>
      <c r="G3" s="956"/>
      <c r="H3" s="957"/>
      <c r="I3" s="958" t="s">
        <v>2813</v>
      </c>
      <c r="J3" s="1343"/>
      <c r="K3" s="1343"/>
      <c r="L3" s="959"/>
      <c r="M3" s="959"/>
      <c r="N3" s="1343"/>
      <c r="O3" s="1344" t="str">
        <f>IF(メイン!E39=0,"",メイン!E39)</f>
        <v/>
      </c>
      <c r="R3">
        <v>0</v>
      </c>
      <c r="S3" t="s">
        <v>2180</v>
      </c>
      <c r="U3" t="str">
        <f>メイン!I39</f>
        <v>基本設計段階</v>
      </c>
    </row>
    <row r="4" spans="2:21" ht="17.25">
      <c r="D4" s="954"/>
      <c r="E4" s="1342"/>
      <c r="F4" s="956"/>
      <c r="G4" s="956"/>
      <c r="H4" s="956"/>
      <c r="I4" s="956"/>
      <c r="J4" s="1345"/>
      <c r="K4" s="956"/>
      <c r="L4" s="956"/>
      <c r="M4" s="956"/>
      <c r="N4" s="956"/>
      <c r="O4" s="956"/>
      <c r="R4">
        <v>1</v>
      </c>
      <c r="T4" t="s">
        <v>2181</v>
      </c>
      <c r="U4" t="str">
        <f>メイン!I40</f>
        <v>実施設計段階</v>
      </c>
    </row>
    <row r="5" spans="2:21" ht="17.25">
      <c r="D5" s="1470">
        <v>1</v>
      </c>
      <c r="E5" s="1192" t="s">
        <v>2709</v>
      </c>
      <c r="F5" s="962"/>
      <c r="G5" s="956"/>
      <c r="H5" s="956"/>
      <c r="I5" s="956"/>
      <c r="J5" s="1345"/>
      <c r="K5" s="956"/>
      <c r="L5" s="956"/>
      <c r="M5" s="956"/>
      <c r="N5" s="956"/>
      <c r="O5" s="956"/>
      <c r="R5">
        <v>2</v>
      </c>
      <c r="U5" t="str">
        <f>メイン!I41</f>
        <v>竣工段階</v>
      </c>
    </row>
    <row r="6" spans="2:21" ht="15" thickBot="1">
      <c r="D6" s="2455"/>
      <c r="E6" s="1346"/>
      <c r="F6" s="971"/>
      <c r="G6" s="972"/>
      <c r="H6" s="973"/>
      <c r="I6" s="973"/>
      <c r="J6" s="973"/>
      <c r="K6" s="973"/>
      <c r="L6" s="973"/>
      <c r="M6" s="3639" t="s">
        <v>1125</v>
      </c>
      <c r="N6" s="3639"/>
      <c r="O6" s="1347" t="e">
        <f>重み!M110</f>
        <v>#DIV/0!</v>
      </c>
      <c r="S6" t="s">
        <v>2182</v>
      </c>
    </row>
    <row r="7" spans="2:21" ht="19.5" customHeight="1" thickBot="1">
      <c r="D7" s="1470"/>
      <c r="E7" s="1192"/>
      <c r="F7" s="1348">
        <f>ROUND(IF(H28&lt;=2,1,IF(H28&lt;=5,2,IF(H28&lt;=8,3,IF(H28&lt;=11,4,IF(H28&gt;=12,5))))),0)</f>
        <v>3</v>
      </c>
      <c r="G7" s="3665" t="s">
        <v>384</v>
      </c>
      <c r="H7" s="3666"/>
      <c r="I7" s="3666"/>
      <c r="J7" s="3666"/>
      <c r="K7" s="3666"/>
      <c r="L7" s="3666"/>
      <c r="M7" s="3666"/>
      <c r="N7" s="3666"/>
      <c r="O7" s="3666"/>
      <c r="R7" t="s">
        <v>175</v>
      </c>
      <c r="S7" t="s">
        <v>2183</v>
      </c>
    </row>
    <row r="8" spans="2:21" ht="26.25" customHeight="1">
      <c r="D8" s="954"/>
      <c r="E8" s="964"/>
      <c r="F8" s="985" t="str">
        <f>IF(ROUNDDOWN($F$7,0)=$S$10,$U$10,$T$10)</f>
        <v>　レベル　1</v>
      </c>
      <c r="G8" s="2645" t="s">
        <v>3368</v>
      </c>
      <c r="H8" s="988"/>
      <c r="I8" s="988"/>
      <c r="J8" s="988"/>
      <c r="K8" s="988"/>
      <c r="L8" s="988"/>
      <c r="M8" s="988"/>
      <c r="N8" s="988"/>
      <c r="O8" s="989"/>
    </row>
    <row r="9" spans="2:21" ht="26.25" customHeight="1">
      <c r="D9" s="954"/>
      <c r="E9" s="964"/>
      <c r="F9" s="990" t="str">
        <f>IF(ROUNDDOWN($F$7,0)=$S$11,$U$11,$T$11)</f>
        <v>　レベル　2</v>
      </c>
      <c r="G9" s="2649" t="s">
        <v>3369</v>
      </c>
      <c r="H9" s="995"/>
      <c r="I9" s="995"/>
      <c r="J9" s="995"/>
      <c r="K9" s="995"/>
      <c r="L9" s="995"/>
      <c r="M9" s="995"/>
      <c r="N9" s="995"/>
      <c r="O9" s="996"/>
    </row>
    <row r="10" spans="2:21" ht="26.25" customHeight="1">
      <c r="D10" s="954"/>
      <c r="E10" s="964"/>
      <c r="F10" s="990" t="str">
        <f>IF(ROUNDDOWN($F$7,0)=$S$12,$U$12,$T$12)</f>
        <v>■レベル　3</v>
      </c>
      <c r="G10" s="2649" t="s">
        <v>3370</v>
      </c>
      <c r="H10" s="995"/>
      <c r="I10" s="995"/>
      <c r="J10" s="995"/>
      <c r="K10" s="995"/>
      <c r="L10" s="995"/>
      <c r="M10" s="995"/>
      <c r="N10" s="995"/>
      <c r="O10" s="996"/>
      <c r="S10">
        <v>1</v>
      </c>
      <c r="T10" t="s">
        <v>2184</v>
      </c>
      <c r="U10" t="s">
        <v>2185</v>
      </c>
    </row>
    <row r="11" spans="2:21" ht="27" customHeight="1">
      <c r="D11" s="954"/>
      <c r="E11" s="964"/>
      <c r="F11" s="990" t="str">
        <f>IF(ROUNDDOWN($F$7,0)=$S$13,$U$13,$T$13)</f>
        <v>　レベル　4</v>
      </c>
      <c r="G11" s="2649" t="s">
        <v>3371</v>
      </c>
      <c r="H11" s="995"/>
      <c r="I11" s="995"/>
      <c r="J11" s="995"/>
      <c r="K11" s="995"/>
      <c r="L11" s="995"/>
      <c r="M11" s="995"/>
      <c r="N11" s="995"/>
      <c r="O11" s="996"/>
      <c r="S11">
        <v>2</v>
      </c>
      <c r="T11" t="s">
        <v>1095</v>
      </c>
      <c r="U11" t="s">
        <v>1096</v>
      </c>
    </row>
    <row r="12" spans="2:21" ht="26.25" customHeight="1">
      <c r="D12" s="954"/>
      <c r="E12" s="964"/>
      <c r="F12" s="1001" t="str">
        <f>IF(ROUNDDOWN($F$7,0)=$S$14,$U$14,$T$14)</f>
        <v>　レベル　5</v>
      </c>
      <c r="G12" s="2642" t="s">
        <v>3372</v>
      </c>
      <c r="H12" s="1006"/>
      <c r="I12" s="1006"/>
      <c r="J12" s="1006"/>
      <c r="K12" s="1006"/>
      <c r="L12" s="1006"/>
      <c r="M12" s="1006"/>
      <c r="N12" s="1006"/>
      <c r="O12" s="1007"/>
      <c r="S12">
        <v>3</v>
      </c>
      <c r="T12" t="s">
        <v>1100</v>
      </c>
      <c r="U12" t="s">
        <v>1101</v>
      </c>
    </row>
    <row r="13" spans="2:21" ht="20.25" customHeight="1">
      <c r="D13" s="954"/>
      <c r="E13" s="964"/>
      <c r="F13" s="1337"/>
      <c r="G13" s="1350" t="s">
        <v>3282</v>
      </c>
      <c r="H13" s="955"/>
      <c r="I13" s="1351"/>
      <c r="J13" s="1340"/>
      <c r="K13" s="955"/>
      <c r="L13" s="955"/>
      <c r="M13" s="955"/>
      <c r="N13" s="955"/>
      <c r="O13" s="955"/>
      <c r="S13">
        <v>4</v>
      </c>
      <c r="T13" t="s">
        <v>1001</v>
      </c>
      <c r="U13" t="s">
        <v>1002</v>
      </c>
    </row>
    <row r="14" spans="2:21" ht="16.5" thickBot="1">
      <c r="D14" s="954"/>
      <c r="E14" s="964"/>
      <c r="F14" s="1337"/>
      <c r="G14" s="1352" t="s">
        <v>177</v>
      </c>
      <c r="H14" s="3595" t="s">
        <v>1419</v>
      </c>
      <c r="I14" s="3596"/>
      <c r="J14" s="3595" t="s">
        <v>1415</v>
      </c>
      <c r="K14" s="3596"/>
      <c r="L14" s="3596"/>
      <c r="M14" s="3596"/>
      <c r="N14" s="3597"/>
      <c r="O14" s="1244" t="s">
        <v>1420</v>
      </c>
      <c r="S14">
        <v>5</v>
      </c>
      <c r="T14" t="s">
        <v>1008</v>
      </c>
      <c r="U14" t="s">
        <v>1009</v>
      </c>
    </row>
    <row r="15" spans="2:21" ht="34.5" customHeight="1">
      <c r="B15" s="1163" t="s">
        <v>178</v>
      </c>
      <c r="D15" s="954"/>
      <c r="E15" s="550"/>
      <c r="F15" s="1337"/>
      <c r="G15" s="1354">
        <v>1</v>
      </c>
      <c r="H15" s="3509" t="s">
        <v>2699</v>
      </c>
      <c r="I15" s="3645"/>
      <c r="J15" s="3528" t="s">
        <v>2700</v>
      </c>
      <c r="K15" s="3630"/>
      <c r="L15" s="3630"/>
      <c r="M15" s="3630"/>
      <c r="N15" s="3631"/>
      <c r="O15" s="1357">
        <v>1</v>
      </c>
      <c r="S15">
        <v>0</v>
      </c>
      <c r="T15" t="s">
        <v>2186</v>
      </c>
      <c r="U15" t="s">
        <v>2186</v>
      </c>
    </row>
    <row r="16" spans="2:21" ht="27" customHeight="1">
      <c r="B16" s="1163"/>
      <c r="D16" s="954"/>
      <c r="E16" s="550"/>
      <c r="F16" s="1337"/>
      <c r="G16" s="3677">
        <v>3</v>
      </c>
      <c r="H16" s="3667" t="s">
        <v>2701</v>
      </c>
      <c r="I16" s="3668"/>
      <c r="J16" s="3528" t="s">
        <v>3109</v>
      </c>
      <c r="K16" s="3630"/>
      <c r="L16" s="3630"/>
      <c r="M16" s="3630"/>
      <c r="N16" s="3631"/>
      <c r="O16" s="3673" t="s">
        <v>179</v>
      </c>
    </row>
    <row r="17" spans="1:15" ht="34.5" customHeight="1">
      <c r="D17" s="954"/>
      <c r="E17" s="550"/>
      <c r="F17" s="1337"/>
      <c r="G17" s="3678"/>
      <c r="H17" s="3669"/>
      <c r="I17" s="3670"/>
      <c r="J17" s="3528" t="s">
        <v>3110</v>
      </c>
      <c r="K17" s="3630"/>
      <c r="L17" s="3630"/>
      <c r="M17" s="3630"/>
      <c r="N17" s="3631"/>
      <c r="O17" s="3674"/>
    </row>
    <row r="18" spans="1:15" ht="27" customHeight="1">
      <c r="D18" s="954"/>
      <c r="E18" s="550"/>
      <c r="F18" s="1337"/>
      <c r="G18" s="3679"/>
      <c r="H18" s="3669"/>
      <c r="I18" s="3670"/>
      <c r="J18" s="3528" t="s">
        <v>3111</v>
      </c>
      <c r="K18" s="3630"/>
      <c r="L18" s="3630"/>
      <c r="M18" s="3630"/>
      <c r="N18" s="3631"/>
      <c r="O18" s="3675"/>
    </row>
    <row r="19" spans="1:15" ht="27" customHeight="1">
      <c r="D19" s="954"/>
      <c r="E19" s="550"/>
      <c r="F19" s="1337"/>
      <c r="G19" s="3677">
        <v>2</v>
      </c>
      <c r="H19" s="3669"/>
      <c r="I19" s="3670"/>
      <c r="J19" s="3528" t="s">
        <v>3112</v>
      </c>
      <c r="K19" s="3630"/>
      <c r="L19" s="3630"/>
      <c r="M19" s="3630"/>
      <c r="N19" s="3631"/>
      <c r="O19" s="3673" t="s">
        <v>180</v>
      </c>
    </row>
    <row r="20" spans="1:15" ht="27" customHeight="1">
      <c r="D20" s="954"/>
      <c r="E20" s="550"/>
      <c r="F20" s="1337"/>
      <c r="G20" s="3679"/>
      <c r="H20" s="3671"/>
      <c r="I20" s="3672"/>
      <c r="J20" s="3528" t="s">
        <v>3113</v>
      </c>
      <c r="K20" s="3630"/>
      <c r="L20" s="3630"/>
      <c r="M20" s="3630"/>
      <c r="N20" s="3631"/>
      <c r="O20" s="3675"/>
    </row>
    <row r="21" spans="1:15" ht="27" customHeight="1">
      <c r="D21" s="954"/>
      <c r="E21" s="550"/>
      <c r="F21" s="1337"/>
      <c r="G21" s="1363">
        <v>1</v>
      </c>
      <c r="H21" s="3647" t="s">
        <v>2702</v>
      </c>
      <c r="I21" s="3648"/>
      <c r="J21" s="3528" t="s">
        <v>2703</v>
      </c>
      <c r="K21" s="3630"/>
      <c r="L21" s="3630"/>
      <c r="M21" s="3630"/>
      <c r="N21" s="3631"/>
      <c r="O21" s="1357">
        <v>1</v>
      </c>
    </row>
    <row r="22" spans="1:15" ht="27" customHeight="1">
      <c r="D22" s="954"/>
      <c r="E22" s="550"/>
      <c r="F22" s="1337"/>
      <c r="G22" s="1363">
        <v>0</v>
      </c>
      <c r="H22" s="3676"/>
      <c r="I22" s="3650"/>
      <c r="J22" s="3528" t="s">
        <v>2704</v>
      </c>
      <c r="K22" s="3630"/>
      <c r="L22" s="3630"/>
      <c r="M22" s="3630"/>
      <c r="N22" s="3631"/>
      <c r="O22" s="1357">
        <v>1</v>
      </c>
    </row>
    <row r="23" spans="1:15" ht="27" customHeight="1">
      <c r="D23" s="954"/>
      <c r="E23" s="550"/>
      <c r="F23" s="1337"/>
      <c r="G23" s="1363">
        <v>0</v>
      </c>
      <c r="H23" s="3651"/>
      <c r="I23" s="3652"/>
      <c r="J23" s="3528" t="s">
        <v>2705</v>
      </c>
      <c r="K23" s="3630"/>
      <c r="L23" s="3630"/>
      <c r="M23" s="3630"/>
      <c r="N23" s="3631"/>
      <c r="O23" s="1357">
        <v>1</v>
      </c>
    </row>
    <row r="24" spans="1:15" ht="27" customHeight="1">
      <c r="D24" s="954"/>
      <c r="E24" s="550"/>
      <c r="F24" s="1337"/>
      <c r="G24" s="1363">
        <v>0</v>
      </c>
      <c r="H24" s="3647" t="s">
        <v>2706</v>
      </c>
      <c r="I24" s="3648"/>
      <c r="J24" s="3528" t="s">
        <v>3114</v>
      </c>
      <c r="K24" s="3630"/>
      <c r="L24" s="3630"/>
      <c r="M24" s="3630"/>
      <c r="N24" s="3631"/>
      <c r="O24" s="1357">
        <v>1</v>
      </c>
    </row>
    <row r="25" spans="1:15" ht="27" customHeight="1">
      <c r="D25" s="954"/>
      <c r="E25" s="550"/>
      <c r="F25" s="1337"/>
      <c r="G25" s="1363">
        <v>0</v>
      </c>
      <c r="H25" s="3649"/>
      <c r="I25" s="3650"/>
      <c r="J25" s="3528" t="s">
        <v>3115</v>
      </c>
      <c r="K25" s="3630"/>
      <c r="L25" s="3630"/>
      <c r="M25" s="3630"/>
      <c r="N25" s="3631"/>
      <c r="O25" s="1357">
        <v>1</v>
      </c>
    </row>
    <row r="26" spans="1:15" ht="27" customHeight="1">
      <c r="D26" s="954"/>
      <c r="E26" s="550"/>
      <c r="F26" s="1337"/>
      <c r="G26" s="1363">
        <v>0</v>
      </c>
      <c r="H26" s="3651"/>
      <c r="I26" s="3652"/>
      <c r="J26" s="3528" t="s">
        <v>2707</v>
      </c>
      <c r="K26" s="3630"/>
      <c r="L26" s="3630"/>
      <c r="M26" s="3630"/>
      <c r="N26" s="3631"/>
      <c r="O26" s="1357">
        <v>1</v>
      </c>
    </row>
    <row r="27" spans="1:15" ht="27" customHeight="1" thickBot="1">
      <c r="D27" s="954"/>
      <c r="E27" s="550"/>
      <c r="F27" s="1337"/>
      <c r="G27" s="1364">
        <v>0</v>
      </c>
      <c r="H27" s="3509" t="s">
        <v>2708</v>
      </c>
      <c r="I27" s="3645"/>
      <c r="J27" s="3528" t="s">
        <v>3373</v>
      </c>
      <c r="K27" s="3630"/>
      <c r="L27" s="3630"/>
      <c r="M27" s="3630"/>
      <c r="N27" s="3631"/>
      <c r="O27" s="1357">
        <v>1</v>
      </c>
    </row>
    <row r="28" spans="1:15" ht="25.5" customHeight="1">
      <c r="D28" s="954"/>
      <c r="E28" s="550"/>
      <c r="F28" s="1337"/>
      <c r="G28" s="1239" t="s">
        <v>2333</v>
      </c>
      <c r="H28" s="3519">
        <f>SUM(G15:G27)</f>
        <v>7</v>
      </c>
      <c r="I28" s="3519"/>
      <c r="J28" s="1241"/>
      <c r="K28" s="1242"/>
      <c r="L28" s="1241"/>
      <c r="M28" s="1242"/>
      <c r="N28" s="1241"/>
      <c r="O28" s="1251"/>
    </row>
    <row r="29" spans="1:15" s="2850" customFormat="1" ht="15.95" customHeight="1" thickBot="1">
      <c r="A29" s="2807"/>
      <c r="B29" s="2807"/>
      <c r="C29" s="2807"/>
      <c r="D29" s="2849"/>
      <c r="E29" s="2810"/>
      <c r="G29" s="2851" t="s">
        <v>3435</v>
      </c>
    </row>
    <row r="30" spans="1:15" s="2850" customFormat="1" ht="15.95" customHeight="1" thickBot="1">
      <c r="A30" s="2807"/>
      <c r="B30" s="2807"/>
      <c r="C30" s="2807"/>
      <c r="D30" s="2849"/>
      <c r="E30" s="2810"/>
      <c r="G30" s="2852" t="str">
        <f>IF(COUNTIF(G15:G20,"&gt;0")+COUNTIF(G24:G25,"&gt;0")&gt;=2,IF(COUNTIF(G15,"&gt;0")+COUNTIF(G24:G25,"&gt;0")&gt;=1,"○",""),"")</f>
        <v>○</v>
      </c>
      <c r="H30" s="3458" t="s">
        <v>3726</v>
      </c>
      <c r="I30" s="3459"/>
      <c r="J30" s="3459"/>
      <c r="K30" s="3459"/>
      <c r="L30" s="3459"/>
      <c r="M30" s="3459"/>
      <c r="N30" s="3459"/>
      <c r="O30" s="3460"/>
    </row>
    <row r="31" spans="1:15" ht="14.25" customHeight="1"/>
    <row r="32" spans="1:15" ht="14.25" customHeight="1">
      <c r="D32" s="1470">
        <v>2</v>
      </c>
      <c r="E32" s="1192" t="s">
        <v>181</v>
      </c>
      <c r="F32" s="962"/>
    </row>
    <row r="33" spans="1:27" s="2822" customFormat="1" ht="15.95" customHeight="1" thickBot="1">
      <c r="A33" s="2820"/>
      <c r="B33" s="2820"/>
      <c r="C33" s="2820"/>
      <c r="D33" s="2853"/>
      <c r="E33" s="2854"/>
      <c r="F33" s="971"/>
      <c r="G33" s="972"/>
      <c r="H33" s="973"/>
      <c r="I33" s="973"/>
      <c r="J33" s="973"/>
      <c r="K33" s="973"/>
      <c r="L33" s="973"/>
      <c r="M33" s="3639" t="s">
        <v>1125</v>
      </c>
      <c r="N33" s="3639"/>
      <c r="O33" s="1347" t="e">
        <f>重み!M111</f>
        <v>#DIV/0!</v>
      </c>
      <c r="P33" s="2855"/>
      <c r="Q33" s="2855"/>
      <c r="R33" s="2855"/>
      <c r="S33" s="2855"/>
      <c r="T33" s="2855"/>
      <c r="U33" s="2855"/>
      <c r="V33" s="2855"/>
      <c r="W33" s="2855"/>
      <c r="X33" s="2855"/>
      <c r="Y33" s="2855"/>
      <c r="Z33" s="2855"/>
      <c r="AA33" s="2855"/>
    </row>
    <row r="34" spans="1:27" s="2822" customFormat="1" ht="15.95" customHeight="1" thickBot="1">
      <c r="A34" s="2820"/>
      <c r="B34" s="2820"/>
      <c r="C34" s="2820"/>
      <c r="D34" s="2821"/>
      <c r="E34" s="2856"/>
      <c r="F34" s="2145">
        <f>IF(F35=0,0,IF(F35+N44&gt;5,5,F35+N44))</f>
        <v>3</v>
      </c>
      <c r="G34" s="3642" t="s">
        <v>3436</v>
      </c>
      <c r="H34" s="3643"/>
      <c r="I34" s="3643"/>
      <c r="J34" s="3643"/>
      <c r="K34" s="3643"/>
      <c r="L34" s="3643"/>
      <c r="M34" s="3643"/>
      <c r="N34" s="3643"/>
      <c r="O34" s="3644"/>
      <c r="P34" s="2855"/>
      <c r="Q34" s="2855"/>
      <c r="R34" s="2855"/>
      <c r="S34" s="2855"/>
      <c r="T34" s="2855"/>
      <c r="U34" s="2855"/>
      <c r="V34" s="2855"/>
      <c r="W34" s="2855"/>
      <c r="X34" s="2855"/>
      <c r="Y34" s="2855"/>
      <c r="Z34" s="2855"/>
      <c r="AA34" s="2855"/>
    </row>
    <row r="35" spans="1:27" s="2822" customFormat="1" ht="15.95" customHeight="1" thickBot="1">
      <c r="A35" s="2820"/>
      <c r="B35" s="2820"/>
      <c r="C35" s="2820"/>
      <c r="D35" s="2821"/>
      <c r="E35" s="2856"/>
      <c r="F35" s="978">
        <v>3</v>
      </c>
      <c r="G35" s="3640" t="s">
        <v>384</v>
      </c>
      <c r="H35" s="3641"/>
      <c r="I35" s="3641"/>
      <c r="J35" s="3641"/>
      <c r="K35" s="3641"/>
      <c r="L35" s="3641"/>
      <c r="M35" s="3641"/>
      <c r="N35" s="3641"/>
      <c r="O35" s="3493"/>
      <c r="P35" s="2855"/>
      <c r="Q35" s="2855"/>
      <c r="R35" s="2855"/>
      <c r="S35" s="2855"/>
      <c r="T35" s="2855"/>
      <c r="U35" s="2855"/>
      <c r="V35" s="2855"/>
      <c r="W35" s="2855"/>
      <c r="X35" s="2855"/>
      <c r="Y35" s="2855"/>
      <c r="Z35" s="2855"/>
      <c r="AA35" s="2855"/>
    </row>
    <row r="36" spans="1:27" s="2822" customFormat="1" ht="15.95" customHeight="1">
      <c r="A36" s="2820"/>
      <c r="B36" s="2820">
        <v>1</v>
      </c>
      <c r="C36" s="2820">
        <v>1</v>
      </c>
      <c r="D36" s="2821"/>
      <c r="E36" s="2857"/>
      <c r="F36" s="990" t="str">
        <f>IF(ROUNDDOWN($F$35,0)=$S$10,$U$10,$T$10)</f>
        <v>　レベル　1</v>
      </c>
      <c r="G36" s="3607" t="s">
        <v>3437</v>
      </c>
      <c r="H36" s="3654"/>
      <c r="I36" s="3654"/>
      <c r="J36" s="3654"/>
      <c r="K36" s="3654"/>
      <c r="L36" s="3654"/>
      <c r="M36" s="3654"/>
      <c r="N36" s="3654"/>
      <c r="O36" s="3608"/>
      <c r="P36" s="2855"/>
      <c r="Q36" s="2855"/>
      <c r="R36" s="2855"/>
      <c r="S36" s="2855"/>
      <c r="T36" s="2855"/>
      <c r="U36" s="2855"/>
      <c r="V36" s="2855"/>
      <c r="W36" s="2855"/>
      <c r="X36" s="2855"/>
      <c r="Y36" s="2855"/>
      <c r="Z36" s="2855"/>
      <c r="AA36" s="2855"/>
    </row>
    <row r="37" spans="1:27" s="2822" customFormat="1" ht="15.95" customHeight="1">
      <c r="A37" s="2820"/>
      <c r="B37" s="2820" t="s">
        <v>3438</v>
      </c>
      <c r="C37" s="2820" t="s">
        <v>3439</v>
      </c>
      <c r="D37" s="2821"/>
      <c r="E37" s="2857"/>
      <c r="F37" s="990" t="str">
        <f>IF(ROUNDDOWN($F$35,0)=$S$11,$U$11,$T$11)</f>
        <v>　レベル　2</v>
      </c>
      <c r="G37" s="3609" t="s">
        <v>3440</v>
      </c>
      <c r="H37" s="3655"/>
      <c r="I37" s="3655"/>
      <c r="J37" s="3655"/>
      <c r="K37" s="3655"/>
      <c r="L37" s="3655"/>
      <c r="M37" s="3655"/>
      <c r="N37" s="3655"/>
      <c r="O37" s="3610"/>
      <c r="P37" s="2855"/>
      <c r="Q37" s="2855"/>
      <c r="R37" s="2855"/>
      <c r="S37" s="2855"/>
      <c r="T37" s="2855"/>
      <c r="U37" s="2855"/>
      <c r="V37" s="2855"/>
      <c r="W37" s="2855"/>
      <c r="X37" s="2855"/>
      <c r="Y37" s="2855"/>
      <c r="Z37" s="2855"/>
      <c r="AA37" s="2855"/>
    </row>
    <row r="38" spans="1:27" s="2822" customFormat="1" ht="15.95" customHeight="1">
      <c r="A38" s="2820"/>
      <c r="B38" s="2820">
        <v>3</v>
      </c>
      <c r="C38" s="2820">
        <v>3</v>
      </c>
      <c r="D38" s="2821"/>
      <c r="E38" s="2857"/>
      <c r="F38" s="990" t="str">
        <f>IF(ROUNDDOWN($F$35,0)=$S$12,$U$12,$T$12)</f>
        <v>■レベル　3</v>
      </c>
      <c r="G38" s="3609" t="s">
        <v>3441</v>
      </c>
      <c r="H38" s="3655"/>
      <c r="I38" s="3655"/>
      <c r="J38" s="3655"/>
      <c r="K38" s="3655"/>
      <c r="L38" s="3655"/>
      <c r="M38" s="3655"/>
      <c r="N38" s="3655"/>
      <c r="O38" s="3610"/>
      <c r="P38" s="2855"/>
      <c r="Q38" s="2855"/>
      <c r="R38" s="2855"/>
      <c r="S38" s="2855"/>
      <c r="T38" s="2855"/>
      <c r="U38" s="2855"/>
      <c r="V38" s="2855"/>
      <c r="W38" s="2855"/>
      <c r="X38" s="2855"/>
      <c r="Y38" s="2855"/>
      <c r="Z38" s="2855"/>
      <c r="AA38" s="2855"/>
    </row>
    <row r="39" spans="1:27" s="2822" customFormat="1" ht="15.95" customHeight="1">
      <c r="A39" s="2820"/>
      <c r="B39" s="2820">
        <v>4</v>
      </c>
      <c r="C39" s="2820">
        <v>4</v>
      </c>
      <c r="D39" s="2821"/>
      <c r="E39" s="2857"/>
      <c r="F39" s="990" t="str">
        <f>IF(ROUNDDOWN($F$35,0)=$S$13,$U$13,$T$13)</f>
        <v>　レベル　4</v>
      </c>
      <c r="G39" s="3609" t="s">
        <v>3442</v>
      </c>
      <c r="H39" s="3655"/>
      <c r="I39" s="3655"/>
      <c r="J39" s="3655"/>
      <c r="K39" s="3655"/>
      <c r="L39" s="3655"/>
      <c r="M39" s="3655"/>
      <c r="N39" s="3655"/>
      <c r="O39" s="3610"/>
      <c r="P39" s="2855"/>
      <c r="Q39" s="2855"/>
      <c r="R39" s="2855"/>
      <c r="S39" s="2855"/>
      <c r="T39" s="2855"/>
      <c r="U39" s="2855"/>
      <c r="V39" s="2855"/>
      <c r="W39" s="2855"/>
      <c r="X39" s="2855"/>
      <c r="Y39" s="2855"/>
      <c r="Z39" s="2855"/>
      <c r="AA39" s="2855"/>
    </row>
    <row r="40" spans="1:27" s="2822" customFormat="1" ht="15.95" customHeight="1">
      <c r="A40" s="2820"/>
      <c r="B40" s="2820">
        <v>5</v>
      </c>
      <c r="C40" s="2820">
        <v>5</v>
      </c>
      <c r="D40" s="2821"/>
      <c r="E40" s="2857"/>
      <c r="F40" s="1001" t="str">
        <f>IF(ROUNDDOWN($F$35,0)=$S$14,$U$14,$T$14)</f>
        <v>　レベル　5</v>
      </c>
      <c r="G40" s="3656" t="s">
        <v>3443</v>
      </c>
      <c r="H40" s="3657"/>
      <c r="I40" s="3657"/>
      <c r="J40" s="3657"/>
      <c r="K40" s="3657"/>
      <c r="L40" s="3657"/>
      <c r="M40" s="3657"/>
      <c r="N40" s="3657"/>
      <c r="O40" s="3658"/>
      <c r="P40" s="2855"/>
      <c r="Q40" s="2855"/>
      <c r="R40" s="2855"/>
      <c r="S40" s="2855"/>
      <c r="T40" s="2855"/>
      <c r="U40" s="2855"/>
      <c r="V40" s="2855"/>
      <c r="W40" s="2855"/>
      <c r="X40" s="2855"/>
      <c r="Y40" s="2855"/>
      <c r="Z40" s="2855"/>
      <c r="AA40" s="2855"/>
    </row>
    <row r="41" spans="1:27" s="2850" customFormat="1" ht="15.95" customHeight="1" thickBot="1">
      <c r="A41" s="2807"/>
      <c r="B41" s="2808">
        <v>0</v>
      </c>
      <c r="C41" s="2808">
        <v>0</v>
      </c>
      <c r="D41" s="2809"/>
      <c r="E41" s="2811"/>
      <c r="F41" s="2858"/>
      <c r="G41" s="2859" t="s">
        <v>3422</v>
      </c>
      <c r="H41" s="2858"/>
      <c r="I41" s="2858"/>
      <c r="J41" s="2858"/>
      <c r="K41" s="2858"/>
      <c r="L41" s="2858"/>
      <c r="M41" s="2858"/>
      <c r="N41" s="2858"/>
      <c r="O41" s="2858"/>
    </row>
    <row r="42" spans="1:27" s="2850" customFormat="1" ht="15.95" customHeight="1">
      <c r="A42" s="2807"/>
      <c r="B42" s="2807"/>
      <c r="C42" s="2807"/>
      <c r="D42" s="2809"/>
      <c r="E42" s="2810"/>
      <c r="G42" s="2860" t="e">
        <f>IF(O33&gt;0,IF(COUNTIF(G47:G52,"○")&gt;=4,"○",""),"")</f>
        <v>#DIV/0!</v>
      </c>
      <c r="H42" s="2861" t="s">
        <v>3444</v>
      </c>
      <c r="I42" s="3565" t="s">
        <v>3445</v>
      </c>
      <c r="J42" s="3566"/>
      <c r="K42" s="3566"/>
      <c r="L42" s="3566"/>
      <c r="M42" s="3566"/>
      <c r="N42" s="3566"/>
      <c r="O42" s="3659"/>
    </row>
    <row r="43" spans="1:27" s="2850" customFormat="1" ht="31.5" customHeight="1" thickBot="1">
      <c r="A43" s="2807"/>
      <c r="B43" s="2807"/>
      <c r="C43" s="2807"/>
      <c r="D43" s="2809"/>
      <c r="E43" s="2810"/>
      <c r="G43" s="2862" t="e">
        <f>IF(O33&gt;0,IF(F58=5,"○",""),"")</f>
        <v>#DIV/0!</v>
      </c>
      <c r="H43" s="2863" t="s">
        <v>3446</v>
      </c>
      <c r="I43" s="3660" t="s">
        <v>3447</v>
      </c>
      <c r="J43" s="3661"/>
      <c r="K43" s="3661"/>
      <c r="L43" s="3661"/>
      <c r="M43" s="3661"/>
      <c r="N43" s="3661"/>
      <c r="O43" s="3662"/>
    </row>
    <row r="44" spans="1:27" s="2850" customFormat="1" ht="15.95" customHeight="1">
      <c r="A44" s="2807"/>
      <c r="B44" s="2807"/>
      <c r="C44" s="2807"/>
      <c r="D44" s="2809"/>
      <c r="E44" s="2810"/>
      <c r="G44" s="2864"/>
      <c r="H44" s="3653"/>
      <c r="I44" s="3653"/>
      <c r="J44" s="2865"/>
      <c r="K44" s="2866"/>
      <c r="L44" s="2865"/>
      <c r="M44" s="2867" t="s">
        <v>3429</v>
      </c>
      <c r="N44" s="2868">
        <f>COUNTIF(G42:G43,"○")</f>
        <v>0</v>
      </c>
      <c r="O44" s="2869" t="s">
        <v>3448</v>
      </c>
    </row>
    <row r="45" spans="1:27" s="2850" customFormat="1" ht="15.95" customHeight="1" thickBot="1">
      <c r="A45" s="2807"/>
      <c r="B45" s="2807"/>
      <c r="C45" s="2807"/>
      <c r="D45" s="2809"/>
      <c r="E45" s="2810"/>
      <c r="F45" s="1665"/>
      <c r="G45" s="2870" t="s">
        <v>3449</v>
      </c>
      <c r="H45" s="2871"/>
      <c r="I45" s="2871"/>
      <c r="J45" s="2871"/>
      <c r="K45" s="2871"/>
      <c r="L45" s="2871"/>
      <c r="M45" s="2871"/>
      <c r="N45" s="2871"/>
      <c r="O45" s="2871"/>
    </row>
    <row r="46" spans="1:27" s="2850" customFormat="1" ht="15.95" customHeight="1" thickBot="1">
      <c r="A46" s="2807"/>
      <c r="B46" s="2807"/>
      <c r="C46" s="2807"/>
      <c r="D46" s="2809"/>
      <c r="E46" s="2810"/>
      <c r="F46" s="1665"/>
      <c r="G46" s="2872" t="s">
        <v>3450</v>
      </c>
      <c r="H46" s="3646" t="s">
        <v>1781</v>
      </c>
      <c r="I46" s="3606"/>
      <c r="J46" s="3605" t="s">
        <v>3451</v>
      </c>
      <c r="K46" s="3606"/>
      <c r="L46" s="3605" t="s">
        <v>3452</v>
      </c>
      <c r="M46" s="3606"/>
      <c r="N46" s="3605" t="s">
        <v>3453</v>
      </c>
      <c r="O46" s="3606"/>
    </row>
    <row r="47" spans="1:27" s="2850" customFormat="1" ht="48" customHeight="1">
      <c r="A47" s="2807"/>
      <c r="B47" s="2807"/>
      <c r="C47" s="2807"/>
      <c r="D47" s="2809"/>
      <c r="E47" s="2810"/>
      <c r="F47" s="1665"/>
      <c r="G47" s="2873" t="e">
        <f>IF(O33&gt;0,IF(COUNTIF(採点Q1!F292,"○")+COUNTIF(採点Q1!K292,"○")&gt;=1,"○",""),"")</f>
        <v>#DIV/0!</v>
      </c>
      <c r="H47" s="2874" t="s">
        <v>3454</v>
      </c>
      <c r="I47" s="2875" t="s">
        <v>3455</v>
      </c>
      <c r="J47" s="3607" t="s">
        <v>3456</v>
      </c>
      <c r="K47" s="3608"/>
      <c r="L47" s="3607" t="s">
        <v>3457</v>
      </c>
      <c r="M47" s="3608"/>
      <c r="N47" s="3607" t="s">
        <v>3458</v>
      </c>
      <c r="O47" s="3608"/>
    </row>
    <row r="48" spans="1:27" s="2850" customFormat="1" ht="48" customHeight="1">
      <c r="A48" s="2807"/>
      <c r="B48" s="2807"/>
      <c r="C48" s="2807"/>
      <c r="D48" s="2809"/>
      <c r="E48" s="2810"/>
      <c r="F48" s="1665"/>
      <c r="G48" s="2876" t="e">
        <f>IF(O33&gt;0,IF(採点Q1!F306&gt;=3,IF(COUNTIF(採点Q1!F314,"○")&gt;=1,"○",""),IF(採点Q1!K306&gt;=3,IF(COUNTIF(採点Q1!K314,"○")&gt;=1,"○",""),"")),"")</f>
        <v>#DIV/0!</v>
      </c>
      <c r="H48" s="2877" t="s">
        <v>3741</v>
      </c>
      <c r="I48" s="2878" t="s">
        <v>3459</v>
      </c>
      <c r="J48" s="3609" t="s">
        <v>3460</v>
      </c>
      <c r="K48" s="3610"/>
      <c r="L48" s="3609" t="s">
        <v>3461</v>
      </c>
      <c r="M48" s="3610"/>
      <c r="N48" s="3609" t="s">
        <v>3462</v>
      </c>
      <c r="O48" s="3610"/>
    </row>
    <row r="49" spans="1:15" s="2850" customFormat="1" ht="48" customHeight="1">
      <c r="A49" s="2807"/>
      <c r="B49" s="2807"/>
      <c r="C49" s="2807"/>
      <c r="D49" s="2809"/>
      <c r="E49" s="2810"/>
      <c r="F49" s="1665"/>
      <c r="G49" s="2876" t="e">
        <f>IF(O33&gt;0,IF(F7&gt;=3,IF(COUNTIF(G30,"○")=1,"○",""),""),"")</f>
        <v>#DIV/0!</v>
      </c>
      <c r="H49" s="2877" t="s">
        <v>3463</v>
      </c>
      <c r="I49" s="2878" t="s">
        <v>3464</v>
      </c>
      <c r="J49" s="3609" t="s">
        <v>3465</v>
      </c>
      <c r="K49" s="3610"/>
      <c r="L49" s="3609" t="s">
        <v>3466</v>
      </c>
      <c r="M49" s="3610"/>
      <c r="N49" s="3609" t="s">
        <v>3467</v>
      </c>
      <c r="O49" s="3610"/>
    </row>
    <row r="50" spans="1:15" s="2850" customFormat="1" ht="48" customHeight="1">
      <c r="A50" s="2807"/>
      <c r="B50" s="2807"/>
      <c r="C50" s="2807"/>
      <c r="D50" s="2809"/>
      <c r="E50" s="2810"/>
      <c r="F50" s="1665"/>
      <c r="G50" s="2876" t="e">
        <f>IF(O33&gt;0,IF(F91&gt;=4,"○",""),"")</f>
        <v>#DIV/0!</v>
      </c>
      <c r="H50" s="2877" t="s">
        <v>3468</v>
      </c>
      <c r="I50" s="2878" t="s">
        <v>3469</v>
      </c>
      <c r="J50" s="3609" t="s">
        <v>3470</v>
      </c>
      <c r="K50" s="3610"/>
      <c r="L50" s="3609" t="s">
        <v>3471</v>
      </c>
      <c r="M50" s="3610"/>
      <c r="N50" s="3609" t="s">
        <v>3472</v>
      </c>
      <c r="O50" s="3610"/>
    </row>
    <row r="51" spans="1:15" s="2850" customFormat="1" ht="80.099999999999994" customHeight="1">
      <c r="A51" s="2807"/>
      <c r="B51" s="2807"/>
      <c r="C51" s="2807"/>
      <c r="D51" s="2809"/>
      <c r="E51" s="2810"/>
      <c r="F51" s="1665"/>
      <c r="G51" s="2876" t="e">
        <f>IF(O33&gt;0,IF(採点LR3!F30&gt;=4,"○",""),"")</f>
        <v>#DIV/0!</v>
      </c>
      <c r="H51" s="2877" t="s">
        <v>3473</v>
      </c>
      <c r="I51" s="2878" t="s">
        <v>3474</v>
      </c>
      <c r="J51" s="3609" t="s">
        <v>3475</v>
      </c>
      <c r="K51" s="3610"/>
      <c r="L51" s="3609" t="s">
        <v>3476</v>
      </c>
      <c r="M51" s="3610"/>
      <c r="N51" s="3609" t="s">
        <v>3472</v>
      </c>
      <c r="O51" s="3610"/>
    </row>
    <row r="52" spans="1:15" s="2850" customFormat="1" ht="48" customHeight="1" thickBot="1">
      <c r="A52" s="2807"/>
      <c r="B52" s="2807"/>
      <c r="C52" s="2807"/>
      <c r="D52" s="2809"/>
      <c r="E52" s="2810"/>
      <c r="F52" s="1665"/>
      <c r="G52" s="2879" t="e">
        <f>IF(O33&gt;0,IF(採点LR3!F234&gt;=3,IF(COUNTIF(採点LR3!F242,"○")=1,"○",""),""),"")</f>
        <v>#DIV/0!</v>
      </c>
      <c r="H52" s="2880" t="s">
        <v>3477</v>
      </c>
      <c r="I52" s="2881" t="s">
        <v>3478</v>
      </c>
      <c r="J52" s="3611" t="s">
        <v>3479</v>
      </c>
      <c r="K52" s="3612"/>
      <c r="L52" s="3611" t="s">
        <v>3480</v>
      </c>
      <c r="M52" s="3612"/>
      <c r="N52" s="3611" t="s">
        <v>3481</v>
      </c>
      <c r="O52" s="3612"/>
    </row>
    <row r="53" spans="1:15" s="2850" customFormat="1" ht="15.95" customHeight="1">
      <c r="A53" s="2807"/>
      <c r="B53" s="2807"/>
      <c r="C53" s="2807"/>
      <c r="D53" s="2809"/>
      <c r="E53" s="2810"/>
      <c r="F53" s="1665"/>
      <c r="G53" s="2882" t="s">
        <v>3482</v>
      </c>
      <c r="H53" s="2883" t="e">
        <f>IF(O33&gt;0,COUNTIF(G47:G52,"○"),"")</f>
        <v>#DIV/0!</v>
      </c>
      <c r="I53" s="2884"/>
      <c r="J53" s="2884"/>
      <c r="K53" s="2884"/>
      <c r="L53" s="2884"/>
      <c r="M53" s="2884"/>
      <c r="N53" s="2884"/>
      <c r="O53" s="2885"/>
    </row>
    <row r="54" spans="1:15" ht="15.75">
      <c r="D54" s="954"/>
      <c r="E54" s="959"/>
      <c r="F54" s="1108"/>
      <c r="G54" s="1154"/>
      <c r="H54" s="1154"/>
      <c r="I54" s="1154"/>
      <c r="J54" s="1154"/>
      <c r="K54" s="1154"/>
      <c r="L54" s="1154"/>
      <c r="M54" s="1154"/>
      <c r="N54" s="1154"/>
      <c r="O54" s="1154"/>
    </row>
    <row r="55" spans="1:15" ht="13.5" customHeight="1">
      <c r="D55" s="2456">
        <v>3</v>
      </c>
      <c r="E55" s="1192" t="s">
        <v>182</v>
      </c>
      <c r="F55" s="961"/>
      <c r="G55" s="962"/>
      <c r="H55" s="962"/>
      <c r="I55" s="1369"/>
      <c r="J55" s="962"/>
      <c r="K55" s="962"/>
      <c r="L55" s="962"/>
      <c r="M55" s="962"/>
      <c r="N55" s="962"/>
      <c r="O55" s="962"/>
    </row>
    <row r="56" spans="1:15" ht="13.5" customHeight="1">
      <c r="D56" s="1470">
        <v>3.1</v>
      </c>
      <c r="E56" s="1192" t="s">
        <v>3116</v>
      </c>
      <c r="F56" s="962"/>
      <c r="G56" s="962"/>
      <c r="H56" s="962"/>
      <c r="I56" s="1369"/>
      <c r="J56" s="962"/>
      <c r="K56" s="962"/>
      <c r="L56" s="962"/>
      <c r="M56" s="962"/>
      <c r="N56" s="962"/>
      <c r="O56" s="962"/>
    </row>
    <row r="57" spans="1:15" ht="15" thickBot="1">
      <c r="B57" t="s">
        <v>622</v>
      </c>
      <c r="D57" s="2455"/>
      <c r="E57" s="1346"/>
      <c r="F57" s="971"/>
      <c r="G57" s="972"/>
      <c r="H57" s="973"/>
      <c r="I57" s="973"/>
      <c r="J57" s="973"/>
      <c r="K57" s="973"/>
      <c r="L57" s="973"/>
      <c r="M57" s="3639" t="s">
        <v>1125</v>
      </c>
      <c r="N57" s="3639"/>
      <c r="O57" s="1347" t="e">
        <f>重み!M113</f>
        <v>#DIV/0!</v>
      </c>
    </row>
    <row r="58" spans="1:15" ht="23.25" customHeight="1" thickBot="1">
      <c r="B58" s="1216" t="s">
        <v>2121</v>
      </c>
      <c r="C58" t="s">
        <v>99</v>
      </c>
      <c r="D58" s="954"/>
      <c r="E58" s="964"/>
      <c r="F58" s="1370">
        <f>ROUND(IF(H87&lt;1,1,IF(H87&lt;=2,2,IF(H87&lt;=4,3,IF(H87=5,4,IF(H87&gt;=6,5))))),0)</f>
        <v>3</v>
      </c>
      <c r="G58" s="3640" t="s">
        <v>384</v>
      </c>
      <c r="H58" s="3641"/>
      <c r="I58" s="3641"/>
      <c r="J58" s="3641"/>
      <c r="K58" s="3641"/>
      <c r="L58" s="3641"/>
      <c r="M58" s="3641"/>
      <c r="N58" s="3641"/>
      <c r="O58" s="3493"/>
    </row>
    <row r="59" spans="1:15" ht="24.75" customHeight="1">
      <c r="D59" s="954"/>
      <c r="E59" s="964"/>
      <c r="F59" s="985" t="str">
        <f>IF(ROUNDDOWN($F$58,0)=$S$10,$U$10,$T$10)</f>
        <v>　レベル　1</v>
      </c>
      <c r="G59" s="987" t="s">
        <v>3301</v>
      </c>
      <c r="H59" s="988"/>
      <c r="I59" s="988"/>
      <c r="J59" s="988"/>
      <c r="K59" s="988"/>
      <c r="L59" s="988"/>
      <c r="M59" s="988"/>
      <c r="N59" s="988"/>
      <c r="O59" s="989"/>
    </row>
    <row r="60" spans="1:15" ht="24.75" customHeight="1">
      <c r="D60" s="954"/>
      <c r="E60" s="964"/>
      <c r="F60" s="990" t="str">
        <f>IF(ROUNDDOWN($F$58,0)=$S$11,$U$11,$T$11)</f>
        <v>　レベル　2</v>
      </c>
      <c r="G60" s="994" t="s">
        <v>3302</v>
      </c>
      <c r="H60" s="995"/>
      <c r="I60" s="995"/>
      <c r="J60" s="995"/>
      <c r="K60" s="995"/>
      <c r="L60" s="995"/>
      <c r="M60" s="995"/>
      <c r="N60" s="995"/>
      <c r="O60" s="996"/>
    </row>
    <row r="61" spans="1:15" ht="24.75" customHeight="1">
      <c r="D61" s="954"/>
      <c r="E61" s="964"/>
      <c r="F61" s="990" t="str">
        <f>IF(ROUNDDOWN($F$58,0)=$S$12,$U$12,$T$12)</f>
        <v>■レベル　3</v>
      </c>
      <c r="G61" s="994" t="s">
        <v>3303</v>
      </c>
      <c r="H61" s="995"/>
      <c r="I61" s="995"/>
      <c r="J61" s="995"/>
      <c r="K61" s="995"/>
      <c r="L61" s="995"/>
      <c r="M61" s="995"/>
      <c r="N61" s="995"/>
      <c r="O61" s="996"/>
    </row>
    <row r="62" spans="1:15" ht="24.75" customHeight="1">
      <c r="D62" s="954"/>
      <c r="E62" s="964"/>
      <c r="F62" s="990" t="str">
        <f>IF(ROUNDDOWN($F$58,0)=$S$13,$U$13,$T$13)</f>
        <v>　レベル　4</v>
      </c>
      <c r="G62" s="994" t="s">
        <v>3304</v>
      </c>
      <c r="H62" s="995"/>
      <c r="I62" s="995"/>
      <c r="J62" s="995"/>
      <c r="K62" s="995"/>
      <c r="L62" s="995"/>
      <c r="M62" s="995"/>
      <c r="N62" s="995"/>
      <c r="O62" s="996"/>
    </row>
    <row r="63" spans="1:15" ht="24.75" customHeight="1">
      <c r="D63" s="954"/>
      <c r="E63" s="964"/>
      <c r="F63" s="1001" t="str">
        <f>IF(ROUNDDOWN($F$58,0)=$S$14,$U$14,$T$14)</f>
        <v>　レベル　5</v>
      </c>
      <c r="G63" s="1005" t="s">
        <v>3305</v>
      </c>
      <c r="H63" s="1006"/>
      <c r="I63" s="1006"/>
      <c r="J63" s="1006"/>
      <c r="K63" s="1006"/>
      <c r="L63" s="1006"/>
      <c r="M63" s="1006"/>
      <c r="N63" s="1006"/>
      <c r="O63" s="1007"/>
    </row>
    <row r="64" spans="1:15" ht="23.25" customHeight="1">
      <c r="D64" s="954"/>
      <c r="E64" s="964"/>
      <c r="F64" s="1337"/>
      <c r="G64" s="1350" t="s">
        <v>3282</v>
      </c>
      <c r="H64" s="955"/>
      <c r="I64" s="1351"/>
      <c r="J64" s="1340"/>
      <c r="K64" s="955"/>
      <c r="L64" s="955"/>
      <c r="M64" s="955"/>
      <c r="N64" s="955"/>
      <c r="O64" s="955"/>
    </row>
    <row r="65" spans="1:15" ht="28.5" customHeight="1" thickBot="1">
      <c r="D65" s="954"/>
      <c r="E65" s="964"/>
      <c r="F65" s="1337"/>
      <c r="G65" s="1352" t="s">
        <v>177</v>
      </c>
      <c r="H65" s="3595" t="s">
        <v>1419</v>
      </c>
      <c r="I65" s="3596"/>
      <c r="J65" s="3595" t="s">
        <v>1415</v>
      </c>
      <c r="K65" s="3596"/>
      <c r="L65" s="3596"/>
      <c r="M65" s="3596"/>
      <c r="N65" s="3597"/>
      <c r="O65" s="1244" t="s">
        <v>1420</v>
      </c>
    </row>
    <row r="66" spans="1:15" ht="48" customHeight="1">
      <c r="D66" s="954"/>
      <c r="E66" s="550"/>
      <c r="F66" s="1337"/>
      <c r="G66" s="1371">
        <v>1</v>
      </c>
      <c r="H66" s="3598" t="s">
        <v>3117</v>
      </c>
      <c r="I66" s="3599"/>
      <c r="J66" s="3539" t="s">
        <v>3118</v>
      </c>
      <c r="K66" s="3593"/>
      <c r="L66" s="3593"/>
      <c r="M66" s="3593"/>
      <c r="N66" s="3594"/>
      <c r="O66" s="1372">
        <v>1</v>
      </c>
    </row>
    <row r="67" spans="1:15" ht="57.75" customHeight="1">
      <c r="D67" s="954"/>
      <c r="E67" s="550"/>
      <c r="F67" s="1337"/>
      <c r="G67" s="1373">
        <v>1</v>
      </c>
      <c r="H67" s="3600"/>
      <c r="I67" s="3601"/>
      <c r="J67" s="3602" t="s">
        <v>867</v>
      </c>
      <c r="K67" s="3603"/>
      <c r="L67" s="3603"/>
      <c r="M67" s="3603"/>
      <c r="N67" s="3604"/>
      <c r="O67" s="1368">
        <v>1</v>
      </c>
    </row>
    <row r="68" spans="1:15" ht="15.75" customHeight="1">
      <c r="D68" s="954"/>
      <c r="E68" s="550"/>
      <c r="F68" s="1337"/>
      <c r="G68" s="3614">
        <v>1</v>
      </c>
      <c r="H68" s="3618" t="s">
        <v>100</v>
      </c>
      <c r="I68" s="3636"/>
      <c r="J68" s="3602" t="s">
        <v>528</v>
      </c>
      <c r="K68" s="3603"/>
      <c r="L68" s="3603"/>
      <c r="M68" s="3603"/>
      <c r="N68" s="3604"/>
      <c r="O68" s="3624">
        <v>1</v>
      </c>
    </row>
    <row r="69" spans="1:15" ht="53.25" customHeight="1">
      <c r="D69" s="954"/>
      <c r="E69" s="550"/>
      <c r="F69" s="1337"/>
      <c r="G69" s="3690"/>
      <c r="H69" s="3620"/>
      <c r="I69" s="3637"/>
      <c r="J69" s="3627" t="s">
        <v>3119</v>
      </c>
      <c r="K69" s="3628"/>
      <c r="L69" s="3628"/>
      <c r="M69" s="3628"/>
      <c r="N69" s="3629"/>
      <c r="O69" s="3625"/>
    </row>
    <row r="70" spans="1:15" ht="31.5" customHeight="1">
      <c r="D70" s="954"/>
      <c r="E70" s="550"/>
      <c r="F70" s="1337"/>
      <c r="G70" s="3615"/>
      <c r="H70" s="3620"/>
      <c r="I70" s="3637"/>
      <c r="J70" s="3627" t="s">
        <v>3120</v>
      </c>
      <c r="K70" s="3628"/>
      <c r="L70" s="3628"/>
      <c r="M70" s="3628"/>
      <c r="N70" s="3629"/>
      <c r="O70" s="3626"/>
    </row>
    <row r="71" spans="1:15" ht="52.5" customHeight="1">
      <c r="D71" s="954"/>
      <c r="E71" s="550"/>
      <c r="F71" s="1337"/>
      <c r="G71" s="3614">
        <v>0</v>
      </c>
      <c r="H71" s="3620"/>
      <c r="I71" s="3637"/>
      <c r="J71" s="3528" t="s">
        <v>3121</v>
      </c>
      <c r="K71" s="3630"/>
      <c r="L71" s="3630"/>
      <c r="M71" s="3630"/>
      <c r="N71" s="3631"/>
      <c r="O71" s="1376">
        <v>1</v>
      </c>
    </row>
    <row r="72" spans="1:15" ht="34.5" hidden="1" customHeight="1">
      <c r="D72" s="954"/>
      <c r="E72" s="550"/>
      <c r="F72" s="1337"/>
      <c r="G72" s="3615"/>
      <c r="H72" s="3622"/>
      <c r="I72" s="3638"/>
      <c r="J72" s="1358" t="s">
        <v>3122</v>
      </c>
      <c r="K72" s="1359"/>
      <c r="L72" s="1359"/>
      <c r="M72" s="1359"/>
      <c r="N72" s="1360"/>
      <c r="O72" s="1375"/>
    </row>
    <row r="73" spans="1:15" s="2850" customFormat="1" ht="48" customHeight="1">
      <c r="A73" s="2807"/>
      <c r="B73" s="2807"/>
      <c r="C73" s="2807"/>
      <c r="D73" s="2809"/>
      <c r="E73" s="2810"/>
      <c r="G73" s="2891">
        <v>0</v>
      </c>
      <c r="H73" s="3663" t="s">
        <v>3486</v>
      </c>
      <c r="I73" s="3664"/>
      <c r="J73" s="3609" t="s">
        <v>3485</v>
      </c>
      <c r="K73" s="3634"/>
      <c r="L73" s="3634"/>
      <c r="M73" s="3634"/>
      <c r="N73" s="3635"/>
      <c r="O73" s="2892">
        <v>2</v>
      </c>
    </row>
    <row r="74" spans="1:15" ht="20.25" customHeight="1">
      <c r="D74" s="954"/>
      <c r="E74" s="550"/>
      <c r="F74" s="1337"/>
      <c r="G74" s="3614">
        <v>0</v>
      </c>
      <c r="H74" s="3618" t="s">
        <v>529</v>
      </c>
      <c r="I74" s="3619"/>
      <c r="J74" s="3602" t="s">
        <v>530</v>
      </c>
      <c r="K74" s="3603"/>
      <c r="L74" s="3603"/>
      <c r="M74" s="3603"/>
      <c r="N74" s="3604"/>
      <c r="O74" s="3624">
        <v>1</v>
      </c>
    </row>
    <row r="75" spans="1:15" ht="55.5" customHeight="1">
      <c r="D75" s="954"/>
      <c r="E75" s="550"/>
      <c r="F75" s="1337"/>
      <c r="G75" s="3690"/>
      <c r="H75" s="3620"/>
      <c r="I75" s="3621"/>
      <c r="J75" s="3627" t="s">
        <v>3123</v>
      </c>
      <c r="K75" s="3628"/>
      <c r="L75" s="3628"/>
      <c r="M75" s="3628"/>
      <c r="N75" s="3629"/>
      <c r="O75" s="3625"/>
    </row>
    <row r="76" spans="1:15" ht="46.5" customHeight="1">
      <c r="D76" s="954"/>
      <c r="E76" s="550"/>
      <c r="F76" s="1337"/>
      <c r="G76" s="3615"/>
      <c r="H76" s="3622"/>
      <c r="I76" s="3623"/>
      <c r="J76" s="3589" t="s">
        <v>3124</v>
      </c>
      <c r="K76" s="3616"/>
      <c r="L76" s="3616"/>
      <c r="M76" s="3616"/>
      <c r="N76" s="3617"/>
      <c r="O76" s="3626"/>
    </row>
    <row r="77" spans="1:15" ht="23.25" customHeight="1">
      <c r="D77" s="954"/>
      <c r="E77" s="550"/>
      <c r="F77" s="1337"/>
      <c r="G77" s="3614">
        <v>0</v>
      </c>
      <c r="H77" s="3618" t="s">
        <v>1750</v>
      </c>
      <c r="I77" s="3619"/>
      <c r="J77" s="3602" t="s">
        <v>983</v>
      </c>
      <c r="K77" s="3603"/>
      <c r="L77" s="3603"/>
      <c r="M77" s="3603"/>
      <c r="N77" s="3604"/>
      <c r="O77" s="3691">
        <v>1</v>
      </c>
    </row>
    <row r="78" spans="1:15" ht="48" customHeight="1">
      <c r="D78" s="954"/>
      <c r="E78" s="550"/>
      <c r="F78" s="1337"/>
      <c r="G78" s="3690"/>
      <c r="H78" s="3620"/>
      <c r="I78" s="3621"/>
      <c r="J78" s="3627" t="s">
        <v>3125</v>
      </c>
      <c r="K78" s="3628"/>
      <c r="L78" s="3628"/>
      <c r="M78" s="3628"/>
      <c r="N78" s="3629"/>
      <c r="O78" s="3692"/>
    </row>
    <row r="79" spans="1:15" ht="46.5" customHeight="1">
      <c r="D79" s="954"/>
      <c r="E79" s="550"/>
      <c r="F79" s="1337"/>
      <c r="G79" s="3690"/>
      <c r="H79" s="3620"/>
      <c r="I79" s="3621"/>
      <c r="J79" s="3627" t="s">
        <v>3126</v>
      </c>
      <c r="K79" s="3628"/>
      <c r="L79" s="3628"/>
      <c r="M79" s="3628"/>
      <c r="N79" s="3629"/>
      <c r="O79" s="3692"/>
    </row>
    <row r="80" spans="1:15" ht="44.25" customHeight="1">
      <c r="D80" s="954"/>
      <c r="E80" s="550"/>
      <c r="F80" s="1337"/>
      <c r="G80" s="3690"/>
      <c r="H80" s="3622"/>
      <c r="I80" s="3623"/>
      <c r="J80" s="3589" t="s">
        <v>3127</v>
      </c>
      <c r="K80" s="3616"/>
      <c r="L80" s="3616"/>
      <c r="M80" s="3616"/>
      <c r="N80" s="3617"/>
      <c r="O80" s="3693"/>
    </row>
    <row r="81" spans="1:15" ht="44.25" customHeight="1">
      <c r="B81" s="1163" t="s">
        <v>1751</v>
      </c>
      <c r="D81" s="954"/>
      <c r="E81" s="550"/>
      <c r="F81" s="1337"/>
      <c r="G81" s="1373">
        <v>0</v>
      </c>
      <c r="H81" s="3632" t="s">
        <v>1752</v>
      </c>
      <c r="I81" s="3633"/>
      <c r="J81" s="3528" t="s">
        <v>1753</v>
      </c>
      <c r="K81" s="3630"/>
      <c r="L81" s="3630"/>
      <c r="M81" s="3630"/>
      <c r="N81" s="3631"/>
      <c r="O81" s="1377">
        <v>1</v>
      </c>
    </row>
    <row r="82" spans="1:15" ht="44.25" customHeight="1">
      <c r="D82" s="954"/>
      <c r="E82" s="550"/>
      <c r="F82" s="1337"/>
      <c r="G82" s="3614">
        <v>0</v>
      </c>
      <c r="H82" s="3618" t="s">
        <v>2710</v>
      </c>
      <c r="I82" s="3636"/>
      <c r="J82" s="3602" t="s">
        <v>3128</v>
      </c>
      <c r="K82" s="3603"/>
      <c r="L82" s="3603"/>
      <c r="M82" s="3603"/>
      <c r="N82" s="3604"/>
      <c r="O82" s="1250">
        <v>1</v>
      </c>
    </row>
    <row r="83" spans="1:15" ht="45" customHeight="1">
      <c r="D83" s="954"/>
      <c r="E83" s="550"/>
      <c r="F83" s="1337"/>
      <c r="G83" s="3615"/>
      <c r="H83" s="3620"/>
      <c r="I83" s="3637"/>
      <c r="J83" s="3589" t="s">
        <v>3129</v>
      </c>
      <c r="K83" s="3616"/>
      <c r="L83" s="3616"/>
      <c r="M83" s="3616"/>
      <c r="N83" s="3617"/>
      <c r="O83" s="1378"/>
    </row>
    <row r="84" spans="1:15" s="2850" customFormat="1" ht="48" customHeight="1">
      <c r="A84" s="2807"/>
      <c r="B84" s="2807"/>
      <c r="C84" s="2807"/>
      <c r="D84" s="2809"/>
      <c r="E84" s="2810"/>
      <c r="G84" s="2891">
        <v>0</v>
      </c>
      <c r="H84" s="3622"/>
      <c r="I84" s="3638"/>
      <c r="J84" s="3609" t="s">
        <v>3487</v>
      </c>
      <c r="K84" s="3634"/>
      <c r="L84" s="3634"/>
      <c r="M84" s="3634"/>
      <c r="N84" s="3635"/>
      <c r="O84" s="2893">
        <v>1</v>
      </c>
    </row>
    <row r="85" spans="1:15" ht="16.5" customHeight="1">
      <c r="D85" s="954"/>
      <c r="E85" s="550"/>
      <c r="F85" s="1337"/>
      <c r="G85" s="3614">
        <v>0</v>
      </c>
      <c r="H85" s="3620" t="s">
        <v>2711</v>
      </c>
      <c r="I85" s="3621"/>
      <c r="J85" s="3627" t="s">
        <v>2712</v>
      </c>
      <c r="K85" s="3628"/>
      <c r="L85" s="3628"/>
      <c r="M85" s="3628"/>
      <c r="N85" s="3629"/>
      <c r="O85" s="3685">
        <v>1</v>
      </c>
    </row>
    <row r="86" spans="1:15" ht="41.25" customHeight="1" thickBot="1">
      <c r="D86" s="954"/>
      <c r="E86" s="550"/>
      <c r="F86" s="1337"/>
      <c r="G86" s="3682"/>
      <c r="H86" s="3683"/>
      <c r="I86" s="3684"/>
      <c r="J86" s="3687"/>
      <c r="K86" s="3688"/>
      <c r="L86" s="3688"/>
      <c r="M86" s="3688"/>
      <c r="N86" s="3689"/>
      <c r="O86" s="3686"/>
    </row>
    <row r="87" spans="1:15" ht="29.25" customHeight="1">
      <c r="D87" s="954"/>
      <c r="E87" s="550"/>
      <c r="F87" s="1337"/>
      <c r="G87" s="1239" t="s">
        <v>1077</v>
      </c>
      <c r="H87" s="3519">
        <f>SUM(G66:G86)</f>
        <v>3</v>
      </c>
      <c r="I87" s="3519"/>
      <c r="J87" s="1241"/>
      <c r="K87" s="1242"/>
      <c r="L87" s="1241"/>
      <c r="M87" s="1242"/>
      <c r="N87" s="1241"/>
      <c r="O87" s="1251"/>
    </row>
    <row r="88" spans="1:15" ht="21.75" customHeight="1">
      <c r="D88" s="954"/>
      <c r="E88" s="550"/>
      <c r="F88" s="955"/>
      <c r="G88" s="955"/>
      <c r="H88" s="955"/>
      <c r="I88" s="955"/>
      <c r="J88" s="1340"/>
      <c r="K88" s="955"/>
      <c r="L88" s="955"/>
      <c r="M88" s="955"/>
      <c r="N88" s="955"/>
      <c r="O88" s="955"/>
    </row>
    <row r="89" spans="1:15" ht="21.75" customHeight="1">
      <c r="D89" s="1470">
        <v>3.2</v>
      </c>
      <c r="E89" s="1192" t="s">
        <v>2167</v>
      </c>
      <c r="F89" s="962"/>
      <c r="G89" s="955"/>
      <c r="H89" s="955"/>
      <c r="I89" s="955"/>
      <c r="J89" s="1340"/>
      <c r="K89" s="955"/>
      <c r="L89" s="955"/>
      <c r="M89" s="955"/>
      <c r="N89" s="955"/>
      <c r="O89" s="955"/>
    </row>
    <row r="90" spans="1:15" ht="14.25" thickBot="1">
      <c r="D90" s="959"/>
      <c r="E90" s="550"/>
      <c r="F90" s="971"/>
      <c r="G90" s="972"/>
      <c r="H90" s="973"/>
      <c r="I90" s="973"/>
      <c r="J90" s="973"/>
      <c r="K90" s="973"/>
      <c r="L90" s="973"/>
      <c r="M90" s="3639" t="s">
        <v>1125</v>
      </c>
      <c r="N90" s="3639"/>
      <c r="O90" s="1347" t="e">
        <f>重み!M114</f>
        <v>#DIV/0!</v>
      </c>
    </row>
    <row r="91" spans="1:15" ht="25.5" customHeight="1" thickBot="1">
      <c r="D91" s="954"/>
      <c r="E91" s="964"/>
      <c r="F91" s="1370">
        <f>ROUND(IF(H114=0,1,IF(H114&lt;=5,2,IF(H114&lt;=11,3,IF(H114&lt;=17,4,IF(H114&gt;=18,5))))),0)</f>
        <v>3</v>
      </c>
      <c r="G91" s="3640" t="s">
        <v>384</v>
      </c>
      <c r="H91" s="3641"/>
      <c r="I91" s="3641"/>
      <c r="J91" s="3641"/>
      <c r="K91" s="3641"/>
      <c r="L91" s="3641"/>
      <c r="M91" s="3641"/>
      <c r="N91" s="3641"/>
      <c r="O91" s="3493"/>
    </row>
    <row r="92" spans="1:15" ht="25.5" customHeight="1">
      <c r="D92" s="954"/>
      <c r="E92" s="964"/>
      <c r="F92" s="985" t="str">
        <f>IF(ROUNDDOWN($F$91,0)=$S$10,$U$10,$T$10)</f>
        <v>　レベル　1</v>
      </c>
      <c r="G92" s="3539" t="s">
        <v>3306</v>
      </c>
      <c r="H92" s="3593"/>
      <c r="I92" s="3593"/>
      <c r="J92" s="3593"/>
      <c r="K92" s="3593"/>
      <c r="L92" s="3593"/>
      <c r="M92" s="3593"/>
      <c r="N92" s="3593"/>
      <c r="O92" s="3594"/>
    </row>
    <row r="93" spans="1:15" ht="25.5" customHeight="1">
      <c r="D93" s="954"/>
      <c r="E93" s="964"/>
      <c r="F93" s="990" t="str">
        <f>IF(ROUNDDOWN($F$91,0)=$S$11,$U$11,$T$11)</f>
        <v>　レベル　2</v>
      </c>
      <c r="G93" s="3528" t="s">
        <v>3307</v>
      </c>
      <c r="H93" s="3630"/>
      <c r="I93" s="3630"/>
      <c r="J93" s="3630"/>
      <c r="K93" s="3630"/>
      <c r="L93" s="3630"/>
      <c r="M93" s="3630"/>
      <c r="N93" s="3630"/>
      <c r="O93" s="3631"/>
    </row>
    <row r="94" spans="1:15" ht="25.5" customHeight="1">
      <c r="D94" s="954"/>
      <c r="E94" s="964"/>
      <c r="F94" s="990" t="str">
        <f>IF(ROUNDDOWN($F$91,0)=$S$12,$U$12,$T$12)</f>
        <v>■レベル　3</v>
      </c>
      <c r="G94" s="3528" t="s">
        <v>3308</v>
      </c>
      <c r="H94" s="3630"/>
      <c r="I94" s="3630"/>
      <c r="J94" s="3630"/>
      <c r="K94" s="3630"/>
      <c r="L94" s="3630"/>
      <c r="M94" s="3630"/>
      <c r="N94" s="3630"/>
      <c r="O94" s="3631"/>
    </row>
    <row r="95" spans="1:15" ht="25.5" customHeight="1">
      <c r="D95" s="954"/>
      <c r="E95" s="964"/>
      <c r="F95" s="990" t="str">
        <f>IF(ROUNDDOWN($F$91,0)=$S$13,$U$13,$T$13)</f>
        <v>　レベル　4</v>
      </c>
      <c r="G95" s="3528" t="s">
        <v>3309</v>
      </c>
      <c r="H95" s="3630"/>
      <c r="I95" s="3630"/>
      <c r="J95" s="3630"/>
      <c r="K95" s="3630"/>
      <c r="L95" s="3630"/>
      <c r="M95" s="3630"/>
      <c r="N95" s="3630"/>
      <c r="O95" s="3631"/>
    </row>
    <row r="96" spans="1:15" ht="25.5" customHeight="1">
      <c r="D96" s="954"/>
      <c r="E96" s="964"/>
      <c r="F96" s="1001" t="str">
        <f>IF(ROUNDDOWN($F$91,0)=$S$14,$U$14,$T$14)</f>
        <v>　レベル　5</v>
      </c>
      <c r="G96" s="3530" t="s">
        <v>3310</v>
      </c>
      <c r="H96" s="3680"/>
      <c r="I96" s="3680"/>
      <c r="J96" s="3680"/>
      <c r="K96" s="3680"/>
      <c r="L96" s="3680"/>
      <c r="M96" s="3680"/>
      <c r="N96" s="3680"/>
      <c r="O96" s="3681"/>
    </row>
    <row r="97" spans="4:15">
      <c r="D97" s="959"/>
      <c r="E97" s="550"/>
      <c r="F97" s="550"/>
      <c r="G97" s="1350" t="s">
        <v>3282</v>
      </c>
      <c r="H97" s="550"/>
      <c r="I97" s="550"/>
      <c r="J97" s="550"/>
      <c r="K97" s="550"/>
      <c r="L97" s="550"/>
      <c r="M97" s="550"/>
      <c r="N97" s="550"/>
      <c r="O97" s="550"/>
    </row>
    <row r="98" spans="4:15" ht="25.5" customHeight="1" thickBot="1">
      <c r="D98" s="954"/>
      <c r="E98" s="550"/>
      <c r="F98" s="1337"/>
      <c r="G98" s="1352" t="s">
        <v>177</v>
      </c>
      <c r="H98" s="3595" t="s">
        <v>1419</v>
      </c>
      <c r="I98" s="3596"/>
      <c r="J98" s="3595" t="s">
        <v>1415</v>
      </c>
      <c r="K98" s="3596"/>
      <c r="L98" s="3596"/>
      <c r="M98" s="3596"/>
      <c r="N98" s="3597"/>
      <c r="O98" s="1244" t="s">
        <v>1420</v>
      </c>
    </row>
    <row r="99" spans="4:15" ht="36" customHeight="1">
      <c r="G99" s="1371">
        <v>2</v>
      </c>
      <c r="H99" s="3618" t="s">
        <v>3130</v>
      </c>
      <c r="I99" s="3619"/>
      <c r="J99" s="3539" t="s">
        <v>3131</v>
      </c>
      <c r="K99" s="3593"/>
      <c r="L99" s="3593"/>
      <c r="M99" s="3593"/>
      <c r="N99" s="3594"/>
      <c r="O99" s="1372">
        <v>2</v>
      </c>
    </row>
    <row r="100" spans="4:15" ht="30.75" customHeight="1">
      <c r="G100" s="3614">
        <v>3</v>
      </c>
      <c r="H100" s="3620"/>
      <c r="I100" s="3621"/>
      <c r="J100" s="3602" t="s">
        <v>3132</v>
      </c>
      <c r="K100" s="3603"/>
      <c r="L100" s="3603"/>
      <c r="M100" s="3603"/>
      <c r="N100" s="3604"/>
      <c r="O100" s="3613" t="s">
        <v>179</v>
      </c>
    </row>
    <row r="101" spans="4:15" ht="57.75" customHeight="1">
      <c r="G101" s="3615"/>
      <c r="H101" s="3620"/>
      <c r="I101" s="3621"/>
      <c r="J101" s="3589" t="s">
        <v>3133</v>
      </c>
      <c r="K101" s="3616"/>
      <c r="L101" s="3616"/>
      <c r="M101" s="3616"/>
      <c r="N101" s="3617"/>
      <c r="O101" s="3613"/>
    </row>
    <row r="102" spans="4:15" ht="19.5" customHeight="1">
      <c r="G102" s="3614">
        <v>1</v>
      </c>
      <c r="H102" s="3618" t="s">
        <v>3134</v>
      </c>
      <c r="I102" s="3619"/>
      <c r="J102" s="3602" t="s">
        <v>3135</v>
      </c>
      <c r="K102" s="3603"/>
      <c r="L102" s="3603"/>
      <c r="M102" s="3603"/>
      <c r="N102" s="3604"/>
      <c r="O102" s="3613" t="s">
        <v>179</v>
      </c>
    </row>
    <row r="103" spans="4:15" ht="57.75" customHeight="1">
      <c r="G103" s="3615"/>
      <c r="H103" s="3622"/>
      <c r="I103" s="3623"/>
      <c r="J103" s="3589" t="s">
        <v>3136</v>
      </c>
      <c r="K103" s="3616"/>
      <c r="L103" s="3616"/>
      <c r="M103" s="3616"/>
      <c r="N103" s="3617"/>
      <c r="O103" s="3613"/>
    </row>
    <row r="104" spans="4:15" ht="30.75" customHeight="1">
      <c r="G104" s="3614">
        <v>0</v>
      </c>
      <c r="H104" s="3618" t="s">
        <v>3137</v>
      </c>
      <c r="I104" s="3619"/>
      <c r="J104" s="3602" t="s">
        <v>3138</v>
      </c>
      <c r="K104" s="3603"/>
      <c r="L104" s="3603"/>
      <c r="M104" s="3603"/>
      <c r="N104" s="3604"/>
      <c r="O104" s="3613" t="s">
        <v>179</v>
      </c>
    </row>
    <row r="105" spans="4:15" ht="57.75" customHeight="1">
      <c r="G105" s="3615"/>
      <c r="H105" s="3620"/>
      <c r="I105" s="3621"/>
      <c r="J105" s="3589" t="s">
        <v>3139</v>
      </c>
      <c r="K105" s="3616"/>
      <c r="L105" s="3616"/>
      <c r="M105" s="3616"/>
      <c r="N105" s="3617"/>
      <c r="O105" s="3613"/>
    </row>
    <row r="106" spans="4:15" ht="19.5" customHeight="1">
      <c r="G106" s="3614">
        <v>0</v>
      </c>
      <c r="H106" s="3620"/>
      <c r="I106" s="3621"/>
      <c r="J106" s="3602" t="s">
        <v>1729</v>
      </c>
      <c r="K106" s="3603"/>
      <c r="L106" s="3603"/>
      <c r="M106" s="3603"/>
      <c r="N106" s="3604"/>
      <c r="O106" s="3613" t="s">
        <v>179</v>
      </c>
    </row>
    <row r="107" spans="4:15" ht="57.75" customHeight="1">
      <c r="G107" s="3615"/>
      <c r="H107" s="3622"/>
      <c r="I107" s="3623"/>
      <c r="J107" s="3589" t="s">
        <v>3140</v>
      </c>
      <c r="K107" s="3616"/>
      <c r="L107" s="3616"/>
      <c r="M107" s="3616"/>
      <c r="N107" s="3617"/>
      <c r="O107" s="3613"/>
    </row>
    <row r="108" spans="4:15" ht="19.5" customHeight="1">
      <c r="G108" s="3614">
        <v>0</v>
      </c>
      <c r="H108" s="3618" t="s">
        <v>3141</v>
      </c>
      <c r="I108" s="3619"/>
      <c r="J108" s="3602" t="s">
        <v>3142</v>
      </c>
      <c r="K108" s="3603"/>
      <c r="L108" s="3603"/>
      <c r="M108" s="3603"/>
      <c r="N108" s="3604"/>
      <c r="O108" s="3613" t="s">
        <v>1089</v>
      </c>
    </row>
    <row r="109" spans="4:15" ht="33.75" customHeight="1">
      <c r="G109" s="3615"/>
      <c r="H109" s="3620"/>
      <c r="I109" s="3621"/>
      <c r="J109" s="3589" t="s">
        <v>3143</v>
      </c>
      <c r="K109" s="3616"/>
      <c r="L109" s="3616"/>
      <c r="M109" s="3616"/>
      <c r="N109" s="3617"/>
      <c r="O109" s="3613"/>
    </row>
    <row r="110" spans="4:15" ht="19.5" customHeight="1">
      <c r="G110" s="3614">
        <v>0</v>
      </c>
      <c r="H110" s="3620"/>
      <c r="I110" s="3621"/>
      <c r="J110" s="3602" t="s">
        <v>1758</v>
      </c>
      <c r="K110" s="3603"/>
      <c r="L110" s="3603"/>
      <c r="M110" s="3603"/>
      <c r="N110" s="3604"/>
      <c r="O110" s="3613" t="s">
        <v>179</v>
      </c>
    </row>
    <row r="111" spans="4:15" ht="60.75" customHeight="1">
      <c r="G111" s="3615"/>
      <c r="H111" s="3622"/>
      <c r="I111" s="3623"/>
      <c r="J111" s="3589" t="s">
        <v>3144</v>
      </c>
      <c r="K111" s="3616"/>
      <c r="L111" s="3616"/>
      <c r="M111" s="3616"/>
      <c r="N111" s="3617"/>
      <c r="O111" s="3613"/>
    </row>
    <row r="112" spans="4:15" ht="69" customHeight="1">
      <c r="G112" s="1374">
        <v>0</v>
      </c>
      <c r="H112" s="3618" t="s">
        <v>3145</v>
      </c>
      <c r="I112" s="3619"/>
      <c r="J112" s="3528" t="s">
        <v>3146</v>
      </c>
      <c r="K112" s="3630"/>
      <c r="L112" s="3630"/>
      <c r="M112" s="3630"/>
      <c r="N112" s="3631"/>
      <c r="O112" s="1379" t="s">
        <v>2106</v>
      </c>
    </row>
    <row r="113" spans="4:15" ht="74.25" customHeight="1" thickBot="1">
      <c r="G113" s="1380">
        <v>0</v>
      </c>
      <c r="H113" s="3622"/>
      <c r="I113" s="3623"/>
      <c r="J113" s="3589" t="s">
        <v>3147</v>
      </c>
      <c r="K113" s="3616"/>
      <c r="L113" s="3616"/>
      <c r="M113" s="3616"/>
      <c r="N113" s="3617"/>
      <c r="O113" s="1381" t="s">
        <v>2106</v>
      </c>
    </row>
    <row r="114" spans="4:15" ht="30" customHeight="1">
      <c r="D114" s="954"/>
      <c r="E114" s="1337"/>
      <c r="F114" s="1338"/>
      <c r="G114" s="1239" t="s">
        <v>1078</v>
      </c>
      <c r="H114" s="3519">
        <f>SUM(G99:G113)</f>
        <v>6</v>
      </c>
      <c r="I114" s="3519"/>
      <c r="J114" s="1241"/>
      <c r="K114" s="1242"/>
      <c r="L114" s="1241"/>
      <c r="M114" s="1242"/>
      <c r="N114" s="1241"/>
      <c r="O114" s="1251"/>
    </row>
    <row r="115" spans="4:15"/>
    <row r="116" spans="4:15" ht="13.5" hidden="1" customHeight="1"/>
    <row r="117" spans="4:15" ht="13.5" hidden="1" customHeight="1"/>
    <row r="118" spans="4:15" ht="13.5" hidden="1" customHeight="1"/>
    <row r="119" spans="4:15" ht="13.5" hidden="1" customHeight="1"/>
    <row r="120" spans="4:15" hidden="1"/>
    <row r="121" spans="4:15" hidden="1"/>
    <row r="122" spans="4:15" hidden="1"/>
    <row r="123" spans="4:15" hidden="1"/>
    <row r="124" spans="4:15" hidden="1"/>
    <row r="125" spans="4:15" hidden="1"/>
    <row r="126" spans="4:15" hidden="1"/>
    <row r="127" spans="4:15" hidden="1"/>
    <row r="128" spans="4:15"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sheetData>
  <sheetProtection password="CC47" sheet="1" objects="1" scenarios="1"/>
  <mergeCells count="147">
    <mergeCell ref="N1:O1"/>
    <mergeCell ref="G82:G83"/>
    <mergeCell ref="J82:N82"/>
    <mergeCell ref="J83:N83"/>
    <mergeCell ref="G85:G86"/>
    <mergeCell ref="H85:I86"/>
    <mergeCell ref="J85:N85"/>
    <mergeCell ref="O85:O86"/>
    <mergeCell ref="J86:N86"/>
    <mergeCell ref="G74:G76"/>
    <mergeCell ref="H74:I76"/>
    <mergeCell ref="J74:N74"/>
    <mergeCell ref="G68:G70"/>
    <mergeCell ref="J68:N68"/>
    <mergeCell ref="O74:O76"/>
    <mergeCell ref="J75:N75"/>
    <mergeCell ref="J76:N76"/>
    <mergeCell ref="G77:G80"/>
    <mergeCell ref="H77:I80"/>
    <mergeCell ref="J77:N77"/>
    <mergeCell ref="O77:O80"/>
    <mergeCell ref="J78:N78"/>
    <mergeCell ref="J79:N79"/>
    <mergeCell ref="J80:N80"/>
    <mergeCell ref="H114:I114"/>
    <mergeCell ref="G93:O93"/>
    <mergeCell ref="G94:O94"/>
    <mergeCell ref="G95:O95"/>
    <mergeCell ref="G96:O96"/>
    <mergeCell ref="O100:O101"/>
    <mergeCell ref="H99:I101"/>
    <mergeCell ref="J112:N112"/>
    <mergeCell ref="M90:N90"/>
    <mergeCell ref="G91:O91"/>
    <mergeCell ref="G92:O92"/>
    <mergeCell ref="H102:I103"/>
    <mergeCell ref="H98:I98"/>
    <mergeCell ref="J98:N98"/>
    <mergeCell ref="J99:N99"/>
    <mergeCell ref="J103:N103"/>
    <mergeCell ref="O104:O105"/>
    <mergeCell ref="O106:O107"/>
    <mergeCell ref="H112:I113"/>
    <mergeCell ref="J108:N108"/>
    <mergeCell ref="J109:N109"/>
    <mergeCell ref="J110:N110"/>
    <mergeCell ref="J111:N111"/>
    <mergeCell ref="J113:N113"/>
    <mergeCell ref="G71:G72"/>
    <mergeCell ref="H68:I72"/>
    <mergeCell ref="H73:I73"/>
    <mergeCell ref="J73:N73"/>
    <mergeCell ref="M6:N6"/>
    <mergeCell ref="G7:O7"/>
    <mergeCell ref="H14:I14"/>
    <mergeCell ref="J14:N14"/>
    <mergeCell ref="H15:I15"/>
    <mergeCell ref="J15:N15"/>
    <mergeCell ref="J16:N16"/>
    <mergeCell ref="J20:N20"/>
    <mergeCell ref="J21:N21"/>
    <mergeCell ref="J17:N17"/>
    <mergeCell ref="J18:N18"/>
    <mergeCell ref="J19:N19"/>
    <mergeCell ref="H16:I20"/>
    <mergeCell ref="O16:O18"/>
    <mergeCell ref="O19:O20"/>
    <mergeCell ref="H21:I23"/>
    <mergeCell ref="G16:G18"/>
    <mergeCell ref="J23:N23"/>
    <mergeCell ref="G19:G20"/>
    <mergeCell ref="J22:N22"/>
    <mergeCell ref="J26:N26"/>
    <mergeCell ref="M57:N57"/>
    <mergeCell ref="G58:O58"/>
    <mergeCell ref="H28:I28"/>
    <mergeCell ref="M33:N33"/>
    <mergeCell ref="G34:O34"/>
    <mergeCell ref="H27:I27"/>
    <mergeCell ref="H46:I46"/>
    <mergeCell ref="H24:I26"/>
    <mergeCell ref="H44:I44"/>
    <mergeCell ref="G36:O36"/>
    <mergeCell ref="G37:O37"/>
    <mergeCell ref="G38:O38"/>
    <mergeCell ref="G39:O39"/>
    <mergeCell ref="G35:O35"/>
    <mergeCell ref="J24:N24"/>
    <mergeCell ref="J27:N27"/>
    <mergeCell ref="J25:N25"/>
    <mergeCell ref="H30:O30"/>
    <mergeCell ref="G40:O40"/>
    <mergeCell ref="I42:O42"/>
    <mergeCell ref="I43:O43"/>
    <mergeCell ref="J46:K46"/>
    <mergeCell ref="L46:M46"/>
    <mergeCell ref="O68:O70"/>
    <mergeCell ref="J69:N69"/>
    <mergeCell ref="J70:N70"/>
    <mergeCell ref="J71:N71"/>
    <mergeCell ref="H87:I87"/>
    <mergeCell ref="H81:I81"/>
    <mergeCell ref="J81:N81"/>
    <mergeCell ref="O102:O103"/>
    <mergeCell ref="H104:I107"/>
    <mergeCell ref="J105:N105"/>
    <mergeCell ref="J106:N106"/>
    <mergeCell ref="J107:N107"/>
    <mergeCell ref="J104:N104"/>
    <mergeCell ref="J100:N100"/>
    <mergeCell ref="J84:N84"/>
    <mergeCell ref="H82:I84"/>
    <mergeCell ref="O108:O109"/>
    <mergeCell ref="O110:O111"/>
    <mergeCell ref="G108:G109"/>
    <mergeCell ref="G110:G111"/>
    <mergeCell ref="J101:N101"/>
    <mergeCell ref="J102:N102"/>
    <mergeCell ref="G100:G101"/>
    <mergeCell ref="G102:G103"/>
    <mergeCell ref="G104:G105"/>
    <mergeCell ref="G106:G107"/>
    <mergeCell ref="H108:I111"/>
    <mergeCell ref="H65:I65"/>
    <mergeCell ref="J65:N65"/>
    <mergeCell ref="H66:I67"/>
    <mergeCell ref="J66:N66"/>
    <mergeCell ref="J67:N67"/>
    <mergeCell ref="N46:O46"/>
    <mergeCell ref="J47:K47"/>
    <mergeCell ref="L47:M47"/>
    <mergeCell ref="N47:O47"/>
    <mergeCell ref="J48:K48"/>
    <mergeCell ref="L48:M48"/>
    <mergeCell ref="N48:O48"/>
    <mergeCell ref="J52:K52"/>
    <mergeCell ref="L52:M52"/>
    <mergeCell ref="N52:O52"/>
    <mergeCell ref="J49:K49"/>
    <mergeCell ref="L49:M49"/>
    <mergeCell ref="N49:O49"/>
    <mergeCell ref="J50:K50"/>
    <mergeCell ref="L50:M50"/>
    <mergeCell ref="N50:O50"/>
    <mergeCell ref="J51:K51"/>
    <mergeCell ref="L51:M51"/>
    <mergeCell ref="N51:O51"/>
  </mergeCells>
  <phoneticPr fontId="21"/>
  <conditionalFormatting sqref="J86:N86">
    <cfRule type="expression" dxfId="76" priority="5" stopIfTrue="1">
      <formula>$G$85=1</formula>
    </cfRule>
  </conditionalFormatting>
  <conditionalFormatting sqref="G85:G86 G66:G71 G74:G82">
    <cfRule type="expression" dxfId="75" priority="7" stopIfTrue="1">
      <formula>$O$57&gt;0.001</formula>
    </cfRule>
  </conditionalFormatting>
  <conditionalFormatting sqref="G99:G113">
    <cfRule type="expression" dxfId="74" priority="10" stopIfTrue="1">
      <formula>$O$90&gt;0.001</formula>
    </cfRule>
  </conditionalFormatting>
  <conditionalFormatting sqref="G19 G21:G27 G15:G16">
    <cfRule type="expression" dxfId="73" priority="1" stopIfTrue="1">
      <formula>$O$6&gt;0.001</formula>
    </cfRule>
  </conditionalFormatting>
  <dataValidations xWindow="204" yWindow="530" count="7">
    <dataValidation type="list" allowBlank="1" showInputMessage="1" showErrorMessage="1" sqref="G112:G113 G19">
      <formula1>"0,1,2"</formula1>
    </dataValidation>
    <dataValidation type="list" allowBlank="1" showInputMessage="1" showErrorMessage="1" sqref="G110:G111 G100:G107 G16:G18">
      <formula1>"0,1,2,3"</formula1>
    </dataValidation>
    <dataValidation type="list" allowBlank="1" showInputMessage="1" showErrorMessage="1" sqref="G84:G85 G77 G74 G71 G15 G66:G68 G81:G82 G21:G27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formula1>"0,1"</formula1>
    </dataValidation>
    <dataValidation type="list" allowBlank="1" showInputMessage="1" showErrorMessage="1" sqref="G99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formula1>"0,2"</formula1>
    </dataValidation>
    <dataValidation type="list" allowBlank="1" showInputMessage="1" showErrorMessage="1" sqref="G108:G109">
      <formula1>"0,2,3"</formula1>
    </dataValidation>
    <dataValidation type="list" allowBlank="1" showInputMessage="1" showErrorMessage="1" sqref="WVN3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formula1>$B$37:$B$42</formula1>
    </dataValidation>
    <dataValidation type="list" allowBlank="1" showInputMessage="1" showErrorMessage="1" sqref="F35">
      <formula1>$B$36:$B$41</formula1>
    </dataValidation>
  </dataValidations>
  <printOptions horizontalCentered="1"/>
  <pageMargins left="0.59055118110236227" right="0.59055118110236227" top="0.78740157480314965" bottom="0.59055118110236227" header="0.51181102362204722" footer="0.51181102362204722"/>
  <pageSetup paperSize="9" scale="68" fitToHeight="4" orientation="portrait" verticalDpi="4294967293" r:id="rId1"/>
  <headerFooter alignWithMargins="0">
    <oddHeader>&amp;L&amp;F&amp;R&amp;A</oddHeader>
    <oddFooter>&amp;C&amp;P/&amp;N</oddFooter>
  </headerFooter>
  <rowBreaks count="3" manualBreakCount="3">
    <brk id="31" max="16383" man="1"/>
    <brk id="54" max="16383" man="1"/>
    <brk id="88" max="16383" man="1"/>
  </rowBreaks>
</worksheet>
</file>

<file path=xl/worksheets/sheet9.xml><?xml version="1.0" encoding="utf-8"?>
<worksheet xmlns="http://schemas.openxmlformats.org/spreadsheetml/2006/main" xmlns:r="http://schemas.openxmlformats.org/officeDocument/2006/relationships">
  <sheetPr codeName="Sheet10">
    <pageSetUpPr autoPageBreaks="0"/>
  </sheetPr>
  <dimension ref="A1:IV315"/>
  <sheetViews>
    <sheetView showGridLines="0" zoomScaleNormal="100" zoomScaleSheetLayoutView="100" zoomScalePageLayoutView="75" workbookViewId="0">
      <selection activeCell="G144" sqref="G144"/>
    </sheetView>
  </sheetViews>
  <sheetFormatPr defaultColWidth="0" defaultRowHeight="13.5" zeroHeight="1"/>
  <cols>
    <col min="1" max="1" width="2.125" customWidth="1"/>
    <col min="2" max="2" width="11" hidden="1" customWidth="1"/>
    <col min="3" max="3" width="6" hidden="1" customWidth="1"/>
    <col min="4" max="4" width="5.25" style="2459" customWidth="1"/>
    <col min="5" max="5" width="1.75" style="2108" customWidth="1"/>
    <col min="6" max="6" width="11.625" style="2108" customWidth="1"/>
    <col min="7" max="14" width="12.625" style="2108" customWidth="1"/>
    <col min="15" max="15" width="12.75" style="2108" customWidth="1"/>
    <col min="16" max="16" width="1.625" customWidth="1"/>
    <col min="17" max="18" width="14.125" hidden="1" customWidth="1"/>
    <col min="19" max="19" width="3.375" hidden="1" customWidth="1"/>
    <col min="20" max="20" width="10.25" hidden="1" customWidth="1"/>
    <col min="21" max="35" width="11.375" hidden="1" customWidth="1"/>
    <col min="36" max="256" width="0" hidden="1" customWidth="1"/>
    <col min="257" max="16384" width="10.75" hidden="1"/>
  </cols>
  <sheetData>
    <row r="1" spans="2:21" ht="15.75">
      <c r="D1" s="1382"/>
      <c r="E1" s="1383"/>
      <c r="F1" s="1383"/>
      <c r="G1" s="1383"/>
      <c r="H1" s="1383"/>
      <c r="I1" s="1383"/>
      <c r="J1" s="1384"/>
      <c r="K1" s="1384"/>
      <c r="L1" s="1384"/>
      <c r="M1" s="953" t="s">
        <v>2253</v>
      </c>
      <c r="N1" s="3487" t="str">
        <f>メイン!C11</f>
        <v>○○ビル</v>
      </c>
      <c r="O1" s="3487"/>
      <c r="R1" t="s">
        <v>1094</v>
      </c>
    </row>
    <row r="2" spans="2:21" ht="8.25" customHeight="1" thickBot="1">
      <c r="D2" s="954"/>
      <c r="E2" s="550"/>
      <c r="F2" s="550"/>
      <c r="G2" s="550"/>
      <c r="H2" s="550"/>
      <c r="I2" s="550"/>
      <c r="J2" s="955"/>
      <c r="K2" s="955"/>
      <c r="L2" s="955"/>
      <c r="M2" s="955"/>
      <c r="N2" s="955"/>
      <c r="O2" s="955"/>
    </row>
    <row r="3" spans="2:21" ht="18.75" thickBot="1">
      <c r="D3" s="1454" t="s">
        <v>1838</v>
      </c>
      <c r="E3" s="550"/>
      <c r="F3" s="550"/>
      <c r="G3" s="550"/>
      <c r="H3" s="957"/>
      <c r="I3" s="958" t="s">
        <v>2813</v>
      </c>
      <c r="J3" s="1384"/>
      <c r="K3" s="1384"/>
      <c r="L3" s="955"/>
      <c r="M3" s="955"/>
      <c r="N3" s="955"/>
      <c r="O3" s="1385" t="str">
        <f>IF(メイン!E39=0,"",メイン!E39)</f>
        <v/>
      </c>
      <c r="R3" t="s">
        <v>1121</v>
      </c>
      <c r="S3" t="s">
        <v>1603</v>
      </c>
      <c r="U3" t="str">
        <f>メイン!I39</f>
        <v>基本設計段階</v>
      </c>
    </row>
    <row r="4" spans="2:21" ht="6" customHeight="1">
      <c r="D4" s="954"/>
      <c r="E4" s="550"/>
      <c r="F4" s="550"/>
      <c r="G4" s="550"/>
      <c r="H4" s="550"/>
      <c r="I4" s="550"/>
      <c r="J4" s="955"/>
      <c r="K4" s="955"/>
      <c r="L4" s="955"/>
      <c r="M4" s="959"/>
      <c r="N4" s="955"/>
      <c r="O4" s="955"/>
      <c r="T4" t="s">
        <v>1604</v>
      </c>
      <c r="U4" t="str">
        <f>メイン!I40</f>
        <v>実施設計段階</v>
      </c>
    </row>
    <row r="5" spans="2:21" ht="14.25" customHeight="1">
      <c r="D5" s="954"/>
      <c r="E5" s="565"/>
      <c r="F5" s="565"/>
      <c r="G5" s="565"/>
      <c r="H5" s="565"/>
      <c r="I5" s="565"/>
      <c r="J5" s="955"/>
      <c r="K5" s="955"/>
      <c r="L5" s="959"/>
      <c r="M5" s="959"/>
      <c r="N5" s="955"/>
      <c r="O5" s="955"/>
      <c r="U5" t="str">
        <f>メイン!I41</f>
        <v>竣工段階</v>
      </c>
    </row>
    <row r="6" spans="2:21" ht="15.75">
      <c r="D6" s="1386">
        <v>1</v>
      </c>
      <c r="E6" s="1192" t="s">
        <v>1806</v>
      </c>
      <c r="F6" s="1192"/>
      <c r="G6" s="565"/>
      <c r="H6" s="565"/>
      <c r="I6" s="565"/>
      <c r="J6" s="955"/>
      <c r="K6" s="955"/>
      <c r="L6" s="959"/>
      <c r="M6" s="959"/>
      <c r="N6" s="955"/>
      <c r="O6" s="955"/>
    </row>
    <row r="7" spans="2:21" ht="14.25" hidden="1">
      <c r="B7" t="s">
        <v>1090</v>
      </c>
      <c r="D7" s="2457"/>
      <c r="E7" s="1387"/>
      <c r="F7" s="1114"/>
      <c r="G7" s="972"/>
      <c r="H7" s="973"/>
      <c r="I7" s="974" t="s">
        <v>1125</v>
      </c>
      <c r="J7" s="975" t="e">
        <f>重み!M110</f>
        <v>#DIV/0!</v>
      </c>
      <c r="K7" s="1115"/>
      <c r="L7" s="1115"/>
      <c r="M7" s="1115"/>
      <c r="N7" s="1115"/>
      <c r="O7" s="1117"/>
    </row>
    <row r="8" spans="2:21" ht="15" hidden="1" thickBot="1">
      <c r="B8" s="1259">
        <v>0</v>
      </c>
      <c r="D8" s="2457"/>
      <c r="E8" s="1387"/>
      <c r="F8" s="978">
        <v>3</v>
      </c>
      <c r="G8" s="983" t="s">
        <v>1610</v>
      </c>
      <c r="H8" s="983"/>
      <c r="I8" s="983"/>
      <c r="J8" s="983"/>
      <c r="K8" s="983"/>
      <c r="L8" s="983"/>
      <c r="M8" s="1095"/>
      <c r="N8" s="1388"/>
      <c r="O8" s="984"/>
    </row>
    <row r="9" spans="2:21" ht="14.25" hidden="1">
      <c r="B9" s="1" t="s">
        <v>799</v>
      </c>
      <c r="C9" s="1">
        <v>1</v>
      </c>
      <c r="D9" s="2457"/>
      <c r="E9" s="1387"/>
      <c r="F9" s="1389"/>
      <c r="G9" s="1390" t="s">
        <v>1091</v>
      </c>
      <c r="H9" s="1390"/>
      <c r="I9" s="3735" t="s">
        <v>230</v>
      </c>
      <c r="J9" s="3736"/>
      <c r="K9" s="3735" t="s">
        <v>233</v>
      </c>
      <c r="L9" s="3736"/>
      <c r="M9" s="1391"/>
      <c r="N9" s="1392"/>
      <c r="O9" s="1349"/>
    </row>
    <row r="10" spans="2:21" ht="14.25" hidden="1">
      <c r="B10" s="1">
        <v>2</v>
      </c>
      <c r="C10" s="1">
        <v>3</v>
      </c>
      <c r="D10" s="2457"/>
      <c r="E10" s="1387"/>
      <c r="F10" s="1393" t="str">
        <f>IF(F8=$S$15,$T$10,IF(ROUNDDOWN(F8,0)=$S$10,$U$10,$T$10))</f>
        <v>　レベル　1</v>
      </c>
      <c r="G10" s="994" t="s">
        <v>1795</v>
      </c>
      <c r="H10" s="988"/>
      <c r="I10" s="994" t="s">
        <v>1795</v>
      </c>
      <c r="J10" s="988"/>
      <c r="K10" s="994" t="s">
        <v>1795</v>
      </c>
      <c r="L10" s="988"/>
      <c r="M10" s="3401"/>
      <c r="N10" s="3737"/>
      <c r="O10" s="3738"/>
      <c r="S10">
        <v>1</v>
      </c>
      <c r="T10" t="s">
        <v>2115</v>
      </c>
      <c r="U10" t="s">
        <v>1360</v>
      </c>
    </row>
    <row r="11" spans="2:21" ht="14.25" hidden="1">
      <c r="B11" s="1">
        <v>3</v>
      </c>
      <c r="C11" s="1">
        <v>3</v>
      </c>
      <c r="D11" s="2457"/>
      <c r="E11" s="1387"/>
      <c r="F11" s="1394" t="str">
        <f>IF(F8=$S$15,$T$11,IF(ROUNDDOWN(F8,0)=$S$11,$U$11,$T$11))</f>
        <v>　レベル　2</v>
      </c>
      <c r="G11" s="994" t="s">
        <v>1839</v>
      </c>
      <c r="H11" s="995"/>
      <c r="I11" s="994" t="s">
        <v>1839</v>
      </c>
      <c r="J11" s="995"/>
      <c r="K11" s="994" t="s">
        <v>1839</v>
      </c>
      <c r="L11" s="995"/>
      <c r="M11" s="3397"/>
      <c r="N11" s="3739"/>
      <c r="O11" s="3740"/>
      <c r="S11">
        <v>2</v>
      </c>
      <c r="T11" t="s">
        <v>1095</v>
      </c>
      <c r="U11" t="s">
        <v>1096</v>
      </c>
    </row>
    <row r="12" spans="2:21" ht="14.25" hidden="1">
      <c r="B12" s="1">
        <v>4</v>
      </c>
      <c r="C12" s="1">
        <v>4</v>
      </c>
      <c r="D12" s="2457"/>
      <c r="E12" s="1387"/>
      <c r="F12" s="1394" t="str">
        <f>IF(F8=$S$15,$T$12,IF(ROUNDDOWN(F8,0)=$S$12,$U$12,$T$12))</f>
        <v>■レベル　3</v>
      </c>
      <c r="G12" s="3397" t="s">
        <v>3148</v>
      </c>
      <c r="H12" s="3748"/>
      <c r="I12" s="3397" t="s">
        <v>3149</v>
      </c>
      <c r="J12" s="3748"/>
      <c r="K12" s="3397" t="s">
        <v>3150</v>
      </c>
      <c r="L12" s="3748"/>
      <c r="M12" s="3397"/>
      <c r="N12" s="3739"/>
      <c r="O12" s="3740"/>
      <c r="S12">
        <v>3</v>
      </c>
      <c r="T12" t="s">
        <v>1100</v>
      </c>
      <c r="U12" t="s">
        <v>1101</v>
      </c>
    </row>
    <row r="13" spans="2:21" ht="14.25" hidden="1">
      <c r="B13" s="1">
        <v>5</v>
      </c>
      <c r="C13" s="1">
        <v>5</v>
      </c>
      <c r="D13" s="2457"/>
      <c r="E13" s="1387"/>
      <c r="F13" s="1394" t="str">
        <f>IF(F8=$S$15,$T$13,IF(ROUNDDOWN(F8,0)=$S$13,$U$13,$T$13))</f>
        <v>　レベル　4</v>
      </c>
      <c r="G13" s="3397" t="s">
        <v>3151</v>
      </c>
      <c r="H13" s="3748"/>
      <c r="I13" s="3397" t="s">
        <v>3152</v>
      </c>
      <c r="J13" s="3748"/>
      <c r="K13" s="3397" t="s">
        <v>3153</v>
      </c>
      <c r="L13" s="3748"/>
      <c r="M13" s="3397"/>
      <c r="N13" s="3398"/>
      <c r="O13" s="3399"/>
      <c r="S13">
        <v>4</v>
      </c>
      <c r="T13" t="s">
        <v>1001</v>
      </c>
      <c r="U13" t="s">
        <v>1002</v>
      </c>
    </row>
    <row r="14" spans="2:21" ht="14.25" hidden="1">
      <c r="B14" s="1008">
        <v>0</v>
      </c>
      <c r="C14" s="1008">
        <v>0</v>
      </c>
      <c r="D14" s="2457"/>
      <c r="E14" s="1387"/>
      <c r="F14" s="1395" t="str">
        <f>IF(F8=$S$15,$T$14,IF(ROUNDDOWN(F8,0)=$S$14,$U$14,$T$14))</f>
        <v>　レベル　5</v>
      </c>
      <c r="G14" s="3397" t="s">
        <v>3154</v>
      </c>
      <c r="H14" s="3748"/>
      <c r="I14" s="3397" t="s">
        <v>3154</v>
      </c>
      <c r="J14" s="3748"/>
      <c r="K14" s="3397" t="s">
        <v>3155</v>
      </c>
      <c r="L14" s="3748"/>
      <c r="M14" s="3394"/>
      <c r="N14" s="3696"/>
      <c r="O14" s="3697"/>
      <c r="S14">
        <v>5</v>
      </c>
      <c r="T14" t="s">
        <v>1008</v>
      </c>
      <c r="U14" t="s">
        <v>1009</v>
      </c>
    </row>
    <row r="15" spans="2:21" ht="21.75" customHeight="1">
      <c r="D15" s="2457"/>
      <c r="E15" s="1387"/>
      <c r="F15" s="2241" t="s">
        <v>2177</v>
      </c>
      <c r="G15" s="2197"/>
      <c r="H15" s="973"/>
      <c r="I15" s="974" t="s">
        <v>1125</v>
      </c>
      <c r="J15" s="975" t="e">
        <f>重み!M118</f>
        <v>#DIV/0!</v>
      </c>
      <c r="K15" s="1115"/>
      <c r="L15" s="1115"/>
      <c r="M15" s="1115"/>
      <c r="N15" s="1115"/>
      <c r="O15" s="1117"/>
      <c r="S15">
        <v>0</v>
      </c>
      <c r="T15" t="s">
        <v>1361</v>
      </c>
      <c r="U15" t="s">
        <v>1361</v>
      </c>
    </row>
    <row r="16" spans="2:21" ht="15">
      <c r="D16" s="2458"/>
      <c r="E16" s="1383"/>
      <c r="F16" s="3716">
        <f>IF(G32="ON",F32,ROUNDDOWN(計画書!I17,1))</f>
        <v>0</v>
      </c>
      <c r="G16" s="3714">
        <f>計画書!I12</f>
        <v>0</v>
      </c>
      <c r="H16" s="983" t="s">
        <v>1840</v>
      </c>
      <c r="I16" s="983"/>
      <c r="J16" s="983"/>
      <c r="K16" s="983"/>
      <c r="L16" s="983"/>
      <c r="M16" s="983"/>
      <c r="N16" s="1388"/>
      <c r="O16" s="1213">
        <f>メイン!J66-メイン!J60-K25</f>
        <v>0</v>
      </c>
    </row>
    <row r="17" spans="4:256" ht="15" customHeight="1">
      <c r="D17" s="2458"/>
      <c r="E17" s="1383"/>
      <c r="F17" s="3482"/>
      <c r="G17" s="3747"/>
      <c r="H17" s="1402" t="s">
        <v>883</v>
      </c>
      <c r="I17" s="1402"/>
      <c r="J17" s="1402"/>
      <c r="K17" s="1402"/>
      <c r="L17" s="1095" t="s">
        <v>884</v>
      </c>
      <c r="M17" s="983"/>
      <c r="N17" s="983"/>
      <c r="O17" s="984"/>
    </row>
    <row r="18" spans="4:256" ht="15.75" customHeight="1">
      <c r="D18" s="2458"/>
      <c r="E18" s="1383"/>
      <c r="F18" s="3717"/>
      <c r="G18" s="3715"/>
      <c r="H18" s="1402" t="s">
        <v>2080</v>
      </c>
      <c r="I18" s="1402"/>
      <c r="J18" s="1095" t="s">
        <v>47</v>
      </c>
      <c r="K18" s="984"/>
      <c r="L18" s="1402" t="s">
        <v>2080</v>
      </c>
      <c r="M18" s="1402"/>
      <c r="N18" s="1095" t="s">
        <v>47</v>
      </c>
      <c r="O18" s="984"/>
    </row>
    <row r="19" spans="4:256" ht="30.75" customHeight="1">
      <c r="D19" s="2458"/>
      <c r="E19" s="1383"/>
      <c r="F19" s="1393" t="str">
        <f>IF(F16=$S$15,$T$10,IF(ROUNDDOWN(F16,0)=$S$10,$U$10,$T$10))</f>
        <v>　レベル　1</v>
      </c>
      <c r="G19" s="1393" t="str">
        <f>IF(G16=$S$15,$T$10,IF(ROUNDDOWN(G16,0)=$S$10,$U$10,$T$10))</f>
        <v>　レベル　1</v>
      </c>
      <c r="H19" s="2244" t="s">
        <v>2086</v>
      </c>
      <c r="I19" s="2249"/>
      <c r="J19" s="2244" t="s">
        <v>2091</v>
      </c>
      <c r="K19" s="2249"/>
      <c r="L19" s="2194" t="s">
        <v>2437</v>
      </c>
      <c r="M19" s="2242"/>
      <c r="N19" s="2194" t="s">
        <v>2444</v>
      </c>
      <c r="O19" s="2242"/>
    </row>
    <row r="20" spans="4:256" ht="30.75" customHeight="1">
      <c r="D20" s="2458"/>
      <c r="E20" s="1383"/>
      <c r="F20" s="1394" t="str">
        <f>IF(F16=$S$15,$T$11,IF(ROUNDDOWN(F16,0)=$S$11,$U$11,$T$11))</f>
        <v>　レベル　2</v>
      </c>
      <c r="G20" s="1394" t="str">
        <f>IF(G16=$S$15,$T$11,IF(ROUNDDOWN(G16,0)=$S$11,$U$11,$T$11))</f>
        <v>　レベル　2</v>
      </c>
      <c r="H20" s="2245" t="s">
        <v>2087</v>
      </c>
      <c r="I20" s="2250" t="s">
        <v>841</v>
      </c>
      <c r="J20" s="2245" t="s">
        <v>2087</v>
      </c>
      <c r="K20" s="2250" t="s">
        <v>841</v>
      </c>
      <c r="L20" s="1152" t="s">
        <v>2438</v>
      </c>
      <c r="M20" s="2195"/>
      <c r="N20" s="1152" t="s">
        <v>2443</v>
      </c>
      <c r="O20" s="2195"/>
    </row>
    <row r="21" spans="4:256" ht="30.75" customHeight="1">
      <c r="D21" s="2458"/>
      <c r="E21" s="1383"/>
      <c r="F21" s="1394" t="str">
        <f>IF(F16=$S$15,$T$12,IF(ROUNDDOWN(F16,0)=$S$12,$U$12,$T$12))</f>
        <v>　レベル　3</v>
      </c>
      <c r="G21" s="1394" t="str">
        <f>IF(G16=$S$15,$T$12,IF(ROUNDDOWN(G16,0)=$S$12,$U$12,$T$12))</f>
        <v>　レベル　3</v>
      </c>
      <c r="H21" s="2245" t="s">
        <v>2088</v>
      </c>
      <c r="I21" s="2250" t="s">
        <v>842</v>
      </c>
      <c r="J21" s="2245" t="s">
        <v>2088</v>
      </c>
      <c r="K21" s="2250" t="s">
        <v>842</v>
      </c>
      <c r="L21" s="1152" t="s">
        <v>2439</v>
      </c>
      <c r="M21" s="2195"/>
      <c r="N21" s="1152" t="s">
        <v>2442</v>
      </c>
      <c r="O21" s="2195"/>
    </row>
    <row r="22" spans="4:256" ht="30.75" customHeight="1">
      <c r="D22" s="954"/>
      <c r="E22" s="1091"/>
      <c r="F22" s="1394" t="str">
        <f>IF(F16=$S$15,$T$13,IF(ROUNDDOWN(F16,0)=$S$13,$U$13,$T$13))</f>
        <v>　レベル　4</v>
      </c>
      <c r="G22" s="1394" t="str">
        <f>IF(G16=$S$15,$T$13,IF(ROUNDDOWN(G16,0)=$S$13,$U$13,$T$13))</f>
        <v>　レベル　4</v>
      </c>
      <c r="H22" s="2245" t="s">
        <v>2089</v>
      </c>
      <c r="I22" s="2251" t="s">
        <v>843</v>
      </c>
      <c r="J22" s="2245" t="s">
        <v>2092</v>
      </c>
      <c r="K22" s="2251" t="s">
        <v>843</v>
      </c>
      <c r="L22" s="1152" t="s">
        <v>2440</v>
      </c>
      <c r="M22" s="2195"/>
      <c r="N22" s="1152" t="s">
        <v>2441</v>
      </c>
      <c r="O22" s="2195"/>
    </row>
    <row r="23" spans="4:256" ht="30.75" customHeight="1">
      <c r="D23" s="954"/>
      <c r="E23" s="1091"/>
      <c r="F23" s="1395" t="str">
        <f>IF(F16=$S$15,$T$14,IF(ROUNDDOWN(F16,0)=$S$14,$U$14,$T$14))</f>
        <v>　レベル　5</v>
      </c>
      <c r="G23" s="1395" t="str">
        <f>IF(G16=$S$15,$T$14,IF(ROUNDDOWN(G16,0)=$S$14,$U$14,$T$14))</f>
        <v>　レベル　5</v>
      </c>
      <c r="H23" s="2246" t="s">
        <v>2090</v>
      </c>
      <c r="I23" s="2252"/>
      <c r="J23" s="2246" t="s">
        <v>2093</v>
      </c>
      <c r="K23" s="2252"/>
      <c r="L23" s="1127" t="s">
        <v>2085</v>
      </c>
      <c r="M23" s="2243"/>
      <c r="N23" s="1127" t="s">
        <v>2085</v>
      </c>
      <c r="O23" s="2243"/>
    </row>
    <row r="24" spans="4:256" ht="15.75">
      <c r="D24" s="954"/>
      <c r="E24" s="2134"/>
      <c r="F24" s="2134"/>
      <c r="G24" s="2134"/>
      <c r="H24" s="2134"/>
      <c r="I24" s="2134"/>
      <c r="J24" s="2134"/>
      <c r="K24" s="2134"/>
      <c r="L24" s="2134"/>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c r="AS24" s="2134"/>
      <c r="AT24" s="2134"/>
      <c r="AU24" s="2134"/>
      <c r="AV24" s="2134"/>
      <c r="AW24" s="2134"/>
      <c r="AX24" s="2134"/>
      <c r="AY24" s="2134"/>
      <c r="AZ24" s="2134"/>
      <c r="BA24" s="2134"/>
      <c r="BB24" s="2134"/>
      <c r="BC24" s="2134"/>
      <c r="BD24" s="2134"/>
      <c r="BE24" s="2134"/>
      <c r="BF24" s="2134"/>
      <c r="BG24" s="2134"/>
      <c r="BH24" s="2134"/>
      <c r="BI24" s="2134"/>
      <c r="BJ24" s="2134"/>
      <c r="BK24" s="2134"/>
      <c r="BL24" s="2134"/>
      <c r="BM24" s="2134"/>
      <c r="BN24" s="2134"/>
      <c r="BO24" s="2134"/>
      <c r="BP24" s="2134"/>
      <c r="BQ24" s="2134"/>
      <c r="BR24" s="2134"/>
      <c r="BS24" s="2134"/>
      <c r="BT24" s="2134"/>
      <c r="BU24" s="2134"/>
      <c r="BV24" s="2134"/>
      <c r="BW24" s="2134"/>
      <c r="BX24" s="2134"/>
      <c r="BY24" s="2134"/>
      <c r="BZ24" s="2134"/>
      <c r="CA24" s="2134"/>
      <c r="CB24" s="2134"/>
      <c r="CC24" s="2134"/>
      <c r="CD24" s="2134"/>
      <c r="CE24" s="2134"/>
      <c r="CF24" s="2134"/>
      <c r="CG24" s="2134"/>
      <c r="CH24" s="2134"/>
      <c r="CI24" s="2134"/>
      <c r="CJ24" s="2134"/>
      <c r="CK24" s="2134"/>
      <c r="CL24" s="2134"/>
      <c r="CM24" s="2134"/>
      <c r="CN24" s="2134"/>
      <c r="CO24" s="2134"/>
      <c r="CP24" s="2134"/>
      <c r="CQ24" s="2134"/>
      <c r="CR24" s="2134"/>
      <c r="CS24" s="2134"/>
      <c r="CT24" s="2134"/>
      <c r="CU24" s="2134"/>
      <c r="CV24" s="2134"/>
      <c r="CW24" s="2134"/>
      <c r="CX24" s="2134"/>
      <c r="CY24" s="2134"/>
      <c r="CZ24" s="2134"/>
      <c r="DA24" s="2134"/>
      <c r="DB24" s="2134"/>
      <c r="DC24" s="2134"/>
      <c r="DD24" s="2134"/>
      <c r="DE24" s="2134"/>
      <c r="DF24" s="2134"/>
      <c r="DG24" s="2134"/>
      <c r="DH24" s="2134"/>
      <c r="DI24" s="2134"/>
      <c r="DJ24" s="2134"/>
      <c r="DK24" s="2134"/>
      <c r="DL24" s="2134"/>
      <c r="DM24" s="2134"/>
      <c r="DN24" s="2134"/>
      <c r="DO24" s="2134"/>
      <c r="DP24" s="2134"/>
      <c r="DQ24" s="2134"/>
      <c r="DR24" s="2134"/>
      <c r="DS24" s="2134"/>
      <c r="DT24" s="2134"/>
      <c r="DU24" s="2134"/>
      <c r="DV24" s="2134"/>
      <c r="DW24" s="2134"/>
      <c r="DX24" s="2134"/>
      <c r="DY24" s="2134"/>
      <c r="DZ24" s="2134"/>
      <c r="EA24" s="2134"/>
      <c r="EB24" s="2134"/>
      <c r="EC24" s="2134"/>
      <c r="ED24" s="2134"/>
      <c r="EE24" s="2134"/>
      <c r="EF24" s="2134"/>
      <c r="EG24" s="2134"/>
      <c r="EH24" s="2134"/>
      <c r="EI24" s="2134"/>
      <c r="EJ24" s="2134"/>
      <c r="EK24" s="2134"/>
      <c r="EL24" s="2134"/>
      <c r="EM24" s="2134"/>
      <c r="EN24" s="2134"/>
      <c r="EO24" s="2134"/>
      <c r="EP24" s="2134"/>
      <c r="EQ24" s="2134"/>
      <c r="ER24" s="2134"/>
      <c r="ES24" s="2134"/>
      <c r="ET24" s="2134"/>
      <c r="EU24" s="2134"/>
      <c r="EV24" s="2134"/>
      <c r="EW24" s="2134"/>
      <c r="EX24" s="2134"/>
      <c r="EY24" s="2134"/>
      <c r="EZ24" s="2134"/>
      <c r="FA24" s="2134"/>
      <c r="FB24" s="2134"/>
      <c r="FC24" s="2134"/>
      <c r="FD24" s="2134"/>
      <c r="FE24" s="2134"/>
      <c r="FF24" s="2134"/>
      <c r="FG24" s="2134"/>
      <c r="FH24" s="2134"/>
      <c r="FI24" s="2134"/>
      <c r="FJ24" s="2134"/>
      <c r="FK24" s="2134"/>
      <c r="FL24" s="2134"/>
      <c r="FM24" s="2134"/>
      <c r="FN24" s="2134"/>
      <c r="FO24" s="2134"/>
      <c r="FP24" s="2134"/>
      <c r="FQ24" s="2134"/>
      <c r="FR24" s="2134"/>
      <c r="FS24" s="2134"/>
      <c r="FT24" s="2134"/>
      <c r="FU24" s="2134"/>
      <c r="FV24" s="2134"/>
      <c r="FW24" s="2134"/>
      <c r="FX24" s="2134"/>
      <c r="FY24" s="2134"/>
      <c r="FZ24" s="2134"/>
      <c r="GA24" s="2134"/>
      <c r="GB24" s="2134"/>
      <c r="GC24" s="2134"/>
      <c r="GD24" s="2134"/>
      <c r="GE24" s="2134"/>
      <c r="GF24" s="2134"/>
      <c r="GG24" s="2134"/>
      <c r="GH24" s="2134"/>
      <c r="GI24" s="2134"/>
      <c r="GJ24" s="2134"/>
      <c r="GK24" s="2134"/>
      <c r="GL24" s="2134"/>
      <c r="GM24" s="2134"/>
      <c r="GN24" s="2134"/>
      <c r="GO24" s="2134"/>
      <c r="GP24" s="2134"/>
      <c r="GQ24" s="2134"/>
      <c r="GR24" s="2134"/>
      <c r="GS24" s="2134"/>
      <c r="GT24" s="2134"/>
      <c r="GU24" s="2134"/>
      <c r="GV24" s="2134"/>
      <c r="GW24" s="2134"/>
      <c r="GX24" s="2134"/>
      <c r="GY24" s="2134"/>
      <c r="GZ24" s="2134"/>
      <c r="HA24" s="2134"/>
      <c r="HB24" s="2134"/>
      <c r="HC24" s="2134"/>
      <c r="HD24" s="2134"/>
      <c r="HE24" s="2134"/>
      <c r="HF24" s="2134"/>
      <c r="HG24" s="2134"/>
      <c r="HH24" s="2134"/>
      <c r="HI24" s="2134"/>
      <c r="HJ24" s="2134"/>
      <c r="HK24" s="2134"/>
      <c r="HL24" s="2134"/>
      <c r="HM24" s="2134"/>
      <c r="HN24" s="2134"/>
      <c r="HO24" s="2134"/>
      <c r="HP24" s="2134"/>
      <c r="HQ24" s="2134"/>
      <c r="HR24" s="2134"/>
      <c r="HS24" s="2134"/>
      <c r="HT24" s="2134"/>
      <c r="HU24" s="2134"/>
      <c r="HV24" s="2134"/>
      <c r="HW24" s="2134"/>
      <c r="HX24" s="2134"/>
      <c r="HY24" s="2134"/>
      <c r="HZ24" s="2134"/>
      <c r="IA24" s="2134"/>
      <c r="IB24" s="2134"/>
      <c r="IC24" s="2134"/>
      <c r="ID24" s="2134"/>
      <c r="IE24" s="2134"/>
      <c r="IF24" s="2134"/>
      <c r="IG24" s="2134"/>
      <c r="IH24" s="2134"/>
      <c r="II24" s="2134"/>
      <c r="IJ24" s="2134"/>
      <c r="IK24" s="2134"/>
      <c r="IL24" s="2134"/>
      <c r="IM24" s="2134"/>
      <c r="IN24" s="2134"/>
      <c r="IO24" s="2134"/>
      <c r="IP24" s="2134"/>
      <c r="IQ24" s="2134"/>
      <c r="IR24" s="2134"/>
      <c r="IS24" s="2134"/>
      <c r="IT24" s="2134"/>
      <c r="IU24" s="2134"/>
      <c r="IV24" s="2134"/>
    </row>
    <row r="25" spans="4:256" ht="15.75">
      <c r="D25" s="2458"/>
      <c r="E25" s="1383"/>
      <c r="F25" s="2134"/>
      <c r="G25" s="2196">
        <f>計画書!M12</f>
        <v>1</v>
      </c>
      <c r="H25" s="1095" t="s">
        <v>1782</v>
      </c>
      <c r="I25" s="1095"/>
      <c r="J25" s="1388"/>
      <c r="K25" s="2213">
        <f>メイン!C64</f>
        <v>0</v>
      </c>
    </row>
    <row r="26" spans="4:256" ht="30.75" customHeight="1">
      <c r="D26" s="2458"/>
      <c r="E26" s="1383"/>
      <c r="F26" s="2134"/>
      <c r="G26" s="1393" t="str">
        <f>IF(G25=$S$15,$T$10,IF(ROUNDDOWN(G25,0)=$S$10,$U$10,$T$10))</f>
        <v>■レベル　1</v>
      </c>
      <c r="H26" s="3428" t="s">
        <v>2445</v>
      </c>
      <c r="I26" s="3710"/>
      <c r="J26" s="3710"/>
      <c r="K26" s="3746"/>
    </row>
    <row r="27" spans="4:256" ht="30.75" customHeight="1">
      <c r="D27" s="2458"/>
      <c r="E27" s="1383"/>
      <c r="F27" s="2134"/>
      <c r="G27" s="1394" t="str">
        <f>IF(G25=$S$15,$T$11,IF(ROUNDDOWN(G25,0)=$S$11,$U$11,$T$11))</f>
        <v>　レベル　2</v>
      </c>
      <c r="H27" s="3428" t="s">
        <v>2446</v>
      </c>
      <c r="I27" s="3710"/>
      <c r="J27" s="3710"/>
      <c r="K27" s="3711"/>
    </row>
    <row r="28" spans="4:256" ht="30.75" customHeight="1">
      <c r="D28" s="2458"/>
      <c r="E28" s="1383"/>
      <c r="F28" s="2134"/>
      <c r="G28" s="1394" t="str">
        <f>IF(G25=$S$15,$T$12,IF(ROUNDDOWN(G25,0)=$S$12,$U$12,$T$12))</f>
        <v>　レベル　3</v>
      </c>
      <c r="H28" s="3428" t="s">
        <v>2447</v>
      </c>
      <c r="I28" s="3710"/>
      <c r="J28" s="3710"/>
      <c r="K28" s="3711"/>
    </row>
    <row r="29" spans="4:256" ht="30.75" customHeight="1">
      <c r="D29" s="954"/>
      <c r="E29" s="1091"/>
      <c r="F29" s="2134"/>
      <c r="G29" s="1394" t="str">
        <f>IF(G25=$S$15,$T$13,IF(ROUNDDOWN(G25,0)=$S$13,$U$13,$T$13))</f>
        <v>　レベル　4</v>
      </c>
      <c r="H29" s="1152" t="s">
        <v>161</v>
      </c>
      <c r="I29" s="1153"/>
      <c r="J29" s="1153"/>
      <c r="K29" s="2195"/>
    </row>
    <row r="30" spans="4:256" ht="30.75" customHeight="1">
      <c r="D30" s="954"/>
      <c r="E30" s="1091"/>
      <c r="F30" s="2134"/>
      <c r="G30" s="1395" t="str">
        <f>IF(G25=$S$15,$T$14,IF(ROUNDDOWN(G25,0)=$S$14,$U$14,$T$14))</f>
        <v>　レベル　5</v>
      </c>
      <c r="H30" s="3424" t="s">
        <v>2448</v>
      </c>
      <c r="I30" s="3712"/>
      <c r="J30" s="3712"/>
      <c r="K30" s="3713"/>
    </row>
    <row r="31" spans="4:256" ht="17.25" customHeight="1" thickBot="1">
      <c r="D31" s="954"/>
      <c r="E31" s="954"/>
      <c r="F31" s="1399" t="s">
        <v>844</v>
      </c>
      <c r="G31" s="954"/>
      <c r="H31" s="954"/>
      <c r="I31" s="954"/>
      <c r="J31" s="954"/>
      <c r="K31" s="954"/>
      <c r="L31" s="954"/>
      <c r="M31" s="954"/>
      <c r="N31" s="954"/>
      <c r="O31" s="954"/>
    </row>
    <row r="32" spans="4:256" ht="16.5" thickBot="1">
      <c r="D32" s="954"/>
      <c r="E32" s="1091"/>
      <c r="F32" s="978">
        <v>3</v>
      </c>
      <c r="G32" s="2506"/>
      <c r="H32" s="954"/>
      <c r="I32" s="954"/>
      <c r="J32" s="954"/>
      <c r="K32" s="954"/>
      <c r="L32" s="954"/>
      <c r="M32" s="954"/>
      <c r="N32" s="954"/>
      <c r="O32" s="954"/>
    </row>
    <row r="33" spans="2:17"/>
    <row r="34" spans="2:17" ht="15.75">
      <c r="D34" s="954">
        <v>2</v>
      </c>
      <c r="E34" s="963" t="s">
        <v>2094</v>
      </c>
      <c r="F34" s="963"/>
      <c r="G34" s="963"/>
      <c r="H34" s="963"/>
      <c r="I34" s="1405"/>
      <c r="J34" s="1405"/>
      <c r="K34" s="1405"/>
      <c r="L34" s="1405"/>
      <c r="M34" s="1406"/>
    </row>
    <row r="35" spans="2:17" ht="15.75" hidden="1">
      <c r="D35" s="2460">
        <v>2.1</v>
      </c>
      <c r="E35" s="2406" t="s">
        <v>824</v>
      </c>
      <c r="F35" s="2406"/>
      <c r="G35" s="963"/>
      <c r="H35" s="963"/>
      <c r="I35" s="1405"/>
      <c r="J35" s="1048" t="e">
        <f>IF(OR(F37=0,AND(J36=0,O37=0)),$R$3,"")</f>
        <v>#DIV/0!</v>
      </c>
      <c r="K35" s="1405"/>
      <c r="L35" s="1405"/>
      <c r="M35" s="1406"/>
      <c r="N35" s="136"/>
      <c r="O35" s="136"/>
    </row>
    <row r="36" spans="2:17" ht="15.75" hidden="1">
      <c r="D36" s="954"/>
      <c r="E36" s="963"/>
      <c r="F36" s="1114"/>
      <c r="G36" s="972"/>
      <c r="H36" s="973"/>
      <c r="I36" s="974" t="s">
        <v>1125</v>
      </c>
      <c r="J36" s="975" t="e">
        <f>重み!M120</f>
        <v>#DIV/0!</v>
      </c>
      <c r="K36" s="1115"/>
      <c r="L36" s="1115"/>
      <c r="M36" s="1115"/>
      <c r="N36" s="1115"/>
      <c r="O36" s="984"/>
    </row>
    <row r="37" spans="2:17" ht="16.5" hidden="1" thickBot="1">
      <c r="D37" s="954"/>
      <c r="E37" s="963"/>
      <c r="F37" s="1348">
        <f>IF(I44&lt;1,3,IF(I44&lt;15,4,5))</f>
        <v>3</v>
      </c>
      <c r="G37" s="2233" t="s">
        <v>2166</v>
      </c>
      <c r="H37" s="1430"/>
      <c r="I37" s="1430"/>
      <c r="J37" s="1430"/>
      <c r="K37" s="1430"/>
      <c r="L37" s="1430"/>
      <c r="M37" s="1430"/>
      <c r="N37" s="1430"/>
      <c r="O37" s="2385">
        <f>計画書!H98</f>
        <v>0</v>
      </c>
    </row>
    <row r="38" spans="2:17" ht="15.75" hidden="1">
      <c r="D38" s="954"/>
      <c r="E38" s="954"/>
      <c r="F38" s="985" t="str">
        <f>IF(F37=$S$15,$T$10,IF(ROUNDDOWN(F37,0)=$S$10,$U$10,$T$10))</f>
        <v>　レベル　1</v>
      </c>
      <c r="G38" s="1218" t="s">
        <v>1477</v>
      </c>
      <c r="H38" s="2211"/>
      <c r="I38" s="2211"/>
      <c r="J38" s="2211"/>
      <c r="K38" s="2211"/>
      <c r="L38" s="2211"/>
      <c r="M38" s="2211"/>
      <c r="N38" s="3439" t="s">
        <v>3156</v>
      </c>
      <c r="O38" s="3741"/>
    </row>
    <row r="39" spans="2:17" ht="15.75" hidden="1">
      <c r="D39" s="954"/>
      <c r="E39" s="954"/>
      <c r="F39" s="1138" t="str">
        <f>IF(F37=$S$15,$T$11,IF(ROUNDDOWN(F37,0)=$S$11,$U$11,$T$11))</f>
        <v>　レベル　2</v>
      </c>
      <c r="G39" s="1221" t="s">
        <v>1477</v>
      </c>
      <c r="H39" s="1424"/>
      <c r="I39" s="1424"/>
      <c r="J39" s="1424"/>
      <c r="K39" s="1424"/>
      <c r="L39" s="1424"/>
      <c r="M39" s="1424"/>
      <c r="N39" s="3742"/>
      <c r="O39" s="3743"/>
    </row>
    <row r="40" spans="2:17" ht="15.75" hidden="1">
      <c r="D40" s="954"/>
      <c r="E40" s="954"/>
      <c r="F40" s="1138" t="str">
        <f>IF(F37=$S$15,$T$12,IF(ROUNDDOWN(F37,0)=$S$12,$U$12,$T$12))</f>
        <v>■レベル　3</v>
      </c>
      <c r="G40" s="1152" t="s">
        <v>3157</v>
      </c>
      <c r="H40" s="1424"/>
      <c r="I40" s="1424"/>
      <c r="J40" s="1424"/>
      <c r="K40" s="1424"/>
      <c r="L40" s="1424"/>
      <c r="M40" s="1424"/>
      <c r="N40" s="3742"/>
      <c r="O40" s="3743"/>
    </row>
    <row r="41" spans="2:17" ht="15.75" hidden="1">
      <c r="D41" s="954"/>
      <c r="E41" s="954"/>
      <c r="F41" s="1138" t="str">
        <f>IF(F37=$S$15,$T$13,IF(ROUNDDOWN(F37,0)=$S$13,$U$13,$T$13))</f>
        <v>　レベル　4</v>
      </c>
      <c r="G41" s="1152" t="s">
        <v>2095</v>
      </c>
      <c r="H41" s="1424"/>
      <c r="I41" s="1424"/>
      <c r="J41" s="1424"/>
      <c r="K41" s="1424"/>
      <c r="L41" s="1424"/>
      <c r="M41" s="1424"/>
      <c r="N41" s="3742"/>
      <c r="O41" s="3743"/>
    </row>
    <row r="42" spans="2:17" ht="15.75" hidden="1">
      <c r="D42" s="954"/>
      <c r="E42" s="954"/>
      <c r="F42" s="1001" t="str">
        <f>IF(F37=$S$15,$T$14,IF(ROUNDDOWN(F37,0)=$S$14,$U$14,$T$14))</f>
        <v>　レベル　5</v>
      </c>
      <c r="G42" s="2232" t="s">
        <v>2096</v>
      </c>
      <c r="H42" s="1441"/>
      <c r="I42" s="1441"/>
      <c r="J42" s="1441"/>
      <c r="K42" s="1441"/>
      <c r="L42" s="1441"/>
      <c r="M42" s="1441"/>
      <c r="N42" s="3744"/>
      <c r="O42" s="3745"/>
    </row>
    <row r="43" spans="2:17" ht="15.75" hidden="1">
      <c r="D43" s="954"/>
      <c r="E43" s="2134"/>
      <c r="F43" s="2134"/>
      <c r="G43" s="2134"/>
      <c r="H43" s="2134"/>
      <c r="I43" s="2134"/>
      <c r="J43" s="2134"/>
      <c r="K43" s="2134"/>
      <c r="L43" s="2134"/>
      <c r="M43" s="2134"/>
      <c r="N43" s="2134"/>
      <c r="O43" s="2134"/>
      <c r="P43" s="2134"/>
      <c r="Q43" s="2134"/>
    </row>
    <row r="44" spans="2:17" ht="16.5" hidden="1" thickBot="1">
      <c r="D44" s="954"/>
      <c r="E44" s="2134"/>
      <c r="F44" s="2134"/>
      <c r="G44" s="1403" t="s">
        <v>49</v>
      </c>
      <c r="H44" s="1383"/>
      <c r="I44" s="1409">
        <v>0</v>
      </c>
      <c r="J44" s="1404" t="s">
        <v>50</v>
      </c>
      <c r="K44" s="136"/>
      <c r="L44" s="136"/>
      <c r="M44" s="2134"/>
      <c r="N44" s="2134"/>
      <c r="O44" s="2134"/>
    </row>
    <row r="45" spans="2:17" ht="15.75" hidden="1">
      <c r="D45" s="954">
        <v>2.2000000000000002</v>
      </c>
      <c r="E45" s="963" t="s">
        <v>823</v>
      </c>
      <c r="F45" s="2134"/>
      <c r="G45" s="2134"/>
      <c r="H45" s="2134"/>
      <c r="I45" s="2134"/>
      <c r="J45" s="1048" t="e">
        <f>IF(OR(F47=0,AND(J46=0,O46=0)),$R$3,"")</f>
        <v>#DIV/0!</v>
      </c>
      <c r="K45" s="2134"/>
      <c r="L45" s="2134"/>
      <c r="M45" s="2134"/>
      <c r="N45" s="2134"/>
      <c r="O45" s="2134"/>
      <c r="P45" s="2134"/>
      <c r="Q45" s="2134"/>
    </row>
    <row r="46" spans="2:17" ht="16.5" thickBot="1">
      <c r="D46" s="954"/>
      <c r="E46" s="963"/>
      <c r="F46" s="1114"/>
      <c r="G46" s="972"/>
      <c r="H46" s="973"/>
      <c r="I46" s="974" t="s">
        <v>1125</v>
      </c>
      <c r="J46" s="975" t="e">
        <f>重み!M121</f>
        <v>#DIV/0!</v>
      </c>
      <c r="K46" s="1115"/>
      <c r="L46" s="1115"/>
      <c r="M46" s="1115"/>
      <c r="N46" s="1115"/>
      <c r="O46" s="984"/>
    </row>
    <row r="47" spans="2:17" ht="16.5" thickBot="1">
      <c r="D47" s="954"/>
      <c r="E47" s="963"/>
      <c r="F47" s="1348">
        <f>IF((J47+O47)=0,0,G47*J47/(J47+O47)+K47*O47/(J47+O47))</f>
        <v>0</v>
      </c>
      <c r="G47" s="1348">
        <f>IF(COUNTIF(H57:H60,"○")&lt;1,3,IF(COUNTIF(H57:H60,"○")&gt;=1,IF(I54&lt;15,4,5)))</f>
        <v>3</v>
      </c>
      <c r="H47" s="1402" t="s">
        <v>828</v>
      </c>
      <c r="I47" s="1402"/>
      <c r="J47" s="1213">
        <f>計画書!H101</f>
        <v>0</v>
      </c>
      <c r="K47" s="978">
        <v>3</v>
      </c>
      <c r="L47" s="1407" t="s">
        <v>1244</v>
      </c>
      <c r="M47" s="1408"/>
      <c r="N47" s="1408"/>
      <c r="O47" s="1213">
        <f>計画書!H100</f>
        <v>0</v>
      </c>
    </row>
    <row r="48" spans="2:17" ht="23.25" customHeight="1">
      <c r="B48" s="1" t="s">
        <v>2385</v>
      </c>
      <c r="C48" s="1" t="s">
        <v>2385</v>
      </c>
      <c r="D48" s="954"/>
      <c r="E48" s="954"/>
      <c r="F48" s="1425" t="str">
        <f>IF(F47=$S$15,"",IF(ROUNDDOWN(F47,0)=$S$10,$U$10,$T$10))</f>
        <v/>
      </c>
      <c r="G48" s="1425" t="str">
        <f>IF(G47=$S$15,"",IF(ROUNDDOWN(G47,0)=$S$10,$U$10,$T$10))</f>
        <v>　レベル　1</v>
      </c>
      <c r="H48" s="987" t="s">
        <v>1795</v>
      </c>
      <c r="I48" s="988"/>
      <c r="J48" s="988"/>
      <c r="K48" s="1425" t="str">
        <f>IF(K47=$S$15,"",IF(ROUNDDOWN(K47,0)=$S$10,$U$10,$T$10))</f>
        <v>　レベル　1</v>
      </c>
      <c r="L48" s="987" t="s">
        <v>1795</v>
      </c>
      <c r="M48" s="987"/>
      <c r="N48" s="988"/>
      <c r="O48" s="989"/>
    </row>
    <row r="49" spans="2:17" ht="23.25" customHeight="1">
      <c r="B49" s="1" t="s">
        <v>2385</v>
      </c>
      <c r="C49" s="1">
        <v>2</v>
      </c>
      <c r="D49" s="954"/>
      <c r="E49" s="954"/>
      <c r="F49" s="1427" t="str">
        <f>IF(F47=$S$15,"",IF(ROUNDDOWN(F47,0)=$S$11,$U$11,$T$11))</f>
        <v/>
      </c>
      <c r="G49" s="1427" t="str">
        <f>IF(G47=$S$15,"",IF(ROUNDDOWN(G47,0)=$S$11,$U$11,$T$11))</f>
        <v>　レベル　2</v>
      </c>
      <c r="H49" s="994" t="s">
        <v>1795</v>
      </c>
      <c r="I49" s="995"/>
      <c r="J49" s="995"/>
      <c r="K49" s="1427" t="str">
        <f>IF(K47=$S$15,"",IF(ROUNDDOWN(K47,0)=$S$11,$U$11,$T$11))</f>
        <v>　レベル　2</v>
      </c>
      <c r="L49" s="994" t="s">
        <v>3158</v>
      </c>
      <c r="M49" s="994"/>
      <c r="N49" s="995"/>
      <c r="O49" s="996"/>
    </row>
    <row r="50" spans="2:17" ht="39.75" customHeight="1">
      <c r="B50" s="1">
        <v>3</v>
      </c>
      <c r="C50" s="1">
        <v>3</v>
      </c>
      <c r="D50" s="954"/>
      <c r="E50" s="954"/>
      <c r="F50" s="1427" t="str">
        <f>IF(F47=$S$15,"",IF(ROUNDDOWN(F47,0)=$S$12,$U$12,$T$12))</f>
        <v/>
      </c>
      <c r="G50" s="1427" t="str">
        <f>IF(G47=$S$15,"",IF(ROUNDDOWN(G47,0)=$S$12,$U$12,$T$12))</f>
        <v>■レベル　3</v>
      </c>
      <c r="H50" s="3718" t="s">
        <v>3311</v>
      </c>
      <c r="I50" s="3719"/>
      <c r="J50" s="3720"/>
      <c r="K50" s="1427" t="str">
        <f>IF(K47=$S$15,"",IF(ROUNDDOWN(K47,0)=$S$12,$U$12,$T$12))</f>
        <v>■レベル　3</v>
      </c>
      <c r="L50" s="3428" t="s">
        <v>3159</v>
      </c>
      <c r="M50" s="3730"/>
      <c r="N50" s="3730"/>
      <c r="O50" s="3731"/>
    </row>
    <row r="51" spans="2:17" ht="50.25" customHeight="1">
      <c r="B51" s="1">
        <v>4</v>
      </c>
      <c r="C51" s="1">
        <v>4</v>
      </c>
      <c r="D51" s="954"/>
      <c r="E51" s="954"/>
      <c r="F51" s="1427" t="str">
        <f>IF(F47=$S$15,"",IF(ROUNDDOWN(F47,0)=$S$13,$U$13,$T$13))</f>
        <v/>
      </c>
      <c r="G51" s="1427" t="str">
        <f>IF(G47=$S$15,"",IF(ROUNDDOWN(G47,0)=$S$13,$U$13,$T$13))</f>
        <v>　レベル　4</v>
      </c>
      <c r="H51" s="3397" t="s">
        <v>3312</v>
      </c>
      <c r="I51" s="3476"/>
      <c r="J51" s="3477"/>
      <c r="K51" s="1427" t="str">
        <f>IF(K47=$S$15,"",IF(ROUNDDOWN(K47,0)=$S$13,$U$13,$T$13))</f>
        <v>　レベル　4</v>
      </c>
      <c r="L51" s="3428" t="s">
        <v>3160</v>
      </c>
      <c r="M51" s="3730"/>
      <c r="N51" s="3730"/>
      <c r="O51" s="3731"/>
    </row>
    <row r="52" spans="2:17" ht="27" customHeight="1">
      <c r="B52" s="1">
        <v>5</v>
      </c>
      <c r="C52" s="1">
        <v>5</v>
      </c>
      <c r="D52" s="954"/>
      <c r="E52" s="954"/>
      <c r="F52" s="1428" t="str">
        <f>IF(F47=$S$15,"",IF(ROUNDDOWN(F47,0)=$S$14,$U$14,$T$14))</f>
        <v/>
      </c>
      <c r="G52" s="1428" t="str">
        <f>IF(G47=$S$15,"",IF(ROUNDDOWN(G47,0)=$S$14,$U$14,$T$14))</f>
        <v>　レベル　5</v>
      </c>
      <c r="H52" s="1005" t="s">
        <v>3161</v>
      </c>
      <c r="I52" s="1006"/>
      <c r="J52" s="1006"/>
      <c r="K52" s="1428" t="str">
        <f>IF(K47=$S$15,"",IF(ROUNDDOWN(K47,0)=$S$14,$U$14,$T$14))</f>
        <v>　レベル　5</v>
      </c>
      <c r="L52" s="1005" t="s">
        <v>3162</v>
      </c>
      <c r="M52" s="1005"/>
      <c r="N52" s="1006"/>
      <c r="O52" s="1007"/>
    </row>
    <row r="53" spans="2:17" ht="8.25" customHeight="1" thickBot="1">
      <c r="D53" s="2452"/>
      <c r="E53" s="136"/>
      <c r="F53" s="136"/>
      <c r="G53" s="136"/>
      <c r="H53" s="136"/>
      <c r="I53" s="136"/>
      <c r="J53" s="136"/>
      <c r="K53" s="136"/>
      <c r="L53" s="136"/>
      <c r="M53" s="136"/>
      <c r="N53" s="136"/>
      <c r="O53" s="136"/>
    </row>
    <row r="54" spans="2:17" ht="25.5" customHeight="1" thickBot="1">
      <c r="D54" s="2452"/>
      <c r="E54" s="136"/>
      <c r="F54" s="136"/>
      <c r="G54" s="1403" t="s">
        <v>49</v>
      </c>
      <c r="H54" s="1383"/>
      <c r="I54" s="1409">
        <v>0</v>
      </c>
      <c r="J54" s="1404" t="s">
        <v>50</v>
      </c>
      <c r="K54" s="136"/>
      <c r="L54" s="136"/>
      <c r="M54" s="136"/>
      <c r="N54" s="136"/>
      <c r="O54" s="136"/>
    </row>
    <row r="55" spans="2:17" ht="7.5" customHeight="1">
      <c r="D55" s="2452"/>
      <c r="E55" s="136"/>
      <c r="F55" s="136"/>
      <c r="G55" s="136"/>
      <c r="H55" s="136"/>
      <c r="I55" s="136"/>
      <c r="J55" s="136"/>
      <c r="K55" s="136"/>
      <c r="L55" s="136"/>
      <c r="M55" s="136"/>
      <c r="N55" s="136"/>
      <c r="O55" s="136"/>
    </row>
    <row r="56" spans="2:17" ht="19.5" customHeight="1" thickBot="1">
      <c r="D56" s="954"/>
      <c r="E56" s="1406"/>
      <c r="F56" s="954"/>
      <c r="G56" s="1410" t="s">
        <v>829</v>
      </c>
      <c r="H56" s="1411" t="s">
        <v>957</v>
      </c>
      <c r="I56" s="1412" t="s">
        <v>3313</v>
      </c>
      <c r="J56" s="1413"/>
      <c r="K56" s="1413"/>
      <c r="L56" s="1413"/>
      <c r="M56" s="1413"/>
      <c r="N56" s="1413"/>
      <c r="O56" s="1414"/>
      <c r="P56" s="2134"/>
      <c r="Q56" s="2134"/>
    </row>
    <row r="57" spans="2:17" ht="23.25" customHeight="1">
      <c r="D57" s="954"/>
      <c r="E57" s="1406"/>
      <c r="F57" s="954"/>
      <c r="G57" s="1415">
        <v>1</v>
      </c>
      <c r="H57" s="1298"/>
      <c r="I57" s="3528" t="s">
        <v>3163</v>
      </c>
      <c r="J57" s="3728"/>
      <c r="K57" s="3728"/>
      <c r="L57" s="3728"/>
      <c r="M57" s="3728"/>
      <c r="N57" s="3728"/>
      <c r="O57" s="3729"/>
    </row>
    <row r="58" spans="2:17" ht="31.5" customHeight="1">
      <c r="D58" s="954"/>
      <c r="E58" s="1406"/>
      <c r="F58" s="954"/>
      <c r="G58" s="1416">
        <v>2</v>
      </c>
      <c r="H58" s="1301"/>
      <c r="I58" s="3528" t="s">
        <v>3164</v>
      </c>
      <c r="J58" s="3728"/>
      <c r="K58" s="3728"/>
      <c r="L58" s="3728"/>
      <c r="M58" s="3728"/>
      <c r="N58" s="3728"/>
      <c r="O58" s="3729"/>
    </row>
    <row r="59" spans="2:17" ht="27.75" customHeight="1">
      <c r="D59" s="954"/>
      <c r="E59" s="1406"/>
      <c r="F59" s="954"/>
      <c r="G59" s="1416">
        <v>3</v>
      </c>
      <c r="H59" s="1301" t="s">
        <v>2239</v>
      </c>
      <c r="I59" s="3528" t="s">
        <v>3165</v>
      </c>
      <c r="J59" s="3728"/>
      <c r="K59" s="3728"/>
      <c r="L59" s="3728"/>
      <c r="M59" s="3728"/>
      <c r="N59" s="3728"/>
      <c r="O59" s="3729"/>
    </row>
    <row r="60" spans="2:17" ht="27.75" customHeight="1" thickBot="1">
      <c r="D60" s="954"/>
      <c r="E60" s="1406"/>
      <c r="F60" s="954"/>
      <c r="G60" s="1417">
        <v>4</v>
      </c>
      <c r="H60" s="1418"/>
      <c r="I60" s="1224" t="s">
        <v>3166</v>
      </c>
      <c r="J60" s="1225"/>
      <c r="K60" s="1225"/>
      <c r="L60" s="1225"/>
      <c r="M60" s="1225"/>
      <c r="N60" s="1225"/>
      <c r="O60" s="1226"/>
    </row>
    <row r="61" spans="2:17"/>
    <row r="62" spans="2:17" ht="14.25" customHeight="1">
      <c r="D62" s="1386">
        <v>3</v>
      </c>
      <c r="E62" s="1192" t="s">
        <v>1291</v>
      </c>
      <c r="F62" s="565"/>
      <c r="G62" s="565"/>
      <c r="H62" s="565"/>
      <c r="I62" s="565"/>
      <c r="J62" s="1048" t="e">
        <f>IF(OR(F65=0,AND(J64=0,M65=0)),$R$3,"")</f>
        <v>#DIV/0!</v>
      </c>
      <c r="K62" s="1351"/>
      <c r="L62" s="1351"/>
      <c r="M62" s="1351"/>
      <c r="N62" s="1351"/>
      <c r="O62" s="1351"/>
    </row>
    <row r="63" spans="2:17" s="2571" customFormat="1" ht="18.75" customHeight="1">
      <c r="G63" s="1386" t="s">
        <v>2762</v>
      </c>
      <c r="H63" s="1192"/>
      <c r="I63" s="565"/>
      <c r="J63" s="1048"/>
      <c r="K63" s="1351"/>
      <c r="L63" s="1351"/>
      <c r="M63" s="1351"/>
      <c r="N63" s="1351"/>
      <c r="O63" s="1351"/>
    </row>
    <row r="64" spans="2:17" ht="14.25">
      <c r="D64" s="2457"/>
      <c r="E64" s="1387"/>
      <c r="F64" s="1121" t="s">
        <v>2177</v>
      </c>
      <c r="G64" s="1402" t="s">
        <v>93</v>
      </c>
      <c r="H64" s="1402"/>
      <c r="I64" s="974" t="s">
        <v>1125</v>
      </c>
      <c r="J64" s="975" t="e">
        <f>重み!M124</f>
        <v>#DIV/0!</v>
      </c>
      <c r="K64" s="983"/>
      <c r="L64" s="983"/>
      <c r="M64" s="984"/>
      <c r="N64"/>
    </row>
    <row r="65" spans="4:15" ht="19.5" customHeight="1">
      <c r="D65" s="954"/>
      <c r="E65" s="1383"/>
      <c r="F65" s="3716" t="e">
        <f>ROUNDDOWN(計画書!I34,1)</f>
        <v>#DIV/0!</v>
      </c>
      <c r="G65" s="3714">
        <f>ROUNDDOWN(計画書!I31,1)</f>
        <v>0</v>
      </c>
      <c r="H65" s="1430" t="s">
        <v>2166</v>
      </c>
      <c r="I65" s="983"/>
      <c r="J65" s="983"/>
      <c r="K65" s="983"/>
      <c r="L65" s="983"/>
      <c r="M65" s="1213">
        <f>メイン!J66-O73</f>
        <v>0</v>
      </c>
      <c r="N65"/>
    </row>
    <row r="66" spans="4:15" ht="19.5" customHeight="1">
      <c r="D66" s="954"/>
      <c r="E66" s="1383"/>
      <c r="F66" s="3717"/>
      <c r="G66" s="3715"/>
      <c r="H66" s="1402" t="s">
        <v>1801</v>
      </c>
      <c r="I66" s="1402"/>
      <c r="J66" s="1402"/>
      <c r="K66" s="1095" t="s">
        <v>1800</v>
      </c>
      <c r="L66" s="983"/>
      <c r="M66" s="984"/>
      <c r="N66"/>
    </row>
    <row r="67" spans="4:15" ht="18.75" customHeight="1">
      <c r="D67" s="954"/>
      <c r="E67" s="1383"/>
      <c r="F67" s="990" t="e">
        <f>IF(F65=$S$15,$T$10,IF(ROUNDDOWN(F65,0)=$S$10,$U$10,$T$10))</f>
        <v>#DIV/0!</v>
      </c>
      <c r="G67" s="1393" t="str">
        <f>IF(G65=$S$15,"",IF(ROUNDDOWN(G65,0)=$S$10,$U$10,$T$10))</f>
        <v/>
      </c>
      <c r="H67" s="1396" t="s">
        <v>2097</v>
      </c>
      <c r="I67" s="2152"/>
      <c r="J67" s="2249"/>
      <c r="K67" s="2194" t="s">
        <v>2496</v>
      </c>
      <c r="L67" s="2247"/>
      <c r="M67" s="2242"/>
      <c r="N67"/>
    </row>
    <row r="68" spans="4:15" ht="18.75" customHeight="1">
      <c r="D68" s="954"/>
      <c r="E68" s="1383"/>
      <c r="F68" s="1138" t="e">
        <f>IF(F65=$S$15,$T$11,IF(ROUNDDOWN(F65,0)=$S$11,$U$11,$T$11))</f>
        <v>#DIV/0!</v>
      </c>
      <c r="G68" s="1394" t="str">
        <f>IF(G65=$S$15,"",IF(ROUNDDOWN(G65,0)=$S$11,$U$11,$T$11))</f>
        <v/>
      </c>
      <c r="H68" s="1397" t="s">
        <v>2098</v>
      </c>
      <c r="I68" s="1426"/>
      <c r="J68" s="2251" t="s">
        <v>841</v>
      </c>
      <c r="K68" s="1152" t="s">
        <v>1797</v>
      </c>
      <c r="L68" s="1153"/>
      <c r="M68" s="2195"/>
      <c r="N68"/>
    </row>
    <row r="69" spans="4:15" ht="18.75" customHeight="1">
      <c r="D69" s="954"/>
      <c r="E69" s="1383"/>
      <c r="F69" s="1138" t="e">
        <f>IF(F65=$S$15,$T$12,IF(ROUNDDOWN(F65,0)=$S$12,$U$12,$T$12))</f>
        <v>#DIV/0!</v>
      </c>
      <c r="G69" s="1394" t="str">
        <f>IF(G65=$S$15,"",IF(ROUNDDOWN(G65,0)=$S$12,$U$12,$T$12))</f>
        <v/>
      </c>
      <c r="H69" s="1397" t="s">
        <v>2099</v>
      </c>
      <c r="I69" s="1426"/>
      <c r="J69" s="2250" t="s">
        <v>842</v>
      </c>
      <c r="K69" s="1152" t="s">
        <v>1798</v>
      </c>
      <c r="L69" s="1153"/>
      <c r="M69" s="2195"/>
      <c r="N69"/>
    </row>
    <row r="70" spans="4:15" ht="18.75" customHeight="1">
      <c r="D70" s="954"/>
      <c r="E70" s="1383"/>
      <c r="F70" s="1138" t="e">
        <f>IF(F65=$S$15,$T$13,IF(ROUNDDOWN(F65,0)=$S$13,$U$13,$T$13))</f>
        <v>#DIV/0!</v>
      </c>
      <c r="G70" s="1394" t="str">
        <f>IF(G65=$S$15,"",IF(ROUNDDOWN(G65,0)=$S$13,$U$13,$T$13))</f>
        <v/>
      </c>
      <c r="H70" s="1397" t="s">
        <v>2100</v>
      </c>
      <c r="I70" s="1426"/>
      <c r="J70" s="2251" t="s">
        <v>843</v>
      </c>
      <c r="K70" s="1152" t="s">
        <v>1799</v>
      </c>
      <c r="L70" s="1153"/>
      <c r="M70" s="2195"/>
      <c r="N70"/>
    </row>
    <row r="71" spans="4:15" ht="18.75" customHeight="1">
      <c r="D71" s="954"/>
      <c r="E71" s="1383"/>
      <c r="F71" s="1422" t="e">
        <f>IF(F65=$S$15,$T$14,IF(ROUNDDOWN(F65,0)=$S$14,$U$14,$T$14))</f>
        <v>#DIV/0!</v>
      </c>
      <c r="G71" s="1395" t="str">
        <f>IF(G65=$S$15,"",IF(ROUNDDOWN(G65,0)=$S$14,$U$14,$T$14))</f>
        <v/>
      </c>
      <c r="H71" s="1398" t="s">
        <v>2101</v>
      </c>
      <c r="I71" s="1429"/>
      <c r="J71" s="2252"/>
      <c r="K71" s="1127" t="s">
        <v>2085</v>
      </c>
      <c r="L71" s="2248"/>
      <c r="M71" s="2243"/>
      <c r="N71"/>
    </row>
    <row r="72" spans="4:15"/>
    <row r="73" spans="4:15" ht="18.75" customHeight="1" thickBot="1">
      <c r="F73" s="1214" t="s">
        <v>1553</v>
      </c>
      <c r="G73" s="1402"/>
      <c r="H73" s="1402"/>
      <c r="I73" s="1402"/>
      <c r="J73" s="1402"/>
      <c r="K73" s="1402"/>
      <c r="L73" s="1402"/>
      <c r="M73" s="1402"/>
      <c r="N73" s="1402"/>
      <c r="O73" s="1213">
        <f>メイン!C64</f>
        <v>0</v>
      </c>
    </row>
    <row r="74" spans="4:15" ht="18.75" customHeight="1" thickBot="1">
      <c r="F74" s="2196">
        <f>ROUNDDOWN(計画書!M31,1)</f>
        <v>0</v>
      </c>
      <c r="G74" s="1421">
        <f>ROUNDDOWN(計画書!M27,1)</f>
        <v>4.5</v>
      </c>
      <c r="H74" s="971" t="s">
        <v>510</v>
      </c>
      <c r="I74" s="2237"/>
      <c r="J74" s="1213">
        <f>計画書!M29</f>
        <v>0</v>
      </c>
      <c r="K74" s="2214">
        <f>ROUNDDOWN(計画書!N27,1)</f>
        <v>4</v>
      </c>
      <c r="L74" s="1114" t="s">
        <v>830</v>
      </c>
      <c r="M74" s="973"/>
      <c r="N74" s="973"/>
      <c r="O74" s="1213">
        <f>計画書!N29</f>
        <v>0</v>
      </c>
    </row>
    <row r="75" spans="4:15" ht="18.75" customHeight="1">
      <c r="F75" s="1425" t="str">
        <f>IF(F74=$S$15,"",IF(ROUNDDOWN(F74,0)=$S$10,$U$10,$T$10))</f>
        <v/>
      </c>
      <c r="G75" s="1425" t="str">
        <f>IF(G74=$S$15,"",IF(ROUNDDOWN(G74,0)=$S$10,$U$10,$T$10))</f>
        <v>　レベル　1</v>
      </c>
      <c r="H75" s="1396" t="s">
        <v>1802</v>
      </c>
      <c r="I75" s="2152"/>
      <c r="J75" s="2249"/>
      <c r="K75" s="1425" t="str">
        <f>IF(K74=$S$15,"",IF(ROUNDDOWN(K74,0)=$S$10,$U$10,$T$10))</f>
        <v>　レベル　1</v>
      </c>
      <c r="L75" s="1396" t="s">
        <v>2483</v>
      </c>
      <c r="M75" s="2152"/>
      <c r="N75" s="2152"/>
      <c r="O75" s="2249"/>
    </row>
    <row r="76" spans="4:15" ht="18.75" customHeight="1">
      <c r="F76" s="1427" t="str">
        <f>IF(F74=$S$15,"",IF(ROUNDDOWN(F74,0)=$S$11,$U$11,$T$11))</f>
        <v/>
      </c>
      <c r="G76" s="1427" t="str">
        <f>IF(G74=$S$15,"",IF(ROUNDDOWN(G74,0)=$S$11,$U$11,$T$11))</f>
        <v>　レベル　2</v>
      </c>
      <c r="H76" s="1397" t="s">
        <v>2098</v>
      </c>
      <c r="I76" s="1426"/>
      <c r="J76" s="2251" t="s">
        <v>841</v>
      </c>
      <c r="K76" s="1427" t="str">
        <f>IF(K74=$S$15,"",IF(ROUNDDOWN(K74,0)=$S$11,$U$11,$T$11))</f>
        <v>　レベル　2</v>
      </c>
      <c r="L76" s="1397" t="s">
        <v>2484</v>
      </c>
      <c r="M76" s="1426"/>
      <c r="N76" s="1426"/>
      <c r="O76" s="2251" t="s">
        <v>841</v>
      </c>
    </row>
    <row r="77" spans="4:15" ht="18.75" customHeight="1">
      <c r="F77" s="1427" t="str">
        <f>IF(F74=$S$15,"",IF(ROUNDDOWN(F74,0)=$S$12,$U$12,$T$12))</f>
        <v/>
      </c>
      <c r="G77" s="1427" t="str">
        <f>IF(G74=$S$15,"",IF(ROUNDDOWN(G74,0)=$S$12,$U$12,$T$12))</f>
        <v>　レベル　3</v>
      </c>
      <c r="H77" s="1397" t="s">
        <v>2099</v>
      </c>
      <c r="I77" s="1426"/>
      <c r="J77" s="2250" t="s">
        <v>842</v>
      </c>
      <c r="K77" s="1427" t="str">
        <f>IF(K74=$S$15,"",IF(ROUNDDOWN(K74,0)=$S$12,$U$12,$T$12))</f>
        <v>　レベル　3</v>
      </c>
      <c r="L77" s="1397" t="s">
        <v>2485</v>
      </c>
      <c r="M77" s="1426"/>
      <c r="N77" s="1426"/>
      <c r="O77" s="2250" t="s">
        <v>842</v>
      </c>
    </row>
    <row r="78" spans="4:15" ht="32.25" customHeight="1">
      <c r="F78" s="1427" t="str">
        <f>IF(F74=$S$15,"",IF(ROUNDDOWN(F74,0)=$S$13,$U$13,$T$13))</f>
        <v/>
      </c>
      <c r="G78" s="1427" t="str">
        <f>IF(G74=$S$15,"",IF(ROUNDDOWN(G74,0)=$S$13,$U$13,$T$13))</f>
        <v>■レベル　4</v>
      </c>
      <c r="H78" s="1397" t="s">
        <v>2100</v>
      </c>
      <c r="I78" s="1426"/>
      <c r="J78" s="2251" t="s">
        <v>843</v>
      </c>
      <c r="K78" s="1427" t="str">
        <f>IF(K74=$S$15,"",IF(ROUNDDOWN(K74,0)=$S$13,$U$13,$T$13))</f>
        <v>■レベル　4</v>
      </c>
      <c r="L78" s="3732" t="s">
        <v>2487</v>
      </c>
      <c r="M78" s="3733"/>
      <c r="N78" s="3734"/>
      <c r="O78" s="2251" t="s">
        <v>843</v>
      </c>
    </row>
    <row r="79" spans="4:15" ht="31.5" customHeight="1">
      <c r="F79" s="1428" t="str">
        <f>IF(F74=$S$15,"",IF(ROUNDDOWN(F74,0)=$S$14,$U$14,$T$14))</f>
        <v/>
      </c>
      <c r="G79" s="1428" t="str">
        <f>IF(G74=$S$15,"",IF(ROUNDDOWN(G74,0)=$S$14,$U$14,$T$14))</f>
        <v>　レベル　5</v>
      </c>
      <c r="H79" s="1398" t="s">
        <v>2101</v>
      </c>
      <c r="I79" s="1429"/>
      <c r="J79" s="2252"/>
      <c r="K79" s="1428" t="str">
        <f>IF(K74=$S$15,"",IF(ROUNDDOWN(K74,0)=$S$14,$U$14,$T$14))</f>
        <v>　レベル　5</v>
      </c>
      <c r="L79" s="3725" t="s">
        <v>2486</v>
      </c>
      <c r="M79" s="3726"/>
      <c r="N79" s="3727"/>
      <c r="O79" s="2252"/>
    </row>
    <row r="80" spans="4:15" hidden="1"/>
    <row r="81" spans="1:21">
      <c r="G81" s="1517" t="s">
        <v>2481</v>
      </c>
    </row>
    <row r="82" spans="1:21">
      <c r="G82" s="2266" t="s">
        <v>3167</v>
      </c>
      <c r="H82" s="2267"/>
      <c r="I82" s="2267"/>
      <c r="J82" s="2267"/>
      <c r="K82" s="2267"/>
      <c r="L82" s="2267"/>
      <c r="M82" s="2267"/>
      <c r="N82" s="2267"/>
      <c r="O82" s="2268"/>
    </row>
    <row r="83" spans="1:21">
      <c r="G83" s="2274" t="s">
        <v>3168</v>
      </c>
      <c r="H83" s="2269"/>
      <c r="I83" s="2269"/>
      <c r="J83" s="2269"/>
      <c r="K83" s="2269"/>
      <c r="L83" s="2269"/>
      <c r="M83" s="2269"/>
      <c r="N83" s="2269"/>
      <c r="O83" s="2270"/>
    </row>
    <row r="84" spans="1:21">
      <c r="G84" s="2271" t="s">
        <v>1961</v>
      </c>
      <c r="H84" s="2272"/>
      <c r="I84" s="2272"/>
      <c r="J84" s="2272"/>
      <c r="K84" s="2272"/>
      <c r="L84" s="2272"/>
      <c r="M84" s="2272"/>
      <c r="N84" s="2272"/>
      <c r="O84" s="2273"/>
    </row>
    <row r="85" spans="1:21"/>
    <row r="86" spans="1:21" s="2814" customFormat="1" ht="18" customHeight="1">
      <c r="B86" s="2849"/>
      <c r="C86" s="2849"/>
      <c r="D86" s="2886"/>
      <c r="E86" s="2811"/>
      <c r="F86" s="2810"/>
      <c r="G86" s="2886" t="s">
        <v>3489</v>
      </c>
      <c r="H86" s="2810"/>
      <c r="I86" s="2810"/>
      <c r="J86" s="2810"/>
      <c r="K86" s="2810"/>
      <c r="L86" s="2810"/>
      <c r="M86" s="2810"/>
      <c r="N86" s="2810"/>
      <c r="O86" s="2810"/>
    </row>
    <row r="87" spans="1:21" s="2814" customFormat="1" ht="18" customHeight="1" thickBot="1">
      <c r="B87" s="2849"/>
      <c r="C87" s="2849"/>
      <c r="D87" s="2886"/>
      <c r="E87" s="2811"/>
      <c r="F87" s="2810"/>
      <c r="G87" s="3186" t="s">
        <v>3735</v>
      </c>
      <c r="H87" s="3187"/>
      <c r="I87" s="3187"/>
      <c r="J87" s="3187"/>
      <c r="K87" s="3187"/>
      <c r="L87" s="3187"/>
      <c r="M87" s="3187"/>
      <c r="N87" s="3187"/>
      <c r="O87" s="3188"/>
    </row>
    <row r="88" spans="1:21" s="2814" customFormat="1" ht="18" customHeight="1" thickBot="1">
      <c r="A88" s="3721"/>
      <c r="B88" s="3721"/>
      <c r="C88" s="3721"/>
      <c r="D88" s="3721"/>
      <c r="E88" s="3721"/>
      <c r="F88" s="3722"/>
      <c r="G88" s="2890" t="str">
        <f>IF(COUNTIF(H92:H95,"○")&gt;=1,"○","")</f>
        <v/>
      </c>
      <c r="H88" s="3459" t="s">
        <v>3736</v>
      </c>
      <c r="I88" s="3459"/>
      <c r="J88" s="3459"/>
      <c r="K88" s="3459"/>
      <c r="L88" s="3459"/>
      <c r="M88" s="3459"/>
      <c r="N88" s="3459"/>
      <c r="O88" s="3460"/>
    </row>
    <row r="89" spans="1:21" s="2814" customFormat="1" ht="18" customHeight="1" thickBot="1">
      <c r="A89" s="3721"/>
      <c r="B89" s="3721"/>
      <c r="C89" s="3721"/>
      <c r="D89" s="3721"/>
      <c r="E89" s="3721"/>
      <c r="F89" s="3722"/>
      <c r="G89" s="3219" t="s">
        <v>2239</v>
      </c>
      <c r="H89" s="3459" t="s">
        <v>3734</v>
      </c>
      <c r="I89" s="3459"/>
      <c r="J89" s="3459"/>
      <c r="K89" s="3459"/>
      <c r="L89" s="3459"/>
      <c r="M89" s="3459"/>
      <c r="N89" s="3459"/>
      <c r="O89" s="3460"/>
    </row>
    <row r="90" spans="1:21" s="3183" customFormat="1" ht="14.25" customHeight="1">
      <c r="D90" s="2452"/>
      <c r="E90" s="136"/>
      <c r="F90" s="1192"/>
      <c r="G90" s="136"/>
      <c r="H90" s="1383"/>
      <c r="I90" s="1383"/>
      <c r="J90" s="136"/>
      <c r="K90" s="136"/>
      <c r="L90" s="136"/>
      <c r="M90" s="136"/>
      <c r="N90" s="136"/>
      <c r="O90" s="136"/>
    </row>
    <row r="91" spans="1:21" s="2814" customFormat="1" ht="18" customHeight="1" thickBot="1">
      <c r="B91" s="2849"/>
      <c r="C91" s="2849"/>
      <c r="D91" s="2849"/>
      <c r="G91" s="3189" t="s">
        <v>3737</v>
      </c>
      <c r="H91" s="3190" t="s">
        <v>957</v>
      </c>
      <c r="I91" s="3191" t="s">
        <v>3738</v>
      </c>
      <c r="J91" s="3192"/>
      <c r="K91" s="3192"/>
      <c r="L91" s="3192"/>
      <c r="M91" s="3192"/>
      <c r="N91" s="3192"/>
      <c r="O91" s="3193"/>
      <c r="Q91" s="2849"/>
      <c r="R91" s="2849"/>
      <c r="S91" s="2849"/>
      <c r="T91" s="2849"/>
      <c r="U91" s="2849"/>
    </row>
    <row r="92" spans="1:21" s="2814" customFormat="1" ht="24.75" customHeight="1">
      <c r="B92" s="2849"/>
      <c r="C92" s="2849"/>
      <c r="D92" s="2849"/>
      <c r="G92" s="3194">
        <v>1</v>
      </c>
      <c r="H92" s="3195" t="s">
        <v>2239</v>
      </c>
      <c r="I92" s="3196" t="s">
        <v>3766</v>
      </c>
      <c r="J92" s="3197"/>
      <c r="K92" s="3197"/>
      <c r="L92" s="3197"/>
      <c r="M92" s="3197"/>
      <c r="N92" s="3197"/>
      <c r="O92" s="3198"/>
      <c r="Q92" s="2849"/>
      <c r="R92" s="2849"/>
      <c r="S92" s="2849"/>
      <c r="T92" s="2849"/>
      <c r="U92" s="2849"/>
    </row>
    <row r="93" spans="1:21" s="2814" customFormat="1" ht="25.5" customHeight="1">
      <c r="B93" s="2849"/>
      <c r="C93" s="2849"/>
      <c r="D93" s="2849"/>
      <c r="G93" s="2893">
        <v>2</v>
      </c>
      <c r="H93" s="3199" t="s">
        <v>2239</v>
      </c>
      <c r="I93" s="3660" t="s">
        <v>3767</v>
      </c>
      <c r="J93" s="3723"/>
      <c r="K93" s="3723"/>
      <c r="L93" s="3723"/>
      <c r="M93" s="3723"/>
      <c r="N93" s="3723"/>
      <c r="O93" s="3724"/>
      <c r="Q93" s="2849"/>
      <c r="R93" s="2849"/>
      <c r="S93" s="2849"/>
      <c r="T93" s="2849"/>
      <c r="U93" s="2849"/>
    </row>
    <row r="94" spans="1:21" s="2814" customFormat="1" ht="25.5" customHeight="1">
      <c r="B94" s="2849"/>
      <c r="C94" s="2849"/>
      <c r="D94" s="2849"/>
      <c r="G94" s="2893">
        <v>3</v>
      </c>
      <c r="H94" s="3199"/>
      <c r="I94" s="3660" t="s">
        <v>3768</v>
      </c>
      <c r="J94" s="3694"/>
      <c r="K94" s="3694"/>
      <c r="L94" s="3694"/>
      <c r="M94" s="3694"/>
      <c r="N94" s="3694"/>
      <c r="O94" s="3695"/>
      <c r="Q94" s="2849"/>
      <c r="R94" s="2849"/>
      <c r="S94" s="2849"/>
      <c r="T94" s="2849"/>
      <c r="U94" s="2849"/>
    </row>
    <row r="95" spans="1:21" s="2814" customFormat="1" ht="24.75" customHeight="1" thickBot="1">
      <c r="B95" s="2849"/>
      <c r="C95" s="2849"/>
      <c r="D95" s="2849"/>
      <c r="G95" s="3200">
        <v>4</v>
      </c>
      <c r="H95" s="3201"/>
      <c r="I95" s="3202" t="s">
        <v>3769</v>
      </c>
      <c r="J95" s="3203"/>
      <c r="K95" s="3203"/>
      <c r="L95" s="3203"/>
      <c r="M95" s="3203"/>
      <c r="N95" s="3203"/>
      <c r="O95" s="3204"/>
      <c r="Q95" s="2849"/>
      <c r="R95" s="2849"/>
      <c r="S95" s="2849"/>
      <c r="T95" s="2849"/>
      <c r="U95" s="2849"/>
    </row>
    <row r="96" spans="1:21" s="3183" customFormat="1">
      <c r="D96" s="2452"/>
      <c r="E96" s="136"/>
      <c r="F96" s="136"/>
      <c r="G96" s="136"/>
      <c r="H96" s="136"/>
      <c r="I96" s="136"/>
      <c r="J96" s="136"/>
      <c r="K96" s="136"/>
      <c r="L96" s="136"/>
      <c r="M96" s="136"/>
      <c r="N96" s="136"/>
      <c r="O96" s="136"/>
    </row>
    <row r="97" spans="2:15" s="2571" customFormat="1" ht="15.75">
      <c r="D97" s="1386"/>
      <c r="E97" s="1192"/>
      <c r="F97" s="1386" t="s">
        <v>2763</v>
      </c>
      <c r="G97" s="2108"/>
      <c r="H97" s="2108"/>
      <c r="I97" s="2108"/>
      <c r="J97" s="2573" t="str">
        <f>IF(境界値!I14&gt;=0.8,R3,"")</f>
        <v/>
      </c>
      <c r="K97" s="2108"/>
      <c r="L97" s="2108"/>
      <c r="M97" s="2108"/>
      <c r="N97" s="2108"/>
      <c r="O97" s="2108"/>
    </row>
    <row r="98" spans="2:15" s="2571" customFormat="1">
      <c r="D98" s="2459"/>
      <c r="F98" s="2573" t="s">
        <v>2510</v>
      </c>
      <c r="G98" s="2108"/>
      <c r="H98" s="2108"/>
      <c r="I98" s="2108"/>
      <c r="J98" s="2108"/>
      <c r="K98" s="2108"/>
      <c r="L98" s="2108"/>
      <c r="M98" s="2108"/>
      <c r="N98" s="2108"/>
      <c r="O98" s="2108"/>
    </row>
    <row r="99" spans="2:15" s="2661" customFormat="1">
      <c r="D99" s="2459"/>
      <c r="E99" s="2573"/>
      <c r="F99" s="1421">
        <f>計画書!I32</f>
        <v>1</v>
      </c>
      <c r="G99" s="2707" t="s">
        <v>3169</v>
      </c>
      <c r="H99" s="2708"/>
      <c r="I99" s="2708"/>
      <c r="J99" s="2708"/>
      <c r="K99" s="2709">
        <v>1</v>
      </c>
      <c r="M99" s="2108"/>
      <c r="N99" s="2108"/>
      <c r="O99" s="2108"/>
    </row>
    <row r="100" spans="2:15" s="2661" customFormat="1">
      <c r="D100" s="2459"/>
      <c r="E100" s="2573"/>
      <c r="F100" s="2108"/>
      <c r="G100" s="2707" t="s">
        <v>3170</v>
      </c>
      <c r="H100" s="2708"/>
      <c r="I100" s="2708"/>
      <c r="J100" s="2708"/>
      <c r="K100" s="2709" t="s">
        <v>2748</v>
      </c>
      <c r="M100" s="2108"/>
      <c r="N100" s="2108"/>
      <c r="O100" s="2108"/>
    </row>
    <row r="101" spans="2:15" s="2687" customFormat="1" ht="14.25" thickBot="1">
      <c r="D101" s="2459"/>
      <c r="E101" s="2573"/>
      <c r="F101" s="2108"/>
      <c r="G101" s="2693"/>
      <c r="H101" s="2693"/>
      <c r="I101" s="2693"/>
      <c r="J101" s="2693"/>
      <c r="K101" s="2694"/>
      <c r="M101" s="2108"/>
      <c r="N101" s="2108"/>
      <c r="O101" s="2108"/>
    </row>
    <row r="102" spans="2:15" s="2571" customFormat="1" ht="14.25" thickBot="1">
      <c r="D102" s="2459"/>
      <c r="F102" s="2573" t="s">
        <v>2511</v>
      </c>
      <c r="G102" s="2108"/>
      <c r="I102" s="2695">
        <f>境界値!I51</f>
        <v>0</v>
      </c>
      <c r="J102" s="2108" t="str">
        <f>境界値!J51</f>
        <v>上下なし</v>
      </c>
      <c r="K102" s="2108"/>
      <c r="L102" s="2108"/>
      <c r="M102" s="2108"/>
      <c r="N102" s="2108"/>
      <c r="O102" s="2108"/>
    </row>
    <row r="103" spans="2:15" s="2571" customFormat="1">
      <c r="D103" s="2459"/>
      <c r="E103" s="2108"/>
      <c r="F103" s="1421">
        <f>計画書!I33</f>
        <v>1</v>
      </c>
      <c r="G103" s="2712" t="s">
        <v>2756</v>
      </c>
      <c r="H103" s="2713" t="s">
        <v>2755</v>
      </c>
      <c r="I103" s="2713" t="s">
        <v>2758</v>
      </c>
      <c r="J103" s="2713" t="s">
        <v>2757</v>
      </c>
      <c r="K103" s="2108"/>
      <c r="L103" s="2108"/>
      <c r="M103" s="2108"/>
      <c r="N103" s="2108"/>
      <c r="O103" s="2108"/>
    </row>
    <row r="104" spans="2:15" s="2661" customFormat="1">
      <c r="D104" s="2459"/>
      <c r="E104" s="2108"/>
      <c r="F104" s="2108"/>
      <c r="G104" s="2710" t="s">
        <v>2749</v>
      </c>
      <c r="H104" s="2709">
        <v>2</v>
      </c>
      <c r="I104" s="2709">
        <v>1</v>
      </c>
      <c r="J104" s="2709">
        <v>1</v>
      </c>
      <c r="K104" s="2108"/>
      <c r="L104" s="2108"/>
      <c r="M104" s="2108"/>
      <c r="N104" s="2108"/>
      <c r="O104" s="2108"/>
    </row>
    <row r="105" spans="2:15" s="2661" customFormat="1">
      <c r="D105" s="2459"/>
      <c r="E105" s="2108"/>
      <c r="F105" s="2108"/>
      <c r="G105" s="2710" t="s">
        <v>2750</v>
      </c>
      <c r="H105" s="2709">
        <v>2.5</v>
      </c>
      <c r="I105" s="2709">
        <v>1.5</v>
      </c>
      <c r="J105" s="2709">
        <v>1</v>
      </c>
      <c r="K105" s="2108"/>
      <c r="L105" s="2696"/>
      <c r="M105" s="2108"/>
      <c r="N105" s="2108"/>
      <c r="O105" s="2108"/>
    </row>
    <row r="106" spans="2:15" s="2661" customFormat="1">
      <c r="D106" s="2459"/>
      <c r="E106" s="2108"/>
      <c r="F106" s="2108"/>
      <c r="G106" s="2710" t="s">
        <v>2751</v>
      </c>
      <c r="H106" s="2709">
        <v>3</v>
      </c>
      <c r="I106" s="2709">
        <v>2</v>
      </c>
      <c r="J106" s="2709">
        <v>1</v>
      </c>
      <c r="K106" s="2108"/>
      <c r="L106" s="2108"/>
      <c r="M106" s="2108"/>
      <c r="N106" s="2108"/>
      <c r="O106" s="2108"/>
    </row>
    <row r="107" spans="2:15" s="2661" customFormat="1">
      <c r="D107" s="2459"/>
      <c r="E107" s="2108"/>
      <c r="F107" s="2108"/>
      <c r="G107" s="2710" t="s">
        <v>2752</v>
      </c>
      <c r="H107" s="2709">
        <v>3.5</v>
      </c>
      <c r="I107" s="2709">
        <v>2.5</v>
      </c>
      <c r="J107" s="2709">
        <v>1.5</v>
      </c>
      <c r="K107" s="2108"/>
      <c r="L107" s="2108"/>
      <c r="M107" s="2108"/>
      <c r="N107" s="2108"/>
      <c r="O107" s="2108"/>
    </row>
    <row r="108" spans="2:15" s="2661" customFormat="1">
      <c r="D108" s="2459"/>
      <c r="E108" s="2108"/>
      <c r="F108" s="2108"/>
      <c r="G108" s="2710" t="s">
        <v>2753</v>
      </c>
      <c r="H108" s="2709">
        <v>4</v>
      </c>
      <c r="I108" s="2709">
        <v>3</v>
      </c>
      <c r="J108" s="2709">
        <v>2</v>
      </c>
      <c r="K108" s="2108"/>
      <c r="L108" s="2108"/>
      <c r="M108" s="2108"/>
      <c r="N108" s="2108"/>
      <c r="O108" s="2108"/>
    </row>
    <row r="109" spans="2:15" s="2661" customFormat="1">
      <c r="D109" s="2459"/>
      <c r="E109" s="2108"/>
      <c r="F109" s="2108"/>
      <c r="G109" s="2710" t="s">
        <v>2754</v>
      </c>
      <c r="H109" s="2709">
        <v>4.5</v>
      </c>
      <c r="I109" s="2709">
        <v>3.5</v>
      </c>
      <c r="J109" s="2709">
        <v>2.5</v>
      </c>
      <c r="K109" s="2108"/>
      <c r="L109" s="2108"/>
      <c r="M109" s="2108"/>
      <c r="N109" s="2108"/>
      <c r="O109" s="2108"/>
    </row>
    <row r="110" spans="2:15" s="2661" customFormat="1">
      <c r="D110" s="2459"/>
      <c r="E110" s="2108"/>
      <c r="F110" s="2108"/>
      <c r="G110" s="2711">
        <v>4</v>
      </c>
      <c r="H110" s="2709">
        <v>5</v>
      </c>
      <c r="I110" s="2709">
        <v>4</v>
      </c>
      <c r="J110" s="2709">
        <v>3</v>
      </c>
      <c r="K110" s="2108"/>
      <c r="L110" s="2108"/>
      <c r="M110" s="2108"/>
      <c r="N110" s="2108"/>
      <c r="O110" s="2108"/>
    </row>
    <row r="111" spans="2:15" ht="14.25" hidden="1">
      <c r="F111" s="1192" t="s">
        <v>1821</v>
      </c>
      <c r="G111" s="2109"/>
      <c r="H111" s="2109"/>
      <c r="I111" s="2110"/>
      <c r="J111" s="1383"/>
      <c r="K111" s="1384"/>
    </row>
    <row r="112" spans="2:15" ht="14.25" hidden="1" thickBot="1">
      <c r="B112" t="s">
        <v>1090</v>
      </c>
      <c r="F112" s="1114" t="s">
        <v>627</v>
      </c>
      <c r="G112" s="972"/>
      <c r="H112" s="2691"/>
      <c r="I112" s="974" t="s">
        <v>1125</v>
      </c>
      <c r="J112" s="975">
        <v>0.5</v>
      </c>
      <c r="K112" s="1115"/>
      <c r="L112" s="1115"/>
      <c r="M112" s="1115"/>
      <c r="N112" s="1115"/>
      <c r="O112" s="984"/>
    </row>
    <row r="113" spans="2:15" ht="14.25" hidden="1" thickBot="1">
      <c r="B113" s="1259">
        <v>0</v>
      </c>
      <c r="F113" s="978">
        <v>0</v>
      </c>
      <c r="G113" s="1066" t="s">
        <v>1610</v>
      </c>
      <c r="H113" s="1066"/>
      <c r="I113" s="1066"/>
      <c r="J113" s="1066"/>
      <c r="K113" s="1066"/>
      <c r="L113" s="1066"/>
      <c r="M113" s="1080"/>
      <c r="N113" s="1095" t="s">
        <v>1087</v>
      </c>
      <c r="O113" s="984"/>
    </row>
    <row r="114" spans="2:15" hidden="1">
      <c r="B114" s="1" t="s">
        <v>2385</v>
      </c>
      <c r="C114" s="1">
        <v>1</v>
      </c>
      <c r="F114" s="1393" t="str">
        <f>IF(F113=$S$15,"",IF(ROUNDDOWN(F113,0)=$S$10,$U$10,$T$10))</f>
        <v/>
      </c>
      <c r="G114" s="987" t="s">
        <v>1795</v>
      </c>
      <c r="H114" s="1424"/>
      <c r="I114" s="1424"/>
      <c r="J114" s="1424"/>
      <c r="K114" s="1424"/>
      <c r="L114" s="1424"/>
      <c r="M114" s="1424"/>
      <c r="N114" s="3439"/>
      <c r="O114" s="3698"/>
    </row>
    <row r="115" spans="2:15" hidden="1">
      <c r="B115" s="1">
        <v>2</v>
      </c>
      <c r="C115" s="1">
        <v>3</v>
      </c>
      <c r="F115" s="1394" t="str">
        <f>IF(F113=$S$15,"",IF(ROUNDDOWN(F113,0)=$S$11,$U$11,$T$11))</f>
        <v/>
      </c>
      <c r="G115" s="994" t="s">
        <v>1844</v>
      </c>
      <c r="H115" s="1424"/>
      <c r="I115" s="1424"/>
      <c r="J115" s="1424"/>
      <c r="K115" s="1424"/>
      <c r="L115" s="1424"/>
      <c r="M115" s="1424"/>
      <c r="N115" s="3699"/>
      <c r="O115" s="3700"/>
    </row>
    <row r="116" spans="2:15" hidden="1">
      <c r="B116" s="1">
        <v>3</v>
      </c>
      <c r="C116" s="1">
        <v>3</v>
      </c>
      <c r="F116" s="1394" t="str">
        <f>IF(F113=$S$15,"",IF(ROUNDDOWN(F113,0)=$S$12,$U$12,$T$12))</f>
        <v/>
      </c>
      <c r="G116" s="994" t="s">
        <v>1845</v>
      </c>
      <c r="H116" s="1424"/>
      <c r="I116" s="1424"/>
      <c r="J116" s="1424"/>
      <c r="K116" s="1424"/>
      <c r="L116" s="1424"/>
      <c r="M116" s="1424"/>
      <c r="N116" s="3699"/>
      <c r="O116" s="3700"/>
    </row>
    <row r="117" spans="2:15" hidden="1">
      <c r="B117" s="1">
        <v>4</v>
      </c>
      <c r="C117" s="1">
        <v>4</v>
      </c>
      <c r="F117" s="1394" t="str">
        <f>IF(F113=$S$15,"",IF(ROUNDDOWN(F113,0)=$S$13,$U$13,$T$13))</f>
        <v/>
      </c>
      <c r="G117" s="994" t="s">
        <v>3171</v>
      </c>
      <c r="H117" s="1424"/>
      <c r="I117" s="1424"/>
      <c r="J117" s="1424"/>
      <c r="K117" s="1424"/>
      <c r="L117" s="1424"/>
      <c r="M117" s="1424"/>
      <c r="N117" s="3699"/>
      <c r="O117" s="3700"/>
    </row>
    <row r="118" spans="2:15" hidden="1">
      <c r="B118" s="1">
        <v>5</v>
      </c>
      <c r="C118" s="1">
        <v>5</v>
      </c>
      <c r="F118" s="1395" t="str">
        <f>IF(F113=$S$15,"",IF(ROUNDDOWN(F113,0)=$S$14,$U$14,$T$14))</f>
        <v/>
      </c>
      <c r="G118" s="1005" t="s">
        <v>3172</v>
      </c>
      <c r="H118" s="1006"/>
      <c r="I118" s="1006"/>
      <c r="J118" s="1006"/>
      <c r="K118" s="1006"/>
      <c r="L118" s="1006"/>
      <c r="M118" s="1006"/>
      <c r="N118" s="3701"/>
      <c r="O118" s="3702"/>
    </row>
    <row r="119" spans="2:15" hidden="1">
      <c r="B119" s="1008">
        <v>0</v>
      </c>
      <c r="C119" s="1008">
        <v>0</v>
      </c>
    </row>
    <row r="120" spans="2:15" ht="14.25" hidden="1">
      <c r="F120" s="1192" t="s">
        <v>1987</v>
      </c>
      <c r="G120" s="1383"/>
      <c r="H120" s="1383" t="s">
        <v>1121</v>
      </c>
      <c r="I120" s="1383"/>
    </row>
    <row r="121" spans="2:15" hidden="1"/>
    <row r="122" spans="2:15" ht="15.75" hidden="1">
      <c r="F122" s="1192" t="s">
        <v>1988</v>
      </c>
      <c r="G122" s="1420"/>
      <c r="H122" s="1192"/>
      <c r="I122" s="1384"/>
      <c r="K122" s="1384"/>
    </row>
    <row r="123" spans="2:15" ht="14.25" hidden="1" thickBot="1">
      <c r="B123" t="s">
        <v>1090</v>
      </c>
      <c r="F123" s="1114" t="s">
        <v>627</v>
      </c>
      <c r="G123" s="972"/>
      <c r="H123" s="973"/>
      <c r="I123" s="974" t="s">
        <v>1125</v>
      </c>
      <c r="J123" s="975">
        <v>0.5</v>
      </c>
      <c r="K123" s="1115"/>
      <c r="L123" s="1115"/>
      <c r="M123" s="1115"/>
      <c r="N123" s="1115"/>
      <c r="O123" s="984"/>
    </row>
    <row r="124" spans="2:15" ht="14.25" hidden="1" thickBot="1">
      <c r="B124" s="1259">
        <v>0</v>
      </c>
      <c r="F124" s="978">
        <v>0</v>
      </c>
      <c r="G124" s="1066" t="s">
        <v>1610</v>
      </c>
      <c r="H124" s="1066"/>
      <c r="I124" s="1066"/>
      <c r="J124" s="1066"/>
      <c r="K124" s="1066"/>
      <c r="L124" s="1066"/>
      <c r="M124" s="1080"/>
      <c r="N124" s="1095" t="s">
        <v>1087</v>
      </c>
      <c r="O124" s="984"/>
    </row>
    <row r="125" spans="2:15" hidden="1">
      <c r="B125" s="1" t="s">
        <v>2385</v>
      </c>
      <c r="C125" s="1">
        <v>1</v>
      </c>
      <c r="F125" s="1393" t="str">
        <f>IF(F124=$S$15,"",IF(ROUNDDOWN(F124,0)=$S$10,$U$10,$T$10))</f>
        <v/>
      </c>
      <c r="G125" s="987" t="s">
        <v>1795</v>
      </c>
      <c r="H125" s="1424"/>
      <c r="I125" s="1424"/>
      <c r="J125" s="1424"/>
      <c r="K125" s="1424"/>
      <c r="L125" s="1424"/>
      <c r="M125" s="1424"/>
      <c r="N125" s="3439" t="s">
        <v>3173</v>
      </c>
      <c r="O125" s="3698"/>
    </row>
    <row r="126" spans="2:15" hidden="1">
      <c r="B126" s="1">
        <v>2</v>
      </c>
      <c r="C126" s="1">
        <v>3</v>
      </c>
      <c r="F126" s="1394" t="str">
        <f>IF(F124=$S$15,"",IF(ROUNDDOWN(F124,0)=$S$11,$U$11,$T$11))</f>
        <v/>
      </c>
      <c r="G126" s="994" t="s">
        <v>1846</v>
      </c>
      <c r="H126" s="1424"/>
      <c r="I126" s="1424"/>
      <c r="J126" s="1424"/>
      <c r="K126" s="1424"/>
      <c r="L126" s="1424"/>
      <c r="M126" s="1424"/>
      <c r="N126" s="3699"/>
      <c r="O126" s="3700"/>
    </row>
    <row r="127" spans="2:15" hidden="1">
      <c r="B127" s="1">
        <v>3</v>
      </c>
      <c r="C127" s="1">
        <v>3</v>
      </c>
      <c r="F127" s="1394" t="str">
        <f>IF(F124=$S$15,"",IF(ROUNDDOWN(F124,0)=$S$12,$U$12,$T$12))</f>
        <v/>
      </c>
      <c r="G127" s="994" t="s">
        <v>1989</v>
      </c>
      <c r="H127" s="1424"/>
      <c r="I127" s="1424"/>
      <c r="J127" s="1424"/>
      <c r="K127" s="1424"/>
      <c r="L127" s="1424"/>
      <c r="M127" s="1424"/>
      <c r="N127" s="3699"/>
      <c r="O127" s="3700"/>
    </row>
    <row r="128" spans="2:15" hidden="1">
      <c r="B128" s="1">
        <v>4</v>
      </c>
      <c r="C128" s="1">
        <v>4</v>
      </c>
      <c r="F128" s="1394" t="str">
        <f>IF(F124=$S$15,"",IF(ROUNDDOWN(F124,0)=$S$13,$U$13,$T$13))</f>
        <v/>
      </c>
      <c r="G128" s="994" t="s">
        <v>3174</v>
      </c>
      <c r="H128" s="1424"/>
      <c r="I128" s="1424"/>
      <c r="J128" s="1424"/>
      <c r="K128" s="1424"/>
      <c r="L128" s="1424"/>
      <c r="M128" s="1424"/>
      <c r="N128" s="3699"/>
      <c r="O128" s="3700"/>
    </row>
    <row r="129" spans="2:15" hidden="1">
      <c r="B129" s="1">
        <v>5</v>
      </c>
      <c r="C129" s="1">
        <v>5</v>
      </c>
      <c r="F129" s="1395" t="str">
        <f>IF(F124=$S$15,"",IF(ROUNDDOWN(F124,0)=$S$14,$U$14,$T$14))</f>
        <v/>
      </c>
      <c r="G129" s="1005" t="s">
        <v>3175</v>
      </c>
      <c r="H129" s="1006"/>
      <c r="I129" s="1006"/>
      <c r="J129" s="1006"/>
      <c r="K129" s="1006"/>
      <c r="L129" s="1006"/>
      <c r="M129" s="1006"/>
      <c r="N129" s="3701"/>
      <c r="O129" s="3702"/>
    </row>
    <row r="130" spans="2:15" hidden="1">
      <c r="B130" s="1008">
        <v>0</v>
      </c>
      <c r="C130" s="1008">
        <v>0</v>
      </c>
    </row>
    <row r="131" spans="2:15" ht="14.25" hidden="1">
      <c r="F131" s="1192" t="s">
        <v>1990</v>
      </c>
      <c r="H131" s="1383" t="s">
        <v>1121</v>
      </c>
      <c r="I131" s="1383"/>
    </row>
    <row r="132" spans="2:15" hidden="1">
      <c r="I132" s="1383"/>
    </row>
    <row r="133" spans="2:15" ht="14.25" hidden="1">
      <c r="F133" s="1192" t="s">
        <v>1991</v>
      </c>
      <c r="H133" s="1383" t="s">
        <v>1121</v>
      </c>
      <c r="I133" s="1383"/>
    </row>
    <row r="134" spans="2:15"/>
    <row r="135" spans="2:15" ht="15.75">
      <c r="D135" s="1386">
        <v>4</v>
      </c>
      <c r="E135" s="1192" t="s">
        <v>2165</v>
      </c>
      <c r="F135" s="1192"/>
      <c r="G135" s="1346"/>
      <c r="H135" s="1346"/>
      <c r="I135" s="1346"/>
      <c r="J135" s="962"/>
      <c r="K135" s="962"/>
      <c r="L135" s="962"/>
      <c r="M135" s="962"/>
      <c r="N135" s="962"/>
      <c r="O135" s="962"/>
    </row>
    <row r="136" spans="2:15" ht="15.75">
      <c r="D136" s="1386">
        <v>4.0999999999999996</v>
      </c>
      <c r="E136" s="1192" t="s">
        <v>822</v>
      </c>
      <c r="F136" s="1192"/>
      <c r="J136" s="1048" t="e">
        <f>IF(OR(F138=0,AND(J137=0,O137=0)),$R$3,"")</f>
        <v>#DIV/0!</v>
      </c>
    </row>
    <row r="137" spans="2:15" ht="15" thickBot="1">
      <c r="D137" s="2457"/>
      <c r="E137" s="1387"/>
      <c r="F137" s="1114"/>
      <c r="G137" s="972"/>
      <c r="H137" s="973"/>
      <c r="I137" s="974" t="s">
        <v>1125</v>
      </c>
      <c r="J137" s="975" t="e">
        <f>重み!M135</f>
        <v>#DIV/0!</v>
      </c>
      <c r="K137" s="1114"/>
      <c r="L137" s="972"/>
      <c r="M137" s="973"/>
      <c r="N137" s="974" t="s">
        <v>1125</v>
      </c>
      <c r="O137" s="977" t="e">
        <f>重み!M138</f>
        <v>#DIV/0!</v>
      </c>
    </row>
    <row r="138" spans="2:15" ht="26.25" customHeight="1" thickBot="1">
      <c r="D138" s="954"/>
      <c r="E138" s="1383"/>
      <c r="F138" s="978">
        <v>3</v>
      </c>
      <c r="G138" s="2233" t="s">
        <v>2166</v>
      </c>
      <c r="H138" s="1430"/>
      <c r="I138" s="1430"/>
      <c r="J138" s="1430"/>
      <c r="K138" s="978">
        <v>3</v>
      </c>
      <c r="L138" s="982" t="s">
        <v>1553</v>
      </c>
      <c r="M138" s="983"/>
      <c r="N138" s="983"/>
      <c r="O138" s="984"/>
    </row>
    <row r="139" spans="2:15" ht="26.25" customHeight="1">
      <c r="B139" s="1">
        <v>1</v>
      </c>
      <c r="C139" s="1" t="s">
        <v>2385</v>
      </c>
      <c r="D139" s="954"/>
      <c r="E139" s="1383"/>
      <c r="F139" s="985" t="str">
        <f>IF(F138=$S$15,$T$10,IF(ROUNDDOWN(F138,0)=$S$10,$U$10,$T$10))</f>
        <v>　レベル　1</v>
      </c>
      <c r="G139" s="1218" t="s">
        <v>2713</v>
      </c>
      <c r="H139" s="2211"/>
      <c r="I139" s="2211"/>
      <c r="J139" s="2211"/>
      <c r="K139" s="985" t="str">
        <f>IF(K138=$S$15,$T$10,IF(ROUNDDOWN(K138,0)=$S$10,$U$10,$T$10))</f>
        <v>　レベル　1</v>
      </c>
      <c r="L139" s="2212" t="s">
        <v>1477</v>
      </c>
      <c r="M139" s="2221"/>
      <c r="N139" s="2221"/>
      <c r="O139" s="2222"/>
    </row>
    <row r="140" spans="2:15" ht="26.25" customHeight="1">
      <c r="B140" s="1" t="s">
        <v>2385</v>
      </c>
      <c r="C140" s="1" t="s">
        <v>2385</v>
      </c>
      <c r="D140" s="954"/>
      <c r="E140" s="1383"/>
      <c r="F140" s="1138" t="str">
        <f>IF(F138=$S$15,$T$11,IF(ROUNDDOWN(F138,0)=$S$11,$U$11,$T$11))</f>
        <v>　レベル　2</v>
      </c>
      <c r="G140" s="1221" t="s">
        <v>1477</v>
      </c>
      <c r="H140" s="1424"/>
      <c r="I140" s="1424"/>
      <c r="J140" s="1424"/>
      <c r="K140" s="1138" t="str">
        <f>IF(K138=$S$15,$T$11,IF(ROUNDDOWN(K138,0)=$S$11,$U$11,$T$11))</f>
        <v>　レベル　2</v>
      </c>
      <c r="L140" s="1221" t="s">
        <v>1477</v>
      </c>
      <c r="M140" s="1222"/>
      <c r="N140" s="1222"/>
      <c r="O140" s="1223"/>
    </row>
    <row r="141" spans="2:15" ht="28.5" customHeight="1">
      <c r="B141" s="1">
        <v>3</v>
      </c>
      <c r="C141" s="1">
        <v>3</v>
      </c>
      <c r="D141" s="954"/>
      <c r="E141" s="1383"/>
      <c r="F141" s="1138" t="str">
        <f>IF(F138=$S$15,$T$12,IF(ROUNDDOWN(F138,0)=$S$12,$U$12,$T$12))</f>
        <v>■レベル　3</v>
      </c>
      <c r="G141" s="3428" t="s">
        <v>3176</v>
      </c>
      <c r="H141" s="3710"/>
      <c r="I141" s="3710"/>
      <c r="J141" s="3711"/>
      <c r="K141" s="1138" t="str">
        <f>IF(K138=$S$15,$T$12,IF(ROUNDDOWN(K138,0)=$S$12,$U$12,$T$12))</f>
        <v>■レベル　3</v>
      </c>
      <c r="L141" s="1221" t="s">
        <v>3314</v>
      </c>
      <c r="M141" s="1222"/>
      <c r="N141" s="1222"/>
      <c r="O141" s="1223"/>
    </row>
    <row r="142" spans="2:15" ht="33.75" customHeight="1">
      <c r="B142" s="1">
        <v>4</v>
      </c>
      <c r="C142" s="1">
        <v>4</v>
      </c>
      <c r="D142" s="954"/>
      <c r="E142" s="1383"/>
      <c r="F142" s="1138" t="str">
        <f>IF(F138=$S$15,$T$13,IF(ROUNDDOWN(F138,0)=$S$13,$U$13,$T$13))</f>
        <v>　レベル　4</v>
      </c>
      <c r="G142" s="3428" t="s">
        <v>3177</v>
      </c>
      <c r="H142" s="3710"/>
      <c r="I142" s="3710"/>
      <c r="J142" s="3711"/>
      <c r="K142" s="1138" t="str">
        <f>IF(K138=$S$15,$T$13,IF(ROUNDDOWN(K138,0)=$S$13,$U$13,$T$13))</f>
        <v>　レベル　4</v>
      </c>
      <c r="L142" s="2223" t="s">
        <v>3178</v>
      </c>
      <c r="M142" s="2224"/>
      <c r="N142" s="2224"/>
      <c r="O142" s="2225"/>
    </row>
    <row r="143" spans="2:15" ht="33.75" customHeight="1">
      <c r="B143" s="1">
        <v>5</v>
      </c>
      <c r="C143" s="1">
        <v>5</v>
      </c>
      <c r="D143" s="954"/>
      <c r="E143" s="1383"/>
      <c r="F143" s="1001" t="str">
        <f>IF(F138=$S$15,$T$14,IF(ROUNDDOWN(F138,0)=$S$14,$U$14,$T$14))</f>
        <v>　レベル　5</v>
      </c>
      <c r="G143" s="3530" t="s">
        <v>3179</v>
      </c>
      <c r="H143" s="3395"/>
      <c r="I143" s="3395"/>
      <c r="J143" s="3396"/>
      <c r="K143" s="1001" t="str">
        <f>IF(K138=$S$15,$T$14,IF(ROUNDDOWN(K138,0)=$S$14,$U$14,$T$14))</f>
        <v>　レベル　5</v>
      </c>
      <c r="L143" s="3530" t="s">
        <v>3315</v>
      </c>
      <c r="M143" s="3395"/>
      <c r="N143" s="3395"/>
      <c r="O143" s="3396"/>
    </row>
    <row r="144" spans="2:15" ht="15.75">
      <c r="B144" s="1446"/>
      <c r="C144" s="1446"/>
      <c r="D144" s="954"/>
      <c r="E144" s="1383"/>
      <c r="F144" s="550"/>
      <c r="G144" s="955" t="s">
        <v>3180</v>
      </c>
      <c r="H144" s="550"/>
      <c r="I144" s="550"/>
      <c r="J144" s="550"/>
      <c r="K144" s="955"/>
      <c r="L144" s="955"/>
      <c r="M144" s="955"/>
      <c r="N144" s="955"/>
      <c r="O144" s="955"/>
    </row>
    <row r="145" spans="2:15" ht="15.75">
      <c r="B145" s="1446"/>
      <c r="C145" s="1446"/>
      <c r="D145" s="954"/>
      <c r="E145" s="1383"/>
      <c r="F145" s="550"/>
      <c r="G145" s="550" t="s">
        <v>3181</v>
      </c>
      <c r="H145" s="550"/>
      <c r="I145" s="550"/>
      <c r="J145" s="550"/>
      <c r="K145" s="955"/>
      <c r="L145" s="955"/>
      <c r="M145" s="955"/>
      <c r="N145" s="955"/>
      <c r="O145" s="955"/>
    </row>
    <row r="146" spans="2:15" ht="18.75" customHeight="1">
      <c r="D146" s="954"/>
      <c r="E146" s="1383"/>
      <c r="F146" s="550" t="s">
        <v>2389</v>
      </c>
      <c r="G146" s="550"/>
      <c r="H146" s="550"/>
      <c r="I146" s="550"/>
      <c r="J146" s="955"/>
      <c r="K146" s="955"/>
      <c r="L146" s="955"/>
      <c r="M146" s="955"/>
      <c r="N146" s="955"/>
      <c r="O146" s="955"/>
    </row>
    <row r="147" spans="2:15" ht="16.5" customHeight="1">
      <c r="D147" s="954"/>
      <c r="E147" s="1383"/>
      <c r="F147" s="3703" t="s">
        <v>2390</v>
      </c>
      <c r="G147" s="3704"/>
      <c r="H147" s="1431" t="s">
        <v>2391</v>
      </c>
      <c r="I147" s="1432"/>
      <c r="J147" s="1431" t="s">
        <v>2392</v>
      </c>
      <c r="K147" s="1432"/>
      <c r="L147" s="1432"/>
      <c r="M147" s="1433"/>
      <c r="N147" s="1434" t="s">
        <v>2393</v>
      </c>
      <c r="O147" s="1435"/>
    </row>
    <row r="148" spans="2:15" ht="16.5" customHeight="1">
      <c r="D148" s="954"/>
      <c r="E148" s="1383"/>
      <c r="F148" s="3705">
        <v>1</v>
      </c>
      <c r="G148" s="3705" t="s">
        <v>2394</v>
      </c>
      <c r="H148" s="1437" t="s">
        <v>2395</v>
      </c>
      <c r="I148" s="1438"/>
      <c r="J148" s="1437" t="s">
        <v>322</v>
      </c>
      <c r="K148" s="1438"/>
      <c r="L148" s="1438"/>
      <c r="M148" s="1439"/>
      <c r="N148" s="1437"/>
      <c r="O148" s="1439"/>
    </row>
    <row r="149" spans="2:15" ht="16.5" customHeight="1">
      <c r="D149" s="954"/>
      <c r="E149" s="1383"/>
      <c r="F149" s="3705"/>
      <c r="G149" s="3705"/>
      <c r="H149" s="1437" t="s">
        <v>2397</v>
      </c>
      <c r="I149" s="1438"/>
      <c r="J149" s="1437" t="s">
        <v>2398</v>
      </c>
      <c r="K149" s="1438"/>
      <c r="L149" s="1438"/>
      <c r="M149" s="1439"/>
      <c r="N149" s="1437" t="s">
        <v>2399</v>
      </c>
      <c r="O149" s="1439"/>
    </row>
    <row r="150" spans="2:15" ht="16.5" customHeight="1">
      <c r="D150" s="954"/>
      <c r="E150" s="1383"/>
      <c r="F150" s="3705"/>
      <c r="G150" s="3705"/>
      <c r="H150" s="1437" t="s">
        <v>2400</v>
      </c>
      <c r="I150" s="1438"/>
      <c r="J150" s="1437" t="s">
        <v>2248</v>
      </c>
      <c r="K150" s="1438"/>
      <c r="L150" s="1438"/>
      <c r="M150" s="1439"/>
      <c r="N150" s="1437"/>
      <c r="O150" s="1439"/>
    </row>
    <row r="151" spans="2:15" ht="16.5" customHeight="1">
      <c r="D151" s="954"/>
      <c r="E151" s="1383"/>
      <c r="F151" s="3706">
        <v>2</v>
      </c>
      <c r="G151" s="3706" t="s">
        <v>1049</v>
      </c>
      <c r="H151" s="1437" t="s">
        <v>2249</v>
      </c>
      <c r="I151" s="1438"/>
      <c r="J151" s="1437" t="s">
        <v>2250</v>
      </c>
      <c r="K151" s="1438"/>
      <c r="L151" s="1438"/>
      <c r="M151" s="1439"/>
      <c r="N151" s="1437"/>
      <c r="O151" s="1439"/>
    </row>
    <row r="152" spans="2:15" ht="16.5" customHeight="1">
      <c r="D152" s="954"/>
      <c r="E152" s="1383"/>
      <c r="F152" s="3707"/>
      <c r="G152" s="3707"/>
      <c r="H152" s="1437" t="s">
        <v>2251</v>
      </c>
      <c r="I152" s="1438"/>
      <c r="J152" s="1437" t="s">
        <v>3182</v>
      </c>
      <c r="K152" s="1438"/>
      <c r="L152" s="1438"/>
      <c r="M152" s="1439"/>
      <c r="N152" s="1437"/>
      <c r="O152" s="1439"/>
    </row>
    <row r="153" spans="2:15" ht="16.5" customHeight="1">
      <c r="D153" s="954"/>
      <c r="E153" s="1383"/>
      <c r="F153" s="3707"/>
      <c r="G153" s="3707"/>
      <c r="H153" s="1437" t="s">
        <v>149</v>
      </c>
      <c r="I153" s="1438"/>
      <c r="J153" s="1437" t="s">
        <v>3182</v>
      </c>
      <c r="K153" s="1438"/>
      <c r="L153" s="1438"/>
      <c r="M153" s="1439"/>
      <c r="N153" s="1437"/>
      <c r="O153" s="1439"/>
    </row>
    <row r="154" spans="2:15" ht="16.5" customHeight="1">
      <c r="D154" s="954"/>
      <c r="E154" s="1383"/>
      <c r="F154" s="3708"/>
      <c r="G154" s="3708"/>
      <c r="H154" s="1437" t="s">
        <v>1362</v>
      </c>
      <c r="I154" s="1438"/>
      <c r="J154" s="1437" t="s">
        <v>1363</v>
      </c>
      <c r="K154" s="1438"/>
      <c r="L154" s="1438"/>
      <c r="M154" s="1439"/>
      <c r="N154" s="1437"/>
      <c r="O154" s="1439"/>
    </row>
    <row r="155" spans="2:15" ht="16.5" customHeight="1">
      <c r="D155" s="954"/>
      <c r="E155" s="1383"/>
      <c r="F155" s="1436">
        <v>3</v>
      </c>
      <c r="G155" s="1436" t="s">
        <v>1050</v>
      </c>
      <c r="H155" s="1437" t="s">
        <v>1364</v>
      </c>
      <c r="I155" s="1438"/>
      <c r="J155" s="1437"/>
      <c r="K155" s="1438"/>
      <c r="L155" s="1438"/>
      <c r="M155" s="1439"/>
      <c r="N155" s="1437"/>
      <c r="O155" s="1439"/>
    </row>
    <row r="156" spans="2:15" ht="16.5" customHeight="1">
      <c r="D156" s="954"/>
      <c r="E156" s="1383"/>
      <c r="F156" s="1436">
        <v>4</v>
      </c>
      <c r="G156" s="1436" t="s">
        <v>1051</v>
      </c>
      <c r="H156" s="1437" t="s">
        <v>1365</v>
      </c>
      <c r="I156" s="1438"/>
      <c r="J156" s="1437" t="s">
        <v>3183</v>
      </c>
      <c r="K156" s="1438"/>
      <c r="L156" s="1438"/>
      <c r="M156" s="1439"/>
      <c r="N156" s="1437"/>
      <c r="O156" s="1439"/>
    </row>
    <row r="157" spans="2:15" ht="16.5" customHeight="1">
      <c r="D157" s="954"/>
      <c r="E157" s="1383"/>
      <c r="F157" s="3705">
        <v>5</v>
      </c>
      <c r="G157" s="3705" t="s">
        <v>1052</v>
      </c>
      <c r="H157" s="1437" t="s">
        <v>2395</v>
      </c>
      <c r="I157" s="1438"/>
      <c r="J157" s="1437" t="s">
        <v>2396</v>
      </c>
      <c r="K157" s="1438"/>
      <c r="L157" s="1438"/>
      <c r="M157" s="1439"/>
      <c r="N157" s="1437"/>
      <c r="O157" s="1439"/>
    </row>
    <row r="158" spans="2:15" ht="16.5" customHeight="1">
      <c r="D158" s="954"/>
      <c r="E158" s="1383"/>
      <c r="F158" s="3705"/>
      <c r="G158" s="3705"/>
      <c r="H158" s="1437" t="s">
        <v>2397</v>
      </c>
      <c r="I158" s="1438"/>
      <c r="J158" s="1437" t="s">
        <v>2398</v>
      </c>
      <c r="K158" s="1438"/>
      <c r="L158" s="1438"/>
      <c r="M158" s="1439"/>
      <c r="N158" s="1437"/>
      <c r="O158" s="1439"/>
    </row>
    <row r="159" spans="2:15" ht="16.5" customHeight="1">
      <c r="D159" s="954"/>
      <c r="E159" s="1383"/>
      <c r="F159" s="3705"/>
      <c r="G159" s="3705"/>
      <c r="H159" s="1437" t="s">
        <v>2400</v>
      </c>
      <c r="I159" s="1438"/>
      <c r="J159" s="1437" t="s">
        <v>2248</v>
      </c>
      <c r="K159" s="1438"/>
      <c r="L159" s="1438"/>
      <c r="M159" s="1439"/>
      <c r="N159" s="1437"/>
      <c r="O159" s="1439"/>
    </row>
    <row r="160" spans="2:15" ht="16.5" customHeight="1">
      <c r="D160" s="954"/>
      <c r="E160" s="1383"/>
      <c r="F160" s="1436">
        <v>6</v>
      </c>
      <c r="G160" s="1436" t="s">
        <v>323</v>
      </c>
      <c r="H160" s="1437" t="s">
        <v>324</v>
      </c>
      <c r="I160" s="1438"/>
      <c r="J160" s="1437" t="s">
        <v>325</v>
      </c>
      <c r="K160" s="1438"/>
      <c r="L160" s="1438"/>
      <c r="M160" s="1439"/>
      <c r="N160" s="1437"/>
      <c r="O160" s="1439"/>
    </row>
    <row r="161" spans="2:15" ht="16.5" customHeight="1">
      <c r="D161" s="954"/>
      <c r="E161" s="1383"/>
      <c r="F161" s="3705">
        <v>7</v>
      </c>
      <c r="G161" s="3705" t="s">
        <v>1366</v>
      </c>
      <c r="H161" s="1437" t="s">
        <v>326</v>
      </c>
      <c r="I161" s="1438"/>
      <c r="J161" s="1437" t="s">
        <v>327</v>
      </c>
      <c r="K161" s="1438"/>
      <c r="L161" s="1438"/>
      <c r="M161" s="1439"/>
      <c r="N161" s="1437"/>
      <c r="O161" s="1439"/>
    </row>
    <row r="162" spans="2:15" ht="16.5" customHeight="1">
      <c r="D162" s="954"/>
      <c r="E162" s="1383"/>
      <c r="F162" s="3705"/>
      <c r="G162" s="3705"/>
      <c r="H162" s="1437" t="s">
        <v>1367</v>
      </c>
      <c r="I162" s="1438"/>
      <c r="J162" s="1437" t="s">
        <v>328</v>
      </c>
      <c r="K162" s="1438"/>
      <c r="L162" s="1438"/>
      <c r="M162" s="1439"/>
      <c r="N162" s="1437"/>
      <c r="O162" s="1439"/>
    </row>
    <row r="163" spans="2:15" ht="16.5" customHeight="1">
      <c r="D163" s="954"/>
      <c r="E163" s="1383"/>
      <c r="F163" s="3705"/>
      <c r="G163" s="3705"/>
      <c r="H163" s="1437" t="s">
        <v>1368</v>
      </c>
      <c r="I163" s="1438"/>
      <c r="J163" s="1437" t="s">
        <v>2714</v>
      </c>
      <c r="K163" s="1438"/>
      <c r="L163" s="1438"/>
      <c r="M163" s="1439"/>
      <c r="N163" s="1437"/>
      <c r="O163" s="1439"/>
    </row>
    <row r="164" spans="2:15" ht="16.5" customHeight="1">
      <c r="D164" s="954"/>
      <c r="E164" s="1383"/>
      <c r="F164" s="3709"/>
      <c r="G164" s="3709"/>
      <c r="H164" s="1437" t="s">
        <v>274</v>
      </c>
      <c r="I164" s="1438"/>
      <c r="J164" s="1437" t="s">
        <v>3184</v>
      </c>
      <c r="K164" s="1438"/>
      <c r="L164" s="1438"/>
      <c r="M164" s="1439"/>
      <c r="N164" s="1437"/>
      <c r="O164" s="1439"/>
    </row>
    <row r="165" spans="2:15" ht="18" customHeight="1">
      <c r="D165" s="954"/>
      <c r="E165" s="550"/>
      <c r="F165" s="550"/>
      <c r="G165" s="550" t="s">
        <v>3185</v>
      </c>
      <c r="H165" s="550"/>
      <c r="I165" s="550"/>
      <c r="J165" s="955"/>
      <c r="K165" s="955"/>
      <c r="L165" s="955"/>
      <c r="M165" s="955"/>
      <c r="N165" s="955"/>
      <c r="O165" s="955"/>
    </row>
    <row r="166" spans="2:15" ht="18" customHeight="1">
      <c r="D166" s="1386">
        <v>4.2</v>
      </c>
      <c r="E166" s="1192" t="s">
        <v>826</v>
      </c>
      <c r="F166" s="2215"/>
      <c r="J166" s="1048" t="e">
        <f>IF(OR(F168=0,AND(J167=0,O167=0)),$R$3,"")</f>
        <v>#DIV/0!</v>
      </c>
      <c r="K166" s="2215"/>
      <c r="L166" s="2218"/>
      <c r="M166" s="2217"/>
      <c r="N166" s="2217"/>
      <c r="O166" s="1048"/>
    </row>
    <row r="167" spans="2:15" ht="15" thickBot="1">
      <c r="D167" s="2457"/>
      <c r="E167" s="1387"/>
      <c r="F167" s="1114"/>
      <c r="G167" s="972"/>
      <c r="H167" s="973"/>
      <c r="I167" s="974" t="s">
        <v>1125</v>
      </c>
      <c r="J167" s="975" t="e">
        <f>重み!M136</f>
        <v>#DIV/0!</v>
      </c>
      <c r="K167" s="1114"/>
      <c r="L167" s="972"/>
      <c r="M167" s="973"/>
      <c r="N167" s="974" t="s">
        <v>1125</v>
      </c>
      <c r="O167" s="977" t="e">
        <f>重み!M139</f>
        <v>#DIV/0!</v>
      </c>
    </row>
    <row r="168" spans="2:15" ht="25.5" customHeight="1" thickBot="1">
      <c r="D168" s="954"/>
      <c r="E168" s="1383"/>
      <c r="F168" s="978">
        <v>3</v>
      </c>
      <c r="G168" s="1066" t="s">
        <v>2166</v>
      </c>
      <c r="H168" s="1066"/>
      <c r="I168" s="1066"/>
      <c r="J168" s="1066"/>
      <c r="K168" s="978">
        <v>3</v>
      </c>
      <c r="L168" s="982" t="s">
        <v>1553</v>
      </c>
      <c r="M168" s="983"/>
      <c r="N168" s="983"/>
      <c r="O168" s="984"/>
    </row>
    <row r="169" spans="2:15" ht="25.5" customHeight="1">
      <c r="B169" s="1" t="s">
        <v>2715</v>
      </c>
      <c r="C169" s="1">
        <v>1</v>
      </c>
      <c r="D169" s="954"/>
      <c r="E169" s="1383"/>
      <c r="F169" s="990" t="str">
        <f>IF(F168=$S$15,$T$10,IF(AND($O$3=$U$3,ROUNDDOWN(F168,0)=$S$10),$U$10,$T$10))</f>
        <v>　レベル　1</v>
      </c>
      <c r="G169" s="1221" t="s">
        <v>1477</v>
      </c>
      <c r="H169" s="1424"/>
      <c r="I169" s="1424"/>
      <c r="J169" s="1424"/>
      <c r="K169" s="985" t="str">
        <f>IF(K168=$S$15,$T$10,IF(ROUNDDOWN(K168,0)=$S$10,$U$10,$T$10))</f>
        <v>　レベル　1</v>
      </c>
      <c r="L169" s="2212" t="s">
        <v>3314</v>
      </c>
      <c r="M169" s="2221"/>
      <c r="N169" s="2221"/>
      <c r="O169" s="2222"/>
    </row>
    <row r="170" spans="2:15" ht="25.5" customHeight="1">
      <c r="B170" s="1">
        <v>2</v>
      </c>
      <c r="C170" s="1">
        <v>2</v>
      </c>
      <c r="D170" s="954"/>
      <c r="E170" s="1383"/>
      <c r="F170" s="990" t="str">
        <f>IF(F168=$S$15,$T$11,IF(AND($O$3=$U$3,ROUNDDOWN(F168,0)=$S$11),$U$11,$T$11))</f>
        <v>　レベル　2</v>
      </c>
      <c r="G170" s="1221" t="s">
        <v>3186</v>
      </c>
      <c r="H170" s="1424"/>
      <c r="I170" s="1424"/>
      <c r="J170" s="1424"/>
      <c r="K170" s="1138" t="str">
        <f>IF(K168=$S$15,$T$11,IF(ROUNDDOWN(K168,0)=$S$11,$U$11,$T$11))</f>
        <v>　レベル　2</v>
      </c>
      <c r="L170" s="1221" t="s">
        <v>1477</v>
      </c>
      <c r="M170" s="1222"/>
      <c r="N170" s="1222"/>
      <c r="O170" s="1223"/>
    </row>
    <row r="171" spans="2:15" ht="25.5" customHeight="1">
      <c r="B171" s="1">
        <v>3</v>
      </c>
      <c r="C171" s="1">
        <v>3</v>
      </c>
      <c r="D171" s="954"/>
      <c r="E171" s="1383"/>
      <c r="F171" s="990" t="str">
        <f>IF(F168=$S$15,$T$12,IF(AND($O$3=$U$3,ROUNDDOWN(F168,0)=$S$12),$U$12,$T$12))</f>
        <v>　レベル　3</v>
      </c>
      <c r="G171" s="1221" t="s">
        <v>3187</v>
      </c>
      <c r="H171" s="1424"/>
      <c r="I171" s="1424"/>
      <c r="J171" s="1424"/>
      <c r="K171" s="1138" t="str">
        <f>IF(K168=$S$15,$T$12,IF(ROUNDDOWN(K168,0)=$S$12,$U$12,$T$12))</f>
        <v>■レベル　3</v>
      </c>
      <c r="L171" s="1221" t="s">
        <v>1316</v>
      </c>
      <c r="M171" s="1222"/>
      <c r="N171" s="1222"/>
      <c r="O171" s="1223"/>
    </row>
    <row r="172" spans="2:15" ht="33" customHeight="1">
      <c r="B172" s="1">
        <v>4</v>
      </c>
      <c r="C172" s="1">
        <v>4</v>
      </c>
      <c r="D172" s="954"/>
      <c r="E172" s="1383"/>
      <c r="F172" s="990" t="str">
        <f>IF(F168=$S$15,$T$13,IF(AND($O$3=$U$3,ROUNDDOWN(F168,0)=$S$13),$U$13,$T$13))</f>
        <v>　レベル　4</v>
      </c>
      <c r="G172" s="3528" t="s">
        <v>3188</v>
      </c>
      <c r="H172" s="3414"/>
      <c r="I172" s="3414"/>
      <c r="J172" s="3415"/>
      <c r="K172" s="1138" t="str">
        <f>IF(K168=$S$15,$T$13,IF(ROUNDDOWN(K168,0)=$S$13,$U$13,$T$13))</f>
        <v>　レベル　4</v>
      </c>
      <c r="L172" s="3528" t="s">
        <v>3189</v>
      </c>
      <c r="M172" s="3414"/>
      <c r="N172" s="3414"/>
      <c r="O172" s="3415"/>
    </row>
    <row r="173" spans="2:15" ht="57" customHeight="1">
      <c r="B173" s="1">
        <v>5</v>
      </c>
      <c r="C173" s="1">
        <v>5</v>
      </c>
      <c r="D173" s="954"/>
      <c r="E173" s="1383"/>
      <c r="F173" s="1001" t="str">
        <f>IF(F168=$S$15,$T$14,IF(AND($O$3=$U$3,ROUNDDOWN(F168,0)=$S$14),$U$14,$T$14))</f>
        <v>　レベル　5</v>
      </c>
      <c r="G173" s="3530" t="s">
        <v>3190</v>
      </c>
      <c r="H173" s="3395"/>
      <c r="I173" s="3395"/>
      <c r="J173" s="3396"/>
      <c r="K173" s="1001" t="str">
        <f>IF(K168=$S$15,$T$14,IF(ROUNDDOWN(K168,0)=$S$14,$U$14,$T$14))</f>
        <v>　レベル　5</v>
      </c>
      <c r="L173" s="3530" t="s">
        <v>3191</v>
      </c>
      <c r="M173" s="3395"/>
      <c r="N173" s="3395"/>
      <c r="O173" s="3396"/>
    </row>
    <row r="174" spans="2:15" ht="9.75" customHeight="1">
      <c r="B174" s="1008">
        <v>0</v>
      </c>
      <c r="C174" s="1008">
        <v>0</v>
      </c>
      <c r="D174" s="954"/>
    </row>
    <row r="175" spans="2:15" ht="14.25">
      <c r="E175" s="2216"/>
      <c r="K175" s="2215"/>
      <c r="L175" s="2220"/>
      <c r="M175" s="2229"/>
      <c r="N175" s="2229"/>
      <c r="O175" s="1048"/>
    </row>
    <row r="176" spans="2:15" ht="14.25">
      <c r="E176" s="2219"/>
    </row>
    <row r="177" spans="2:15" ht="15.75">
      <c r="D177" s="954"/>
      <c r="E177" s="2219"/>
    </row>
    <row r="178" spans="2:15" ht="15.75">
      <c r="B178" s="1">
        <v>1</v>
      </c>
      <c r="C178" s="1" t="s">
        <v>1794</v>
      </c>
      <c r="D178" s="954"/>
      <c r="E178" s="2219"/>
    </row>
    <row r="179" spans="2:15" ht="15.75">
      <c r="B179" s="1" t="s">
        <v>1794</v>
      </c>
      <c r="C179" s="1" t="s">
        <v>1794</v>
      </c>
      <c r="D179" s="954"/>
      <c r="E179" s="2219"/>
    </row>
    <row r="180" spans="2:15" ht="15.75">
      <c r="B180" s="1">
        <v>3</v>
      </c>
      <c r="C180" s="1">
        <v>3</v>
      </c>
      <c r="D180" s="954"/>
      <c r="E180" s="2219"/>
    </row>
    <row r="181" spans="2:15" ht="27" customHeight="1">
      <c r="B181" s="1">
        <v>4</v>
      </c>
      <c r="C181" s="1">
        <v>4</v>
      </c>
      <c r="D181" s="954"/>
      <c r="E181" s="2219"/>
    </row>
    <row r="182" spans="2:15" ht="34.5" customHeight="1">
      <c r="B182" s="1">
        <v>5</v>
      </c>
      <c r="C182" s="1">
        <v>5</v>
      </c>
      <c r="D182" s="954"/>
      <c r="E182" s="2219"/>
    </row>
    <row r="183" spans="2:15" ht="15.75">
      <c r="B183" s="1008">
        <v>0</v>
      </c>
      <c r="C183" s="1008">
        <v>0</v>
      </c>
      <c r="D183" s="954"/>
      <c r="E183" s="2226"/>
      <c r="F183" s="2227"/>
      <c r="G183" s="2227"/>
      <c r="H183" s="2228"/>
      <c r="I183" s="2228"/>
      <c r="J183" s="2228"/>
      <c r="K183" s="2228"/>
      <c r="L183" s="2228"/>
      <c r="M183" s="2228"/>
      <c r="N183" s="2228"/>
      <c r="O183" s="2228"/>
    </row>
    <row r="184" spans="2:15" hidden="1"/>
    <row r="185" spans="2:15" hidden="1"/>
    <row r="186" spans="2:15" hidden="1"/>
    <row r="187" spans="2:15" hidden="1"/>
    <row r="188" spans="2:15" hidden="1"/>
    <row r="189" spans="2:15" hidden="1"/>
    <row r="190" spans="2:15" hidden="1"/>
    <row r="191" spans="2:15" hidden="1"/>
    <row r="192" spans="2: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row r="315"/>
  </sheetData>
  <sheetProtection password="CC47" sheet="1" objects="1" scenarios="1"/>
  <mergeCells count="60">
    <mergeCell ref="F16:F18"/>
    <mergeCell ref="H26:K26"/>
    <mergeCell ref="H27:K27"/>
    <mergeCell ref="G16:G18"/>
    <mergeCell ref="G12:H12"/>
    <mergeCell ref="I12:J12"/>
    <mergeCell ref="K12:L12"/>
    <mergeCell ref="G13:H13"/>
    <mergeCell ref="G14:H14"/>
    <mergeCell ref="I14:J14"/>
    <mergeCell ref="I13:J13"/>
    <mergeCell ref="K13:L13"/>
    <mergeCell ref="K14:L14"/>
    <mergeCell ref="N1:O1"/>
    <mergeCell ref="L50:O50"/>
    <mergeCell ref="L51:O51"/>
    <mergeCell ref="L78:N78"/>
    <mergeCell ref="I9:J9"/>
    <mergeCell ref="K9:L9"/>
    <mergeCell ref="M10:O10"/>
    <mergeCell ref="M11:O11"/>
    <mergeCell ref="M12:O12"/>
    <mergeCell ref="N38:O42"/>
    <mergeCell ref="I93:O93"/>
    <mergeCell ref="L79:N79"/>
    <mergeCell ref="I58:O58"/>
    <mergeCell ref="I59:O59"/>
    <mergeCell ref="I57:O57"/>
    <mergeCell ref="N114:O118"/>
    <mergeCell ref="F157:F159"/>
    <mergeCell ref="G157:G159"/>
    <mergeCell ref="H28:K28"/>
    <mergeCell ref="H30:K30"/>
    <mergeCell ref="G143:J143"/>
    <mergeCell ref="G141:J141"/>
    <mergeCell ref="G142:J142"/>
    <mergeCell ref="H51:J51"/>
    <mergeCell ref="G65:G66"/>
    <mergeCell ref="F65:F66"/>
    <mergeCell ref="H50:J50"/>
    <mergeCell ref="A88:F88"/>
    <mergeCell ref="H88:O88"/>
    <mergeCell ref="A89:F89"/>
    <mergeCell ref="H89:O89"/>
    <mergeCell ref="I94:O94"/>
    <mergeCell ref="G173:J173"/>
    <mergeCell ref="M13:O13"/>
    <mergeCell ref="M14:O14"/>
    <mergeCell ref="L173:O173"/>
    <mergeCell ref="L143:O143"/>
    <mergeCell ref="N125:O129"/>
    <mergeCell ref="F147:G147"/>
    <mergeCell ref="F148:F150"/>
    <mergeCell ref="G148:G150"/>
    <mergeCell ref="F151:F154"/>
    <mergeCell ref="G151:G154"/>
    <mergeCell ref="F161:F164"/>
    <mergeCell ref="L172:O172"/>
    <mergeCell ref="G161:G164"/>
    <mergeCell ref="G172:J172"/>
  </mergeCells>
  <phoneticPr fontId="21"/>
  <conditionalFormatting sqref="F32">
    <cfRule type="expression" dxfId="72" priority="3" stopIfTrue="1">
      <formula>AND(OR(F32&lt;1,F32&gt;5),F32&lt;&gt;#REF!)</formula>
    </cfRule>
    <cfRule type="expression" dxfId="71" priority="4" stopIfTrue="1">
      <formula>AND($J$15&gt;0,G32=$T$4)</formula>
    </cfRule>
  </conditionalFormatting>
  <conditionalFormatting sqref="F138 F168 F8 F124 F113">
    <cfRule type="expression" dxfId="70" priority="5" stopIfTrue="1">
      <formula>AND(OR(F8&lt;1,F8&gt;5),F8&lt;&gt;0)</formula>
    </cfRule>
    <cfRule type="expression" dxfId="69" priority="6" stopIfTrue="1">
      <formula>$J7&gt;0</formula>
    </cfRule>
  </conditionalFormatting>
  <conditionalFormatting sqref="K47">
    <cfRule type="expression" dxfId="68" priority="7" stopIfTrue="1">
      <formula>AND(OR(K47&lt;1,K47&gt;5),K47&lt;&gt;0)</formula>
    </cfRule>
    <cfRule type="expression" dxfId="67" priority="8" stopIfTrue="1">
      <formula>O47&gt;0</formula>
    </cfRule>
  </conditionalFormatting>
  <conditionalFormatting sqref="K74">
    <cfRule type="expression" dxfId="66" priority="9" stopIfTrue="1">
      <formula>AND(OR(K74&lt;1,K74&gt;5),K74&lt;&gt;#REF!)</formula>
    </cfRule>
    <cfRule type="expression" dxfId="65" priority="10" stopIfTrue="1">
      <formula>#REF!&gt;0</formula>
    </cfRule>
  </conditionalFormatting>
  <conditionalFormatting sqref="K138">
    <cfRule type="expression" dxfId="64" priority="11" stopIfTrue="1">
      <formula>AND(OR(K138&lt;1,K138&gt;5),K138&lt;&gt;0)</formula>
    </cfRule>
    <cfRule type="expression" dxfId="63" priority="12" stopIfTrue="1">
      <formula>$O$137</formula>
    </cfRule>
  </conditionalFormatting>
  <conditionalFormatting sqref="I54">
    <cfRule type="expression" dxfId="62" priority="13" stopIfTrue="1">
      <formula>$J$47&gt;0</formula>
    </cfRule>
  </conditionalFormatting>
  <conditionalFormatting sqref="G32">
    <cfRule type="expression" dxfId="61" priority="14" stopIfTrue="1">
      <formula>AND($J$15&gt;0)</formula>
    </cfRule>
  </conditionalFormatting>
  <conditionalFormatting sqref="F16">
    <cfRule type="cellIs" dxfId="60" priority="15" stopIfTrue="1" operator="equal">
      <formula>#REF!</formula>
    </cfRule>
    <cfRule type="cellIs" dxfId="59" priority="16" stopIfTrue="1" operator="equal">
      <formula>#REF!</formula>
    </cfRule>
    <cfRule type="cellIs" dxfId="58" priority="17" stopIfTrue="1" operator="equal">
      <formula>#REF!</formula>
    </cfRule>
  </conditionalFormatting>
  <conditionalFormatting sqref="H57:H60">
    <cfRule type="expression" dxfId="57" priority="18" stopIfTrue="1">
      <formula>AND($J$47&gt;0,$J$46&gt;0.001)</formula>
    </cfRule>
  </conditionalFormatting>
  <conditionalFormatting sqref="K168">
    <cfRule type="expression" dxfId="56" priority="35" stopIfTrue="1">
      <formula>AND(OR(K168&lt;1,K168&gt;5),K168&lt;&gt;0)</formula>
    </cfRule>
    <cfRule type="expression" dxfId="55" priority="36" stopIfTrue="1">
      <formula>$O167&gt;0</formula>
    </cfRule>
  </conditionalFormatting>
  <conditionalFormatting sqref="G88:G89">
    <cfRule type="expression" dxfId="54" priority="2" stopIfTrue="1">
      <formula>O66&gt;0</formula>
    </cfRule>
  </conditionalFormatting>
  <conditionalFormatting sqref="H92:H95">
    <cfRule type="expression" dxfId="53" priority="1" stopIfTrue="1">
      <formula>$J$70&gt;0</formula>
    </cfRule>
  </conditionalFormatting>
  <dataValidations xWindow="404" yWindow="579" count="9">
    <dataValidation type="list" allowBlank="1" showInputMessage="1" sqref="F8 F124 F113 F168">
      <formula1>$B9:$B14</formula1>
    </dataValidation>
    <dataValidation type="list" allowBlank="1" showInputMessage="1" sqref="F138">
      <formula1>$B139:$B143</formula1>
    </dataValidation>
    <dataValidation allowBlank="1" showInputMessage="1" sqref="K74 I44 I54"/>
    <dataValidation type="list" allowBlank="1" showInputMessage="1" sqref="K138">
      <formula1>$C$139:$C$143</formula1>
    </dataValidation>
    <dataValidation type="list" allowBlank="1" showInputMessage="1" showErrorMessage="1" sqref="G32">
      <formula1>$T$3:$T$4</formula1>
    </dataValidation>
    <dataValidation type="decimal" allowBlank="1" showInputMessage="1" showErrorMessage="1" sqref="F32">
      <formula1>0</formula1>
      <formula2>5</formula2>
    </dataValidation>
    <dataValidation type="list" allowBlank="1" showInputMessage="1" sqref="K47">
      <formula1>$C$48:$C$52</formula1>
    </dataValidation>
    <dataValidation type="list" allowBlank="1" showInputMessage="1" showErrorMessage="1" sqref="H57:H60 WVP92:WVP95 WLT92:WLT95 WBX92:WBX95 VSB92:VSB95 VIF92:VIF95 UYJ92:UYJ95 UON92:UON95 UER92:UER95 TUV92:TUV95 TKZ92:TKZ95 TBD92:TBD95 SRH92:SRH95 SHL92:SHL95 RXP92:RXP95 RNT92:RNT95 RDX92:RDX95 QUB92:QUB95 QKF92:QKF95 QAJ92:QAJ95 PQN92:PQN95 PGR92:PGR95 OWV92:OWV95 OMZ92:OMZ95 ODD92:ODD95 NTH92:NTH95 NJL92:NJL95 MZP92:MZP95 MPT92:MPT95 MFX92:MFX95 LWB92:LWB95 LMF92:LMF95 LCJ92:LCJ95 KSN92:KSN95 KIR92:KIR95 JYV92:JYV95 JOZ92:JOZ95 JFD92:JFD95 IVH92:IVH95 ILL92:ILL95 IBP92:IBP95 HRT92:HRT95 HHX92:HHX95 GYB92:GYB95 GOF92:GOF95 GEJ92:GEJ95 FUN92:FUN95 FKR92:FKR95 FAV92:FAV95 EQZ92:EQZ95 EHD92:EHD95 DXH92:DXH95 DNL92:DNL95 DDP92:DDP95 CTT92:CTT95 CJX92:CJX95 CAB92:CAB95 BQF92:BQF95 BGJ92:BGJ95 AWN92:AWN95 AMR92:AMR95 ACV92:ACV95 SZ92:SZ95 JD92:JD95 H92:H95 JC88:JC89 WVO88:WVO89 WLS88:WLS89 WBW88:WBW89 VSA88:VSA89 VIE88:VIE89 UYI88:UYI89 UOM88:UOM89 UEQ88:UEQ89 TUU88:TUU89 TKY88:TKY89 TBC88:TBC89 SRG88:SRG89 SHK88:SHK89 RXO88:RXO89 RNS88:RNS89 RDW88:RDW89 QUA88:QUA89 QKE88:QKE89 QAI88:QAI89 PQM88:PQM89 PGQ88:PGQ89 OWU88:OWU89 OMY88:OMY89 ODC88:ODC89 NTG88:NTG89 NJK88:NJK89 MZO88:MZO89 MPS88:MPS89 MFW88:MFW89 LWA88:LWA89 LME88:LME89 LCI88:LCI89 KSM88:KSM89 KIQ88:KIQ89 JYU88:JYU89 JOY88:JOY89 JFC88:JFC89 IVG88:IVG89 ILK88:ILK89 IBO88:IBO89 HRS88:HRS89 HHW88:HHW89 GYA88:GYA89 GOE88:GOE89 GEI88:GEI89 FUM88:FUM89 FKQ88:FKQ89 FAU88:FAU89 EQY88:EQY89 EHC88:EHC89 DXG88:DXG89 DNK88:DNK89 DDO88:DDO89 CTS88:CTS89 CJW88:CJW89 CAA88:CAA89 BQE88:BQE89 BGI88:BGI89 AWM88:AWM89 AMQ88:AMQ89 ACU88:ACU89 SY88:SY89 G89">
      <formula1>"○,　"</formula1>
    </dataValidation>
    <dataValidation type="list" allowBlank="1" showInputMessage="1" sqref="K168">
      <formula1>$B178:$B183</formula1>
    </dataValidation>
  </dataValidations>
  <printOptions horizontalCentered="1"/>
  <pageMargins left="0.59055118110236227" right="0.59055118110236227" top="0.78740157480314965" bottom="0.59055118110236227" header="0.51181102362204722" footer="0.51181102362204722"/>
  <pageSetup paperSize="9" scale="68" fitToHeight="7" orientation="portrait" verticalDpi="4294967293" r:id="rId1"/>
  <headerFooter alignWithMargins="0">
    <oddHeader>&amp;L&amp;F&amp;R&amp;A</oddHeader>
    <oddFooter>&amp;C&amp;P/&amp;N</oddFooter>
  </headerFooter>
  <rowBreaks count="2" manualBreakCount="2">
    <brk id="61" min="2" max="15" man="1"/>
    <brk id="134" min="2"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メイン</vt:lpstr>
      <vt:lpstr>結果</vt:lpstr>
      <vt:lpstr>スコア</vt:lpstr>
      <vt:lpstr>配慮</vt:lpstr>
      <vt:lpstr>係数</vt:lpstr>
      <vt:lpstr>採点Q1</vt:lpstr>
      <vt:lpstr>採点Q2</vt:lpstr>
      <vt:lpstr>採点Q3</vt:lpstr>
      <vt:lpstr>採点LR1</vt:lpstr>
      <vt:lpstr>計画書</vt:lpstr>
      <vt:lpstr>境界値</vt:lpstr>
      <vt:lpstr>採点LR2</vt:lpstr>
      <vt:lpstr>採点LR3</vt:lpstr>
      <vt:lpstr>CO2計算</vt:lpstr>
      <vt:lpstr>独自ｼｽﾃﾑ</vt:lpstr>
      <vt:lpstr>高評価資料</vt:lpstr>
      <vt:lpstr>重み</vt:lpstr>
      <vt:lpstr>条件(標準)</vt:lpstr>
      <vt:lpstr>条件(個別)</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結果!Print_Area</vt:lpstr>
      <vt:lpstr>高評価資料!Print_Area</vt:lpstr>
      <vt:lpstr>採点LR1!Print_Area</vt:lpstr>
      <vt:lpstr>採点LR2!Print_Area</vt:lpstr>
      <vt:lpstr>採点LR3!Print_Area</vt:lpstr>
      <vt:lpstr>採点Q1!Print_Area</vt:lpstr>
      <vt:lpstr>採点Q2!Print_Area</vt:lpstr>
      <vt:lpstr>重み!Print_Area</vt:lpstr>
      <vt:lpstr>'条件(個別)'!Print_Area</vt:lpstr>
      <vt:lpstr>独自ｼｽﾃﾑ!Print_Area</vt:lpstr>
      <vt:lpstr>高評価資料!Print_Titles</vt:lpstr>
      <vt:lpstr>重み!Print_Titles</vt:lpstr>
    </vt:vector>
  </TitlesOfParts>
  <Company>株式会社日建設計</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kyoto</cp:lastModifiedBy>
  <cp:lastPrinted>2015-03-12T02:01:27Z</cp:lastPrinted>
  <dcterms:created xsi:type="dcterms:W3CDTF">2010-08-30T05:31:56Z</dcterms:created>
  <dcterms:modified xsi:type="dcterms:W3CDTF">2015-03-23T13:55:24Z</dcterms:modified>
</cp:coreProperties>
</file>