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31-00　下水管理課\04_排水設備係\120_排水設備（技術）\03 地下排水槽\13 計算シート（流量，流速確認）\"/>
    </mc:Choice>
  </mc:AlternateContent>
  <bookViews>
    <workbookView xWindow="0" yWindow="0" windowWidth="28800" windowHeight="12600"/>
  </bookViews>
  <sheets>
    <sheet name="使用方法 (修正後)" sheetId="9" r:id="rId1"/>
    <sheet name="使用方法 (修正前)" sheetId="10" r:id="rId2"/>
    <sheet name="排水槽一覧表" sheetId="2" r:id="rId3"/>
    <sheet name="汚水槽" sheetId="8" r:id="rId4"/>
    <sheet name="雑排水槽" sheetId="7" r:id="rId5"/>
    <sheet name="雑排水槽 （機械排水系）" sheetId="6" r:id="rId6"/>
    <sheet name="混合槽" sheetId="5" r:id="rId7"/>
    <sheet name="湧水槽 " sheetId="4" r:id="rId8"/>
    <sheet name="雨水槽" sheetId="3" r:id="rId9"/>
  </sheets>
  <definedNames>
    <definedName name="HTML_CodePage" hidden="1">932</definedName>
    <definedName name="HTML_Control" localSheetId="8" hidden="1">{"'Sheet2 (2)'!$AF$67","'Sheet2 (2)'!$A$1:$Z$82"}</definedName>
    <definedName name="HTML_Control" localSheetId="3" hidden="1">{"'Sheet2 (2)'!$AF$67","'Sheet2 (2)'!$A$1:$Z$82"}</definedName>
    <definedName name="HTML_Control" localSheetId="6" hidden="1">{"'Sheet2 (2)'!$AF$67","'Sheet2 (2)'!$A$1:$Z$82"}</definedName>
    <definedName name="HTML_Control" localSheetId="4" hidden="1">{"'Sheet2 (2)'!$AF$67","'Sheet2 (2)'!$A$1:$Z$82"}</definedName>
    <definedName name="HTML_Control" localSheetId="5" hidden="1">{"'Sheet2 (2)'!$AF$67","'Sheet2 (2)'!$A$1:$Z$82"}</definedName>
    <definedName name="HTML_Control" localSheetId="2" hidden="1">{"'Sheet2 (2)'!$AF$67","'Sheet2 (2)'!$A$1:$Z$82"}</definedName>
    <definedName name="HTML_Control" localSheetId="7" hidden="1">{"'Sheet2 (2)'!$AF$67","'Sheet2 (2)'!$A$1:$Z$82"}</definedName>
    <definedName name="HTML_Control" hidden="1">{"'Sheet2 (2)'!$AF$67","'Sheet2 (2)'!$A$1:$Z$82"}</definedName>
    <definedName name="HTML_Description" hidden="1">""</definedName>
    <definedName name="HTML_Email" hidden="1">""</definedName>
    <definedName name="HTML_Header" hidden="1">""</definedName>
    <definedName name="HTML_LastUpdate" hidden="1">"99/06/10"</definedName>
    <definedName name="HTML_LineAfter" hidden="1">FALSE</definedName>
    <definedName name="HTML_LineBefore" hidden="1">FALSE</definedName>
    <definedName name="HTML_Name" hidden="1">"金融システム第３部"</definedName>
    <definedName name="HTML_OBDlg2" hidden="1">TRUE</definedName>
    <definedName name="HTML_OBDlg4" hidden="1">TRUE</definedName>
    <definedName name="HTML_OS" hidden="1">0</definedName>
    <definedName name="HTML_PathFile" hidden="1">"I:\bunsan\ｶｰﾄﾞ発行ｾﾝﾀｰ機械化\画面遷移図.htm"</definedName>
    <definedName name="HTML_Title" hidden="1">"画面遷移"</definedName>
    <definedName name="_xlnm.Print_Area" localSheetId="8">雨水槽!$A$1:$Y$136</definedName>
    <definedName name="_xlnm.Print_Area" localSheetId="3">汚水槽!$A$1:$Y$139</definedName>
    <definedName name="_xlnm.Print_Area" localSheetId="6">混合槽!$A$1:$Y$139</definedName>
    <definedName name="_xlnm.Print_Area" localSheetId="4">雑排水槽!$A$1:$Y$139</definedName>
    <definedName name="_xlnm.Print_Area" localSheetId="5">'雑排水槽 （機械排水系）'!$A$1:$Y$136</definedName>
    <definedName name="_xlnm.Print_Area" localSheetId="0">'使用方法 (修正後)'!$A$1:$R$49</definedName>
    <definedName name="_xlnm.Print_Area" localSheetId="1">'使用方法 (修正前)'!$A$1:$Q$40</definedName>
    <definedName name="_xlnm.Print_Area" localSheetId="2">排水槽一覧表!$A$1:$AQ$41</definedName>
    <definedName name="_xlnm.Print_Area" localSheetId="7">'湧水槽 '!$A$1:$Y$136</definedName>
    <definedName name="あああ" localSheetId="8" hidden="1">{"'Sheet2 (2)'!$AF$67","'Sheet2 (2)'!$A$1:$Z$82"}</definedName>
    <definedName name="あああ" localSheetId="3" hidden="1">{"'Sheet2 (2)'!$AF$67","'Sheet2 (2)'!$A$1:$Z$82"}</definedName>
    <definedName name="あああ" localSheetId="6" hidden="1">{"'Sheet2 (2)'!$AF$67","'Sheet2 (2)'!$A$1:$Z$82"}</definedName>
    <definedName name="あああ" localSheetId="4" hidden="1">{"'Sheet2 (2)'!$AF$67","'Sheet2 (2)'!$A$1:$Z$82"}</definedName>
    <definedName name="あああ" localSheetId="5" hidden="1">{"'Sheet2 (2)'!$AF$67","'Sheet2 (2)'!$A$1:$Z$82"}</definedName>
    <definedName name="あああ" localSheetId="2" hidden="1">{"'Sheet2 (2)'!$AF$67","'Sheet2 (2)'!$A$1:$Z$82"}</definedName>
    <definedName name="あああ" localSheetId="7" hidden="1">{"'Sheet2 (2)'!$AF$67","'Sheet2 (2)'!$A$1:$Z$82"}</definedName>
    <definedName name="あああ" hidden="1">{"'Sheet2 (2)'!$AF$67","'Sheet2 (2)'!$A$1:$Z$82"}</definedName>
    <definedName name="ああああ" localSheetId="8" hidden="1">{"'Sheet2 (2)'!$AF$67","'Sheet2 (2)'!$A$1:$Z$82"}</definedName>
    <definedName name="ああああ" localSheetId="3" hidden="1">{"'Sheet2 (2)'!$AF$67","'Sheet2 (2)'!$A$1:$Z$82"}</definedName>
    <definedName name="ああああ" localSheetId="6" hidden="1">{"'Sheet2 (2)'!$AF$67","'Sheet2 (2)'!$A$1:$Z$82"}</definedName>
    <definedName name="ああああ" localSheetId="4" hidden="1">{"'Sheet2 (2)'!$AF$67","'Sheet2 (2)'!$A$1:$Z$82"}</definedName>
    <definedName name="ああああ" localSheetId="5" hidden="1">{"'Sheet2 (2)'!$AF$67","'Sheet2 (2)'!$A$1:$Z$82"}</definedName>
    <definedName name="ああああ" localSheetId="2" hidden="1">{"'Sheet2 (2)'!$AF$67","'Sheet2 (2)'!$A$1:$Z$82"}</definedName>
    <definedName name="ああああ" localSheetId="7" hidden="1">{"'Sheet2 (2)'!$AF$67","'Sheet2 (2)'!$A$1:$Z$82"}</definedName>
    <definedName name="ああああ" hidden="1">{"'Sheet2 (2)'!$AF$67","'Sheet2 (2)'!$A$1:$Z$82"}</definedName>
    <definedName name="あいあい" localSheetId="8" hidden="1">{"'Sheet2 (2)'!$AF$67","'Sheet2 (2)'!$A$1:$Z$82"}</definedName>
    <definedName name="あいあい" localSheetId="3" hidden="1">{"'Sheet2 (2)'!$AF$67","'Sheet2 (2)'!$A$1:$Z$82"}</definedName>
    <definedName name="あいあい" localSheetId="6" hidden="1">{"'Sheet2 (2)'!$AF$67","'Sheet2 (2)'!$A$1:$Z$82"}</definedName>
    <definedName name="あいあい" localSheetId="4" hidden="1">{"'Sheet2 (2)'!$AF$67","'Sheet2 (2)'!$A$1:$Z$82"}</definedName>
    <definedName name="あいあい" localSheetId="5" hidden="1">{"'Sheet2 (2)'!$AF$67","'Sheet2 (2)'!$A$1:$Z$82"}</definedName>
    <definedName name="あいあい" localSheetId="2" hidden="1">{"'Sheet2 (2)'!$AF$67","'Sheet2 (2)'!$A$1:$Z$82"}</definedName>
    <definedName name="あいあい" localSheetId="7" hidden="1">{"'Sheet2 (2)'!$AF$67","'Sheet2 (2)'!$A$1:$Z$82"}</definedName>
    <definedName name="あいあい" hidden="1">{"'Sheet2 (2)'!$AF$67","'Sheet2 (2)'!$A$1:$Z$82"}</definedName>
    <definedName name="いあいあ" localSheetId="8" hidden="1">{"'Sheet2 (2)'!$AF$67","'Sheet2 (2)'!$A$1:$Z$82"}</definedName>
    <definedName name="いあいあ" localSheetId="3" hidden="1">{"'Sheet2 (2)'!$AF$67","'Sheet2 (2)'!$A$1:$Z$82"}</definedName>
    <definedName name="いあいあ" localSheetId="6" hidden="1">{"'Sheet2 (2)'!$AF$67","'Sheet2 (2)'!$A$1:$Z$82"}</definedName>
    <definedName name="いあいあ" localSheetId="4" hidden="1">{"'Sheet2 (2)'!$AF$67","'Sheet2 (2)'!$A$1:$Z$82"}</definedName>
    <definedName name="いあいあ" localSheetId="5" hidden="1">{"'Sheet2 (2)'!$AF$67","'Sheet2 (2)'!$A$1:$Z$82"}</definedName>
    <definedName name="いあいあ" localSheetId="2" hidden="1">{"'Sheet2 (2)'!$AF$67","'Sheet2 (2)'!$A$1:$Z$82"}</definedName>
    <definedName name="いあいあ" localSheetId="7" hidden="1">{"'Sheet2 (2)'!$AF$67","'Sheet2 (2)'!$A$1:$Z$82"}</definedName>
    <definedName name="いあいあ" hidden="1">{"'Sheet2 (2)'!$AF$67","'Sheet2 (2)'!$A$1:$Z$82"}</definedName>
    <definedName name="いいいい" localSheetId="8" hidden="1">{"'Sheet2 (2)'!$AF$67","'Sheet2 (2)'!$A$1:$Z$82"}</definedName>
    <definedName name="いいいい" localSheetId="3" hidden="1">{"'Sheet2 (2)'!$AF$67","'Sheet2 (2)'!$A$1:$Z$82"}</definedName>
    <definedName name="いいいい" localSheetId="6" hidden="1">{"'Sheet2 (2)'!$AF$67","'Sheet2 (2)'!$A$1:$Z$82"}</definedName>
    <definedName name="いいいい" localSheetId="4" hidden="1">{"'Sheet2 (2)'!$AF$67","'Sheet2 (2)'!$A$1:$Z$82"}</definedName>
    <definedName name="いいいい" localSheetId="5" hidden="1">{"'Sheet2 (2)'!$AF$67","'Sheet2 (2)'!$A$1:$Z$82"}</definedName>
    <definedName name="いいいい" localSheetId="2" hidden="1">{"'Sheet2 (2)'!$AF$67","'Sheet2 (2)'!$A$1:$Z$82"}</definedName>
    <definedName name="いいいい" localSheetId="7" hidden="1">{"'Sheet2 (2)'!$AF$67","'Sheet2 (2)'!$A$1:$Z$82"}</definedName>
    <definedName name="いいいい" hidden="1">{"'Sheet2 (2)'!$AF$67","'Sheet2 (2)'!$A$1:$Z$82"}</definedName>
    <definedName name="サンプル" localSheetId="8" hidden="1">{"'Sheet2 (2)'!$AF$67","'Sheet2 (2)'!$A$1:$Z$82"}</definedName>
    <definedName name="サンプル" localSheetId="3" hidden="1">{"'Sheet2 (2)'!$AF$67","'Sheet2 (2)'!$A$1:$Z$82"}</definedName>
    <definedName name="サンプル" localSheetId="6" hidden="1">{"'Sheet2 (2)'!$AF$67","'Sheet2 (2)'!$A$1:$Z$82"}</definedName>
    <definedName name="サンプル" localSheetId="4" hidden="1">{"'Sheet2 (2)'!$AF$67","'Sheet2 (2)'!$A$1:$Z$82"}</definedName>
    <definedName name="サンプル" localSheetId="5" hidden="1">{"'Sheet2 (2)'!$AF$67","'Sheet2 (2)'!$A$1:$Z$82"}</definedName>
    <definedName name="サンプル" localSheetId="2" hidden="1">{"'Sheet2 (2)'!$AF$67","'Sheet2 (2)'!$A$1:$Z$82"}</definedName>
    <definedName name="サンプル" localSheetId="7" hidden="1">{"'Sheet2 (2)'!$AF$67","'Sheet2 (2)'!$A$1:$Z$82"}</definedName>
    <definedName name="サンプル" hidden="1">{"'Sheet2 (2)'!$AF$67","'Sheet2 (2)'!$A$1:$Z$82"}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3" l="1"/>
  <c r="D19" i="3"/>
  <c r="W1" i="8" l="1"/>
  <c r="W1" i="7" s="1"/>
  <c r="W1" i="6" s="1"/>
  <c r="W1" i="5" s="1"/>
  <c r="W1" i="4" s="1"/>
  <c r="W1" i="3" s="1"/>
  <c r="O119" i="3" l="1"/>
  <c r="O119" i="4"/>
  <c r="O122" i="5"/>
  <c r="O119" i="6"/>
  <c r="O122" i="7"/>
  <c r="O122" i="8"/>
  <c r="F40" i="5" l="1"/>
  <c r="F36" i="4"/>
  <c r="I120" i="4"/>
  <c r="D19" i="2" l="1"/>
  <c r="D28" i="2"/>
  <c r="D27" i="2"/>
  <c r="D26" i="2"/>
  <c r="D25" i="2"/>
  <c r="D24" i="2"/>
  <c r="D23" i="2"/>
  <c r="D22" i="2"/>
  <c r="D21" i="2"/>
  <c r="D20" i="2"/>
  <c r="R122" i="7" l="1"/>
  <c r="R119" i="3" l="1"/>
  <c r="R119" i="4"/>
  <c r="R122" i="5"/>
  <c r="R119" i="6"/>
  <c r="R122" i="8"/>
  <c r="G47" i="5" l="1"/>
  <c r="F40" i="8" l="1"/>
  <c r="I123" i="8" s="1"/>
  <c r="W42" i="8" l="1"/>
  <c r="J40" i="5" l="1"/>
  <c r="J120" i="5" l="1"/>
  <c r="J117" i="3"/>
  <c r="N117" i="3" s="1"/>
  <c r="E117" i="3"/>
  <c r="L120" i="4" l="1"/>
  <c r="F36" i="3"/>
  <c r="I120" i="3" s="1"/>
  <c r="J40" i="8"/>
  <c r="N40" i="8" s="1"/>
  <c r="J40" i="7"/>
  <c r="F40" i="7"/>
  <c r="I123" i="7" s="1"/>
  <c r="J36" i="6"/>
  <c r="F36" i="6"/>
  <c r="I120" i="6" s="1"/>
  <c r="J36" i="4"/>
  <c r="N36" i="4" s="1"/>
  <c r="R127" i="3"/>
  <c r="W38" i="3"/>
  <c r="W38" i="4"/>
  <c r="W42" i="5"/>
  <c r="W38" i="6"/>
  <c r="W42" i="7"/>
  <c r="J127" i="3"/>
  <c r="G49" i="8"/>
  <c r="W48" i="8" s="1"/>
  <c r="N40" i="7" l="1"/>
  <c r="L123" i="8"/>
  <c r="L123" i="7"/>
  <c r="L120" i="3"/>
  <c r="N40" i="5"/>
  <c r="N36" i="6"/>
  <c r="L120" i="6"/>
  <c r="R130" i="8"/>
  <c r="J130" i="8"/>
  <c r="R130" i="7"/>
  <c r="J130" i="7"/>
  <c r="R127" i="6"/>
  <c r="J127" i="6"/>
  <c r="R127" i="4"/>
  <c r="J127" i="4"/>
  <c r="J130" i="5" l="1"/>
  <c r="R130" i="5"/>
  <c r="J36" i="3" l="1"/>
  <c r="N36" i="3" s="1"/>
  <c r="O94" i="8" l="1"/>
  <c r="K124" i="8" l="1"/>
  <c r="L19" i="7" l="1"/>
  <c r="L19" i="5"/>
  <c r="L20" i="7"/>
  <c r="L20" i="8"/>
  <c r="L17" i="8"/>
  <c r="L12" i="8"/>
  <c r="L15" i="5"/>
  <c r="L16" i="5"/>
  <c r="L17" i="5"/>
  <c r="L18" i="5"/>
  <c r="L20" i="5"/>
  <c r="L15" i="7"/>
  <c r="L16" i="7"/>
  <c r="L17" i="7"/>
  <c r="L18" i="7"/>
  <c r="L14" i="7"/>
  <c r="L18" i="8"/>
  <c r="L15" i="8"/>
  <c r="L16" i="8"/>
  <c r="L19" i="8"/>
  <c r="L14" i="8"/>
  <c r="L13" i="8"/>
  <c r="L12" i="7"/>
  <c r="L13" i="5"/>
  <c r="L12" i="5"/>
  <c r="K21" i="8" l="1"/>
  <c r="K22" i="8" s="1"/>
  <c r="J37" i="8" s="1"/>
  <c r="N6" i="3" l="1"/>
  <c r="N5" i="3"/>
  <c r="J120" i="8" l="1"/>
  <c r="N120" i="8" s="1"/>
  <c r="E124" i="8" s="1"/>
  <c r="E120" i="8"/>
  <c r="O111" i="8"/>
  <c r="L111" i="8"/>
  <c r="O104" i="8"/>
  <c r="C97" i="8"/>
  <c r="N101" i="8" s="1"/>
  <c r="L94" i="8"/>
  <c r="O87" i="8"/>
  <c r="C80" i="8"/>
  <c r="N84" i="8" s="1"/>
  <c r="G69" i="8"/>
  <c r="B69" i="8"/>
  <c r="H56" i="8"/>
  <c r="I54" i="8"/>
  <c r="G47" i="8"/>
  <c r="W46" i="8" s="1"/>
  <c r="K44" i="8"/>
  <c r="G44" i="8"/>
  <c r="W34" i="8"/>
  <c r="M29" i="8"/>
  <c r="F27" i="8" s="1"/>
  <c r="P28" i="8"/>
  <c r="M28" i="8"/>
  <c r="H27" i="8"/>
  <c r="K124" i="7"/>
  <c r="J120" i="7"/>
  <c r="N120" i="7" s="1"/>
  <c r="E124" i="7" s="1"/>
  <c r="E120" i="7"/>
  <c r="O111" i="7"/>
  <c r="L111" i="7"/>
  <c r="O104" i="7"/>
  <c r="C97" i="7"/>
  <c r="N101" i="7" s="1"/>
  <c r="O94" i="7"/>
  <c r="L94" i="7"/>
  <c r="O87" i="7"/>
  <c r="C80" i="7"/>
  <c r="N84" i="7" s="1"/>
  <c r="G69" i="7"/>
  <c r="B69" i="7"/>
  <c r="H56" i="7"/>
  <c r="I54" i="7"/>
  <c r="G49" i="7"/>
  <c r="W48" i="7" s="1"/>
  <c r="G47" i="7"/>
  <c r="W46" i="7" s="1"/>
  <c r="K44" i="7"/>
  <c r="G44" i="7"/>
  <c r="W34" i="7"/>
  <c r="M29" i="7"/>
  <c r="F27" i="7" s="1"/>
  <c r="P28" i="7"/>
  <c r="M28" i="7"/>
  <c r="H27" i="7"/>
  <c r="L13" i="7"/>
  <c r="K21" i="7" s="1"/>
  <c r="K22" i="7" s="1"/>
  <c r="F35" i="7" s="1"/>
  <c r="K121" i="6"/>
  <c r="O108" i="6"/>
  <c r="L108" i="6"/>
  <c r="O101" i="6"/>
  <c r="C94" i="6"/>
  <c r="N98" i="6" s="1"/>
  <c r="O91" i="6"/>
  <c r="L91" i="6"/>
  <c r="O84" i="6"/>
  <c r="C77" i="6"/>
  <c r="N81" i="6" s="1"/>
  <c r="G65" i="6"/>
  <c r="H52" i="6"/>
  <c r="I50" i="6"/>
  <c r="F26" i="6"/>
  <c r="J33" i="6" s="1"/>
  <c r="N120" i="5"/>
  <c r="E124" i="5" s="1"/>
  <c r="E120" i="5"/>
  <c r="O111" i="5"/>
  <c r="L111" i="5"/>
  <c r="O104" i="5"/>
  <c r="C97" i="5"/>
  <c r="L104" i="5" s="1"/>
  <c r="O94" i="5"/>
  <c r="L94" i="5"/>
  <c r="O87" i="5"/>
  <c r="C80" i="5"/>
  <c r="N84" i="5" s="1"/>
  <c r="G69" i="5"/>
  <c r="B69" i="5"/>
  <c r="H56" i="5"/>
  <c r="I54" i="5"/>
  <c r="G49" i="5"/>
  <c r="W48" i="5" s="1"/>
  <c r="W46" i="5"/>
  <c r="K44" i="5"/>
  <c r="G44" i="5"/>
  <c r="W34" i="5"/>
  <c r="M29" i="5"/>
  <c r="F27" i="5" s="1"/>
  <c r="P28" i="5"/>
  <c r="M28" i="5"/>
  <c r="H27" i="5"/>
  <c r="L14" i="5"/>
  <c r="K21" i="5" s="1"/>
  <c r="K22" i="5" s="1"/>
  <c r="K121" i="4"/>
  <c r="J117" i="4"/>
  <c r="N117" i="4" s="1"/>
  <c r="E121" i="4" s="1"/>
  <c r="E117" i="4"/>
  <c r="O108" i="4"/>
  <c r="L108" i="4"/>
  <c r="O101" i="4"/>
  <c r="C94" i="4"/>
  <c r="N98" i="4" s="1"/>
  <c r="O91" i="4"/>
  <c r="L91" i="4"/>
  <c r="O84" i="4"/>
  <c r="C77" i="4"/>
  <c r="N81" i="4" s="1"/>
  <c r="G65" i="4"/>
  <c r="B65" i="4"/>
  <c r="H52" i="4"/>
  <c r="I50" i="4"/>
  <c r="G45" i="4"/>
  <c r="W44" i="4" s="1"/>
  <c r="G43" i="4"/>
  <c r="W42" i="4" s="1"/>
  <c r="K40" i="4"/>
  <c r="G40" i="4"/>
  <c r="W30" i="4"/>
  <c r="G14" i="4"/>
  <c r="D14" i="4"/>
  <c r="K121" i="3"/>
  <c r="E121" i="3"/>
  <c r="O108" i="3"/>
  <c r="L108" i="3"/>
  <c r="O101" i="3"/>
  <c r="C94" i="3"/>
  <c r="N98" i="3" s="1"/>
  <c r="O91" i="3"/>
  <c r="L91" i="3"/>
  <c r="O84" i="3"/>
  <c r="C77" i="3"/>
  <c r="N81" i="3" s="1"/>
  <c r="G65" i="3"/>
  <c r="B65" i="3"/>
  <c r="H52" i="3"/>
  <c r="I50" i="3"/>
  <c r="G45" i="3"/>
  <c r="W44" i="3" s="1"/>
  <c r="G43" i="3"/>
  <c r="W42" i="3" s="1"/>
  <c r="K40" i="3"/>
  <c r="G40" i="3"/>
  <c r="W29" i="3"/>
  <c r="J11" i="3"/>
  <c r="D12" i="3" s="1"/>
  <c r="D13" i="3" s="1"/>
  <c r="K33" i="3" s="1"/>
  <c r="H34" i="3" s="1"/>
  <c r="G133" i="3" s="1"/>
  <c r="N135" i="3" s="1"/>
  <c r="J5" i="3"/>
  <c r="L105" i="4" l="1"/>
  <c r="D15" i="4"/>
  <c r="D16" i="4" s="1"/>
  <c r="J33" i="4" s="1"/>
  <c r="E134" i="3"/>
  <c r="W32" i="3"/>
  <c r="H33" i="3"/>
  <c r="L88" i="3"/>
  <c r="L105" i="3"/>
  <c r="H124" i="5"/>
  <c r="H124" i="8"/>
  <c r="N124" i="8" s="1"/>
  <c r="N129" i="8" s="1"/>
  <c r="H121" i="3"/>
  <c r="H121" i="4"/>
  <c r="N121" i="4" s="1"/>
  <c r="L88" i="4"/>
  <c r="L91" i="8"/>
  <c r="L108" i="8"/>
  <c r="L88" i="6"/>
  <c r="L105" i="6"/>
  <c r="H121" i="6"/>
  <c r="H124" i="7"/>
  <c r="N124" i="7" s="1"/>
  <c r="N129" i="7" s="1"/>
  <c r="S28" i="7"/>
  <c r="D27" i="7" s="1"/>
  <c r="L108" i="7"/>
  <c r="S28" i="8"/>
  <c r="D28" i="8" s="1"/>
  <c r="L91" i="7"/>
  <c r="S28" i="5"/>
  <c r="L105" i="5"/>
  <c r="L101" i="5" s="1"/>
  <c r="N101" i="5"/>
  <c r="L91" i="5"/>
  <c r="L108" i="5"/>
  <c r="C82" i="8"/>
  <c r="Q84" i="8" s="1"/>
  <c r="O91" i="8" s="1"/>
  <c r="L87" i="8"/>
  <c r="L88" i="8" s="1"/>
  <c r="L84" i="8" s="1"/>
  <c r="C99" i="8"/>
  <c r="Q101" i="8" s="1"/>
  <c r="O108" i="8" s="1"/>
  <c r="L104" i="8"/>
  <c r="L105" i="8" s="1"/>
  <c r="L101" i="8" s="1"/>
  <c r="C82" i="7"/>
  <c r="Q84" i="7" s="1"/>
  <c r="O91" i="7" s="1"/>
  <c r="L87" i="7"/>
  <c r="L88" i="7" s="1"/>
  <c r="L84" i="7" s="1"/>
  <c r="C99" i="7"/>
  <c r="Q101" i="7" s="1"/>
  <c r="O108" i="7" s="1"/>
  <c r="L104" i="7"/>
  <c r="L105" i="7" s="1"/>
  <c r="L101" i="7" s="1"/>
  <c r="J117" i="6"/>
  <c r="N117" i="6" s="1"/>
  <c r="E121" i="6" s="1"/>
  <c r="G45" i="6"/>
  <c r="W44" i="6" s="1"/>
  <c r="K40" i="6"/>
  <c r="E117" i="6"/>
  <c r="G40" i="6"/>
  <c r="W30" i="6"/>
  <c r="C96" i="6"/>
  <c r="Q98" i="6" s="1"/>
  <c r="O105" i="6" s="1"/>
  <c r="G43" i="6"/>
  <c r="W42" i="6" s="1"/>
  <c r="C79" i="6"/>
  <c r="Q81" i="6" s="1"/>
  <c r="O88" i="6" s="1"/>
  <c r="B65" i="6"/>
  <c r="L84" i="6"/>
  <c r="L85" i="6" s="1"/>
  <c r="L81" i="6" s="1"/>
  <c r="L101" i="6"/>
  <c r="L102" i="6" s="1"/>
  <c r="L98" i="6" s="1"/>
  <c r="C82" i="5"/>
  <c r="Q84" i="5" s="1"/>
  <c r="O91" i="5" s="1"/>
  <c r="L87" i="5"/>
  <c r="L88" i="5" s="1"/>
  <c r="L84" i="5" s="1"/>
  <c r="C99" i="5"/>
  <c r="Q101" i="5" s="1"/>
  <c r="O108" i="5" s="1"/>
  <c r="C79" i="4"/>
  <c r="Q81" i="4" s="1"/>
  <c r="O88" i="4" s="1"/>
  <c r="L84" i="4"/>
  <c r="L85" i="4" s="1"/>
  <c r="L81" i="4" s="1"/>
  <c r="C96" i="4"/>
  <c r="Q98" i="4" s="1"/>
  <c r="O105" i="4" s="1"/>
  <c r="L101" i="4"/>
  <c r="L102" i="4" s="1"/>
  <c r="L98" i="4" s="1"/>
  <c r="L17" i="3"/>
  <c r="H30" i="3" s="1"/>
  <c r="C79" i="3"/>
  <c r="Q81" i="3" s="1"/>
  <c r="O88" i="3" s="1"/>
  <c r="L89" i="3" s="1"/>
  <c r="L77" i="3" s="1"/>
  <c r="L84" i="3"/>
  <c r="L85" i="3" s="1"/>
  <c r="L81" i="3" s="1"/>
  <c r="C96" i="3"/>
  <c r="Q98" i="3" s="1"/>
  <c r="O105" i="3" s="1"/>
  <c r="L101" i="3"/>
  <c r="L102" i="3" s="1"/>
  <c r="L98" i="3" s="1"/>
  <c r="N126" i="4" l="1"/>
  <c r="N121" i="3"/>
  <c r="N126" i="3" s="1"/>
  <c r="L92" i="8"/>
  <c r="L80" i="8" s="1"/>
  <c r="O33" i="4"/>
  <c r="L102" i="7"/>
  <c r="J97" i="7" s="1"/>
  <c r="O33" i="6"/>
  <c r="H34" i="6" s="1"/>
  <c r="G133" i="6" s="1"/>
  <c r="N135" i="6" s="1"/>
  <c r="H134" i="3"/>
  <c r="K134" i="3"/>
  <c r="J134" i="3"/>
  <c r="M134" i="3"/>
  <c r="H129" i="8"/>
  <c r="J129" i="8"/>
  <c r="E129" i="8"/>
  <c r="P134" i="3"/>
  <c r="H126" i="4"/>
  <c r="E126" i="4"/>
  <c r="J126" i="4"/>
  <c r="L89" i="4"/>
  <c r="L77" i="4" s="1"/>
  <c r="J129" i="7"/>
  <c r="E129" i="7"/>
  <c r="H129" i="7"/>
  <c r="J126" i="3"/>
  <c r="H126" i="3"/>
  <c r="K124" i="4"/>
  <c r="H124" i="4"/>
  <c r="L82" i="4"/>
  <c r="J77" i="4" s="1"/>
  <c r="C125" i="7"/>
  <c r="L99" i="6"/>
  <c r="J94" i="6" s="1"/>
  <c r="L102" i="8"/>
  <c r="J97" i="8" s="1"/>
  <c r="L99" i="3"/>
  <c r="J94" i="3" s="1"/>
  <c r="E135" i="3"/>
  <c r="J135" i="3"/>
  <c r="J74" i="4"/>
  <c r="O50" i="4" s="1"/>
  <c r="D27" i="5"/>
  <c r="D28" i="5"/>
  <c r="F35" i="5" s="1"/>
  <c r="L89" i="6"/>
  <c r="L77" i="6" s="1"/>
  <c r="L92" i="7"/>
  <c r="L80" i="7" s="1"/>
  <c r="D28" i="7"/>
  <c r="J128" i="8"/>
  <c r="D27" i="8"/>
  <c r="J124" i="3"/>
  <c r="L82" i="6"/>
  <c r="J77" i="6" s="1"/>
  <c r="J74" i="6"/>
  <c r="O50" i="6" s="1"/>
  <c r="N121" i="6"/>
  <c r="N126" i="6" s="1"/>
  <c r="D127" i="8"/>
  <c r="J127" i="8"/>
  <c r="C125" i="8"/>
  <c r="B126" i="8"/>
  <c r="E127" i="8"/>
  <c r="H127" i="8"/>
  <c r="G127" i="8"/>
  <c r="J77" i="7"/>
  <c r="O54" i="7" s="1"/>
  <c r="E128" i="8"/>
  <c r="G128" i="8"/>
  <c r="M127" i="8"/>
  <c r="M128" i="8"/>
  <c r="Q128" i="8"/>
  <c r="L92" i="5"/>
  <c r="L80" i="5" s="1"/>
  <c r="Q125" i="3"/>
  <c r="G125" i="3"/>
  <c r="D124" i="3"/>
  <c r="C122" i="3"/>
  <c r="L85" i="7"/>
  <c r="J80" i="7" s="1"/>
  <c r="L85" i="8"/>
  <c r="J80" i="8" s="1"/>
  <c r="I35" i="7"/>
  <c r="J37" i="7"/>
  <c r="O37" i="7"/>
  <c r="H38" i="7" s="1"/>
  <c r="G136" i="7" s="1"/>
  <c r="N138" i="7" s="1"/>
  <c r="F35" i="8"/>
  <c r="O37" i="8"/>
  <c r="H38" i="8" s="1"/>
  <c r="G136" i="8" s="1"/>
  <c r="I35" i="8"/>
  <c r="I31" i="4"/>
  <c r="F31" i="4"/>
  <c r="J77" i="5"/>
  <c r="O54" i="5" s="1"/>
  <c r="L85" i="5"/>
  <c r="J80" i="5" s="1"/>
  <c r="J77" i="8"/>
  <c r="O54" i="8" s="1"/>
  <c r="L109" i="8"/>
  <c r="L97" i="8" s="1"/>
  <c r="J128" i="7"/>
  <c r="M127" i="7"/>
  <c r="G127" i="7"/>
  <c r="Q128" i="7"/>
  <c r="E127" i="7"/>
  <c r="M128" i="7"/>
  <c r="G128" i="7"/>
  <c r="J127" i="7"/>
  <c r="D127" i="7"/>
  <c r="E128" i="7"/>
  <c r="H127" i="7"/>
  <c r="B126" i="7"/>
  <c r="L109" i="7"/>
  <c r="L97" i="7" s="1"/>
  <c r="J98" i="7" s="1"/>
  <c r="L106" i="6"/>
  <c r="L94" i="6" s="1"/>
  <c r="L109" i="5"/>
  <c r="L97" i="5" s="1"/>
  <c r="L102" i="5"/>
  <c r="J97" i="5" s="1"/>
  <c r="J125" i="4"/>
  <c r="M124" i="4"/>
  <c r="G124" i="4"/>
  <c r="C122" i="4"/>
  <c r="Q125" i="4"/>
  <c r="E124" i="4"/>
  <c r="E125" i="4"/>
  <c r="B123" i="4"/>
  <c r="M125" i="4"/>
  <c r="G125" i="4"/>
  <c r="J124" i="4"/>
  <c r="D124" i="4"/>
  <c r="L106" i="4"/>
  <c r="L94" i="4" s="1"/>
  <c r="L99" i="4"/>
  <c r="J94" i="4" s="1"/>
  <c r="J74" i="3"/>
  <c r="O50" i="3" s="1"/>
  <c r="G134" i="3"/>
  <c r="L82" i="3"/>
  <c r="J77" i="3" s="1"/>
  <c r="J78" i="3" s="1"/>
  <c r="L106" i="3"/>
  <c r="L94" i="3" s="1"/>
  <c r="B123" i="3" l="1"/>
  <c r="M124" i="3"/>
  <c r="E124" i="3"/>
  <c r="M125" i="3"/>
  <c r="G124" i="3"/>
  <c r="E125" i="3"/>
  <c r="J125" i="3"/>
  <c r="H124" i="3"/>
  <c r="E126" i="3"/>
  <c r="E137" i="8"/>
  <c r="N138" i="8"/>
  <c r="H34" i="4"/>
  <c r="G133" i="4" s="1"/>
  <c r="N135" i="4" s="1"/>
  <c r="W33" i="6"/>
  <c r="J81" i="8"/>
  <c r="J78" i="4"/>
  <c r="H127" i="4"/>
  <c r="W37" i="7"/>
  <c r="H137" i="7"/>
  <c r="J95" i="6"/>
  <c r="N134" i="3"/>
  <c r="K127" i="7"/>
  <c r="H128" i="7" s="1"/>
  <c r="K128" i="7" s="1"/>
  <c r="H130" i="7" s="1"/>
  <c r="J81" i="7"/>
  <c r="L54" i="7" s="1"/>
  <c r="I55" i="7" s="1"/>
  <c r="I57" i="7" s="1"/>
  <c r="I58" i="7" s="1"/>
  <c r="G59" i="7" s="1"/>
  <c r="K134" i="4"/>
  <c r="H134" i="4"/>
  <c r="G134" i="4"/>
  <c r="P134" i="4"/>
  <c r="E134" i="4"/>
  <c r="M134" i="4"/>
  <c r="J134" i="4"/>
  <c r="M134" i="6"/>
  <c r="J134" i="6"/>
  <c r="H134" i="6"/>
  <c r="K134" i="6"/>
  <c r="P134" i="6"/>
  <c r="J81" i="5"/>
  <c r="J95" i="4"/>
  <c r="L50" i="4" s="1"/>
  <c r="I51" i="4" s="1"/>
  <c r="I53" i="4" s="1"/>
  <c r="I54" i="4" s="1"/>
  <c r="E126" i="6"/>
  <c r="J126" i="6"/>
  <c r="H126" i="6"/>
  <c r="W37" i="8"/>
  <c r="H125" i="4"/>
  <c r="K125" i="4" s="1"/>
  <c r="K124" i="3"/>
  <c r="H125" i="3" s="1"/>
  <c r="J95" i="3"/>
  <c r="L50" i="3" s="1"/>
  <c r="I51" i="3" s="1"/>
  <c r="I53" i="3" s="1"/>
  <c r="I54" i="3" s="1"/>
  <c r="J98" i="8"/>
  <c r="L54" i="8" s="1"/>
  <c r="I55" i="8" s="1"/>
  <c r="I57" i="8" s="1"/>
  <c r="I58" i="8" s="1"/>
  <c r="G59" i="8" s="1"/>
  <c r="W53" i="8" s="1"/>
  <c r="M124" i="6"/>
  <c r="J135" i="4"/>
  <c r="E135" i="4"/>
  <c r="I35" i="5"/>
  <c r="J37" i="5"/>
  <c r="O37" i="5"/>
  <c r="H38" i="5" s="1"/>
  <c r="G136" i="5" s="1"/>
  <c r="N138" i="5" s="1"/>
  <c r="J78" i="6"/>
  <c r="E135" i="6"/>
  <c r="J135" i="6"/>
  <c r="B123" i="6"/>
  <c r="K125" i="6"/>
  <c r="Q125" i="6"/>
  <c r="D124" i="6"/>
  <c r="C122" i="6"/>
  <c r="E124" i="6"/>
  <c r="M125" i="6"/>
  <c r="J125" i="6"/>
  <c r="H124" i="6"/>
  <c r="J124" i="6"/>
  <c r="K124" i="6"/>
  <c r="G124" i="6"/>
  <c r="E125" i="6"/>
  <c r="G125" i="6"/>
  <c r="H125" i="6"/>
  <c r="K127" i="8"/>
  <c r="J98" i="5"/>
  <c r="G134" i="6"/>
  <c r="E134" i="6"/>
  <c r="W33" i="4" l="1"/>
  <c r="W37" i="5"/>
  <c r="K69" i="7"/>
  <c r="W53" i="7"/>
  <c r="L50" i="6"/>
  <c r="I51" i="6" s="1"/>
  <c r="I53" i="6" s="1"/>
  <c r="I54" i="6" s="1"/>
  <c r="G55" i="6" s="1"/>
  <c r="N134" i="4"/>
  <c r="H135" i="4" s="1"/>
  <c r="H136" i="4" s="1"/>
  <c r="G55" i="4"/>
  <c r="G55" i="3"/>
  <c r="M137" i="7"/>
  <c r="K137" i="7"/>
  <c r="P137" i="7"/>
  <c r="J137" i="7"/>
  <c r="L54" i="5"/>
  <c r="I55" i="5" s="1"/>
  <c r="I57" i="5" s="1"/>
  <c r="I58" i="5" s="1"/>
  <c r="G59" i="5" s="1"/>
  <c r="N134" i="6"/>
  <c r="H135" i="6" s="1"/>
  <c r="H136" i="6" s="1"/>
  <c r="H127" i="6"/>
  <c r="J138" i="7"/>
  <c r="E138" i="7"/>
  <c r="H128" i="8"/>
  <c r="K128" i="8" s="1"/>
  <c r="H130" i="8" s="1"/>
  <c r="E137" i="7"/>
  <c r="G137" i="7"/>
  <c r="K65" i="3" l="1"/>
  <c r="W49" i="3"/>
  <c r="K65" i="4"/>
  <c r="W49" i="4"/>
  <c r="K69" i="5"/>
  <c r="W53" i="5"/>
  <c r="K65" i="6"/>
  <c r="W49" i="6"/>
  <c r="N137" i="7"/>
  <c r="K69" i="8"/>
  <c r="H137" i="5"/>
  <c r="M137" i="5"/>
  <c r="J137" i="5"/>
  <c r="P137" i="5"/>
  <c r="K125" i="3"/>
  <c r="H127" i="3" s="1"/>
  <c r="M137" i="8"/>
  <c r="K137" i="8"/>
  <c r="P137" i="8"/>
  <c r="J137" i="8"/>
  <c r="H137" i="8"/>
  <c r="E138" i="8"/>
  <c r="G137" i="8"/>
  <c r="J138" i="8"/>
  <c r="H135" i="3"/>
  <c r="H136" i="3" s="1"/>
  <c r="E138" i="5"/>
  <c r="E137" i="5"/>
  <c r="J138" i="5"/>
  <c r="G137" i="5"/>
  <c r="N137" i="8" l="1"/>
  <c r="H138" i="8" s="1"/>
  <c r="H139" i="8" s="1"/>
  <c r="H138" i="7"/>
  <c r="H139" i="7" s="1"/>
  <c r="L123" i="5"/>
  <c r="K124" i="5" s="1"/>
  <c r="N124" i="5" s="1"/>
  <c r="Q128" i="5" l="1"/>
  <c r="J128" i="5"/>
  <c r="G128" i="5"/>
  <c r="K127" i="5"/>
  <c r="H127" i="5"/>
  <c r="H128" i="5"/>
  <c r="E128" i="5"/>
  <c r="J127" i="5"/>
  <c r="M128" i="5"/>
  <c r="H129" i="5"/>
  <c r="M127" i="5"/>
  <c r="J129" i="5"/>
  <c r="C125" i="5"/>
  <c r="E127" i="5"/>
  <c r="D127" i="5"/>
  <c r="N129" i="5"/>
  <c r="B126" i="5"/>
  <c r="G127" i="5"/>
  <c r="K128" i="5"/>
  <c r="E129" i="5"/>
  <c r="K137" i="5"/>
  <c r="N137" i="5" s="1"/>
  <c r="H138" i="5" s="1"/>
  <c r="H139" i="5" s="1"/>
  <c r="I123" i="5"/>
  <c r="H130" i="5" l="1"/>
</calcChain>
</file>

<file path=xl/comments1.xml><?xml version="1.0" encoding="utf-8"?>
<comments xmlns="http://schemas.openxmlformats.org/spreadsheetml/2006/main">
  <authors>
    <author>sc15323</author>
  </authors>
  <commentList>
    <comment ref="C28" authorId="0" shapeId="0">
      <text>
        <r>
          <rPr>
            <b/>
            <sz val="9"/>
            <color indexed="81"/>
            <rFont val="ＭＳ Ｐゴシック"/>
            <family val="3"/>
            <charset val="128"/>
          </rPr>
          <t>コメント</t>
        </r>
      </text>
    </comment>
  </commentList>
</comments>
</file>

<file path=xl/comments2.xml><?xml version="1.0" encoding="utf-8"?>
<comments xmlns="http://schemas.openxmlformats.org/spreadsheetml/2006/main">
  <authors>
    <author>sc15323</author>
  </authors>
  <commentList>
    <comment ref="C28" authorId="0" shapeId="0">
      <text>
        <r>
          <rPr>
            <b/>
            <sz val="9"/>
            <color indexed="81"/>
            <rFont val="ＭＳ Ｐゴシック"/>
            <family val="3"/>
            <charset val="128"/>
          </rPr>
          <t>コメント</t>
        </r>
      </text>
    </comment>
  </commentList>
</comments>
</file>

<file path=xl/comments3.xml><?xml version="1.0" encoding="utf-8"?>
<comments xmlns="http://schemas.openxmlformats.org/spreadsheetml/2006/main">
  <authors>
    <author>sc15323</author>
  </authors>
  <commentList>
    <comment ref="AM18" authorId="0" shapeId="0">
      <text>
        <r>
          <rPr>
            <sz val="9"/>
            <color indexed="81"/>
            <rFont val="ＭＳ Ｐゴシック"/>
            <family val="3"/>
            <charset val="128"/>
          </rPr>
          <t>・備考欄はメモとして使用してください。
・排水槽が既設の場合は，既設と表記してください。</t>
        </r>
      </text>
    </comment>
  </commentList>
</comments>
</file>

<file path=xl/comments4.xml><?xml version="1.0" encoding="utf-8"?>
<comments xmlns="http://schemas.openxmlformats.org/spreadsheetml/2006/main">
  <authors>
    <author>sc15186</author>
    <author>sc15323</author>
  </authors>
  <commentList>
    <comment ref="E1" authorId="0" shapeId="0">
      <text>
        <r>
          <rPr>
            <sz val="10"/>
            <color indexed="81"/>
            <rFont val="ＭＳ Ｐゴシック"/>
            <family val="3"/>
            <charset val="128"/>
          </rPr>
          <t>同じ種別の槽を複数設置する場合，槽番号を入力すること。</t>
        </r>
      </text>
    </comment>
    <comment ref="O8" authorId="1" shapeId="0">
      <text>
        <r>
          <rPr>
            <sz val="11"/>
            <color indexed="81"/>
            <rFont val="ＭＳ Ｐゴシック"/>
            <family val="3"/>
            <charset val="128"/>
          </rPr>
          <t>・例①，例②の面積計算や補足等を行う場合は備考欄に記載すること。
・例①を使用する際，入力行が足らない場合は備考欄に計算過程を記載し合算値で入力すること。
・例①，例②以外の算出方法により最大汚水量を設定する場合は，備考欄または別紙に算出根拠を記載すること。（その際の入力方法は，例①を選択し，個数及び最大使用回数を１とし，同時使用率を１００とし，使用水量を算出した最大汚水量とする。）</t>
        </r>
      </text>
    </comment>
    <comment ref="F36" authorId="1" shapeId="0">
      <text>
        <r>
          <rPr>
            <sz val="10"/>
            <color indexed="81"/>
            <rFont val="ＭＳ Ｐゴシック"/>
            <family val="3"/>
            <charset val="128"/>
          </rPr>
          <t>上記の間でﾎﾟﾝﾌﾟ能力を設定する。（目安）</t>
        </r>
      </text>
    </comment>
    <comment ref="H38" authorId="1" shapeId="0">
      <text>
        <r>
          <rPr>
            <sz val="9"/>
            <color indexed="81"/>
            <rFont val="ＭＳ Ｐゴシック"/>
            <family val="3"/>
            <charset val="128"/>
          </rPr>
          <t>直接入力する場合は上記計算結果の値以上にすること</t>
        </r>
      </text>
    </comment>
    <comment ref="F40" authorId="1" shapeId="0">
      <text>
        <r>
          <rPr>
            <sz val="11"/>
            <color indexed="81"/>
            <rFont val="ＭＳ Ｐゴシック"/>
            <family val="3"/>
            <charset val="128"/>
          </rPr>
          <t xml:space="preserve">底面積
</t>
        </r>
      </text>
    </comment>
    <comment ref="J40" authorId="1" shapeId="0">
      <text>
        <r>
          <rPr>
            <sz val="11"/>
            <color indexed="81"/>
            <rFont val="ＭＳ Ｐゴシック"/>
            <family val="3"/>
            <charset val="128"/>
          </rPr>
          <t>高さ</t>
        </r>
      </text>
    </comment>
    <comment ref="E41" authorId="1" shapeId="0">
      <text>
        <r>
          <rPr>
            <sz val="10"/>
            <color indexed="81"/>
            <rFont val="ＭＳ Ｐゴシック"/>
            <family val="3"/>
            <charset val="128"/>
          </rPr>
          <t xml:space="preserve">・四角い排水槽なら内空の３辺の積で求めること。（計算根拠の値を入力すると求められます（デフォルト計算））
・異形の排水槽なら面積×高さ 等で計算して下さい。（デフォルト計算を適宜修正して下さい）。
・根拠の確認できるよう，構造図や平面図で値を明記すること。
・簡略のため槽勾配の計算は無視すること。
・排水層の大きさが有効容量の1.5倍以上にならず，適否が×になれば，釜場の大きさ（停止水位以上分）を合算しても良い。その場合は基準欄に釜場の大きさｍ3を入力すること。
・計算根拠の入力欄に書ききれない場合は，備考欄や別紙に計算根拠等を記載すること。その場合は備考欄による又は別紙○○図による等を書くこと。
</t>
        </r>
      </text>
    </comment>
    <comment ref="F51" authorId="1" shapeId="0">
      <text>
        <r>
          <rPr>
            <b/>
            <sz val="11"/>
            <color indexed="81"/>
            <rFont val="ＭＳ Ｐゴシック"/>
            <family val="3"/>
            <charset val="128"/>
          </rPr>
          <t>例
緊急時に備え，流速の基準内に収まる管径よりも大きな管径を設定したいという施主の意向のためである。</t>
        </r>
      </text>
    </comment>
    <comment ref="C83" authorId="1" shapeId="0">
      <text>
        <r>
          <rPr>
            <sz val="9"/>
            <color indexed="81"/>
            <rFont val="ＭＳ Ｐゴシック"/>
            <family val="3"/>
            <charset val="128"/>
          </rPr>
          <t>塩ビ管の場合0.01
コンクリート管の場合0.013</t>
        </r>
      </text>
    </comment>
    <comment ref="C100" authorId="1" shapeId="0">
      <text>
        <r>
          <rPr>
            <sz val="9"/>
            <color indexed="81"/>
            <rFont val="ＭＳ Ｐゴシック"/>
            <family val="3"/>
            <charset val="128"/>
          </rPr>
          <t>塩ビ管の場合0.01
コンクリート管の場合0.013</t>
        </r>
      </text>
    </comment>
    <comment ref="E119" authorId="1" shapeId="0">
      <text>
        <r>
          <rPr>
            <sz val="9"/>
            <color indexed="81"/>
            <rFont val="ＭＳ Ｐゴシック"/>
            <family val="3"/>
            <charset val="128"/>
          </rPr>
          <t>２種類の選択肢から選ぶ
　①『釜場及び排水槽の形状から算出。（勾配の計算は省略）』　は基準通りの計算方法
　②『 基準である３分以内の設定でポンプメーカー仕様等による』　は基準通りの計算方法の値が表示されるが，基準内であれば任意の水位設定が可能</t>
        </r>
      </text>
    </comment>
    <comment ref="C122" authorId="1" shapeId="0">
      <text>
        <r>
          <rPr>
            <sz val="10"/>
            <color indexed="81"/>
            <rFont val="ＭＳ Ｐゴシック"/>
            <family val="3"/>
            <charset val="128"/>
          </rPr>
          <t>釜場がない場合，または円形の場合は寸法を 0 とし，下記の「排水槽の面積」に寸法に記載すること</t>
        </r>
      </text>
    </comment>
    <comment ref="L122" authorId="1" shapeId="0">
      <text>
        <r>
          <rPr>
            <sz val="11"/>
            <color indexed="81"/>
            <rFont val="ＭＳ Ｐゴシック"/>
            <family val="3"/>
            <charset val="128"/>
          </rPr>
          <t>釜場高さ</t>
        </r>
      </text>
    </comment>
    <comment ref="O122" authorId="1" shapeId="0">
      <text>
        <r>
          <rPr>
            <sz val="11"/>
            <color indexed="81"/>
            <rFont val="ＭＳ Ｐゴシック"/>
            <family val="3"/>
            <charset val="128"/>
          </rPr>
          <t>停止水位の高さ（滞留分）</t>
        </r>
      </text>
    </comment>
    <comment ref="C123" authorId="1" shapeId="0">
      <text>
        <r>
          <rPr>
            <sz val="10"/>
            <color indexed="81"/>
            <rFont val="ＭＳ Ｐゴシック"/>
            <family val="3"/>
            <charset val="128"/>
          </rPr>
          <t>円形の場合は寸法を 0 とし，右記の「円形の場合」に寸法に記載すること</t>
        </r>
      </text>
    </comment>
    <comment ref="V123" authorId="1" shapeId="0">
      <text>
        <r>
          <rPr>
            <sz val="10"/>
            <color indexed="81"/>
            <rFont val="ＭＳ Ｐゴシック"/>
            <family val="3"/>
            <charset val="128"/>
          </rPr>
          <t>円形を使用する際のみ入力すること</t>
        </r>
      </text>
    </comment>
    <comment ref="P130" authorId="1" shapeId="0">
      <text>
        <r>
          <rPr>
            <sz val="10"/>
            <color indexed="81"/>
            <rFont val="ＭＳ Ｐゴシック"/>
            <family val="3"/>
            <charset val="128"/>
          </rPr>
          <t>起動水位をポンプメーカー仕様等にした場合は，左記の値より下回る値を入力すること。</t>
        </r>
      </text>
    </comment>
  </commentList>
</comments>
</file>

<file path=xl/comments5.xml><?xml version="1.0" encoding="utf-8"?>
<comments xmlns="http://schemas.openxmlformats.org/spreadsheetml/2006/main">
  <authors>
    <author>sc15186</author>
    <author>sc15323</author>
  </authors>
  <commentList>
    <comment ref="E1" authorId="0" shapeId="0">
      <text>
        <r>
          <rPr>
            <sz val="10"/>
            <color indexed="81"/>
            <rFont val="ＭＳ Ｐゴシック"/>
            <family val="3"/>
            <charset val="128"/>
          </rPr>
          <t>同じ種別の槽を複数設置する場合，槽番号を入力すること。</t>
        </r>
      </text>
    </comment>
    <comment ref="O8" authorId="1" shapeId="0">
      <text>
        <r>
          <rPr>
            <sz val="11"/>
            <color indexed="81"/>
            <rFont val="ＭＳ Ｐゴシック"/>
            <family val="3"/>
            <charset val="128"/>
          </rPr>
          <t>・例①，例②の面積計算や補足等を行う場合は備考欄に記載すること。
・例①を使用する際，入力行が足らない場合は備考欄に計算過程を記載し合算値で入力すること。
・例①，例②以外の算出方法により最大汚水量を設定する場合は，備考欄または別紙に算出根拠を記載すること。（その際の入力方法は，例①を選択し，個数及び最大使用回数を１とし，同時使用率を１００とし，使用水量を算出した最大汚水量とする。）</t>
        </r>
      </text>
    </comment>
    <comment ref="F36" authorId="1" shapeId="0">
      <text>
        <r>
          <rPr>
            <sz val="10"/>
            <color indexed="81"/>
            <rFont val="ＭＳ Ｐゴシック"/>
            <family val="3"/>
            <charset val="128"/>
          </rPr>
          <t>上記の間でﾎﾟﾝﾌﾟ能力を設定する。（目安）</t>
        </r>
      </text>
    </comment>
    <comment ref="H38" authorId="1" shapeId="0">
      <text>
        <r>
          <rPr>
            <sz val="9"/>
            <color indexed="81"/>
            <rFont val="ＭＳ Ｐゴシック"/>
            <family val="3"/>
            <charset val="128"/>
          </rPr>
          <t>直接入力する場合は上記計算結果の値以上にすること</t>
        </r>
      </text>
    </comment>
    <comment ref="F40" authorId="1" shapeId="0">
      <text>
        <r>
          <rPr>
            <sz val="11"/>
            <color indexed="81"/>
            <rFont val="ＭＳ Ｐゴシック"/>
            <family val="3"/>
            <charset val="128"/>
          </rPr>
          <t>底面積</t>
        </r>
      </text>
    </comment>
    <comment ref="J40" authorId="1" shapeId="0">
      <text>
        <r>
          <rPr>
            <sz val="11"/>
            <color indexed="81"/>
            <rFont val="ＭＳ Ｐゴシック"/>
            <family val="3"/>
            <charset val="128"/>
          </rPr>
          <t>高さ</t>
        </r>
      </text>
    </comment>
    <comment ref="E41" authorId="1" shapeId="0">
      <text>
        <r>
          <rPr>
            <sz val="10"/>
            <color indexed="81"/>
            <rFont val="ＭＳ Ｐゴシック"/>
            <family val="3"/>
            <charset val="128"/>
          </rPr>
          <t xml:space="preserve">・四角い排水槽なら内空の３辺の積で求めること。（計算根拠の値を入力すると求められます（デフォルト計算））
・異形の排水槽なら面積×高さ 等で計算して下さい。（デフォルト計算を適宜修正して下さい）。
・根拠の確認できるよう，構造図や平面図で値を明記すること。
・簡略のため槽勾配の計算は無視すること。
・排水層の大きさが有効容量の1.5倍以上にならず，適否が×になれば，釜場の大きさ（停止水位以上分）を合算しても良い。その場合は基準欄に釜場の大きさｍ3を入力すること。
・計算根拠の入力欄に書ききれない場合は，備考欄に計算根拠等を記載すること。その場合は備考欄による又は別紙○○図による等を書くこと。
</t>
        </r>
      </text>
    </comment>
    <comment ref="F51" authorId="1" shapeId="0">
      <text>
        <r>
          <rPr>
            <b/>
            <sz val="11"/>
            <color indexed="81"/>
            <rFont val="ＭＳ Ｐゴシック"/>
            <family val="3"/>
            <charset val="128"/>
          </rPr>
          <t>例
緊急時に備え，流速の基準内に収まる管径よりも大きな管径を設定したいという施主の意向のためである。</t>
        </r>
      </text>
    </comment>
    <comment ref="C83" authorId="1" shapeId="0">
      <text>
        <r>
          <rPr>
            <sz val="9"/>
            <color indexed="81"/>
            <rFont val="ＭＳ Ｐゴシック"/>
            <family val="3"/>
            <charset val="128"/>
          </rPr>
          <t>塩ビ管の場合0.01
コンクリート管の場合0.013</t>
        </r>
      </text>
    </comment>
    <comment ref="C100" authorId="1" shapeId="0">
      <text>
        <r>
          <rPr>
            <sz val="9"/>
            <color indexed="81"/>
            <rFont val="ＭＳ Ｐゴシック"/>
            <family val="3"/>
            <charset val="128"/>
          </rPr>
          <t>塩ビ管の場合0.01
コンクリート管の場合0.013</t>
        </r>
      </text>
    </comment>
    <comment ref="E119" authorId="1" shapeId="0">
      <text>
        <r>
          <rPr>
            <sz val="9"/>
            <color indexed="81"/>
            <rFont val="ＭＳ Ｐゴシック"/>
            <family val="3"/>
            <charset val="128"/>
          </rPr>
          <t>２種類の選択肢から選ぶ
　①『釜場及び排水槽の形状から算出。（勾配の計算は省略）』　は基準通りの計算方法
　②『 基準である３分以内の設定でポンプメーカー仕様等による』　は基準通りの計算方法の値が表示されるが，基準内であれば任意の水位設定が可能</t>
        </r>
      </text>
    </comment>
    <comment ref="C122" authorId="1" shapeId="0">
      <text>
        <r>
          <rPr>
            <sz val="10"/>
            <color indexed="81"/>
            <rFont val="ＭＳ Ｐゴシック"/>
            <family val="3"/>
            <charset val="128"/>
          </rPr>
          <t>釜場がない場合，または円形の場合は寸法を 0 とし，下記の「排水槽の面積」に寸法に記載すること</t>
        </r>
      </text>
    </comment>
    <comment ref="L122" authorId="1" shapeId="0">
      <text>
        <r>
          <rPr>
            <sz val="11"/>
            <color indexed="81"/>
            <rFont val="ＭＳ Ｐゴシック"/>
            <family val="3"/>
            <charset val="128"/>
          </rPr>
          <t>釜場高さ</t>
        </r>
      </text>
    </comment>
    <comment ref="O122" authorId="1" shapeId="0">
      <text>
        <r>
          <rPr>
            <sz val="11"/>
            <color indexed="81"/>
            <rFont val="ＭＳ Ｐゴシック"/>
            <family val="3"/>
            <charset val="128"/>
          </rPr>
          <t>停止水位の高さ（滞留分）</t>
        </r>
      </text>
    </comment>
    <comment ref="C123" authorId="1" shapeId="0">
      <text>
        <r>
          <rPr>
            <sz val="10"/>
            <color indexed="81"/>
            <rFont val="ＭＳ Ｐゴシック"/>
            <family val="3"/>
            <charset val="128"/>
          </rPr>
          <t>円形の場合は寸法を 0 とし，右記の「円形の場合」に寸法に記載すること</t>
        </r>
      </text>
    </comment>
    <comment ref="V123" authorId="1" shapeId="0">
      <text>
        <r>
          <rPr>
            <sz val="10"/>
            <color indexed="81"/>
            <rFont val="ＭＳ Ｐゴシック"/>
            <family val="3"/>
            <charset val="128"/>
          </rPr>
          <t>円形を使用する際のみ入力すること</t>
        </r>
      </text>
    </comment>
    <comment ref="P130" authorId="1" shapeId="0">
      <text>
        <r>
          <rPr>
            <sz val="10"/>
            <color indexed="81"/>
            <rFont val="ＭＳ Ｐゴシック"/>
            <family val="3"/>
            <charset val="128"/>
          </rPr>
          <t>起動水位をポンプメーカー仕様等にした場合は，左記の値より下回る値を入力すること。</t>
        </r>
      </text>
    </comment>
  </commentList>
</comments>
</file>

<file path=xl/comments6.xml><?xml version="1.0" encoding="utf-8"?>
<comments xmlns="http://schemas.openxmlformats.org/spreadsheetml/2006/main">
  <authors>
    <author>sc15186</author>
    <author>sc15323</author>
  </authors>
  <commentList>
    <comment ref="J1" authorId="0" shapeId="0">
      <text>
        <r>
          <rPr>
            <sz val="10"/>
            <color indexed="81"/>
            <rFont val="ＭＳ Ｐゴシック"/>
            <family val="3"/>
            <charset val="128"/>
          </rPr>
          <t>同じ種別の槽を複数設置する場合，槽番号を入力すること。</t>
        </r>
      </text>
    </comment>
    <comment ref="L33" authorId="1" shapeId="0">
      <text>
        <r>
          <rPr>
            <sz val="10"/>
            <color indexed="81"/>
            <rFont val="ＭＳ Ｐゴシック"/>
            <family val="3"/>
            <charset val="128"/>
          </rPr>
          <t>人為操作が可能なら値を変更してもＯＫ（例15分 等）</t>
        </r>
      </text>
    </comment>
    <comment ref="H34" authorId="1" shapeId="0">
      <text>
        <r>
          <rPr>
            <sz val="9"/>
            <color indexed="81"/>
            <rFont val="ＭＳ Ｐゴシック"/>
            <family val="3"/>
            <charset val="128"/>
          </rPr>
          <t>直接入力する場合は上記計算結果の値以上にすること</t>
        </r>
      </text>
    </comment>
    <comment ref="F36" authorId="1" shapeId="0">
      <text>
        <r>
          <rPr>
            <sz val="11"/>
            <color indexed="81"/>
            <rFont val="ＭＳ Ｐゴシック"/>
            <family val="3"/>
            <charset val="128"/>
          </rPr>
          <t>底面積</t>
        </r>
      </text>
    </comment>
    <comment ref="J36" authorId="1" shapeId="0">
      <text>
        <r>
          <rPr>
            <sz val="11"/>
            <color indexed="81"/>
            <rFont val="ＭＳ Ｐゴシック"/>
            <family val="3"/>
            <charset val="128"/>
          </rPr>
          <t>高さ</t>
        </r>
      </text>
    </comment>
    <comment ref="E37" authorId="1" shapeId="0">
      <text>
        <r>
          <rPr>
            <sz val="10"/>
            <color indexed="81"/>
            <rFont val="ＭＳ Ｐゴシック"/>
            <family val="3"/>
            <charset val="128"/>
          </rPr>
          <t xml:space="preserve">・四角い排水槽なら内空の３辺の積で求めること。（計算根拠の値を入力すると求められます（デフォルト計算））
・異形の排水槽なら面積×高さ 等で計算して下さい。（デフォルト計算を適宜修正して下さい）。
・根拠の確認できるよう，構造図や平面図で値を明記すること。
・簡略のため槽勾配の計算は無視すること。
・排水層の大きさが有効容量の1.5倍以上にならず，適否が×になれば，釜場の大きさ（停止水位以上分）を合算しても良い。その場合は基準欄に釜場の大きさｍ3を入力すること。
・計算根拠の入力欄に書ききれない場合は，備考欄に計算根拠等を記載すること。その場合は備考欄による又は別紙○○図による等を書くこと。
</t>
        </r>
      </text>
    </comment>
    <comment ref="F47" authorId="1" shapeId="0">
      <text>
        <r>
          <rPr>
            <b/>
            <sz val="11"/>
            <color indexed="81"/>
            <rFont val="ＭＳ Ｐゴシック"/>
            <family val="3"/>
            <charset val="128"/>
          </rPr>
          <t>例
緊急時に備え，流速の基準内に収まる管径よりも大きな管径を設定したいという施主の意向のためである。</t>
        </r>
      </text>
    </comment>
    <comment ref="C80" authorId="1" shapeId="0">
      <text>
        <r>
          <rPr>
            <sz val="9"/>
            <color indexed="81"/>
            <rFont val="ＭＳ Ｐゴシック"/>
            <family val="3"/>
            <charset val="128"/>
          </rPr>
          <t>塩ビ管の場合0.01
コンクリート管の場合0.013</t>
        </r>
      </text>
    </comment>
    <comment ref="C97" authorId="1" shapeId="0">
      <text>
        <r>
          <rPr>
            <sz val="9"/>
            <color indexed="81"/>
            <rFont val="ＭＳ Ｐゴシック"/>
            <family val="3"/>
            <charset val="128"/>
          </rPr>
          <t>塩ビ管の場合0.01
コンクリート管の場合0.013</t>
        </r>
      </text>
    </comment>
    <comment ref="E116" authorId="1" shapeId="0">
      <text>
        <r>
          <rPr>
            <sz val="9"/>
            <color indexed="81"/>
            <rFont val="ＭＳ Ｐゴシック"/>
            <family val="3"/>
            <charset val="128"/>
          </rPr>
          <t>２種類の選択肢から選ぶ
　①『釜場及び排水槽の形状から算出。（勾配の計算は省略）』　は基準通りの計算方法
　②『 基準である３分以内の設定でポンプメーカー仕様等による』　は基準通りの計算方法の値が表示されるが，基準内であれば任意の水位設定が可能</t>
        </r>
      </text>
    </comment>
    <comment ref="C119" authorId="1" shapeId="0">
      <text>
        <r>
          <rPr>
            <sz val="10"/>
            <color indexed="81"/>
            <rFont val="ＭＳ Ｐゴシック"/>
            <family val="3"/>
            <charset val="128"/>
          </rPr>
          <t>釜場がない場合，または円形の場合は寸法を 0 とし，下記の「排水槽の面積」に寸法に記載すること</t>
        </r>
      </text>
    </comment>
    <comment ref="L119" authorId="1" shapeId="0">
      <text>
        <r>
          <rPr>
            <sz val="11"/>
            <color indexed="81"/>
            <rFont val="ＭＳ Ｐゴシック"/>
            <family val="3"/>
            <charset val="128"/>
          </rPr>
          <t>釜場高さ</t>
        </r>
      </text>
    </comment>
    <comment ref="O119" authorId="1" shapeId="0">
      <text>
        <r>
          <rPr>
            <sz val="11"/>
            <color indexed="81"/>
            <rFont val="ＭＳ Ｐゴシック"/>
            <family val="3"/>
            <charset val="128"/>
          </rPr>
          <t>停止水位の高さ（滞留分）</t>
        </r>
      </text>
    </comment>
    <comment ref="C120" authorId="1" shapeId="0">
      <text>
        <r>
          <rPr>
            <sz val="10"/>
            <color indexed="81"/>
            <rFont val="ＭＳ Ｐゴシック"/>
            <family val="3"/>
            <charset val="128"/>
          </rPr>
          <t>円形の場合は寸法を 0 とし，右記の「円形の場合」に寸法に記載すること</t>
        </r>
      </text>
    </comment>
    <comment ref="V120" authorId="1" shapeId="0">
      <text>
        <r>
          <rPr>
            <sz val="10"/>
            <color indexed="81"/>
            <rFont val="ＭＳ Ｐゴシック"/>
            <family val="3"/>
            <charset val="128"/>
          </rPr>
          <t>円形を使用する際のみ入力すること</t>
        </r>
      </text>
    </comment>
    <comment ref="P127" authorId="1" shapeId="0">
      <text>
        <r>
          <rPr>
            <sz val="10"/>
            <color indexed="81"/>
            <rFont val="ＭＳ Ｐゴシック"/>
            <family val="3"/>
            <charset val="128"/>
          </rPr>
          <t>起動水位をポンプメーカー仕様等にした場合は，左記の値より下回る値を入力すること。</t>
        </r>
      </text>
    </comment>
  </commentList>
</comments>
</file>

<file path=xl/comments7.xml><?xml version="1.0" encoding="utf-8"?>
<comments xmlns="http://schemas.openxmlformats.org/spreadsheetml/2006/main">
  <authors>
    <author>sc15186</author>
    <author>sc15323</author>
  </authors>
  <commentList>
    <comment ref="E1" authorId="0" shapeId="0">
      <text>
        <r>
          <rPr>
            <sz val="10"/>
            <color indexed="81"/>
            <rFont val="ＭＳ Ｐゴシック"/>
            <family val="3"/>
            <charset val="128"/>
          </rPr>
          <t>同じ種別の槽を複数設置する場合，槽番号を入力すること。</t>
        </r>
      </text>
    </comment>
    <comment ref="O8" authorId="1" shapeId="0">
      <text>
        <r>
          <rPr>
            <sz val="11"/>
            <color indexed="81"/>
            <rFont val="ＭＳ Ｐゴシック"/>
            <family val="3"/>
            <charset val="128"/>
          </rPr>
          <t>・例①，例②の面積計算や補足等を行う場合は備考欄に記載すること。
・例①を使用する際，入力行が足らない場合は備考欄に計算過程を記載し合算値で入力すること。
・例①，例②以外の算出方法により最大汚水量を設定する場合は，備考欄または別紙に算出根拠を記載すること。（その際の入力方法は，例①を選択し，個数及び最大使用回数を１とし，同時使用率を１００とし，使用水量を算出した最大汚水量とする。）</t>
        </r>
      </text>
    </comment>
    <comment ref="F36" authorId="1" shapeId="0">
      <text>
        <r>
          <rPr>
            <sz val="10"/>
            <color indexed="81"/>
            <rFont val="ＭＳ Ｐゴシック"/>
            <family val="3"/>
            <charset val="128"/>
          </rPr>
          <t>上記の間でﾎﾟﾝﾌﾟ能力を設定する。（目安）</t>
        </r>
      </text>
    </comment>
    <comment ref="H38" authorId="1" shapeId="0">
      <text>
        <r>
          <rPr>
            <sz val="9"/>
            <color indexed="81"/>
            <rFont val="ＭＳ Ｐゴシック"/>
            <family val="3"/>
            <charset val="128"/>
          </rPr>
          <t>直接入力する場合は上記計算結果の値以上にすること</t>
        </r>
      </text>
    </comment>
    <comment ref="F40" authorId="1" shapeId="0">
      <text>
        <r>
          <rPr>
            <sz val="11"/>
            <color indexed="81"/>
            <rFont val="ＭＳ Ｐゴシック"/>
            <family val="3"/>
            <charset val="128"/>
          </rPr>
          <t>底面積</t>
        </r>
      </text>
    </comment>
    <comment ref="J40" authorId="1" shapeId="0">
      <text>
        <r>
          <rPr>
            <sz val="11"/>
            <color indexed="81"/>
            <rFont val="ＭＳ Ｐゴシック"/>
            <family val="3"/>
            <charset val="128"/>
          </rPr>
          <t>高さ</t>
        </r>
      </text>
    </comment>
    <comment ref="E41" authorId="1" shapeId="0">
      <text>
        <r>
          <rPr>
            <sz val="10"/>
            <color indexed="81"/>
            <rFont val="ＭＳ Ｐゴシック"/>
            <family val="3"/>
            <charset val="128"/>
          </rPr>
          <t xml:space="preserve">・四角い排水槽なら内空の３辺の積で求めること。（計算根拠の値を入力すると求められます（デフォルト計算））
・異形の排水槽なら面積×高さ 等で計算して下さい。（デフォルト計算を適宜修正して下さい）。
・根拠の確認できるよう，構造図や平面図で値を明記すること。
・簡略のため槽勾配の計算は無視すること。
・排水層の大きさが有効容量の1.5倍以上にならず，適否が×になれば，釜場の大きさ（停止水位以上分）を合算しても良い。その場合は基準欄に釜場の大きさｍ3を入力すること。
・計算根拠の入力欄に書ききれない場合は，備考欄に計算根拠等を記載すること。その場合は備考欄による又は別紙○○図による等を書くこと。
</t>
        </r>
      </text>
    </comment>
    <comment ref="F51" authorId="1" shapeId="0">
      <text>
        <r>
          <rPr>
            <b/>
            <sz val="11"/>
            <color indexed="81"/>
            <rFont val="ＭＳ Ｐゴシック"/>
            <family val="3"/>
            <charset val="128"/>
          </rPr>
          <t>例
緊急時に備え，流速の基準内に収まる管径よりも大きな管径を設定したいという施主の意向のためである。</t>
        </r>
      </text>
    </comment>
    <comment ref="C83" authorId="1" shapeId="0">
      <text>
        <r>
          <rPr>
            <sz val="9"/>
            <color indexed="81"/>
            <rFont val="ＭＳ Ｐゴシック"/>
            <family val="3"/>
            <charset val="128"/>
          </rPr>
          <t>塩ビ管の場合0.01
コンクリート管の場合0.013</t>
        </r>
      </text>
    </comment>
    <comment ref="C100" authorId="1" shapeId="0">
      <text>
        <r>
          <rPr>
            <sz val="9"/>
            <color indexed="81"/>
            <rFont val="ＭＳ Ｐゴシック"/>
            <family val="3"/>
            <charset val="128"/>
          </rPr>
          <t>塩ビ管の場合0.01
コンクリート管の場合0.013</t>
        </r>
      </text>
    </comment>
    <comment ref="E119" authorId="1" shapeId="0">
      <text>
        <r>
          <rPr>
            <sz val="9"/>
            <color indexed="81"/>
            <rFont val="ＭＳ Ｐゴシック"/>
            <family val="3"/>
            <charset val="128"/>
          </rPr>
          <t>２種類の選択肢から選ぶ
　①『釜場及び排水槽の形状から算出。（勾配の計算は省略）』　は基準通りの計算方法
　②『 基準である３分以内の設定でポンプメーカー仕様等による』　は基準通りの計算方法の値が表示されるが，基準内であれば任意の水位設定が可能</t>
        </r>
      </text>
    </comment>
    <comment ref="C122" authorId="1" shapeId="0">
      <text>
        <r>
          <rPr>
            <sz val="10"/>
            <color indexed="81"/>
            <rFont val="ＭＳ Ｐゴシック"/>
            <family val="3"/>
            <charset val="128"/>
          </rPr>
          <t>釜場がない場合，または円形の場合は寸法を 0 とし，下記の「排水槽の面積」に寸法に記載すること</t>
        </r>
      </text>
    </comment>
    <comment ref="L122" authorId="1" shapeId="0">
      <text>
        <r>
          <rPr>
            <sz val="11"/>
            <color indexed="81"/>
            <rFont val="ＭＳ Ｐゴシック"/>
            <family val="3"/>
            <charset val="128"/>
          </rPr>
          <t>釜場高さ</t>
        </r>
      </text>
    </comment>
    <comment ref="O122" authorId="1" shapeId="0">
      <text>
        <r>
          <rPr>
            <sz val="11"/>
            <color indexed="81"/>
            <rFont val="ＭＳ Ｐゴシック"/>
            <family val="3"/>
            <charset val="128"/>
          </rPr>
          <t>停止水位の高さ（滞留分）</t>
        </r>
      </text>
    </comment>
    <comment ref="C123" authorId="1" shapeId="0">
      <text>
        <r>
          <rPr>
            <sz val="10"/>
            <color indexed="81"/>
            <rFont val="ＭＳ Ｐゴシック"/>
            <family val="3"/>
            <charset val="128"/>
          </rPr>
          <t>円形の場合は寸法を 0 とし，右記の「円形の場合」に寸法に記載すること</t>
        </r>
      </text>
    </comment>
    <comment ref="V123" authorId="1" shapeId="0">
      <text>
        <r>
          <rPr>
            <sz val="10"/>
            <color indexed="81"/>
            <rFont val="ＭＳ Ｐゴシック"/>
            <family val="3"/>
            <charset val="128"/>
          </rPr>
          <t>円形を使用する際のみ入力すること</t>
        </r>
      </text>
    </comment>
    <comment ref="P130" authorId="1" shapeId="0">
      <text>
        <r>
          <rPr>
            <sz val="10"/>
            <color indexed="81"/>
            <rFont val="ＭＳ Ｐゴシック"/>
            <family val="3"/>
            <charset val="128"/>
          </rPr>
          <t>起動水位をポンプメーカー仕様等にした場合は，左記の値より下回る値を入力すること。</t>
        </r>
      </text>
    </comment>
  </commentList>
</comments>
</file>

<file path=xl/comments8.xml><?xml version="1.0" encoding="utf-8"?>
<comments xmlns="http://schemas.openxmlformats.org/spreadsheetml/2006/main">
  <authors>
    <author>sc15186</author>
    <author>sc15323</author>
  </authors>
  <commentList>
    <comment ref="E1" authorId="0" shapeId="0">
      <text>
        <r>
          <rPr>
            <sz val="10"/>
            <color indexed="81"/>
            <rFont val="ＭＳ Ｐゴシック"/>
            <family val="3"/>
            <charset val="128"/>
          </rPr>
          <t>同じ種別の槽を複数設置する場合，槽番号を入力すること。</t>
        </r>
      </text>
    </comment>
    <comment ref="F32" authorId="1" shapeId="0">
      <text>
        <r>
          <rPr>
            <sz val="10"/>
            <color indexed="81"/>
            <rFont val="ＭＳ Ｐゴシック"/>
            <family val="3"/>
            <charset val="128"/>
          </rPr>
          <t>上記の間でﾎﾟﾝﾌﾟ能力を設定する。（目安）</t>
        </r>
      </text>
    </comment>
    <comment ref="H34" authorId="1" shapeId="0">
      <text>
        <r>
          <rPr>
            <sz val="9"/>
            <color indexed="81"/>
            <rFont val="ＭＳ Ｐゴシック"/>
            <family val="3"/>
            <charset val="128"/>
          </rPr>
          <t>直接入力する場合は上記計算結果の値以上にすること</t>
        </r>
      </text>
    </comment>
    <comment ref="F36" authorId="1" shapeId="0">
      <text>
        <r>
          <rPr>
            <sz val="11"/>
            <color indexed="81"/>
            <rFont val="ＭＳ Ｐゴシック"/>
            <family val="3"/>
            <charset val="128"/>
          </rPr>
          <t>底面積</t>
        </r>
      </text>
    </comment>
    <comment ref="J36" authorId="1" shapeId="0">
      <text>
        <r>
          <rPr>
            <sz val="11"/>
            <color indexed="81"/>
            <rFont val="ＭＳ Ｐゴシック"/>
            <family val="3"/>
            <charset val="128"/>
          </rPr>
          <t>高さ</t>
        </r>
      </text>
    </comment>
    <comment ref="E37" authorId="1" shapeId="0">
      <text>
        <r>
          <rPr>
            <sz val="10"/>
            <color indexed="81"/>
            <rFont val="ＭＳ Ｐゴシック"/>
            <family val="3"/>
            <charset val="128"/>
          </rPr>
          <t xml:space="preserve">・四角い排水槽なら内空の３辺の積で求めること。（計算根拠の値を入力すると求められます（デフォルト計算））
・異形の排水槽なら面積×高さ 等で計算して下さい。（デフォルト計算を適宜修正して下さい）。
・根拠の確認できるよう，構造図や平面図で値を明記すること。
・簡略のため槽勾配の計算は無視すること。
・排水層の大きさが有効容量の1.5倍以上にならず，適否が×になれば，釜場の大きさ（停止水位以上分）を合算しても良い。その場合は基準欄に釜場の大きさｍ3を入力すること。
・計算根拠の入力欄に書ききれない場合は，備考欄に計算根拠等を記載すること。その場合は備考欄による又は別紙○○図による等を書くこと。
</t>
        </r>
      </text>
    </comment>
    <comment ref="F47" authorId="1" shapeId="0">
      <text>
        <r>
          <rPr>
            <b/>
            <sz val="11"/>
            <color indexed="81"/>
            <rFont val="ＭＳ Ｐゴシック"/>
            <family val="3"/>
            <charset val="128"/>
          </rPr>
          <t>例
緊急時に備え，流速の基準内に収まる管径よりも大きな管径を設定したいという施主の意向のためである。</t>
        </r>
      </text>
    </comment>
    <comment ref="C80" authorId="1" shapeId="0">
      <text>
        <r>
          <rPr>
            <sz val="9"/>
            <color indexed="81"/>
            <rFont val="ＭＳ Ｐゴシック"/>
            <family val="3"/>
            <charset val="128"/>
          </rPr>
          <t>塩ビ管の場合0.01
コンクリート管の場合0.013</t>
        </r>
      </text>
    </comment>
    <comment ref="C97" authorId="1" shapeId="0">
      <text>
        <r>
          <rPr>
            <sz val="9"/>
            <color indexed="81"/>
            <rFont val="ＭＳ Ｐゴシック"/>
            <family val="3"/>
            <charset val="128"/>
          </rPr>
          <t>塩ビ管の場合0.01
コンクリート管の場合0.013</t>
        </r>
      </text>
    </comment>
    <comment ref="E116" authorId="1" shapeId="0">
      <text>
        <r>
          <rPr>
            <sz val="9"/>
            <color indexed="81"/>
            <rFont val="ＭＳ Ｐゴシック"/>
            <family val="3"/>
            <charset val="128"/>
          </rPr>
          <t>２種類の選択肢から選ぶ
　①『釜場及び排水槽の形状から算出。（勾配の計算は省略）』　は基準通りの計算方法
　②『 基準である３分以内の設定でポンプメーカー仕様等による』　は基準通りの計算方法の値が表示されるが，基準内であれば任意の水位設定が可能</t>
        </r>
      </text>
    </comment>
    <comment ref="C119" authorId="1" shapeId="0">
      <text>
        <r>
          <rPr>
            <sz val="10"/>
            <color indexed="81"/>
            <rFont val="ＭＳ Ｐゴシック"/>
            <family val="3"/>
            <charset val="128"/>
          </rPr>
          <t>釜場がない場合，または円形の場合は寸法を 0 とし，下記の「排水槽の面積」に寸法に記載すること</t>
        </r>
      </text>
    </comment>
    <comment ref="L119" authorId="1" shapeId="0">
      <text>
        <r>
          <rPr>
            <sz val="11"/>
            <color indexed="81"/>
            <rFont val="ＭＳ Ｐゴシック"/>
            <family val="3"/>
            <charset val="128"/>
          </rPr>
          <t>釜場高さ</t>
        </r>
      </text>
    </comment>
    <comment ref="O119" authorId="1" shapeId="0">
      <text>
        <r>
          <rPr>
            <sz val="11"/>
            <color indexed="81"/>
            <rFont val="ＭＳ Ｐゴシック"/>
            <family val="3"/>
            <charset val="128"/>
          </rPr>
          <t>停止水位の高さ（滞留分）</t>
        </r>
      </text>
    </comment>
    <comment ref="C120" authorId="1" shapeId="0">
      <text>
        <r>
          <rPr>
            <sz val="10"/>
            <color indexed="81"/>
            <rFont val="ＭＳ Ｐゴシック"/>
            <family val="3"/>
            <charset val="128"/>
          </rPr>
          <t>円形の場合は寸法を 0 とし，右記の「円形の場合」に寸法に記載すること</t>
        </r>
      </text>
    </comment>
    <comment ref="V120" authorId="1" shapeId="0">
      <text>
        <r>
          <rPr>
            <sz val="10"/>
            <color indexed="81"/>
            <rFont val="ＭＳ Ｐゴシック"/>
            <family val="3"/>
            <charset val="128"/>
          </rPr>
          <t>円形を使用する際のみ入力すること</t>
        </r>
      </text>
    </comment>
    <comment ref="P127" authorId="1" shapeId="0">
      <text>
        <r>
          <rPr>
            <sz val="10"/>
            <color indexed="81"/>
            <rFont val="ＭＳ Ｐゴシック"/>
            <family val="3"/>
            <charset val="128"/>
          </rPr>
          <t>起動水位をポンプメーカー仕様等にした場合は，左記の値より下回る値を入力すること。</t>
        </r>
      </text>
    </comment>
  </commentList>
</comments>
</file>

<file path=xl/comments9.xml><?xml version="1.0" encoding="utf-8"?>
<comments xmlns="http://schemas.openxmlformats.org/spreadsheetml/2006/main">
  <authors>
    <author>sc15186</author>
    <author>sc15323</author>
  </authors>
  <commentList>
    <comment ref="E1" authorId="0" shapeId="0">
      <text>
        <r>
          <rPr>
            <sz val="10"/>
            <color indexed="81"/>
            <rFont val="ＭＳ Ｐゴシック"/>
            <family val="3"/>
            <charset val="128"/>
          </rPr>
          <t>同じ種別の槽を複数設置する場合，槽番号を入力すること。</t>
        </r>
      </text>
    </comment>
    <comment ref="F31" authorId="1" shapeId="0">
      <text>
        <r>
          <rPr>
            <sz val="10"/>
            <color indexed="81"/>
            <rFont val="ＭＳ Ｐゴシック"/>
            <family val="3"/>
            <charset val="128"/>
          </rPr>
          <t>上記の間でﾎﾟﾝﾌﾟ能力を設定する。（目安）</t>
        </r>
      </text>
    </comment>
    <comment ref="F36" authorId="1" shapeId="0">
      <text>
        <r>
          <rPr>
            <sz val="11"/>
            <color indexed="81"/>
            <rFont val="ＭＳ Ｐゴシック"/>
            <family val="3"/>
            <charset val="128"/>
          </rPr>
          <t>底面積</t>
        </r>
      </text>
    </comment>
    <comment ref="J36" authorId="1" shapeId="0">
      <text>
        <r>
          <rPr>
            <sz val="11"/>
            <color indexed="81"/>
            <rFont val="ＭＳ Ｐゴシック"/>
            <family val="3"/>
            <charset val="128"/>
          </rPr>
          <t>高さ</t>
        </r>
      </text>
    </comment>
    <comment ref="E37" authorId="1" shapeId="0">
      <text>
        <r>
          <rPr>
            <sz val="10"/>
            <color indexed="81"/>
            <rFont val="ＭＳ Ｐゴシック"/>
            <family val="3"/>
            <charset val="128"/>
          </rPr>
          <t xml:space="preserve">・四角い排水槽なら内空の３辺の積で求めること。（計算根拠の値を入力すると求められます（デフォルト計算））
・異形の排水槽なら面積×高さ 等で計算して下さい。（デフォルト計算を適宜修正して下さい）。
・根拠の確認できるよう，構造図や平面図で値を明記すること。
・簡略のため槽勾配の計算は無視すること。
・排水層の大きさが有効容量の1.5倍以上にならず，適否が×になれば，釜場の大きさ（停止水位以上分）を合算しても良い。その場合は基準欄に釜場の大きさｍ3を入力すること。
・計算根拠の入力欄に書ききれない場合は，備考欄に計算根拠等を記載すること。その場合は備考欄による又は別紙○○図による等を書くこと。
</t>
        </r>
      </text>
    </comment>
    <comment ref="F47" authorId="1" shapeId="0">
      <text>
        <r>
          <rPr>
            <b/>
            <sz val="11"/>
            <color indexed="81"/>
            <rFont val="ＭＳ Ｐゴシック"/>
            <family val="3"/>
            <charset val="128"/>
          </rPr>
          <t>例
緊急時に備え，流速の基準内に収まる管径よりも大きな管径を設定したいという施主の意向のためである。</t>
        </r>
      </text>
    </comment>
    <comment ref="C80" authorId="1" shapeId="0">
      <text>
        <r>
          <rPr>
            <sz val="9"/>
            <color indexed="81"/>
            <rFont val="ＭＳ Ｐゴシック"/>
            <family val="3"/>
            <charset val="128"/>
          </rPr>
          <t>塩ビ管の場合0.01
コンクリート管の場合0.013</t>
        </r>
      </text>
    </comment>
    <comment ref="C97" authorId="1" shapeId="0">
      <text>
        <r>
          <rPr>
            <sz val="9"/>
            <color indexed="81"/>
            <rFont val="ＭＳ Ｐゴシック"/>
            <family val="3"/>
            <charset val="128"/>
          </rPr>
          <t>塩ビ管の場合0.01
コンクリート管の場合0.013</t>
        </r>
      </text>
    </comment>
    <comment ref="E116" authorId="1" shapeId="0">
      <text>
        <r>
          <rPr>
            <sz val="9"/>
            <color indexed="81"/>
            <rFont val="ＭＳ Ｐゴシック"/>
            <family val="3"/>
            <charset val="128"/>
          </rPr>
          <t>２種類の選択肢から選ぶ
　①『釜場及び排水槽の形状から算出。（勾配の計算は省略）』　は基準通りの計算方法
　②『 基準である３分以内の設定でポンプメーカー仕様等による』　は基準通りの計算方法の値が表示されるが，基準内であれば任意の水位設定が可能</t>
        </r>
      </text>
    </comment>
    <comment ref="C119" authorId="1" shapeId="0">
      <text>
        <r>
          <rPr>
            <sz val="10"/>
            <color indexed="81"/>
            <rFont val="ＭＳ Ｐゴシック"/>
            <family val="3"/>
            <charset val="128"/>
          </rPr>
          <t>釜場がない場合，または円形の場合は寸法を 0 とし，下記の「排水槽の面積」に寸法に記載すること</t>
        </r>
      </text>
    </comment>
    <comment ref="L119" authorId="1" shapeId="0">
      <text>
        <r>
          <rPr>
            <sz val="11"/>
            <color indexed="81"/>
            <rFont val="ＭＳ Ｐゴシック"/>
            <family val="3"/>
            <charset val="128"/>
          </rPr>
          <t>釜場高さ</t>
        </r>
      </text>
    </comment>
    <comment ref="O119" authorId="1" shapeId="0">
      <text>
        <r>
          <rPr>
            <sz val="11"/>
            <color indexed="81"/>
            <rFont val="ＭＳ Ｐゴシック"/>
            <family val="3"/>
            <charset val="128"/>
          </rPr>
          <t>停止水位の高さ（滞留分）</t>
        </r>
      </text>
    </comment>
    <comment ref="C120" authorId="1" shapeId="0">
      <text>
        <r>
          <rPr>
            <sz val="10"/>
            <color indexed="81"/>
            <rFont val="ＭＳ Ｐゴシック"/>
            <family val="3"/>
            <charset val="128"/>
          </rPr>
          <t>円形の場合は寸法を 0 とし，右記の「円形の場合」に寸法に記載すること</t>
        </r>
      </text>
    </comment>
    <comment ref="V120" authorId="1" shapeId="0">
      <text>
        <r>
          <rPr>
            <sz val="10"/>
            <color indexed="81"/>
            <rFont val="ＭＳ Ｐゴシック"/>
            <family val="3"/>
            <charset val="128"/>
          </rPr>
          <t>円形を使用する際のみ入力すること</t>
        </r>
      </text>
    </comment>
    <comment ref="P127" authorId="1" shapeId="0">
      <text>
        <r>
          <rPr>
            <sz val="10"/>
            <color indexed="81"/>
            <rFont val="ＭＳ Ｐゴシック"/>
            <family val="3"/>
            <charset val="128"/>
          </rPr>
          <t>起動水位をポンプメーカー仕様等にした場合は，左記の値より下回る値を入力すること。</t>
        </r>
      </text>
    </comment>
  </commentList>
</comments>
</file>

<file path=xl/sharedStrings.xml><?xml version="1.0" encoding="utf-8"?>
<sst xmlns="http://schemas.openxmlformats.org/spreadsheetml/2006/main" count="2401" uniqueCount="684">
  <si>
    <t>エクセルシートの使用方法について下記の内容を必ず読むこと！</t>
    <rPh sb="8" eb="10">
      <t>シヨウ</t>
    </rPh>
    <rPh sb="10" eb="12">
      <t>ホウホウ</t>
    </rPh>
    <rPh sb="16" eb="18">
      <t>カキ</t>
    </rPh>
    <rPh sb="19" eb="21">
      <t>ナイヨウ</t>
    </rPh>
    <rPh sb="22" eb="23">
      <t>カナラ</t>
    </rPh>
    <rPh sb="24" eb="25">
      <t>ヨ</t>
    </rPh>
    <phoneticPr fontId="3"/>
  </si>
  <si>
    <t>各槽シートのセルについて</t>
    <rPh sb="0" eb="1">
      <t>カク</t>
    </rPh>
    <rPh sb="1" eb="2">
      <t>ソウ</t>
    </rPh>
    <phoneticPr fontId="3"/>
  </si>
  <si>
    <t>　薄青背景　：　数式が入っているが，必要であれば値を直接入力すること。</t>
    <rPh sb="1" eb="2">
      <t>ウス</t>
    </rPh>
    <rPh sb="2" eb="3">
      <t>アオ</t>
    </rPh>
    <rPh sb="3" eb="5">
      <t>ハイケイ</t>
    </rPh>
    <rPh sb="18" eb="20">
      <t>ヒツヨウ</t>
    </rPh>
    <rPh sb="24" eb="25">
      <t>アタイ</t>
    </rPh>
    <rPh sb="26" eb="28">
      <t>チョクセツ</t>
    </rPh>
    <rPh sb="28" eb="30">
      <t>ニュウリョク</t>
    </rPh>
    <phoneticPr fontId="3"/>
  </si>
  <si>
    <t>・　面積図等により湧水槽，雨水槽の計算根拠を示すこと。</t>
    <phoneticPr fontId="3"/>
  </si>
  <si>
    <t>1</t>
    <phoneticPr fontId="3"/>
  </si>
  <si>
    <t>）</t>
    <phoneticPr fontId="10"/>
  </si>
  <si>
    <t>）</t>
    <phoneticPr fontId="10"/>
  </si>
  <si>
    <t>種　類</t>
    <phoneticPr fontId="10"/>
  </si>
  <si>
    <t>縦（ｍ）</t>
    <phoneticPr fontId="10"/>
  </si>
  <si>
    <t>横（ｍ）</t>
    <phoneticPr fontId="10"/>
  </si>
  <si>
    <t>底勾配</t>
    <phoneticPr fontId="10"/>
  </si>
  <si>
    <t>ポンプ
停止水位（ｍ）</t>
    <phoneticPr fontId="10"/>
  </si>
  <si>
    <t>有効容量（㎥）</t>
    <phoneticPr fontId="10"/>
  </si>
  <si>
    <t>汚水槽</t>
    <rPh sb="0" eb="2">
      <t>オスイ</t>
    </rPh>
    <rPh sb="2" eb="3">
      <t>ソウ</t>
    </rPh>
    <phoneticPr fontId="3"/>
  </si>
  <si>
    <t>×</t>
    <phoneticPr fontId="3"/>
  </si>
  <si>
    <t>/</t>
    <phoneticPr fontId="3"/>
  </si>
  <si>
    <t>雑排水槽</t>
    <rPh sb="0" eb="3">
      <t>ザツハイスイ</t>
    </rPh>
    <rPh sb="3" eb="4">
      <t>ソウ</t>
    </rPh>
    <phoneticPr fontId="3"/>
  </si>
  <si>
    <t>雨水槽</t>
  </si>
  <si>
    <t>湧水槽①</t>
    <rPh sb="0" eb="3">
      <t>ユウスイソウ</t>
    </rPh>
    <phoneticPr fontId="3"/>
  </si>
  <si>
    <t>湧水槽②</t>
    <phoneticPr fontId="3"/>
  </si>
  <si>
    <t>排水ポンプ</t>
    <phoneticPr fontId="10"/>
  </si>
  <si>
    <t>ポンプ制御方法</t>
    <phoneticPr fontId="10"/>
  </si>
  <si>
    <t>130</t>
    <phoneticPr fontId="3"/>
  </si>
  <si>
    <t>50</t>
    <phoneticPr fontId="3"/>
  </si>
  <si>
    <t>7</t>
    <phoneticPr fontId="3"/>
  </si>
  <si>
    <t>0.4</t>
  </si>
  <si>
    <t>水位制御＋タイマー制御併用</t>
  </si>
  <si>
    <t>200</t>
    <phoneticPr fontId="3"/>
  </si>
  <si>
    <t>65</t>
    <phoneticPr fontId="3"/>
  </si>
  <si>
    <t>140</t>
  </si>
  <si>
    <t>水位制御</t>
  </si>
  <si>
    <t>100</t>
    <phoneticPr fontId="3"/>
  </si>
  <si>
    <t>水位制御</t>
    <rPh sb="0" eb="2">
      <t>スイイ</t>
    </rPh>
    <rPh sb="2" eb="4">
      <t>セイギョ</t>
    </rPh>
    <phoneticPr fontId="3"/>
  </si>
  <si>
    <t>雨水槽</t>
    <rPh sb="0" eb="1">
      <t>アメ</t>
    </rPh>
    <phoneticPr fontId="3"/>
  </si>
  <si>
    <t>①</t>
    <phoneticPr fontId="3"/>
  </si>
  <si>
    <t>雨水対象面積</t>
    <rPh sb="0" eb="2">
      <t>ウスイ</t>
    </rPh>
    <rPh sb="2" eb="4">
      <t>タイショウ</t>
    </rPh>
    <rPh sb="4" eb="6">
      <t>メンセキ</t>
    </rPh>
    <phoneticPr fontId="3"/>
  </si>
  <si>
    <t>対象面積</t>
    <phoneticPr fontId="3"/>
  </si>
  <si>
    <t>計算割合</t>
    <rPh sb="0" eb="2">
      <t>ケイサン</t>
    </rPh>
    <rPh sb="2" eb="4">
      <t>ワリアイ</t>
    </rPh>
    <phoneticPr fontId="3"/>
  </si>
  <si>
    <t>計算面積</t>
    <phoneticPr fontId="3"/>
  </si>
  <si>
    <t>床面積</t>
    <rPh sb="0" eb="3">
      <t>ユカメンセキ</t>
    </rPh>
    <phoneticPr fontId="3"/>
  </si>
  <si>
    <t>㎡</t>
    <phoneticPr fontId="3"/>
  </si>
  <si>
    <t>㎡</t>
    <phoneticPr fontId="3"/>
  </si>
  <si>
    <t>壁面積</t>
    <rPh sb="0" eb="1">
      <t>カベ</t>
    </rPh>
    <rPh sb="1" eb="3">
      <t>メンセキ</t>
    </rPh>
    <phoneticPr fontId="3"/>
  </si>
  <si>
    <t>㎡</t>
    <phoneticPr fontId="3"/>
  </si>
  <si>
    <t>㎡</t>
    <phoneticPr fontId="3"/>
  </si>
  <si>
    <t>≪計画雨水量≫</t>
    <rPh sb="1" eb="3">
      <t>ケイカク</t>
    </rPh>
    <rPh sb="3" eb="5">
      <t>ウスイ</t>
    </rPh>
    <rPh sb="5" eb="6">
      <t>リョウ</t>
    </rPh>
    <phoneticPr fontId="3"/>
  </si>
  <si>
    <t>時間最大降雨（88mm/h）に対し，単独運転（ポンプ１台）で対応</t>
    <rPh sb="18" eb="20">
      <t>タンドク</t>
    </rPh>
    <rPh sb="20" eb="22">
      <t>ウンテン</t>
    </rPh>
    <rPh sb="30" eb="32">
      <t>タイオウ</t>
    </rPh>
    <phoneticPr fontId="3"/>
  </si>
  <si>
    <t>Ｑ</t>
    <phoneticPr fontId="3"/>
  </si>
  <si>
    <t>＝</t>
    <phoneticPr fontId="3"/>
  </si>
  <si>
    <t>1/360</t>
    <phoneticPr fontId="3"/>
  </si>
  <si>
    <t>×</t>
    <phoneticPr fontId="3"/>
  </si>
  <si>
    <t>×</t>
    <phoneticPr fontId="3"/>
  </si>
  <si>
    <t>=</t>
    <phoneticPr fontId="3"/>
  </si>
  <si>
    <t>（㎥/s）</t>
    <phoneticPr fontId="3"/>
  </si>
  <si>
    <t>Q</t>
    <phoneticPr fontId="3"/>
  </si>
  <si>
    <t>=</t>
    <phoneticPr fontId="3"/>
  </si>
  <si>
    <t>計画雨水量（㎥/s）</t>
    <rPh sb="0" eb="2">
      <t>ケイカク</t>
    </rPh>
    <rPh sb="2" eb="4">
      <t>ウスイ</t>
    </rPh>
    <rPh sb="4" eb="5">
      <t>リョウ</t>
    </rPh>
    <phoneticPr fontId="3"/>
  </si>
  <si>
    <t>=</t>
    <phoneticPr fontId="3"/>
  </si>
  <si>
    <t>（L/min）</t>
    <phoneticPr fontId="3"/>
  </si>
  <si>
    <t>C</t>
    <phoneticPr fontId="3"/>
  </si>
  <si>
    <t>流出係数（標準=1）</t>
    <rPh sb="0" eb="2">
      <t>リュウシュツ</t>
    </rPh>
    <rPh sb="2" eb="4">
      <t>ケイスウ</t>
    </rPh>
    <rPh sb="5" eb="7">
      <t>ヒョウジュン</t>
    </rPh>
    <phoneticPr fontId="3"/>
  </si>
  <si>
    <t>降雨強度　88mm/h（実績降雨　京都市）</t>
    <rPh sb="0" eb="2">
      <t>コウウ</t>
    </rPh>
    <rPh sb="2" eb="4">
      <t>キョウド</t>
    </rPh>
    <rPh sb="12" eb="14">
      <t>ジッセキ</t>
    </rPh>
    <rPh sb="14" eb="16">
      <t>コウウ</t>
    </rPh>
    <rPh sb="17" eb="20">
      <t>キョウトシ</t>
    </rPh>
    <phoneticPr fontId="3"/>
  </si>
  <si>
    <t>A</t>
    <phoneticPr fontId="3"/>
  </si>
  <si>
    <t>対象面積(ha)</t>
    <rPh sb="0" eb="2">
      <t>タイショウ</t>
    </rPh>
    <rPh sb="2" eb="4">
      <t>メンセキ</t>
    </rPh>
    <phoneticPr fontId="3"/>
  </si>
  <si>
    <t>１０分最大降雨（26mm/10min）に対し，並列運転（ポンプ２台）で対応</t>
    <rPh sb="5" eb="7">
      <t>コウウ</t>
    </rPh>
    <phoneticPr fontId="3"/>
  </si>
  <si>
    <t>Ｑ</t>
    <phoneticPr fontId="3"/>
  </si>
  <si>
    <t>＝</t>
    <phoneticPr fontId="3"/>
  </si>
  <si>
    <t>1/360</t>
    <phoneticPr fontId="3"/>
  </si>
  <si>
    <t>（㎥/s）</t>
    <phoneticPr fontId="3"/>
  </si>
  <si>
    <t>（L/min）</t>
    <phoneticPr fontId="3"/>
  </si>
  <si>
    <t>降雨強度　26mm/10min（実績降雨　京都市）</t>
    <rPh sb="0" eb="2">
      <t>コウウ</t>
    </rPh>
    <rPh sb="2" eb="4">
      <t>キョウド</t>
    </rPh>
    <rPh sb="16" eb="18">
      <t>ジッセキ</t>
    </rPh>
    <rPh sb="18" eb="20">
      <t>コウウ</t>
    </rPh>
    <rPh sb="21" eb="24">
      <t>キョウトシ</t>
    </rPh>
    <phoneticPr fontId="3"/>
  </si>
  <si>
    <t>項目</t>
    <rPh sb="0" eb="2">
      <t>コウモク</t>
    </rPh>
    <phoneticPr fontId="3"/>
  </si>
  <si>
    <t>設定値</t>
    <rPh sb="0" eb="3">
      <t>セッテイチ</t>
    </rPh>
    <phoneticPr fontId="3"/>
  </si>
  <si>
    <t>基準</t>
    <rPh sb="0" eb="2">
      <t>キジュン</t>
    </rPh>
    <phoneticPr fontId="3"/>
  </si>
  <si>
    <t>適否</t>
    <rPh sb="0" eb="2">
      <t>テキヒ</t>
    </rPh>
    <phoneticPr fontId="3"/>
  </si>
  <si>
    <t>ポンプ能力
（1台当たり）</t>
    <rPh sb="3" eb="5">
      <t>ノウリョク</t>
    </rPh>
    <rPh sb="8" eb="9">
      <t>ダイ</t>
    </rPh>
    <rPh sb="9" eb="10">
      <t>ア</t>
    </rPh>
    <phoneticPr fontId="3"/>
  </si>
  <si>
    <t>ポンプ（１台分）能力≧時間最大降雨，かつ　ポンプ（２台分）能力≧10分最大降雨</t>
    <rPh sb="34" eb="35">
      <t>フン</t>
    </rPh>
    <rPh sb="35" eb="37">
      <t>サイダイ</t>
    </rPh>
    <rPh sb="37" eb="39">
      <t>コウウ</t>
    </rPh>
    <phoneticPr fontId="3"/>
  </si>
  <si>
    <t>400L/min以下</t>
    <rPh sb="8" eb="10">
      <t>イカ</t>
    </rPh>
    <phoneticPr fontId="3"/>
  </si>
  <si>
    <t>上記により</t>
    <rPh sb="0" eb="2">
      <t>ジョウキ</t>
    </rPh>
    <phoneticPr fontId="3"/>
  </si>
  <si>
    <t>L/min　以上のポンプとなるため</t>
    <rPh sb="6" eb="8">
      <t>イジョウ</t>
    </rPh>
    <phoneticPr fontId="3"/>
  </si>
  <si>
    <t>→</t>
    <phoneticPr fontId="3"/>
  </si>
  <si>
    <t>L/minのポンプを選定する</t>
    <rPh sb="10" eb="12">
      <t>センテイ</t>
    </rPh>
    <phoneticPr fontId="3"/>
  </si>
  <si>
    <t>有効容量と
排水槽の大きさ</t>
    <rPh sb="0" eb="2">
      <t>ユウコウ</t>
    </rPh>
    <rPh sb="2" eb="4">
      <t>ヨウリョウ</t>
    </rPh>
    <rPh sb="6" eb="8">
      <t>ハイスイ</t>
    </rPh>
    <rPh sb="8" eb="9">
      <t>ソウ</t>
    </rPh>
    <rPh sb="10" eb="11">
      <t>オオ</t>
    </rPh>
    <phoneticPr fontId="3"/>
  </si>
  <si>
    <t>有効容量</t>
    <rPh sb="0" eb="2">
      <t>ユウコウ</t>
    </rPh>
    <rPh sb="2" eb="4">
      <t>ヨウリョウ</t>
    </rPh>
    <phoneticPr fontId="3"/>
  </si>
  <si>
    <t>計画雨水量</t>
    <rPh sb="0" eb="2">
      <t>ケイカク</t>
    </rPh>
    <rPh sb="2" eb="4">
      <t>ウスイ</t>
    </rPh>
    <rPh sb="4" eb="5">
      <t>リョウ</t>
    </rPh>
    <phoneticPr fontId="3"/>
  </si>
  <si>
    <t>×</t>
    <phoneticPr fontId="3"/>
  </si>
  <si>
    <t>～</t>
    <phoneticPr fontId="3"/>
  </si>
  <si>
    <t>min</t>
    <phoneticPr fontId="3"/>
  </si>
  <si>
    <t>排水槽の大きさが有効容量の1.5倍以上の容量であること</t>
    <rPh sb="0" eb="2">
      <t>ハイスイ</t>
    </rPh>
    <rPh sb="16" eb="17">
      <t>バイ</t>
    </rPh>
    <rPh sb="17" eb="19">
      <t>イジョウ</t>
    </rPh>
    <phoneticPr fontId="3"/>
  </si>
  <si>
    <t>=</t>
    <phoneticPr fontId="3"/>
  </si>
  <si>
    <t>～</t>
    <phoneticPr fontId="3"/>
  </si>
  <si>
    <t>→</t>
    <phoneticPr fontId="3"/>
  </si>
  <si>
    <t>（別紙に転記）</t>
    <rPh sb="1" eb="3">
      <t>ベッシ</t>
    </rPh>
    <rPh sb="4" eb="6">
      <t>テンキ</t>
    </rPh>
    <phoneticPr fontId="3"/>
  </si>
  <si>
    <t>排水槽の大きさ</t>
    <rPh sb="0" eb="2">
      <t>ハイスイ</t>
    </rPh>
    <rPh sb="2" eb="3">
      <t>ソウ</t>
    </rPh>
    <rPh sb="4" eb="5">
      <t>オオ</t>
    </rPh>
    <phoneticPr fontId="3"/>
  </si>
  <si>
    <t>（計算根拠</t>
    <rPh sb="1" eb="3">
      <t>ケイサン</t>
    </rPh>
    <rPh sb="3" eb="5">
      <t>コンキョ</t>
    </rPh>
    <phoneticPr fontId="3"/>
  </si>
  <si>
    <t>ｍ</t>
    <phoneticPr fontId="3"/>
  </si>
  <si>
    <t>）</t>
    <phoneticPr fontId="3"/>
  </si>
  <si>
    <t>ポンプ口径</t>
    <rPh sb="3" eb="5">
      <t>コウケイ</t>
    </rPh>
    <phoneticPr fontId="3"/>
  </si>
  <si>
    <t>Ｄ</t>
    <phoneticPr fontId="3"/>
  </si>
  <si>
    <t>√</t>
    <phoneticPr fontId="3"/>
  </si>
  <si>
    <t>ポンプ能力（㎥/min）</t>
    <rPh sb="3" eb="5">
      <t>ノウリョク</t>
    </rPh>
    <phoneticPr fontId="3"/>
  </si>
  <si>
    <t>/</t>
    <phoneticPr fontId="3"/>
  </si>
  <si>
    <t>V(m/s)</t>
    <phoneticPr fontId="3"/>
  </si>
  <si>
    <t>口径40㎜以上</t>
    <rPh sb="0" eb="2">
      <t>コウケイ</t>
    </rPh>
    <rPh sb="5" eb="7">
      <t>イジョウ</t>
    </rPh>
    <phoneticPr fontId="3"/>
  </si>
  <si>
    <t>※Ｖは1.0～１.5(m/s)で任意で設定</t>
    <rPh sb="16" eb="18">
      <t>ニンイ</t>
    </rPh>
    <rPh sb="19" eb="21">
      <t>セッテイ</t>
    </rPh>
    <phoneticPr fontId="3"/>
  </si>
  <si>
    <t>mm</t>
    <phoneticPr fontId="3"/>
  </si>
  <si>
    <t>～</t>
    <phoneticPr fontId="3"/>
  </si>
  <si>
    <t>mm</t>
    <phoneticPr fontId="3"/>
  </si>
  <si>
    <t>mmとする</t>
    <phoneticPr fontId="3"/>
  </si>
  <si>
    <r>
      <t xml:space="preserve">実流速の確認
</t>
    </r>
    <r>
      <rPr>
        <sz val="10"/>
        <color theme="1"/>
        <rFont val="メイリオ"/>
        <family val="3"/>
        <charset val="128"/>
      </rPr>
      <t>※圧送管部で管径が異なる場合は，管径毎の計算が必要。（計算書は２種類までの管径対応可能。管径が１種類の場合は片方を空白とする。）</t>
    </r>
    <rPh sb="0" eb="1">
      <t>ジツ</t>
    </rPh>
    <rPh sb="1" eb="3">
      <t>リュウソク</t>
    </rPh>
    <rPh sb="4" eb="6">
      <t>カクニン</t>
    </rPh>
    <rPh sb="37" eb="38">
      <t>ショ</t>
    </rPh>
    <rPh sb="40" eb="42">
      <t>シュルイ</t>
    </rPh>
    <phoneticPr fontId="3"/>
  </si>
  <si>
    <t>Ｖ</t>
    <phoneticPr fontId="3"/>
  </si>
  <si>
    <t>Q(㎥/s)</t>
    <phoneticPr fontId="3"/>
  </si>
  <si>
    <t>/</t>
    <phoneticPr fontId="3"/>
  </si>
  <si>
    <t>A(㎡)</t>
    <phoneticPr fontId="3"/>
  </si>
  <si>
    <t>（φ　　</t>
    <phoneticPr fontId="3"/>
  </si>
  <si>
    <t>)</t>
    <phoneticPr fontId="3"/>
  </si>
  <si>
    <r>
      <t xml:space="preserve">0.6～3.0m/s
</t>
    </r>
    <r>
      <rPr>
        <b/>
        <sz val="10"/>
        <color rgb="FFFF0000"/>
        <rFont val="メイリオ"/>
        <family val="3"/>
        <charset val="128"/>
      </rPr>
      <t>※基準内に収まらない場合は
理由と施主の了承が必要</t>
    </r>
    <rPh sb="12" eb="14">
      <t>キジュン</t>
    </rPh>
    <rPh sb="14" eb="15">
      <t>ナイ</t>
    </rPh>
    <rPh sb="16" eb="17">
      <t>オサ</t>
    </rPh>
    <rPh sb="21" eb="23">
      <t>バアイ</t>
    </rPh>
    <rPh sb="25" eb="27">
      <t>リユウ</t>
    </rPh>
    <rPh sb="28" eb="30">
      <t>セシュ</t>
    </rPh>
    <rPh sb="31" eb="33">
      <t>リョウショウ</t>
    </rPh>
    <rPh sb="34" eb="36">
      <t>ヒツヨウ</t>
    </rPh>
    <phoneticPr fontId="3"/>
  </si>
  <si>
    <t>m/s</t>
    <phoneticPr fontId="3"/>
  </si>
  <si>
    <t>/</t>
    <phoneticPr fontId="3"/>
  </si>
  <si>
    <t>A(㎡)</t>
    <phoneticPr fontId="3"/>
  </si>
  <si>
    <t>)</t>
    <phoneticPr fontId="3"/>
  </si>
  <si>
    <t>m/s</t>
    <phoneticPr fontId="3"/>
  </si>
  <si>
    <t>※適否が×の場合の理由</t>
    <rPh sb="9" eb="11">
      <t>リユウ</t>
    </rPh>
    <phoneticPr fontId="3"/>
  </si>
  <si>
    <t>　</t>
  </si>
  <si>
    <r>
      <t xml:space="preserve">揚程計算
</t>
    </r>
    <r>
      <rPr>
        <sz val="11"/>
        <color theme="1"/>
        <rFont val="メイリオ"/>
        <family val="3"/>
        <charset val="128"/>
      </rPr>
      <t>（次ページにて算出）</t>
    </r>
    <rPh sb="0" eb="1">
      <t>ア</t>
    </rPh>
    <rPh sb="1" eb="2">
      <t>テイ</t>
    </rPh>
    <rPh sb="2" eb="4">
      <t>ケイサン</t>
    </rPh>
    <rPh sb="6" eb="7">
      <t>ジ</t>
    </rPh>
    <rPh sb="12" eb="14">
      <t>サンシュツ</t>
    </rPh>
    <phoneticPr fontId="3"/>
  </si>
  <si>
    <t>全揚程</t>
    <rPh sb="0" eb="1">
      <t>ゼン</t>
    </rPh>
    <rPh sb="1" eb="2">
      <t>ヨウ</t>
    </rPh>
    <rPh sb="2" eb="3">
      <t>テイ</t>
    </rPh>
    <phoneticPr fontId="3"/>
  </si>
  <si>
    <t>Ｈ</t>
    <phoneticPr fontId="3"/>
  </si>
  <si>
    <t>＝</t>
    <phoneticPr fontId="3"/>
  </si>
  <si>
    <t>Ｈa</t>
    <phoneticPr fontId="3"/>
  </si>
  <si>
    <t>＋</t>
    <phoneticPr fontId="3"/>
  </si>
  <si>
    <t>Ｈf</t>
    <phoneticPr fontId="3"/>
  </si>
  <si>
    <t>+</t>
    <phoneticPr fontId="3"/>
  </si>
  <si>
    <t>Ho</t>
    <phoneticPr fontId="3"/>
  </si>
  <si>
    <t>＝</t>
    <phoneticPr fontId="3"/>
  </si>
  <si>
    <t>＋</t>
    <phoneticPr fontId="3"/>
  </si>
  <si>
    <t>+</t>
    <phoneticPr fontId="3"/>
  </si>
  <si>
    <t>ｍ</t>
    <phoneticPr fontId="3"/>
  </si>
  <si>
    <t>安全率を</t>
    <rPh sb="0" eb="2">
      <t>アンゼン</t>
    </rPh>
    <rPh sb="2" eb="3">
      <t>リツ</t>
    </rPh>
    <phoneticPr fontId="3"/>
  </si>
  <si>
    <t>とすると，</t>
    <phoneticPr fontId="3"/>
  </si>
  <si>
    <t>（※任意設定）</t>
    <rPh sb="2" eb="3">
      <t>ニン</t>
    </rPh>
    <rPh sb="3" eb="4">
      <t>イ</t>
    </rPh>
    <rPh sb="4" eb="6">
      <t>セッテイ</t>
    </rPh>
    <phoneticPr fontId="3"/>
  </si>
  <si>
    <t>H</t>
    <phoneticPr fontId="3"/>
  </si>
  <si>
    <t>×</t>
    <phoneticPr fontId="3"/>
  </si>
  <si>
    <t>=</t>
    <phoneticPr fontId="3"/>
  </si>
  <si>
    <t>ｍ</t>
    <phoneticPr fontId="3"/>
  </si>
  <si>
    <t>→</t>
    <phoneticPr fontId="3"/>
  </si>
  <si>
    <t>揚程</t>
    <rPh sb="0" eb="1">
      <t>ア</t>
    </rPh>
    <rPh sb="1" eb="2">
      <t>テイ</t>
    </rPh>
    <phoneticPr fontId="3"/>
  </si>
  <si>
    <t>m</t>
    <phoneticPr fontId="3"/>
  </si>
  <si>
    <t>とする</t>
    <phoneticPr fontId="3"/>
  </si>
  <si>
    <t>ポンプ制御方法</t>
    <rPh sb="3" eb="5">
      <t>セイギョ</t>
    </rPh>
    <rPh sb="5" eb="7">
      <t>ホウホウ</t>
    </rPh>
    <phoneticPr fontId="3"/>
  </si>
  <si>
    <t>○</t>
    <phoneticPr fontId="3"/>
  </si>
  <si>
    <t>水位制御＋タイマー制御</t>
    <rPh sb="0" eb="2">
      <t>スイイ</t>
    </rPh>
    <rPh sb="2" eb="4">
      <t>セイギョ</t>
    </rPh>
    <rPh sb="9" eb="11">
      <t>セイギョ</t>
    </rPh>
    <phoneticPr fontId="3"/>
  </si>
  <si>
    <t>タイマー制御</t>
    <phoneticPr fontId="3"/>
  </si>
  <si>
    <t>時間設定</t>
    <rPh sb="0" eb="2">
      <t>ジカン</t>
    </rPh>
    <rPh sb="2" eb="4">
      <t>セッテイ</t>
    </rPh>
    <phoneticPr fontId="3"/>
  </si>
  <si>
    <t>←制御盤の仕様書等で明示すること</t>
    <rPh sb="1" eb="4">
      <t>セイギョバン</t>
    </rPh>
    <rPh sb="5" eb="8">
      <t>シヨウショ</t>
    </rPh>
    <rPh sb="8" eb="9">
      <t>トウ</t>
    </rPh>
    <rPh sb="10" eb="12">
      <t>メイジ</t>
    </rPh>
    <phoneticPr fontId="3"/>
  </si>
  <si>
    <t>水位制御＋タイマー制御＋撹拌曝気</t>
    <rPh sb="0" eb="2">
      <t>スイイ</t>
    </rPh>
    <rPh sb="2" eb="4">
      <t>セイギョ</t>
    </rPh>
    <rPh sb="9" eb="11">
      <t>セイギョ</t>
    </rPh>
    <rPh sb="12" eb="14">
      <t>カクハン</t>
    </rPh>
    <rPh sb="14" eb="16">
      <t>バッキ</t>
    </rPh>
    <phoneticPr fontId="3"/>
  </si>
  <si>
    <t>その他（　　　　　　　　　　　）</t>
    <rPh sb="2" eb="3">
      <t>タ</t>
    </rPh>
    <phoneticPr fontId="3"/>
  </si>
  <si>
    <r>
      <t>下記のポンプを設定する</t>
    </r>
    <r>
      <rPr>
        <sz val="12"/>
        <color theme="1"/>
        <rFont val="メイリオ"/>
        <family val="3"/>
        <charset val="128"/>
      </rPr>
      <t>　（別紙に転記）</t>
    </r>
    <rPh sb="0" eb="2">
      <t>カキ</t>
    </rPh>
    <rPh sb="7" eb="9">
      <t>セッテイ</t>
    </rPh>
    <phoneticPr fontId="3"/>
  </si>
  <si>
    <t>ポンプ能力</t>
    <rPh sb="3" eb="5">
      <t>ノウリョク</t>
    </rPh>
    <phoneticPr fontId="3"/>
  </si>
  <si>
    <t>口径</t>
    <rPh sb="0" eb="2">
      <t>コウケイ</t>
    </rPh>
    <phoneticPr fontId="3"/>
  </si>
  <si>
    <t>出力</t>
    <rPh sb="0" eb="2">
      <t>シュツリョク</t>
    </rPh>
    <phoneticPr fontId="3"/>
  </si>
  <si>
    <t>台数</t>
    <phoneticPr fontId="3"/>
  </si>
  <si>
    <t>→</t>
    <phoneticPr fontId="3"/>
  </si>
  <si>
    <t>（L/min）</t>
    <phoneticPr fontId="3"/>
  </si>
  <si>
    <t>（mm）</t>
    <phoneticPr fontId="3"/>
  </si>
  <si>
    <t>×</t>
    <phoneticPr fontId="3"/>
  </si>
  <si>
    <t>（m）</t>
    <phoneticPr fontId="3"/>
  </si>
  <si>
    <t>（台）</t>
    <rPh sb="1" eb="2">
      <t>ダイ</t>
    </rPh>
    <phoneticPr fontId="3"/>
  </si>
  <si>
    <t>揚程計算（計算過程）</t>
    <rPh sb="5" eb="7">
      <t>ケイサン</t>
    </rPh>
    <rPh sb="7" eb="9">
      <t>カテイ</t>
    </rPh>
    <phoneticPr fontId="3"/>
  </si>
  <si>
    <t>実揚程（Ha）</t>
    <phoneticPr fontId="3"/>
  </si>
  <si>
    <t>Ha</t>
    <phoneticPr fontId="3"/>
  </si>
  <si>
    <t>＝</t>
    <phoneticPr fontId="3"/>
  </si>
  <si>
    <t>（ｍ）</t>
    <phoneticPr fontId="3"/>
  </si>
  <si>
    <t>吐出し口における速度水頭（Ho）</t>
    <phoneticPr fontId="3"/>
  </si>
  <si>
    <t>Ho</t>
    <phoneticPr fontId="3"/>
  </si>
  <si>
    <t>ｆｏ</t>
    <phoneticPr fontId="3"/>
  </si>
  <si>
    <r>
      <t>V</t>
    </r>
    <r>
      <rPr>
        <vertAlign val="superscript"/>
        <sz val="12"/>
        <color theme="1"/>
        <rFont val="メイリオ"/>
        <family val="3"/>
        <charset val="128"/>
      </rPr>
      <t>2</t>
    </r>
    <r>
      <rPr>
        <sz val="12"/>
        <color theme="1"/>
        <rFont val="メイリオ"/>
        <family val="3"/>
        <charset val="128"/>
      </rPr>
      <t>/2g</t>
    </r>
    <phoneticPr fontId="3"/>
  </si>
  <si>
    <t>　（※放流口における流速）</t>
    <phoneticPr fontId="3"/>
  </si>
  <si>
    <t>　損失水頭（Hｆ）</t>
    <rPh sb="1" eb="3">
      <t>ソンシツ</t>
    </rPh>
    <rPh sb="3" eb="5">
      <t>スイトウ</t>
    </rPh>
    <phoneticPr fontId="3"/>
  </si>
  <si>
    <t>Hf</t>
    <phoneticPr fontId="3"/>
  </si>
  <si>
    <t>＝</t>
    <phoneticPr fontId="3"/>
  </si>
  <si>
    <t>hf</t>
    <phoneticPr fontId="3"/>
  </si>
  <si>
    <t>＋</t>
    <phoneticPr fontId="3"/>
  </si>
  <si>
    <t>hx</t>
    <phoneticPr fontId="3"/>
  </si>
  <si>
    <t>管径</t>
    <rPh sb="0" eb="2">
      <t>カンケイ</t>
    </rPh>
    <phoneticPr fontId="3"/>
  </si>
  <si>
    <t>D＝</t>
    <phoneticPr fontId="3"/>
  </si>
  <si>
    <t>㎜</t>
    <phoneticPr fontId="3"/>
  </si>
  <si>
    <t>L＝</t>
    <phoneticPr fontId="3"/>
  </si>
  <si>
    <t>V＝</t>
    <phoneticPr fontId="3"/>
  </si>
  <si>
    <t>粗度係数</t>
    <phoneticPr fontId="3"/>
  </si>
  <si>
    <t>n＝</t>
    <phoneticPr fontId="3"/>
  </si>
  <si>
    <t>（摩擦損失）</t>
    <rPh sb="1" eb="3">
      <t>マサツ</t>
    </rPh>
    <rPh sb="3" eb="5">
      <t>ソンシツ</t>
    </rPh>
    <phoneticPr fontId="3"/>
  </si>
  <si>
    <t>hf</t>
    <phoneticPr fontId="3"/>
  </si>
  <si>
    <t>fm</t>
    <phoneticPr fontId="3"/>
  </si>
  <si>
    <t>Ｌ/D</t>
    <phoneticPr fontId="3"/>
  </si>
  <si>
    <t>仕切弁</t>
    <phoneticPr fontId="3"/>
  </si>
  <si>
    <t>～80㎜</t>
    <phoneticPr fontId="3"/>
  </si>
  <si>
    <t>〃</t>
    <phoneticPr fontId="3"/>
  </si>
  <si>
    <t>100㎜～</t>
    <phoneticPr fontId="3"/>
  </si>
  <si>
    <r>
      <t>124.6/D</t>
    </r>
    <r>
      <rPr>
        <vertAlign val="superscript"/>
        <sz val="12"/>
        <color theme="1"/>
        <rFont val="メイリオ"/>
        <family val="3"/>
        <charset val="128"/>
      </rPr>
      <t>1/3</t>
    </r>
    <phoneticPr fontId="3"/>
  </si>
  <si>
    <r>
      <t>n</t>
    </r>
    <r>
      <rPr>
        <vertAlign val="superscript"/>
        <sz val="12"/>
        <color theme="1"/>
        <rFont val="メイリオ"/>
        <family val="3"/>
        <charset val="128"/>
      </rPr>
      <t>2</t>
    </r>
    <phoneticPr fontId="3"/>
  </si>
  <si>
    <t>仕切弁の損失係数（fsv）</t>
    <rPh sb="0" eb="3">
      <t>シキリベン</t>
    </rPh>
    <rPh sb="4" eb="6">
      <t>ソンシツ</t>
    </rPh>
    <rPh sb="6" eb="8">
      <t>ケイスウ</t>
    </rPh>
    <phoneticPr fontId="3"/>
  </si>
  <si>
    <t>逆仕弁</t>
    <phoneticPr fontId="3"/>
  </si>
  <si>
    <t>管径（㎜）</t>
    <rPh sb="0" eb="1">
      <t>カン</t>
    </rPh>
    <rPh sb="1" eb="2">
      <t>ケイ</t>
    </rPh>
    <phoneticPr fontId="3"/>
  </si>
  <si>
    <t>エルボ</t>
    <phoneticPr fontId="3"/>
  </si>
  <si>
    <t>90°</t>
    <phoneticPr fontId="3"/>
  </si>
  <si>
    <t>損失係数</t>
    <rPh sb="0" eb="2">
      <t>ソンシツ</t>
    </rPh>
    <rPh sb="2" eb="4">
      <t>ケイスウ</t>
    </rPh>
    <phoneticPr fontId="3"/>
  </si>
  <si>
    <t>60°</t>
    <phoneticPr fontId="3"/>
  </si>
  <si>
    <t>逆仕弁の損失係数（fcv）</t>
    <rPh sb="0" eb="1">
      <t>ギャク</t>
    </rPh>
    <rPh sb="1" eb="2">
      <t>シ</t>
    </rPh>
    <rPh sb="2" eb="3">
      <t>ベン</t>
    </rPh>
    <rPh sb="4" eb="6">
      <t>ソンシツ</t>
    </rPh>
    <rPh sb="6" eb="8">
      <t>ケイスウ</t>
    </rPh>
    <phoneticPr fontId="3"/>
  </si>
  <si>
    <t>45°</t>
    <phoneticPr fontId="3"/>
  </si>
  <si>
    <t>（弁類・曲管による損失）</t>
    <phoneticPr fontId="3"/>
  </si>
  <si>
    <t>fx</t>
    <phoneticPr fontId="3"/>
  </si>
  <si>
    <r>
      <t>V</t>
    </r>
    <r>
      <rPr>
        <vertAlign val="superscript"/>
        <sz val="12"/>
        <color theme="1"/>
        <rFont val="メイリオ"/>
        <family val="3"/>
        <charset val="128"/>
      </rPr>
      <t>2</t>
    </r>
    <r>
      <rPr>
        <sz val="12"/>
        <color theme="1"/>
        <rFont val="メイリオ"/>
        <family val="3"/>
        <charset val="128"/>
      </rPr>
      <t>/2g</t>
    </r>
    <phoneticPr fontId="3"/>
  </si>
  <si>
    <t>30°</t>
    <phoneticPr fontId="3"/>
  </si>
  <si>
    <t>エルボの角度損失（fb）</t>
    <rPh sb="4" eb="6">
      <t>カクド</t>
    </rPh>
    <rPh sb="6" eb="8">
      <t>ソンシツ</t>
    </rPh>
    <phoneticPr fontId="3"/>
  </si>
  <si>
    <t>仕切弁＋逆止弁＋（エルボ×個数）</t>
    <rPh sb="0" eb="3">
      <t>シキリベン</t>
    </rPh>
    <rPh sb="4" eb="7">
      <t>ギャクシベン</t>
    </rPh>
    <rPh sb="13" eb="15">
      <t>コスウ</t>
    </rPh>
    <phoneticPr fontId="3"/>
  </si>
  <si>
    <t>角度（°）</t>
    <rPh sb="0" eb="2">
      <t>カクド</t>
    </rPh>
    <phoneticPr fontId="3"/>
  </si>
  <si>
    <t>Hf</t>
    <phoneticPr fontId="3"/>
  </si>
  <si>
    <t>hx</t>
    <phoneticPr fontId="3"/>
  </si>
  <si>
    <t>＋</t>
    <phoneticPr fontId="3"/>
  </si>
  <si>
    <t>Ｌ/D</t>
    <phoneticPr fontId="3"/>
  </si>
  <si>
    <t>fm</t>
    <phoneticPr fontId="3"/>
  </si>
  <si>
    <r>
      <t>n</t>
    </r>
    <r>
      <rPr>
        <vertAlign val="superscript"/>
        <sz val="12"/>
        <color theme="1"/>
        <rFont val="メイリオ"/>
        <family val="3"/>
        <charset val="128"/>
      </rPr>
      <t>2</t>
    </r>
    <phoneticPr fontId="3"/>
  </si>
  <si>
    <t>60°</t>
    <phoneticPr fontId="3"/>
  </si>
  <si>
    <t>fx</t>
    <phoneticPr fontId="3"/>
  </si>
  <si>
    <t>〃</t>
    <phoneticPr fontId="3"/>
  </si>
  <si>
    <t>30°</t>
    <phoneticPr fontId="3"/>
  </si>
  <si>
    <t>１）ﾎﾟﾝﾌﾟ停止水位</t>
    <rPh sb="7" eb="9">
      <t>テイシ</t>
    </rPh>
    <rPh sb="9" eb="11">
      <t>スイイ</t>
    </rPh>
    <phoneticPr fontId="3"/>
  </si>
  <si>
    <t>ポンプメーカー仕様等により　　　　</t>
    <rPh sb="7" eb="9">
      <t>シヨウ</t>
    </rPh>
    <rPh sb="9" eb="10">
      <t>トウ</t>
    </rPh>
    <phoneticPr fontId="3"/>
  </si>
  <si>
    <t>に設定する。</t>
    <rPh sb="1" eb="3">
      <t>セッテイ</t>
    </rPh>
    <phoneticPr fontId="3"/>
  </si>
  <si>
    <t>２）ﾎﾟﾝﾌﾟ起動水位</t>
    <rPh sb="7" eb="9">
      <t>キドウ</t>
    </rPh>
    <rPh sb="9" eb="11">
      <t>スイイ</t>
    </rPh>
    <phoneticPr fontId="3"/>
  </si>
  <si>
    <t>①　ﾎﾟﾝﾌﾟ吐出量</t>
    <rPh sb="7" eb="9">
      <t>トシュツ</t>
    </rPh>
    <rPh sb="9" eb="10">
      <t>リョウ</t>
    </rPh>
    <phoneticPr fontId="3"/>
  </si>
  <si>
    <t>L/min　×</t>
    <phoneticPr fontId="3"/>
  </si>
  <si>
    <t>３分</t>
    <rPh sb="1" eb="2">
      <t>フン</t>
    </rPh>
    <phoneticPr fontId="3"/>
  </si>
  <si>
    <t>L</t>
    <phoneticPr fontId="3"/>
  </si>
  <si>
    <t>（単独ﾎﾟﾝﾌﾟ運転は１稼働３分に設定する）</t>
    <phoneticPr fontId="3"/>
  </si>
  <si>
    <t>　　a. 起動水位が釜場の有効容量を超え，排水槽内で起動</t>
    <rPh sb="5" eb="7">
      <t>キドウ</t>
    </rPh>
    <rPh sb="7" eb="9">
      <t>スイイ</t>
    </rPh>
    <rPh sb="10" eb="12">
      <t>カマバ</t>
    </rPh>
    <rPh sb="13" eb="15">
      <t>ユウコウ</t>
    </rPh>
    <rPh sb="15" eb="17">
      <t>ヨウリョウ</t>
    </rPh>
    <rPh sb="18" eb="19">
      <t>コ</t>
    </rPh>
    <rPh sb="21" eb="23">
      <t>ハイスイ</t>
    </rPh>
    <rPh sb="23" eb="24">
      <t>ソウ</t>
    </rPh>
    <rPh sb="24" eb="25">
      <t>ナイ</t>
    </rPh>
    <rPh sb="26" eb="28">
      <t>キドウ</t>
    </rPh>
    <phoneticPr fontId="3"/>
  </si>
  <si>
    <t>－</t>
    <phoneticPr fontId="3"/>
  </si>
  <si>
    <t>÷</t>
    <phoneticPr fontId="3"/>
  </si>
  <si>
    <t>よってポンプの停止水位より</t>
    <rPh sb="7" eb="9">
      <t>テイシ</t>
    </rPh>
    <rPh sb="9" eb="11">
      <t>スイイ</t>
    </rPh>
    <phoneticPr fontId="3"/>
  </si>
  <si>
    <t>ｍ 上方に設定する。</t>
    <rPh sb="2" eb="4">
      <t>ジョウホウ</t>
    </rPh>
    <rPh sb="5" eb="7">
      <t>セッテイ</t>
    </rPh>
    <phoneticPr fontId="3"/>
  </si>
  <si>
    <t>３）並列運転水位</t>
    <rPh sb="2" eb="4">
      <t>ヘイレツ</t>
    </rPh>
    <rPh sb="4" eb="6">
      <t>ウンテン</t>
    </rPh>
    <rPh sb="6" eb="8">
      <t>スイイ</t>
    </rPh>
    <phoneticPr fontId="3"/>
  </si>
  <si>
    <t>ﾎﾟﾝﾌﾟ起動水位の</t>
    <phoneticPr fontId="3"/>
  </si>
  <si>
    <t>並列運転水位の</t>
    <phoneticPr fontId="3"/>
  </si>
  <si>
    <t>ポンプの停止水位より</t>
    <rPh sb="4" eb="6">
      <t>テイシ</t>
    </rPh>
    <rPh sb="6" eb="8">
      <t>スイイ</t>
    </rPh>
    <phoneticPr fontId="3"/>
  </si>
  <si>
    <t>ｍ³ 貯留した高さに設定。</t>
    <rPh sb="3" eb="5">
      <t>チョリュウ</t>
    </rPh>
    <rPh sb="7" eb="8">
      <t>タカ</t>
    </rPh>
    <rPh sb="10" eb="12">
      <t>セッテイ</t>
    </rPh>
    <phoneticPr fontId="3"/>
  </si>
  <si>
    <t>湧水槽</t>
    <phoneticPr fontId="3"/>
  </si>
  <si>
    <t>湧水対象面積</t>
    <rPh sb="0" eb="2">
      <t>ユウスイ</t>
    </rPh>
    <rPh sb="2" eb="4">
      <t>タイショウ</t>
    </rPh>
    <rPh sb="4" eb="6">
      <t>メンセキ</t>
    </rPh>
    <phoneticPr fontId="3"/>
  </si>
  <si>
    <t>㎡</t>
    <phoneticPr fontId="3"/>
  </si>
  <si>
    <t>←対象面積を図面上で表示すること</t>
    <phoneticPr fontId="3"/>
  </si>
  <si>
    <t>≪時間最大湧水量≫</t>
    <rPh sb="1" eb="3">
      <t>ジカン</t>
    </rPh>
    <rPh sb="3" eb="5">
      <t>サイダイ</t>
    </rPh>
    <rPh sb="5" eb="7">
      <t>ユウスイ</t>
    </rPh>
    <rPh sb="7" eb="8">
      <t>リョウ</t>
    </rPh>
    <phoneticPr fontId="3"/>
  </si>
  <si>
    <t>※排水量算定根拠を明示すること</t>
    <rPh sb="1" eb="3">
      <t>ハイスイ</t>
    </rPh>
    <rPh sb="3" eb="4">
      <t>リョウ</t>
    </rPh>
    <rPh sb="4" eb="6">
      <t>サンテイ</t>
    </rPh>
    <rPh sb="6" eb="8">
      <t>コンキョ</t>
    </rPh>
    <rPh sb="9" eb="11">
      <t>メイジ</t>
    </rPh>
    <phoneticPr fontId="3"/>
  </si>
  <si>
    <t>想定湧水量（1～5L/㎡/h）</t>
    <rPh sb="0" eb="2">
      <t>ソウテイ</t>
    </rPh>
    <rPh sb="2" eb="4">
      <t>ユウスイ</t>
    </rPh>
    <rPh sb="4" eb="5">
      <t>リョウ</t>
    </rPh>
    <phoneticPr fontId="3"/>
  </si>
  <si>
    <t>→</t>
    <phoneticPr fontId="3"/>
  </si>
  <si>
    <t>L/㎡/hとする</t>
    <phoneticPr fontId="3"/>
  </si>
  <si>
    <t>時間最大湧水量Ｑ（L/min）</t>
    <rPh sb="0" eb="2">
      <t>ジカン</t>
    </rPh>
    <rPh sb="2" eb="4">
      <t>サイダイ</t>
    </rPh>
    <rPh sb="4" eb="6">
      <t>ユウスイ</t>
    </rPh>
    <rPh sb="6" eb="7">
      <t>リョウ</t>
    </rPh>
    <phoneticPr fontId="3"/>
  </si>
  <si>
    <t>Q</t>
    <phoneticPr fontId="3"/>
  </si>
  <si>
    <t>=</t>
    <phoneticPr fontId="3"/>
  </si>
  <si>
    <t>対象面積(ｍ²)</t>
    <phoneticPr fontId="3"/>
  </si>
  <si>
    <t>×</t>
    <phoneticPr fontId="3"/>
  </si>
  <si>
    <t>想定湧水量</t>
    <rPh sb="0" eb="2">
      <t>ソウテイ</t>
    </rPh>
    <rPh sb="2" eb="4">
      <t>ユウスイ</t>
    </rPh>
    <rPh sb="4" eb="5">
      <t>リョウ</t>
    </rPh>
    <phoneticPr fontId="3"/>
  </si>
  <si>
    <t>＝</t>
    <phoneticPr fontId="3"/>
  </si>
  <si>
    <t>(L/h)</t>
    <phoneticPr fontId="3"/>
  </si>
  <si>
    <t>(L/min)</t>
    <phoneticPr fontId="3"/>
  </si>
  <si>
    <t>計画最大汚水量の３～１０分間貯留量を１分で排出する能力を選定</t>
    <rPh sb="0" eb="2">
      <t>ケイカク</t>
    </rPh>
    <rPh sb="2" eb="4">
      <t>サイダイ</t>
    </rPh>
    <rPh sb="4" eb="6">
      <t>オスイ</t>
    </rPh>
    <rPh sb="6" eb="7">
      <t>リョウ</t>
    </rPh>
    <rPh sb="12" eb="13">
      <t>フン</t>
    </rPh>
    <rPh sb="13" eb="14">
      <t>カン</t>
    </rPh>
    <rPh sb="14" eb="16">
      <t>チョリュウ</t>
    </rPh>
    <rPh sb="16" eb="17">
      <t>リョウ</t>
    </rPh>
    <rPh sb="19" eb="20">
      <t>フン</t>
    </rPh>
    <rPh sb="21" eb="23">
      <t>ハイシュツ</t>
    </rPh>
    <rPh sb="25" eb="27">
      <t>ノウリョク</t>
    </rPh>
    <rPh sb="28" eb="30">
      <t>センテイ</t>
    </rPh>
    <phoneticPr fontId="3"/>
  </si>
  <si>
    <t>～</t>
    <phoneticPr fontId="3"/>
  </si>
  <si>
    <t>L/min</t>
    <phoneticPr fontId="3"/>
  </si>
  <si>
    <r>
      <t>有効容量　＝　時間</t>
    </r>
    <r>
      <rPr>
        <sz val="11"/>
        <color theme="1"/>
        <rFont val="メイリオ"/>
        <family val="3"/>
        <charset val="128"/>
      </rPr>
      <t>最大湧水量</t>
    </r>
    <rPh sb="0" eb="2">
      <t>ユウコウ</t>
    </rPh>
    <rPh sb="2" eb="4">
      <t>ヨウリョウ</t>
    </rPh>
    <rPh sb="7" eb="9">
      <t>ジカン</t>
    </rPh>
    <rPh sb="11" eb="13">
      <t>ユウスイ</t>
    </rPh>
    <phoneticPr fontId="3"/>
  </si>
  <si>
    <t>min</t>
    <phoneticPr fontId="3"/>
  </si>
  <si>
    <t xml:space="preserve"> →</t>
    <phoneticPr fontId="3"/>
  </si>
  <si>
    <t>Ｄ</t>
    <phoneticPr fontId="3"/>
  </si>
  <si>
    <t>√</t>
    <phoneticPr fontId="3"/>
  </si>
  <si>
    <t>/</t>
    <phoneticPr fontId="3"/>
  </si>
  <si>
    <t>V(m/s)</t>
    <phoneticPr fontId="3"/>
  </si>
  <si>
    <t>mm</t>
    <phoneticPr fontId="3"/>
  </si>
  <si>
    <t>mmとする</t>
    <phoneticPr fontId="3"/>
  </si>
  <si>
    <t>Ｖ</t>
    <phoneticPr fontId="3"/>
  </si>
  <si>
    <t>Q(㎥/s)</t>
    <phoneticPr fontId="3"/>
  </si>
  <si>
    <t>A(㎡)</t>
    <phoneticPr fontId="3"/>
  </si>
  <si>
    <t>（φ　　</t>
    <phoneticPr fontId="3"/>
  </si>
  <si>
    <t>)</t>
    <phoneticPr fontId="3"/>
  </si>
  <si>
    <t>ｍ</t>
    <phoneticPr fontId="3"/>
  </si>
  <si>
    <t>とすると，</t>
    <phoneticPr fontId="3"/>
  </si>
  <si>
    <t>H</t>
    <phoneticPr fontId="3"/>
  </si>
  <si>
    <t>→</t>
    <phoneticPr fontId="3"/>
  </si>
  <si>
    <t>m</t>
    <phoneticPr fontId="3"/>
  </si>
  <si>
    <t>○</t>
    <phoneticPr fontId="3"/>
  </si>
  <si>
    <t>タイマー制御</t>
    <phoneticPr fontId="3"/>
  </si>
  <si>
    <t>×</t>
    <phoneticPr fontId="3"/>
  </si>
  <si>
    <t>（mm）</t>
    <phoneticPr fontId="3"/>
  </si>
  <si>
    <t>（m）</t>
    <phoneticPr fontId="3"/>
  </si>
  <si>
    <t>実揚程（Ha）</t>
    <phoneticPr fontId="3"/>
  </si>
  <si>
    <t>Ha</t>
    <phoneticPr fontId="3"/>
  </si>
  <si>
    <t>（ｍ）</t>
    <phoneticPr fontId="3"/>
  </si>
  <si>
    <t>吐出し口における速度水頭（Ho）</t>
    <phoneticPr fontId="3"/>
  </si>
  <si>
    <t>ｆｏ</t>
    <phoneticPr fontId="3"/>
  </si>
  <si>
    <r>
      <t>V</t>
    </r>
    <r>
      <rPr>
        <vertAlign val="superscript"/>
        <sz val="12"/>
        <color theme="1"/>
        <rFont val="メイリオ"/>
        <family val="3"/>
        <charset val="128"/>
      </rPr>
      <t>2</t>
    </r>
    <r>
      <rPr>
        <sz val="12"/>
        <color theme="1"/>
        <rFont val="メイリオ"/>
        <family val="3"/>
        <charset val="128"/>
      </rPr>
      <t>/2g</t>
    </r>
    <phoneticPr fontId="3"/>
  </si>
  <si>
    <t>ｆｏ</t>
    <phoneticPr fontId="3"/>
  </si>
  <si>
    <t>=</t>
    <phoneticPr fontId="3"/>
  </si>
  <si>
    <t>　（※放流口における流速）</t>
    <phoneticPr fontId="3"/>
  </si>
  <si>
    <t>（ｍ）</t>
    <phoneticPr fontId="3"/>
  </si>
  <si>
    <t>Hf</t>
    <phoneticPr fontId="3"/>
  </si>
  <si>
    <t>hf</t>
    <phoneticPr fontId="3"/>
  </si>
  <si>
    <t>hx</t>
    <phoneticPr fontId="3"/>
  </si>
  <si>
    <t>D＝</t>
    <phoneticPr fontId="3"/>
  </si>
  <si>
    <t>㎜</t>
    <phoneticPr fontId="3"/>
  </si>
  <si>
    <t>L＝</t>
    <phoneticPr fontId="3"/>
  </si>
  <si>
    <t>ｍ</t>
    <phoneticPr fontId="3"/>
  </si>
  <si>
    <t>V＝</t>
    <phoneticPr fontId="3"/>
  </si>
  <si>
    <t>粗度係数</t>
    <phoneticPr fontId="3"/>
  </si>
  <si>
    <t>n＝</t>
    <phoneticPr fontId="3"/>
  </si>
  <si>
    <t>hf</t>
    <phoneticPr fontId="3"/>
  </si>
  <si>
    <t>fm</t>
    <phoneticPr fontId="3"/>
  </si>
  <si>
    <t>×</t>
    <phoneticPr fontId="3"/>
  </si>
  <si>
    <t>Ｌ/D</t>
    <phoneticPr fontId="3"/>
  </si>
  <si>
    <r>
      <t>V</t>
    </r>
    <r>
      <rPr>
        <vertAlign val="superscript"/>
        <sz val="12"/>
        <color theme="1"/>
        <rFont val="メイリオ"/>
        <family val="3"/>
        <charset val="128"/>
      </rPr>
      <t>2</t>
    </r>
    <r>
      <rPr>
        <sz val="12"/>
        <color theme="1"/>
        <rFont val="メイリオ"/>
        <family val="3"/>
        <charset val="128"/>
      </rPr>
      <t>/2g</t>
    </r>
    <phoneticPr fontId="3"/>
  </si>
  <si>
    <t>×</t>
    <phoneticPr fontId="3"/>
  </si>
  <si>
    <t>仕切弁</t>
    <phoneticPr fontId="3"/>
  </si>
  <si>
    <t>～80㎜</t>
    <phoneticPr fontId="3"/>
  </si>
  <si>
    <t>＝</t>
    <phoneticPr fontId="3"/>
  </si>
  <si>
    <t>〃</t>
    <phoneticPr fontId="3"/>
  </si>
  <si>
    <t>100㎜～</t>
    <phoneticPr fontId="3"/>
  </si>
  <si>
    <t>fm</t>
    <phoneticPr fontId="3"/>
  </si>
  <si>
    <t>＝</t>
    <phoneticPr fontId="3"/>
  </si>
  <si>
    <r>
      <t>124.6/D</t>
    </r>
    <r>
      <rPr>
        <vertAlign val="superscript"/>
        <sz val="12"/>
        <color theme="1"/>
        <rFont val="メイリオ"/>
        <family val="3"/>
        <charset val="128"/>
      </rPr>
      <t>1/3</t>
    </r>
    <phoneticPr fontId="3"/>
  </si>
  <si>
    <r>
      <t>n</t>
    </r>
    <r>
      <rPr>
        <vertAlign val="superscript"/>
        <sz val="12"/>
        <color theme="1"/>
        <rFont val="メイリオ"/>
        <family val="3"/>
        <charset val="128"/>
      </rPr>
      <t>2</t>
    </r>
    <phoneticPr fontId="3"/>
  </si>
  <si>
    <t>逆仕弁</t>
    <phoneticPr fontId="3"/>
  </si>
  <si>
    <t>エルボ</t>
    <phoneticPr fontId="3"/>
  </si>
  <si>
    <t>90°</t>
    <phoneticPr fontId="3"/>
  </si>
  <si>
    <t>〃</t>
    <phoneticPr fontId="3"/>
  </si>
  <si>
    <t>60°</t>
    <phoneticPr fontId="3"/>
  </si>
  <si>
    <t>45°</t>
    <phoneticPr fontId="3"/>
  </si>
  <si>
    <t>（弁類・曲管による損失）</t>
    <phoneticPr fontId="3"/>
  </si>
  <si>
    <t>fx</t>
    <phoneticPr fontId="3"/>
  </si>
  <si>
    <r>
      <t>V</t>
    </r>
    <r>
      <rPr>
        <vertAlign val="superscript"/>
        <sz val="12"/>
        <color theme="1"/>
        <rFont val="メイリオ"/>
        <family val="3"/>
        <charset val="128"/>
      </rPr>
      <t>2</t>
    </r>
    <r>
      <rPr>
        <sz val="12"/>
        <color theme="1"/>
        <rFont val="メイリオ"/>
        <family val="3"/>
        <charset val="128"/>
      </rPr>
      <t>/2g</t>
    </r>
    <phoneticPr fontId="3"/>
  </si>
  <si>
    <t>30°</t>
    <phoneticPr fontId="3"/>
  </si>
  <si>
    <t>＝</t>
    <phoneticPr fontId="3"/>
  </si>
  <si>
    <t>＋</t>
    <phoneticPr fontId="3"/>
  </si>
  <si>
    <t>Hf</t>
    <phoneticPr fontId="3"/>
  </si>
  <si>
    <t>hx</t>
    <phoneticPr fontId="3"/>
  </si>
  <si>
    <t>D＝</t>
    <phoneticPr fontId="3"/>
  </si>
  <si>
    <t>㎜</t>
    <phoneticPr fontId="3"/>
  </si>
  <si>
    <t>L＝</t>
    <phoneticPr fontId="3"/>
  </si>
  <si>
    <t>（ｍ）</t>
    <phoneticPr fontId="3"/>
  </si>
  <si>
    <t>n＝</t>
    <phoneticPr fontId="3"/>
  </si>
  <si>
    <t>fm</t>
    <phoneticPr fontId="3"/>
  </si>
  <si>
    <t>Ｌ/D</t>
    <phoneticPr fontId="3"/>
  </si>
  <si>
    <t>仕切弁</t>
    <phoneticPr fontId="3"/>
  </si>
  <si>
    <t>～80㎜</t>
    <phoneticPr fontId="3"/>
  </si>
  <si>
    <t>100㎜～</t>
    <phoneticPr fontId="3"/>
  </si>
  <si>
    <r>
      <t>124.6/D</t>
    </r>
    <r>
      <rPr>
        <vertAlign val="superscript"/>
        <sz val="12"/>
        <color theme="1"/>
        <rFont val="メイリオ"/>
        <family val="3"/>
        <charset val="128"/>
      </rPr>
      <t>1/3</t>
    </r>
    <phoneticPr fontId="3"/>
  </si>
  <si>
    <r>
      <t>n</t>
    </r>
    <r>
      <rPr>
        <vertAlign val="superscript"/>
        <sz val="12"/>
        <color theme="1"/>
        <rFont val="メイリオ"/>
        <family val="3"/>
        <charset val="128"/>
      </rPr>
      <t>2</t>
    </r>
    <phoneticPr fontId="3"/>
  </si>
  <si>
    <t>逆仕弁</t>
    <phoneticPr fontId="3"/>
  </si>
  <si>
    <t>（弁類・曲管による損失）</t>
    <phoneticPr fontId="3"/>
  </si>
  <si>
    <t>L/min　×</t>
    <phoneticPr fontId="3"/>
  </si>
  <si>
    <t>L</t>
    <phoneticPr fontId="3"/>
  </si>
  <si>
    <t>（単独ﾎﾟﾝﾌﾟ運転は１稼働３分に設定する）</t>
    <phoneticPr fontId="3"/>
  </si>
  <si>
    <t>－</t>
    <phoneticPr fontId="3"/>
  </si>
  <si>
    <t>÷</t>
    <phoneticPr fontId="3"/>
  </si>
  <si>
    <t>ﾎﾟﾝﾌﾟ起動水位の</t>
    <phoneticPr fontId="3"/>
  </si>
  <si>
    <t>並列運転水位の</t>
    <phoneticPr fontId="3"/>
  </si>
  <si>
    <t>混合槽</t>
    <rPh sb="0" eb="2">
      <t>コンゴウ</t>
    </rPh>
    <rPh sb="2" eb="3">
      <t>ソウ</t>
    </rPh>
    <phoneticPr fontId="3"/>
  </si>
  <si>
    <t>①</t>
    <phoneticPr fontId="3"/>
  </si>
  <si>
    <t>流入下水</t>
    <rPh sb="0" eb="2">
      <t>リュウニュウ</t>
    </rPh>
    <rPh sb="2" eb="4">
      <t>ゲスイ</t>
    </rPh>
    <phoneticPr fontId="3"/>
  </si>
  <si>
    <t>1Ｆ（浴槽），B1（便所）</t>
    <rPh sb="10" eb="12">
      <t>ベンジョ</t>
    </rPh>
    <phoneticPr fontId="3"/>
  </si>
  <si>
    <t>←対象器具を図面上で表示すること</t>
    <phoneticPr fontId="3"/>
  </si>
  <si>
    <t>≪計画最大汚水量≫</t>
    <rPh sb="1" eb="3">
      <t>ケイカク</t>
    </rPh>
    <rPh sb="3" eb="5">
      <t>サイダイ</t>
    </rPh>
    <rPh sb="5" eb="7">
      <t>オスイ</t>
    </rPh>
    <rPh sb="7" eb="8">
      <t>リョウ</t>
    </rPh>
    <phoneticPr fontId="3"/>
  </si>
  <si>
    <t>例②</t>
  </si>
  <si>
    <t>を使用</t>
    <rPh sb="1" eb="3">
      <t>シヨウ</t>
    </rPh>
    <phoneticPr fontId="3"/>
  </si>
  <si>
    <t>例①（器具排水量から算出）</t>
    <rPh sb="0" eb="1">
      <t>レイ</t>
    </rPh>
    <rPh sb="3" eb="5">
      <t>キグ</t>
    </rPh>
    <rPh sb="5" eb="7">
      <t>ハイスイ</t>
    </rPh>
    <rPh sb="7" eb="8">
      <t>リョウ</t>
    </rPh>
    <rPh sb="10" eb="12">
      <t>サンシュツ</t>
    </rPh>
    <phoneticPr fontId="3"/>
  </si>
  <si>
    <t>排水発生箇所</t>
    <rPh sb="0" eb="2">
      <t>ハイスイ</t>
    </rPh>
    <rPh sb="2" eb="4">
      <t>ハッセイ</t>
    </rPh>
    <rPh sb="4" eb="6">
      <t>カショ</t>
    </rPh>
    <phoneticPr fontId="3"/>
  </si>
  <si>
    <t>個数</t>
    <rPh sb="0" eb="2">
      <t>コスウ</t>
    </rPh>
    <phoneticPr fontId="3"/>
  </si>
  <si>
    <t>使用水量
(L/回)</t>
    <rPh sb="0" eb="2">
      <t>シヨウ</t>
    </rPh>
    <rPh sb="2" eb="4">
      <t>スイリョウ</t>
    </rPh>
    <rPh sb="8" eb="9">
      <t>カイ</t>
    </rPh>
    <phoneticPr fontId="3"/>
  </si>
  <si>
    <t>最大使用回数
(回/h)</t>
    <rPh sb="0" eb="2">
      <t>サイダイ</t>
    </rPh>
    <rPh sb="2" eb="4">
      <t>シヨウ</t>
    </rPh>
    <rPh sb="4" eb="6">
      <t>カイスウ</t>
    </rPh>
    <rPh sb="8" eb="9">
      <t>カイ</t>
    </rPh>
    <phoneticPr fontId="3"/>
  </si>
  <si>
    <t>同時使用率
(％)</t>
    <rPh sb="0" eb="2">
      <t>ドウジ</t>
    </rPh>
    <rPh sb="2" eb="4">
      <t>シヨウ</t>
    </rPh>
    <rPh sb="4" eb="5">
      <t>リツ</t>
    </rPh>
    <phoneticPr fontId="3"/>
  </si>
  <si>
    <t>時間最大
使用水量
（L/h）</t>
    <rPh sb="0" eb="2">
      <t>ジカン</t>
    </rPh>
    <rPh sb="2" eb="4">
      <t>サイダイ</t>
    </rPh>
    <rPh sb="5" eb="7">
      <t>シヨウ</t>
    </rPh>
    <rPh sb="7" eb="9">
      <t>スイリョウ</t>
    </rPh>
    <phoneticPr fontId="3"/>
  </si>
  <si>
    <t>大便器（B1F）</t>
    <rPh sb="0" eb="3">
      <t>ダイベンキ</t>
    </rPh>
    <phoneticPr fontId="3"/>
  </si>
  <si>
    <t>小便器（B1F）</t>
    <rPh sb="0" eb="3">
      <t>ショウベンキ</t>
    </rPh>
    <phoneticPr fontId="3"/>
  </si>
  <si>
    <t>手洗い（B1F）</t>
    <rPh sb="0" eb="2">
      <t>テアラ</t>
    </rPh>
    <phoneticPr fontId="3"/>
  </si>
  <si>
    <t>シャワー（1F）</t>
    <phoneticPr fontId="3"/>
  </si>
  <si>
    <t>合計</t>
    <rPh sb="0" eb="2">
      <t>ゴウケイ</t>
    </rPh>
    <phoneticPr fontId="3"/>
  </si>
  <si>
    <t>L/h</t>
    <phoneticPr fontId="3"/>
  </si>
  <si>
    <t>L/min</t>
    <phoneticPr fontId="3"/>
  </si>
  <si>
    <t>例②（建築用途別汚水量（L/㎡・日）及び排水時間から算出）</t>
    <rPh sb="0" eb="1">
      <t>レイ</t>
    </rPh>
    <rPh sb="3" eb="5">
      <t>ケンチク</t>
    </rPh>
    <rPh sb="5" eb="7">
      <t>ヨウト</t>
    </rPh>
    <rPh sb="7" eb="8">
      <t>ベツ</t>
    </rPh>
    <rPh sb="8" eb="10">
      <t>オスイ</t>
    </rPh>
    <rPh sb="10" eb="11">
      <t>リョウ</t>
    </rPh>
    <rPh sb="16" eb="17">
      <t>ヒ</t>
    </rPh>
    <rPh sb="18" eb="19">
      <t>オヨ</t>
    </rPh>
    <rPh sb="20" eb="22">
      <t>ハイスイ</t>
    </rPh>
    <rPh sb="22" eb="24">
      <t>ジカン</t>
    </rPh>
    <rPh sb="26" eb="28">
      <t>サンシュツ</t>
    </rPh>
    <phoneticPr fontId="3"/>
  </si>
  <si>
    <t>　建築用途：</t>
    <rPh sb="1" eb="3">
      <t>ケンチク</t>
    </rPh>
    <rPh sb="3" eb="5">
      <t>ヨウト</t>
    </rPh>
    <phoneticPr fontId="3"/>
  </si>
  <si>
    <t>ホテル</t>
    <phoneticPr fontId="3"/>
  </si>
  <si>
    <t>排水発生面積：</t>
    <phoneticPr fontId="3"/>
  </si>
  <si>
    <t>　排水時間：</t>
    <phoneticPr fontId="3"/>
  </si>
  <si>
    <t>h</t>
    <phoneticPr fontId="3"/>
  </si>
  <si>
    <t>汚水量：</t>
    <phoneticPr fontId="3"/>
  </si>
  <si>
    <t>㍑/ｍ²・日</t>
    <phoneticPr fontId="3"/>
  </si>
  <si>
    <r>
      <t>Q</t>
    </r>
    <r>
      <rPr>
        <vertAlign val="subscript"/>
        <sz val="10"/>
        <color theme="1"/>
        <rFont val="メイリオ"/>
        <family val="3"/>
        <charset val="128"/>
      </rPr>
      <t>1</t>
    </r>
    <phoneticPr fontId="3"/>
  </si>
  <si>
    <t>K</t>
    <phoneticPr fontId="3"/>
  </si>
  <si>
    <t>計画時間最大汚水量（㎥/min）</t>
    <rPh sb="0" eb="2">
      <t>ケイカク</t>
    </rPh>
    <rPh sb="2" eb="4">
      <t>ジカン</t>
    </rPh>
    <rPh sb="4" eb="6">
      <t>サイダイ</t>
    </rPh>
    <rPh sb="6" eb="8">
      <t>オスイ</t>
    </rPh>
    <rPh sb="8" eb="9">
      <t>リョウ</t>
    </rPh>
    <phoneticPr fontId="3"/>
  </si>
  <si>
    <t>建築用途別汚水量（㎥/d）</t>
    <rPh sb="0" eb="2">
      <t>ケンチク</t>
    </rPh>
    <rPh sb="2" eb="4">
      <t>ヨウト</t>
    </rPh>
    <rPh sb="4" eb="5">
      <t>ベツ</t>
    </rPh>
    <rPh sb="5" eb="7">
      <t>オスイ</t>
    </rPh>
    <rPh sb="7" eb="8">
      <t>リョウ</t>
    </rPh>
    <phoneticPr fontId="3"/>
  </si>
  <si>
    <t>㍑/ｍ²・日 ×</t>
    <phoneticPr fontId="3"/>
  </si>
  <si>
    <t>ｍ²</t>
    <phoneticPr fontId="3"/>
  </si>
  <si>
    <t>㍑/d</t>
    <phoneticPr fontId="3"/>
  </si>
  <si>
    <t>T</t>
    <phoneticPr fontId="3"/>
  </si>
  <si>
    <t>(h)</t>
    <phoneticPr fontId="3"/>
  </si>
  <si>
    <t xml:space="preserve"> 変動係数（2.5以上　標準3.0）</t>
    <rPh sb="1" eb="3">
      <t>ヘンドウ</t>
    </rPh>
    <rPh sb="3" eb="5">
      <t>ケイスウ</t>
    </rPh>
    <rPh sb="9" eb="11">
      <t>イジョウ</t>
    </rPh>
    <rPh sb="12" eb="14">
      <t>ヒョウジュン</t>
    </rPh>
    <phoneticPr fontId="3"/>
  </si>
  <si>
    <r>
      <t>有効容量　＝　</t>
    </r>
    <r>
      <rPr>
        <sz val="11"/>
        <color theme="1"/>
        <rFont val="メイリオ"/>
        <family val="3"/>
        <charset val="128"/>
      </rPr>
      <t>計画最大汚水量</t>
    </r>
    <rPh sb="0" eb="2">
      <t>ユウコウ</t>
    </rPh>
    <rPh sb="2" eb="4">
      <t>ヨウリョウ</t>
    </rPh>
    <phoneticPr fontId="3"/>
  </si>
  <si>
    <t>min</t>
    <phoneticPr fontId="3"/>
  </si>
  <si>
    <t xml:space="preserve"> →</t>
    <phoneticPr fontId="3"/>
  </si>
  <si>
    <t>ｍ</t>
    <phoneticPr fontId="3"/>
  </si>
  <si>
    <t>Ｄ</t>
    <phoneticPr fontId="3"/>
  </si>
  <si>
    <t>√</t>
    <phoneticPr fontId="3"/>
  </si>
  <si>
    <t>口径50㎜以上</t>
    <rPh sb="0" eb="2">
      <t>コウケイ</t>
    </rPh>
    <rPh sb="5" eb="7">
      <t>イジョウ</t>
    </rPh>
    <phoneticPr fontId="3"/>
  </si>
  <si>
    <t>Ｖ</t>
    <phoneticPr fontId="3"/>
  </si>
  <si>
    <t>Q(㎥/s)</t>
    <phoneticPr fontId="3"/>
  </si>
  <si>
    <t>（φ　　</t>
    <phoneticPr fontId="3"/>
  </si>
  <si>
    <t>m/s</t>
    <phoneticPr fontId="3"/>
  </si>
  <si>
    <t>（本件について施主了承済み）</t>
  </si>
  <si>
    <t>Ｈ</t>
    <phoneticPr fontId="3"/>
  </si>
  <si>
    <t>Ｈa</t>
    <phoneticPr fontId="3"/>
  </si>
  <si>
    <t>＋</t>
    <phoneticPr fontId="3"/>
  </si>
  <si>
    <t>Ｈf</t>
    <phoneticPr fontId="3"/>
  </si>
  <si>
    <t>+</t>
    <phoneticPr fontId="3"/>
  </si>
  <si>
    <t>Ho</t>
    <phoneticPr fontId="3"/>
  </si>
  <si>
    <t>＋</t>
    <phoneticPr fontId="3"/>
  </si>
  <si>
    <t>m</t>
    <phoneticPr fontId="3"/>
  </si>
  <si>
    <t>とする</t>
    <phoneticPr fontId="3"/>
  </si>
  <si>
    <t>○</t>
    <phoneticPr fontId="3"/>
  </si>
  <si>
    <t>タイマー制御</t>
    <phoneticPr fontId="3"/>
  </si>
  <si>
    <t>（mm）</t>
    <phoneticPr fontId="3"/>
  </si>
  <si>
    <t>（m）</t>
    <phoneticPr fontId="3"/>
  </si>
  <si>
    <t>吐出し口における速度水頭（Ho）</t>
    <phoneticPr fontId="3"/>
  </si>
  <si>
    <t>ｆｏ</t>
    <phoneticPr fontId="3"/>
  </si>
  <si>
    <t>=</t>
    <phoneticPr fontId="3"/>
  </si>
  <si>
    <t>　（※放流口における流速）</t>
    <phoneticPr fontId="3"/>
  </si>
  <si>
    <t>＝</t>
    <phoneticPr fontId="3"/>
  </si>
  <si>
    <t>Hf</t>
    <phoneticPr fontId="3"/>
  </si>
  <si>
    <t>hf</t>
    <phoneticPr fontId="3"/>
  </si>
  <si>
    <t>hx</t>
    <phoneticPr fontId="3"/>
  </si>
  <si>
    <t>D＝</t>
    <phoneticPr fontId="3"/>
  </si>
  <si>
    <t>＋</t>
    <phoneticPr fontId="3"/>
  </si>
  <si>
    <t>L＝</t>
    <phoneticPr fontId="3"/>
  </si>
  <si>
    <t>ｍ</t>
    <phoneticPr fontId="3"/>
  </si>
  <si>
    <t>（ｍ）</t>
    <phoneticPr fontId="3"/>
  </si>
  <si>
    <t>V＝</t>
    <phoneticPr fontId="3"/>
  </si>
  <si>
    <t>粗度係数</t>
    <phoneticPr fontId="3"/>
  </si>
  <si>
    <t>n＝</t>
    <phoneticPr fontId="3"/>
  </si>
  <si>
    <t>fm</t>
    <phoneticPr fontId="3"/>
  </si>
  <si>
    <t>×</t>
    <phoneticPr fontId="3"/>
  </si>
  <si>
    <t>Ｌ/D</t>
    <phoneticPr fontId="3"/>
  </si>
  <si>
    <r>
      <t>V</t>
    </r>
    <r>
      <rPr>
        <vertAlign val="superscript"/>
        <sz val="12"/>
        <color theme="1"/>
        <rFont val="メイリオ"/>
        <family val="3"/>
        <charset val="128"/>
      </rPr>
      <t>2</t>
    </r>
    <r>
      <rPr>
        <sz val="12"/>
        <color theme="1"/>
        <rFont val="メイリオ"/>
        <family val="3"/>
        <charset val="128"/>
      </rPr>
      <t>/2g</t>
    </r>
    <phoneticPr fontId="3"/>
  </si>
  <si>
    <t>×</t>
    <phoneticPr fontId="3"/>
  </si>
  <si>
    <t>仕切弁</t>
    <phoneticPr fontId="3"/>
  </si>
  <si>
    <t>～80㎜</t>
    <phoneticPr fontId="3"/>
  </si>
  <si>
    <t>＝</t>
    <phoneticPr fontId="3"/>
  </si>
  <si>
    <t>〃</t>
    <phoneticPr fontId="3"/>
  </si>
  <si>
    <t>100㎜～</t>
    <phoneticPr fontId="3"/>
  </si>
  <si>
    <t>fm</t>
    <phoneticPr fontId="3"/>
  </si>
  <si>
    <r>
      <t>124.6/D</t>
    </r>
    <r>
      <rPr>
        <vertAlign val="superscript"/>
        <sz val="12"/>
        <color theme="1"/>
        <rFont val="メイリオ"/>
        <family val="3"/>
        <charset val="128"/>
      </rPr>
      <t>1/3</t>
    </r>
    <phoneticPr fontId="3"/>
  </si>
  <si>
    <r>
      <t>n</t>
    </r>
    <r>
      <rPr>
        <vertAlign val="superscript"/>
        <sz val="12"/>
        <color theme="1"/>
        <rFont val="メイリオ"/>
        <family val="3"/>
        <charset val="128"/>
      </rPr>
      <t>2</t>
    </r>
    <phoneticPr fontId="3"/>
  </si>
  <si>
    <t>逆仕弁</t>
    <phoneticPr fontId="3"/>
  </si>
  <si>
    <t>D＝</t>
    <phoneticPr fontId="3"/>
  </si>
  <si>
    <t>雑排水槽（機械排水系）</t>
    <rPh sb="0" eb="3">
      <t>ザツハイスイ</t>
    </rPh>
    <rPh sb="3" eb="4">
      <t>ソウ</t>
    </rPh>
    <rPh sb="5" eb="7">
      <t>キカイ</t>
    </rPh>
    <rPh sb="7" eb="9">
      <t>ハイスイ</t>
    </rPh>
    <rPh sb="9" eb="10">
      <t>ケイ</t>
    </rPh>
    <phoneticPr fontId="3"/>
  </si>
  <si>
    <t>B1（受水槽オーバーフロー水），B1（ドレン排水）</t>
    <rPh sb="22" eb="24">
      <t>ハイスイ</t>
    </rPh>
    <phoneticPr fontId="3"/>
  </si>
  <si>
    <t>←対象器具を図面上で表示すること</t>
    <phoneticPr fontId="3"/>
  </si>
  <si>
    <t>〇受水槽オーバーフロー水</t>
    <phoneticPr fontId="3"/>
  </si>
  <si>
    <t>・年に２回受水槽清掃時に発生する排水を貯留する</t>
    <rPh sb="1" eb="2">
      <t>ネン</t>
    </rPh>
    <rPh sb="4" eb="5">
      <t>カイ</t>
    </rPh>
    <rPh sb="5" eb="8">
      <t>ジュスイソウ</t>
    </rPh>
    <rPh sb="8" eb="10">
      <t>セイソウ</t>
    </rPh>
    <rPh sb="10" eb="11">
      <t>ジ</t>
    </rPh>
    <rPh sb="12" eb="14">
      <t>ハッセイ</t>
    </rPh>
    <rPh sb="16" eb="18">
      <t>ハイスイ</t>
    </rPh>
    <rPh sb="19" eb="21">
      <t>チョリュウ</t>
    </rPh>
    <phoneticPr fontId="3"/>
  </si>
  <si>
    <t>・排水は人為操作が可能である</t>
    <rPh sb="1" eb="3">
      <t>ハイスイ</t>
    </rPh>
    <rPh sb="4" eb="6">
      <t>ジンイ</t>
    </rPh>
    <rPh sb="6" eb="8">
      <t>ソウサ</t>
    </rPh>
    <rPh sb="9" eb="11">
      <t>カノウ</t>
    </rPh>
    <phoneticPr fontId="3"/>
  </si>
  <si>
    <t>・警報水位を設定し，人為操作ミスを防止する</t>
    <rPh sb="1" eb="3">
      <t>ケイホウ</t>
    </rPh>
    <rPh sb="3" eb="5">
      <t>スイイ</t>
    </rPh>
    <rPh sb="6" eb="8">
      <t>セッテイ</t>
    </rPh>
    <rPh sb="10" eb="12">
      <t>ジンイ</t>
    </rPh>
    <rPh sb="12" eb="14">
      <t>ソウサ</t>
    </rPh>
    <rPh sb="17" eb="19">
      <t>ボウシ</t>
    </rPh>
    <phoneticPr fontId="3"/>
  </si>
  <si>
    <t>　　排水量算出</t>
    <rPh sb="2" eb="4">
      <t>ハイスイ</t>
    </rPh>
    <rPh sb="4" eb="5">
      <t>リョウ</t>
    </rPh>
    <rPh sb="5" eb="7">
      <t>サンシュツ</t>
    </rPh>
    <phoneticPr fontId="3"/>
  </si>
  <si>
    <t>〇ドレン排水</t>
    <rPh sb="4" eb="6">
      <t>ハイスイ</t>
    </rPh>
    <phoneticPr fontId="3"/>
  </si>
  <si>
    <t>・発生する排水が３０L/日と微量なので計算から除外する</t>
    <rPh sb="12" eb="13">
      <t>ヒ</t>
    </rPh>
    <rPh sb="14" eb="16">
      <t>ビリョウ</t>
    </rPh>
    <rPh sb="19" eb="21">
      <t>ケイサン</t>
    </rPh>
    <rPh sb="23" eb="25">
      <t>ジョガイ</t>
    </rPh>
    <phoneticPr fontId="3"/>
  </si>
  <si>
    <t>以上により，排水量を</t>
    <rPh sb="0" eb="2">
      <t>イジョウ</t>
    </rPh>
    <rPh sb="6" eb="8">
      <t>ハイスイ</t>
    </rPh>
    <rPh sb="8" eb="9">
      <t>リョウ</t>
    </rPh>
    <phoneticPr fontId="3"/>
  </si>
  <si>
    <t>と仮定し，</t>
    <rPh sb="1" eb="3">
      <t>カテイ</t>
    </rPh>
    <phoneticPr fontId="3"/>
  </si>
  <si>
    <t>　計画最大汚水量を</t>
    <rPh sb="1" eb="3">
      <t>ケイカク</t>
    </rPh>
    <rPh sb="3" eb="5">
      <t>サイダイ</t>
    </rPh>
    <rPh sb="5" eb="7">
      <t>オスイ</t>
    </rPh>
    <rPh sb="7" eb="8">
      <t>リョウ</t>
    </rPh>
    <phoneticPr fontId="3"/>
  </si>
  <si>
    <t>とする。</t>
    <phoneticPr fontId="3"/>
  </si>
  <si>
    <t xml:space="preserve"> →</t>
    <phoneticPr fontId="3"/>
  </si>
  <si>
    <t>=</t>
    <phoneticPr fontId="3"/>
  </si>
  <si>
    <t>√</t>
    <phoneticPr fontId="3"/>
  </si>
  <si>
    <t>V(m/s)</t>
    <phoneticPr fontId="3"/>
  </si>
  <si>
    <t>/</t>
    <phoneticPr fontId="3"/>
  </si>
  <si>
    <t>)</t>
    <phoneticPr fontId="3"/>
  </si>
  <si>
    <t>Ｈ</t>
    <phoneticPr fontId="3"/>
  </si>
  <si>
    <t>＋</t>
    <phoneticPr fontId="3"/>
  </si>
  <si>
    <t>+</t>
    <phoneticPr fontId="3"/>
  </si>
  <si>
    <t>+</t>
    <phoneticPr fontId="3"/>
  </si>
  <si>
    <t>とすると，</t>
    <phoneticPr fontId="3"/>
  </si>
  <si>
    <t>H</t>
    <phoneticPr fontId="3"/>
  </si>
  <si>
    <t>→</t>
    <phoneticPr fontId="3"/>
  </si>
  <si>
    <t>（mm）</t>
    <phoneticPr fontId="3"/>
  </si>
  <si>
    <t>実揚程（Ha）</t>
    <phoneticPr fontId="3"/>
  </si>
  <si>
    <t>Ha</t>
    <phoneticPr fontId="3"/>
  </si>
  <si>
    <t>吐出し口における速度水頭（Ho）</t>
    <phoneticPr fontId="3"/>
  </si>
  <si>
    <r>
      <t>V</t>
    </r>
    <r>
      <rPr>
        <vertAlign val="superscript"/>
        <sz val="12"/>
        <color theme="1"/>
        <rFont val="メイリオ"/>
        <family val="3"/>
        <charset val="128"/>
      </rPr>
      <t>2</t>
    </r>
    <r>
      <rPr>
        <sz val="12"/>
        <color theme="1"/>
        <rFont val="メイリオ"/>
        <family val="3"/>
        <charset val="128"/>
      </rPr>
      <t>/2g</t>
    </r>
    <phoneticPr fontId="3"/>
  </si>
  <si>
    <t>Hf</t>
    <phoneticPr fontId="3"/>
  </si>
  <si>
    <t>hf</t>
    <phoneticPr fontId="3"/>
  </si>
  <si>
    <t>㎜</t>
    <phoneticPr fontId="3"/>
  </si>
  <si>
    <t>V＝</t>
    <phoneticPr fontId="3"/>
  </si>
  <si>
    <t>粗度係数</t>
    <phoneticPr fontId="3"/>
  </si>
  <si>
    <t>n＝</t>
    <phoneticPr fontId="3"/>
  </si>
  <si>
    <t>fm</t>
    <phoneticPr fontId="3"/>
  </si>
  <si>
    <t>Ｌ/D</t>
    <phoneticPr fontId="3"/>
  </si>
  <si>
    <t>仕切弁</t>
    <phoneticPr fontId="3"/>
  </si>
  <si>
    <t>～80㎜</t>
    <phoneticPr fontId="3"/>
  </si>
  <si>
    <t>〃</t>
    <phoneticPr fontId="3"/>
  </si>
  <si>
    <t>100㎜～</t>
    <phoneticPr fontId="3"/>
  </si>
  <si>
    <r>
      <t>124.6/D</t>
    </r>
    <r>
      <rPr>
        <vertAlign val="superscript"/>
        <sz val="12"/>
        <color theme="1"/>
        <rFont val="メイリオ"/>
        <family val="3"/>
        <charset val="128"/>
      </rPr>
      <t>1/3</t>
    </r>
    <phoneticPr fontId="3"/>
  </si>
  <si>
    <r>
      <t>n</t>
    </r>
    <r>
      <rPr>
        <vertAlign val="superscript"/>
        <sz val="12"/>
        <color theme="1"/>
        <rFont val="メイリオ"/>
        <family val="3"/>
        <charset val="128"/>
      </rPr>
      <t>2</t>
    </r>
    <phoneticPr fontId="3"/>
  </si>
  <si>
    <t>逆仕弁</t>
    <phoneticPr fontId="3"/>
  </si>
  <si>
    <t>エルボ</t>
    <phoneticPr fontId="3"/>
  </si>
  <si>
    <t>90°</t>
    <phoneticPr fontId="3"/>
  </si>
  <si>
    <t>60°</t>
    <phoneticPr fontId="3"/>
  </si>
  <si>
    <t>45°</t>
    <phoneticPr fontId="3"/>
  </si>
  <si>
    <t>（弁類・曲管による損失）</t>
    <phoneticPr fontId="3"/>
  </si>
  <si>
    <t>fx</t>
    <phoneticPr fontId="3"/>
  </si>
  <si>
    <t>30°</t>
    <phoneticPr fontId="3"/>
  </si>
  <si>
    <t>L/min　×</t>
    <phoneticPr fontId="3"/>
  </si>
  <si>
    <t>L</t>
    <phoneticPr fontId="3"/>
  </si>
  <si>
    <t>（単独ﾎﾟﾝﾌﾟ運転は１稼働３分に設定する）</t>
    <phoneticPr fontId="3"/>
  </si>
  <si>
    <r>
      <t>ｍ</t>
    </r>
    <r>
      <rPr>
        <vertAlign val="superscript"/>
        <sz val="12"/>
        <rFont val="メイリオ"/>
        <family val="3"/>
        <charset val="128"/>
      </rPr>
      <t>2</t>
    </r>
    <phoneticPr fontId="3"/>
  </si>
  <si>
    <t>－</t>
    <phoneticPr fontId="3"/>
  </si>
  <si>
    <t>÷</t>
    <phoneticPr fontId="3"/>
  </si>
  <si>
    <t>ﾎﾟﾝﾌﾟ起動水位の</t>
    <phoneticPr fontId="3"/>
  </si>
  <si>
    <t>並列運転水位の</t>
    <phoneticPr fontId="3"/>
  </si>
  <si>
    <t>ｍ となる。</t>
    <phoneticPr fontId="3"/>
  </si>
  <si>
    <t>1Ｆ（厨房），B1Ｆ（浴室）</t>
    <rPh sb="11" eb="13">
      <t>ヨクシツ</t>
    </rPh>
    <phoneticPr fontId="3"/>
  </si>
  <si>
    <t>例①</t>
  </si>
  <si>
    <r>
      <rPr>
        <b/>
        <sz val="12"/>
        <rFont val="メイリオ"/>
        <family val="3"/>
        <charset val="128"/>
      </rPr>
      <t>例①</t>
    </r>
    <r>
      <rPr>
        <b/>
        <sz val="12"/>
        <color theme="1"/>
        <rFont val="メイリオ"/>
        <family val="3"/>
        <charset val="128"/>
      </rPr>
      <t>（器具排水量から算出）</t>
    </r>
    <rPh sb="0" eb="1">
      <t>レイ</t>
    </rPh>
    <rPh sb="3" eb="5">
      <t>キグ</t>
    </rPh>
    <rPh sb="5" eb="7">
      <t>ハイスイ</t>
    </rPh>
    <rPh sb="7" eb="8">
      <t>リョウ</t>
    </rPh>
    <rPh sb="10" eb="12">
      <t>サンシュツ</t>
    </rPh>
    <phoneticPr fontId="3"/>
  </si>
  <si>
    <t>厨房流し（1F）</t>
    <rPh sb="0" eb="2">
      <t>チュウボウ</t>
    </rPh>
    <rPh sb="2" eb="3">
      <t>ナガ</t>
    </rPh>
    <phoneticPr fontId="3"/>
  </si>
  <si>
    <t>シャワー（B1F）</t>
    <phoneticPr fontId="3"/>
  </si>
  <si>
    <t>L/h</t>
    <phoneticPr fontId="3"/>
  </si>
  <si>
    <t>ホテル</t>
    <phoneticPr fontId="3"/>
  </si>
  <si>
    <t>排水発生面積：</t>
    <phoneticPr fontId="3"/>
  </si>
  <si>
    <t>㎡</t>
    <phoneticPr fontId="3"/>
  </si>
  <si>
    <t>　排水時間：</t>
    <phoneticPr fontId="3"/>
  </si>
  <si>
    <t>h</t>
    <phoneticPr fontId="3"/>
  </si>
  <si>
    <t>汚水量：</t>
    <phoneticPr fontId="3"/>
  </si>
  <si>
    <t>㍑/ｍ²・日</t>
    <phoneticPr fontId="3"/>
  </si>
  <si>
    <r>
      <t>Q</t>
    </r>
    <r>
      <rPr>
        <vertAlign val="subscript"/>
        <sz val="10"/>
        <color theme="1"/>
        <rFont val="メイリオ"/>
        <family val="3"/>
        <charset val="128"/>
      </rPr>
      <t>1</t>
    </r>
    <phoneticPr fontId="3"/>
  </si>
  <si>
    <t>＝</t>
    <phoneticPr fontId="3"/>
  </si>
  <si>
    <t>×</t>
    <phoneticPr fontId="3"/>
  </si>
  <si>
    <t>K</t>
    <phoneticPr fontId="3"/>
  </si>
  <si>
    <r>
      <t>Q</t>
    </r>
    <r>
      <rPr>
        <vertAlign val="subscript"/>
        <sz val="10"/>
        <color theme="1"/>
        <rFont val="メイリオ"/>
        <family val="3"/>
        <charset val="128"/>
      </rPr>
      <t>1</t>
    </r>
    <phoneticPr fontId="3"/>
  </si>
  <si>
    <t>=</t>
    <phoneticPr fontId="3"/>
  </si>
  <si>
    <t>Ｑ</t>
    <phoneticPr fontId="3"/>
  </si>
  <si>
    <t>=</t>
    <phoneticPr fontId="3"/>
  </si>
  <si>
    <t>（L/min）</t>
    <phoneticPr fontId="3"/>
  </si>
  <si>
    <t>㍑/ｍ²・日 ×</t>
    <phoneticPr fontId="3"/>
  </si>
  <si>
    <t xml:space="preserve"> →</t>
    <phoneticPr fontId="3"/>
  </si>
  <si>
    <t>ｍ</t>
    <phoneticPr fontId="3"/>
  </si>
  <si>
    <t>大便器（B1F男子便所）</t>
    <rPh sb="0" eb="3">
      <t>ダイベンキ</t>
    </rPh>
    <rPh sb="7" eb="9">
      <t>ダンシ</t>
    </rPh>
    <rPh sb="9" eb="11">
      <t>ベンジョ</t>
    </rPh>
    <phoneticPr fontId="3"/>
  </si>
  <si>
    <t>小便器（B1F男子便所）</t>
    <rPh sb="0" eb="3">
      <t>ショウベンキ</t>
    </rPh>
    <rPh sb="7" eb="9">
      <t>ダンシ</t>
    </rPh>
    <rPh sb="9" eb="11">
      <t>ベンジョ</t>
    </rPh>
    <phoneticPr fontId="3"/>
  </si>
  <si>
    <t>大便器（B1F女子便所）</t>
    <rPh sb="0" eb="3">
      <t>ダイベンキ</t>
    </rPh>
    <rPh sb="7" eb="9">
      <t>ジョシ</t>
    </rPh>
    <rPh sb="9" eb="11">
      <t>ベンジョ</t>
    </rPh>
    <phoneticPr fontId="3"/>
  </si>
  <si>
    <t>L/h</t>
    <phoneticPr fontId="3"/>
  </si>
  <si>
    <t>ホテル</t>
    <phoneticPr fontId="3"/>
  </si>
  <si>
    <t>排水発生面積：</t>
    <phoneticPr fontId="3"/>
  </si>
  <si>
    <t>　排水時間：</t>
    <phoneticPr fontId="3"/>
  </si>
  <si>
    <t>h</t>
    <phoneticPr fontId="3"/>
  </si>
  <si>
    <t>汚水量：</t>
    <phoneticPr fontId="3"/>
  </si>
  <si>
    <r>
      <t>Q</t>
    </r>
    <r>
      <rPr>
        <vertAlign val="subscript"/>
        <sz val="10"/>
        <color theme="1"/>
        <rFont val="メイリオ"/>
        <family val="3"/>
        <charset val="128"/>
      </rPr>
      <t>1</t>
    </r>
    <phoneticPr fontId="3"/>
  </si>
  <si>
    <t>＝</t>
    <phoneticPr fontId="3"/>
  </si>
  <si>
    <t>×</t>
    <phoneticPr fontId="3"/>
  </si>
  <si>
    <t>K</t>
    <phoneticPr fontId="3"/>
  </si>
  <si>
    <t>㍑/ｍ²・日 ×</t>
    <phoneticPr fontId="3"/>
  </si>
  <si>
    <t>L/min</t>
    <phoneticPr fontId="3"/>
  </si>
  <si>
    <t>mm</t>
    <phoneticPr fontId="3"/>
  </si>
  <si>
    <t>m/s</t>
    <phoneticPr fontId="3"/>
  </si>
  <si>
    <t>Ｈ</t>
    <phoneticPr fontId="3"/>
  </si>
  <si>
    <t>m</t>
    <phoneticPr fontId="3"/>
  </si>
  <si>
    <t>　（※放流口における流速）</t>
    <phoneticPr fontId="3"/>
  </si>
  <si>
    <t>V＝</t>
    <phoneticPr fontId="3"/>
  </si>
  <si>
    <r>
      <t>124.6/D</t>
    </r>
    <r>
      <rPr>
        <vertAlign val="superscript"/>
        <sz val="12"/>
        <color theme="1"/>
        <rFont val="メイリオ"/>
        <family val="3"/>
        <charset val="128"/>
      </rPr>
      <t>1/3</t>
    </r>
    <phoneticPr fontId="3"/>
  </si>
  <si>
    <t>60°</t>
    <phoneticPr fontId="3"/>
  </si>
  <si>
    <t>（弁類・曲管による損失）</t>
    <phoneticPr fontId="3"/>
  </si>
  <si>
    <t>hx</t>
    <phoneticPr fontId="3"/>
  </si>
  <si>
    <t>hf</t>
    <phoneticPr fontId="3"/>
  </si>
  <si>
    <t>①</t>
    <phoneticPr fontId="3"/>
  </si>
  <si>
    <t>①</t>
    <phoneticPr fontId="3"/>
  </si>
  <si>
    <t>B1（男子便所，女子便所）</t>
    <phoneticPr fontId="3"/>
  </si>
  <si>
    <t>－</t>
    <phoneticPr fontId="3"/>
  </si>
  <si>
    <t>40</t>
    <phoneticPr fontId="3"/>
  </si>
  <si>
    <t>40</t>
    <phoneticPr fontId="3"/>
  </si>
  <si>
    <t>2</t>
    <phoneticPr fontId="3"/>
  </si>
  <si>
    <t>1</t>
    <phoneticPr fontId="3"/>
  </si>
  <si>
    <t>　背景無し　：　数式等が入力されているためロックをしています。</t>
    <rPh sb="1" eb="3">
      <t>ハイケイ</t>
    </rPh>
    <rPh sb="3" eb="4">
      <t>ナ</t>
    </rPh>
    <rPh sb="8" eb="10">
      <t>スウシキ</t>
    </rPh>
    <rPh sb="10" eb="11">
      <t>トウ</t>
    </rPh>
    <rPh sb="12" eb="14">
      <t>ニュウリョク</t>
    </rPh>
    <phoneticPr fontId="3"/>
  </si>
  <si>
    <t>・　同じ種類の槽が複数ある場合はシートをコピーして作成すること。</t>
    <rPh sb="2" eb="3">
      <t>オナ</t>
    </rPh>
    <rPh sb="4" eb="6">
      <t>シュルイ</t>
    </rPh>
    <rPh sb="7" eb="8">
      <t>ソウ</t>
    </rPh>
    <rPh sb="9" eb="11">
      <t>フクスウ</t>
    </rPh>
    <rPh sb="13" eb="15">
      <t>バアイ</t>
    </rPh>
    <rPh sb="25" eb="27">
      <t>サクセイ</t>
    </rPh>
    <phoneticPr fontId="3"/>
  </si>
  <si>
    <t>各槽シートについて</t>
    <rPh sb="0" eb="1">
      <t>カク</t>
    </rPh>
    <rPh sb="1" eb="2">
      <t>ソウ</t>
    </rPh>
    <phoneticPr fontId="3"/>
  </si>
  <si>
    <t>手洗い（B1F男子便所）</t>
    <rPh sb="0" eb="2">
      <t>テアラ</t>
    </rPh>
    <phoneticPr fontId="3"/>
  </si>
  <si>
    <t>手洗い（B1F女子便所）</t>
    <rPh sb="0" eb="2">
      <t>テアラ</t>
    </rPh>
    <phoneticPr fontId="3"/>
  </si>
  <si>
    <t>洗面器（B1F）</t>
    <rPh sb="0" eb="3">
      <t>センメンキ</t>
    </rPh>
    <phoneticPr fontId="3"/>
  </si>
  <si>
    <t>(kw)  ×</t>
    <phoneticPr fontId="3"/>
  </si>
  <si>
    <r>
      <t>（1/360）×Ｃ×Ｉ</t>
    </r>
    <r>
      <rPr>
        <vertAlign val="superscript"/>
        <sz val="10"/>
        <color theme="1"/>
        <rFont val="メイリオ"/>
        <family val="3"/>
        <charset val="128"/>
      </rPr>
      <t>※１</t>
    </r>
    <r>
      <rPr>
        <sz val="10"/>
        <color theme="1"/>
        <rFont val="メイリオ"/>
        <family val="3"/>
        <charset val="128"/>
      </rPr>
      <t>×Ａ</t>
    </r>
    <phoneticPr fontId="3"/>
  </si>
  <si>
    <r>
      <t>（1/360）×Ｃ×Ｉ</t>
    </r>
    <r>
      <rPr>
        <vertAlign val="superscript"/>
        <sz val="10"/>
        <color theme="1"/>
        <rFont val="メイリオ"/>
        <family val="3"/>
        <charset val="128"/>
      </rPr>
      <t>※２</t>
    </r>
    <r>
      <rPr>
        <sz val="10"/>
        <color theme="1"/>
        <rFont val="メイリオ"/>
        <family val="3"/>
        <charset val="128"/>
      </rPr>
      <t>×Ａ</t>
    </r>
    <phoneticPr fontId="3"/>
  </si>
  <si>
    <r>
      <t>I</t>
    </r>
    <r>
      <rPr>
        <vertAlign val="superscript"/>
        <sz val="10"/>
        <color theme="1"/>
        <rFont val="メイリオ"/>
        <family val="3"/>
        <charset val="128"/>
      </rPr>
      <t>※１</t>
    </r>
    <phoneticPr fontId="3"/>
  </si>
  <si>
    <r>
      <t>I</t>
    </r>
    <r>
      <rPr>
        <vertAlign val="superscript"/>
        <sz val="10"/>
        <color theme="1"/>
        <rFont val="メイリオ"/>
        <family val="3"/>
        <charset val="128"/>
      </rPr>
      <t>※２</t>
    </r>
    <phoneticPr fontId="3"/>
  </si>
  <si>
    <t>備考欄</t>
    <rPh sb="0" eb="2">
      <t>ビコウ</t>
    </rPh>
    <rPh sb="2" eb="3">
      <t>ラン</t>
    </rPh>
    <phoneticPr fontId="3"/>
  </si>
  <si>
    <t>　Q  /  （ T × 60 ）</t>
    <phoneticPr fontId="3"/>
  </si>
  <si>
    <t>条件及び備考欄</t>
    <rPh sb="0" eb="2">
      <t>ジョウケン</t>
    </rPh>
    <rPh sb="2" eb="3">
      <t>オヨ</t>
    </rPh>
    <rPh sb="4" eb="6">
      <t>ビコウ</t>
    </rPh>
    <rPh sb="6" eb="7">
      <t>ラン</t>
    </rPh>
    <phoneticPr fontId="3"/>
  </si>
  <si>
    <t>釜場の有効容量</t>
    <phoneticPr fontId="3"/>
  </si>
  <si>
    <t>排水槽の面積</t>
    <phoneticPr fontId="3"/>
  </si>
  <si>
    <t>Φ</t>
    <phoneticPr fontId="3"/>
  </si>
  <si>
    <t>ｍ）</t>
    <phoneticPr fontId="3"/>
  </si>
  <si>
    <t>（　円形の場合</t>
    <rPh sb="2" eb="4">
      <t>エンケイ</t>
    </rPh>
    <rPh sb="5" eb="7">
      <t>バアイ</t>
    </rPh>
    <phoneticPr fontId="3"/>
  </si>
  <si>
    <t>×</t>
    <phoneticPr fontId="3"/>
  </si>
  <si>
    <t>=</t>
  </si>
  <si>
    <t>×</t>
    <phoneticPr fontId="3"/>
  </si>
  <si>
    <t>　（ 釜場及び排水槽の形状から算出。（勾配の計算は省略））</t>
  </si>
  <si>
    <t>ｍ²</t>
    <phoneticPr fontId="3"/>
  </si>
  <si>
    <t>m³</t>
    <phoneticPr fontId="3"/>
  </si>
  <si>
    <t>m³</t>
    <phoneticPr fontId="3"/>
  </si>
  <si>
    <t>m³</t>
    <phoneticPr fontId="3"/>
  </si>
  <si>
    <t>大きさを入力</t>
    <phoneticPr fontId="3"/>
  </si>
  <si>
    <t>適否が×になった場合，釜場の</t>
    <phoneticPr fontId="3"/>
  </si>
  <si>
    <t>m³</t>
    <phoneticPr fontId="3"/>
  </si>
  <si>
    <t>m³</t>
    <phoneticPr fontId="3"/>
  </si>
  <si>
    <t>m³</t>
    <phoneticPr fontId="3"/>
  </si>
  <si>
    <t>m³</t>
    <phoneticPr fontId="3"/>
  </si>
  <si>
    <r>
      <t>ｍ</t>
    </r>
    <r>
      <rPr>
        <vertAlign val="superscript"/>
        <sz val="12"/>
        <rFont val="メイリオ"/>
        <family val="3"/>
        <charset val="128"/>
      </rPr>
      <t>2</t>
    </r>
    <phoneticPr fontId="3"/>
  </si>
  <si>
    <t>(標準60min)</t>
    <rPh sb="1" eb="3">
      <t>ヒョウジュン</t>
    </rPh>
    <phoneticPr fontId="3"/>
  </si>
  <si>
    <t>　（ 基準である３分以内の設定でポンプメーカー仕様等による）</t>
  </si>
  <si>
    <t>※ チーズの損失は直線・屈曲に係わらずエルボの90°として計上すること</t>
    <rPh sb="9" eb="11">
      <t>チョクセン</t>
    </rPh>
    <rPh sb="12" eb="14">
      <t>クッキョク</t>
    </rPh>
    <rPh sb="15" eb="16">
      <t>カカ</t>
    </rPh>
    <phoneticPr fontId="3"/>
  </si>
  <si>
    <t>排水槽</t>
    <rPh sb="0" eb="2">
      <t>ハイスイ</t>
    </rPh>
    <rPh sb="2" eb="3">
      <t>ソウ</t>
    </rPh>
    <phoneticPr fontId="10"/>
  </si>
  <si>
    <t>縦（ｍ）×横（ｍ）×深さ（ｍ）</t>
    <phoneticPr fontId="10"/>
  </si>
  <si>
    <t>排水槽の寸法</t>
    <rPh sb="0" eb="2">
      <t>ハイスイ</t>
    </rPh>
    <rPh sb="2" eb="3">
      <t>ソウ</t>
    </rPh>
    <rPh sb="4" eb="6">
      <t>スンポウ</t>
    </rPh>
    <phoneticPr fontId="3"/>
  </si>
  <si>
    <t>釜場の寸法</t>
    <phoneticPr fontId="3"/>
  </si>
  <si>
    <t>排　　水　　槽　　一　　覧　　表</t>
    <rPh sb="0" eb="1">
      <t>ハイ</t>
    </rPh>
    <rPh sb="3" eb="4">
      <t>ミズ</t>
    </rPh>
    <rPh sb="6" eb="7">
      <t>ソウ</t>
    </rPh>
    <rPh sb="9" eb="10">
      <t>イチ</t>
    </rPh>
    <rPh sb="12" eb="13">
      <t>ラン</t>
    </rPh>
    <rPh sb="15" eb="16">
      <t>ヒョウ</t>
    </rPh>
    <phoneticPr fontId="3"/>
  </si>
  <si>
    <t>2</t>
    <phoneticPr fontId="3"/>
  </si>
  <si>
    <t>2</t>
    <phoneticPr fontId="3"/>
  </si>
  <si>
    <t>2</t>
    <phoneticPr fontId="3"/>
  </si>
  <si>
    <t>0.5</t>
  </si>
  <si>
    <t>0.6</t>
  </si>
  <si>
    <t>0.7</t>
  </si>
  <si>
    <t>0.8</t>
  </si>
  <si>
    <t>台</t>
    <phoneticPr fontId="3"/>
  </si>
  <si>
    <t>）</t>
    <phoneticPr fontId="3"/>
  </si>
  <si>
    <t>排水量
（㍑／分）</t>
    <phoneticPr fontId="10"/>
  </si>
  <si>
    <t>口径
（㎜）</t>
    <phoneticPr fontId="10"/>
  </si>
  <si>
    <t>揚程
（ｍ）</t>
    <phoneticPr fontId="10"/>
  </si>
  <si>
    <t>出力
（㎾）</t>
    <phoneticPr fontId="10"/>
  </si>
  <si>
    <t>雨水槽（</t>
    <phoneticPr fontId="10"/>
  </si>
  <si>
    <t>湧水槽（</t>
    <phoneticPr fontId="10"/>
  </si>
  <si>
    <t>混合槽（</t>
    <phoneticPr fontId="10"/>
  </si>
  <si>
    <t>雑排水槽（</t>
    <phoneticPr fontId="10"/>
  </si>
  <si>
    <t>汚水槽（</t>
    <phoneticPr fontId="10"/>
  </si>
  <si>
    <t>例①</t>
    <phoneticPr fontId="3"/>
  </si>
  <si>
    <r>
      <t>水位の設定</t>
    </r>
    <r>
      <rPr>
        <b/>
        <sz val="12"/>
        <rFont val="メイリオ"/>
        <family val="3"/>
        <charset val="128"/>
      </rPr>
      <t>（※ポンプが３台以上等の特殊な場合は下記の算出方法を使用できない為，印刷範囲から除外し，別途作成すること。）</t>
    </r>
    <rPh sb="0" eb="2">
      <t>スイイ</t>
    </rPh>
    <rPh sb="3" eb="5">
      <t>セッテイ</t>
    </rPh>
    <rPh sb="12" eb="15">
      <t>ダイイジョウ</t>
    </rPh>
    <rPh sb="15" eb="16">
      <t>ナド</t>
    </rPh>
    <rPh sb="17" eb="19">
      <t>トクシュ</t>
    </rPh>
    <rPh sb="20" eb="22">
      <t>バアイ</t>
    </rPh>
    <rPh sb="23" eb="25">
      <t>カキ</t>
    </rPh>
    <rPh sb="26" eb="28">
      <t>サンシュツ</t>
    </rPh>
    <rPh sb="28" eb="30">
      <t>ホウホウ</t>
    </rPh>
    <rPh sb="31" eb="33">
      <t>シヨウ</t>
    </rPh>
    <rPh sb="37" eb="38">
      <t>タメ</t>
    </rPh>
    <rPh sb="49" eb="51">
      <t>ベット</t>
    </rPh>
    <rPh sb="51" eb="53">
      <t>サクセイ</t>
    </rPh>
    <phoneticPr fontId="3"/>
  </si>
  <si>
    <t>４）警報水位（設置しない場合は空白とする）</t>
    <rPh sb="2" eb="4">
      <t>ケイホウ</t>
    </rPh>
    <rPh sb="4" eb="6">
      <t>スイイ</t>
    </rPh>
    <rPh sb="7" eb="9">
      <t>セッチ</t>
    </rPh>
    <rPh sb="12" eb="14">
      <t>バアイ</t>
    </rPh>
    <rPh sb="15" eb="17">
      <t>クウハク</t>
    </rPh>
    <phoneticPr fontId="3"/>
  </si>
  <si>
    <t>× (</t>
    <phoneticPr fontId="3"/>
  </si>
  <si>
    <t>) ＝</t>
    <phoneticPr fontId="3"/>
  </si>
  <si>
    <t>決定値を計算値以上
に設定すること</t>
    <phoneticPr fontId="3"/>
  </si>
  <si>
    <t>決定値を計算値以上
に設定すること</t>
    <phoneticPr fontId="3"/>
  </si>
  <si>
    <t>決定値を計算値以上
に設定すること</t>
    <phoneticPr fontId="3"/>
  </si>
  <si>
    <r>
      <t>水位の設定</t>
    </r>
    <r>
      <rPr>
        <sz val="12"/>
        <rFont val="メイリオ"/>
        <family val="3"/>
        <charset val="128"/>
      </rPr>
      <t>（※ポンプが３台以上等の特殊な場合は下記の算出方法を使用できない為，水位の設定を印刷範囲から除外し別途作成すること。）</t>
    </r>
    <rPh sb="0" eb="2">
      <t>スイイ</t>
    </rPh>
    <rPh sb="3" eb="5">
      <t>セッテイ</t>
    </rPh>
    <rPh sb="12" eb="15">
      <t>ダイイジョウ</t>
    </rPh>
    <rPh sb="15" eb="16">
      <t>ナド</t>
    </rPh>
    <rPh sb="17" eb="19">
      <t>トクシュ</t>
    </rPh>
    <rPh sb="20" eb="22">
      <t>バアイ</t>
    </rPh>
    <rPh sb="23" eb="25">
      <t>カキ</t>
    </rPh>
    <rPh sb="26" eb="28">
      <t>サンシュツ</t>
    </rPh>
    <rPh sb="28" eb="30">
      <t>ホウホウ</t>
    </rPh>
    <rPh sb="31" eb="33">
      <t>シヨウ</t>
    </rPh>
    <rPh sb="37" eb="38">
      <t>タメ</t>
    </rPh>
    <rPh sb="54" eb="56">
      <t>ベット</t>
    </rPh>
    <rPh sb="56" eb="58">
      <t>サクセイ</t>
    </rPh>
    <phoneticPr fontId="3"/>
  </si>
  <si>
    <t>Ver</t>
    <phoneticPr fontId="3"/>
  </si>
  <si>
    <t>備考</t>
    <rPh sb="0" eb="2">
      <t>ビコウ</t>
    </rPh>
    <phoneticPr fontId="10"/>
  </si>
  <si>
    <t>５）規定水位 (有効容量分を貯留した水位)</t>
    <rPh sb="2" eb="4">
      <t>キテイ</t>
    </rPh>
    <rPh sb="4" eb="6">
      <t>スイイ</t>
    </rPh>
    <rPh sb="14" eb="16">
      <t>チョリュウ</t>
    </rPh>
    <rPh sb="18" eb="20">
      <t>スイイ</t>
    </rPh>
    <phoneticPr fontId="3"/>
  </si>
  <si>
    <t>排水槽一覧表シートについて</t>
    <phoneticPr fontId="3"/>
  </si>
  <si>
    <t>・　汚水系統又は雨水系統への接続が適切であること（湧水槽排水は汚水扱い）を確認するため排水設備図面を添付すること。</t>
    <rPh sb="4" eb="6">
      <t>ケイトウ</t>
    </rPh>
    <rPh sb="14" eb="16">
      <t>セツゾク</t>
    </rPh>
    <rPh sb="37" eb="39">
      <t>カクニン</t>
    </rPh>
    <rPh sb="43" eb="45">
      <t>ハイスイ</t>
    </rPh>
    <rPh sb="45" eb="47">
      <t>セツビ</t>
    </rPh>
    <rPh sb="47" eb="49">
      <t>ズメン</t>
    </rPh>
    <rPh sb="50" eb="52">
      <t>テンプ</t>
    </rPh>
    <phoneticPr fontId="3"/>
  </si>
  <si>
    <t>　水色背景　：　値を直接入力又は選択入力すること。</t>
    <rPh sb="1" eb="3">
      <t>ミズイロ</t>
    </rPh>
    <rPh sb="3" eb="5">
      <t>ハイケイ</t>
    </rPh>
    <rPh sb="8" eb="9">
      <t>アタイ</t>
    </rPh>
    <rPh sb="10" eb="12">
      <t>チョクセツ</t>
    </rPh>
    <rPh sb="12" eb="14">
      <t>ニュウリョク</t>
    </rPh>
    <rPh sb="16" eb="18">
      <t>センタク</t>
    </rPh>
    <rPh sb="18" eb="20">
      <t>ニュウリョク</t>
    </rPh>
    <phoneticPr fontId="3"/>
  </si>
  <si>
    <r>
      <t>　右肩に赤印　：　</t>
    </r>
    <r>
      <rPr>
        <u/>
        <sz val="12"/>
        <color theme="1"/>
        <rFont val="ＭＳ Ｐゴシック"/>
        <family val="3"/>
        <charset val="128"/>
        <scheme val="minor"/>
      </rPr>
      <t>コメントを記載しているので必ず確認すること。</t>
    </r>
    <rPh sb="1" eb="3">
      <t>ミギカタ</t>
    </rPh>
    <rPh sb="4" eb="5">
      <t>アカ</t>
    </rPh>
    <rPh sb="5" eb="6">
      <t>ジルシ</t>
    </rPh>
    <rPh sb="14" eb="16">
      <t>キサイ</t>
    </rPh>
    <rPh sb="22" eb="23">
      <t>カナラ</t>
    </rPh>
    <rPh sb="24" eb="26">
      <t>カクニン</t>
    </rPh>
    <phoneticPr fontId="3"/>
  </si>
  <si>
    <r>
      <t>　背景が桃色，数字が茶色　：　</t>
    </r>
    <r>
      <rPr>
        <u/>
        <sz val="12"/>
        <color theme="1"/>
        <rFont val="ＭＳ Ｐゴシック"/>
        <family val="3"/>
        <charset val="128"/>
        <scheme val="minor"/>
      </rPr>
      <t>入力値を制限しており，この色になる場合は基準範囲外であり要修正。　</t>
    </r>
    <rPh sb="1" eb="3">
      <t>ハイケイ</t>
    </rPh>
    <rPh sb="4" eb="6">
      <t>モモイロ</t>
    </rPh>
    <rPh sb="7" eb="9">
      <t>スウジ</t>
    </rPh>
    <rPh sb="10" eb="12">
      <t>チャイロ</t>
    </rPh>
    <rPh sb="15" eb="17">
      <t>ニュウリョク</t>
    </rPh>
    <rPh sb="17" eb="18">
      <t>チ</t>
    </rPh>
    <rPh sb="19" eb="21">
      <t>セイゲン</t>
    </rPh>
    <rPh sb="28" eb="29">
      <t>イロ</t>
    </rPh>
    <rPh sb="32" eb="34">
      <t>バアイ</t>
    </rPh>
    <rPh sb="35" eb="37">
      <t>キジュン</t>
    </rPh>
    <rPh sb="37" eb="39">
      <t>ハンイ</t>
    </rPh>
    <rPh sb="39" eb="40">
      <t>ガイ</t>
    </rPh>
    <rPh sb="43" eb="44">
      <t>ヨウ</t>
    </rPh>
    <rPh sb="44" eb="46">
      <t>シュウセイ</t>
    </rPh>
    <phoneticPr fontId="3"/>
  </si>
  <si>
    <t>現在入力されている数値は記載例であるため，設置予定の排水槽の計画値を入力すること。</t>
    <rPh sb="0" eb="2">
      <t>ゲンザイ</t>
    </rPh>
    <rPh sb="2" eb="4">
      <t>ニュウリョク</t>
    </rPh>
    <rPh sb="9" eb="11">
      <t>スウチ</t>
    </rPh>
    <rPh sb="12" eb="14">
      <t>キサイ</t>
    </rPh>
    <rPh sb="14" eb="15">
      <t>レイ</t>
    </rPh>
    <rPh sb="21" eb="23">
      <t>セッチ</t>
    </rPh>
    <rPh sb="23" eb="25">
      <t>ヨテイ</t>
    </rPh>
    <rPh sb="26" eb="28">
      <t>ハイスイ</t>
    </rPh>
    <rPh sb="28" eb="29">
      <t>ソウ</t>
    </rPh>
    <rPh sb="30" eb="32">
      <t>ケイカク</t>
    </rPh>
    <rPh sb="32" eb="33">
      <t>チ</t>
    </rPh>
    <rPh sb="34" eb="36">
      <t>ニュウリョク</t>
    </rPh>
    <phoneticPr fontId="3"/>
  </si>
  <si>
    <t>申請が必要な排水槽のシートのみ申請書に添付すること。</t>
    <rPh sb="0" eb="2">
      <t>シンセイ</t>
    </rPh>
    <rPh sb="3" eb="5">
      <t>ヒツヨウ</t>
    </rPh>
    <rPh sb="6" eb="8">
      <t>ハイスイ</t>
    </rPh>
    <rPh sb="8" eb="9">
      <t>ソウ</t>
    </rPh>
    <rPh sb="15" eb="18">
      <t>シンセイショ</t>
    </rPh>
    <rPh sb="19" eb="21">
      <t>テンプ</t>
    </rPh>
    <phoneticPr fontId="3"/>
  </si>
  <si>
    <r>
      <t>セルに数式を入力しているため，保護を掛けてます。</t>
    </r>
    <r>
      <rPr>
        <u/>
        <sz val="12"/>
        <rFont val="ＭＳ Ｐゴシック"/>
        <family val="3"/>
        <charset val="128"/>
        <scheme val="minor"/>
      </rPr>
      <t>保護解除等を行い，独自で変更した場合は申請書類として受付できません。</t>
    </r>
    <rPh sb="3" eb="5">
      <t>スウシキ</t>
    </rPh>
    <rPh sb="6" eb="8">
      <t>ニュウリョク</t>
    </rPh>
    <rPh sb="15" eb="17">
      <t>ホゴ</t>
    </rPh>
    <rPh sb="18" eb="19">
      <t>カ</t>
    </rPh>
    <rPh sb="24" eb="26">
      <t>ホゴ</t>
    </rPh>
    <rPh sb="26" eb="28">
      <t>カイジョ</t>
    </rPh>
    <rPh sb="28" eb="29">
      <t>トウ</t>
    </rPh>
    <rPh sb="30" eb="31">
      <t>オコナ</t>
    </rPh>
    <rPh sb="33" eb="35">
      <t>ドクジ</t>
    </rPh>
    <rPh sb="36" eb="38">
      <t>ヘンコウ</t>
    </rPh>
    <rPh sb="40" eb="42">
      <t>バアイ</t>
    </rPh>
    <rPh sb="43" eb="45">
      <t>シンセイ</t>
    </rPh>
    <rPh sb="45" eb="47">
      <t>ショルイ</t>
    </rPh>
    <rPh sb="50" eb="52">
      <t>ウケツケ</t>
    </rPh>
    <phoneticPr fontId="3"/>
  </si>
  <si>
    <t>・　排水槽一覧表に入力する値は計算書や図面等の添付資料が根拠となるため，添付資料に記載する値は明確にすること。</t>
    <rPh sb="2" eb="4">
      <t>ハイスイ</t>
    </rPh>
    <rPh sb="4" eb="5">
      <t>ソウ</t>
    </rPh>
    <rPh sb="5" eb="7">
      <t>イチラン</t>
    </rPh>
    <rPh sb="7" eb="8">
      <t>ヒョウ</t>
    </rPh>
    <rPh sb="9" eb="11">
      <t>ニュウリョク</t>
    </rPh>
    <rPh sb="13" eb="14">
      <t>アタイ</t>
    </rPh>
    <rPh sb="15" eb="18">
      <t>ケイサンショ</t>
    </rPh>
    <rPh sb="19" eb="21">
      <t>ズメン</t>
    </rPh>
    <rPh sb="21" eb="22">
      <t>トウ</t>
    </rPh>
    <rPh sb="23" eb="25">
      <t>テンプ</t>
    </rPh>
    <rPh sb="25" eb="27">
      <t>シリョウ</t>
    </rPh>
    <rPh sb="28" eb="30">
      <t>コンキョ</t>
    </rPh>
    <rPh sb="36" eb="38">
      <t>テンプ</t>
    </rPh>
    <rPh sb="38" eb="40">
      <t>シリョウ</t>
    </rPh>
    <rPh sb="41" eb="43">
      <t>キサイ</t>
    </rPh>
    <rPh sb="45" eb="46">
      <t>アタイ</t>
    </rPh>
    <rPh sb="47" eb="49">
      <t>メイカク</t>
    </rPh>
    <phoneticPr fontId="3"/>
  </si>
  <si>
    <t>・　排水槽を入力する行が不足する場合は，必要に応じて行を挿入すること。</t>
    <rPh sb="6" eb="8">
      <t>ニュウリョク</t>
    </rPh>
    <rPh sb="10" eb="11">
      <t>ギョウ</t>
    </rPh>
    <rPh sb="12" eb="14">
      <t>フソク</t>
    </rPh>
    <rPh sb="16" eb="18">
      <t>バアイ</t>
    </rPh>
    <rPh sb="20" eb="22">
      <t>ヒツヨウ</t>
    </rPh>
    <rPh sb="23" eb="24">
      <t>オウ</t>
    </rPh>
    <phoneticPr fontId="3"/>
  </si>
  <si>
    <t>・　同種の槽が複数ある場合は，区別するため番号を付けること。（例　湧水槽①，湧水槽②．．．）</t>
    <rPh sb="2" eb="4">
      <t>ドウシュ</t>
    </rPh>
    <rPh sb="5" eb="6">
      <t>ソウ</t>
    </rPh>
    <rPh sb="7" eb="9">
      <t>フクスウ</t>
    </rPh>
    <rPh sb="11" eb="13">
      <t>バアイ</t>
    </rPh>
    <rPh sb="15" eb="17">
      <t>クベツ</t>
    </rPh>
    <rPh sb="21" eb="23">
      <t>バンゴウ</t>
    </rPh>
    <rPh sb="24" eb="25">
      <t>ツ</t>
    </rPh>
    <rPh sb="31" eb="32">
      <t>レイ</t>
    </rPh>
    <rPh sb="33" eb="36">
      <t>ユウスイソウ</t>
    </rPh>
    <rPh sb="38" eb="41">
      <t>ユウスイソウ</t>
    </rPh>
    <phoneticPr fontId="3"/>
  </si>
  <si>
    <t>・　水位の設定を使用できない場合は印刷範囲から除外し，別途算出し提出してください。</t>
    <rPh sb="2" eb="4">
      <t>スイイ</t>
    </rPh>
    <rPh sb="5" eb="7">
      <t>セッテイ</t>
    </rPh>
    <rPh sb="8" eb="10">
      <t>シヨウ</t>
    </rPh>
    <rPh sb="14" eb="16">
      <t>バアイ</t>
    </rPh>
    <rPh sb="17" eb="19">
      <t>インサツ</t>
    </rPh>
    <rPh sb="19" eb="21">
      <t>ハンイ</t>
    </rPh>
    <rPh sb="23" eb="25">
      <t>ジョガイ</t>
    </rPh>
    <rPh sb="27" eb="29">
      <t>ベット</t>
    </rPh>
    <rPh sb="29" eb="31">
      <t>サンシュツ</t>
    </rPh>
    <rPh sb="32" eb="34">
      <t>テイシュツ</t>
    </rPh>
    <phoneticPr fontId="3"/>
  </si>
  <si>
    <t>・　計画最大汚水量を例①や例②以外で計算する場合は，備考欄に根拠を記載するか，別紙資料に明記し，</t>
    <rPh sb="2" eb="4">
      <t>ケイカク</t>
    </rPh>
    <rPh sb="4" eb="6">
      <t>サイダイ</t>
    </rPh>
    <rPh sb="6" eb="8">
      <t>オスイ</t>
    </rPh>
    <rPh sb="8" eb="9">
      <t>リョウ</t>
    </rPh>
    <rPh sb="10" eb="11">
      <t>レイ</t>
    </rPh>
    <rPh sb="13" eb="14">
      <t>レイ</t>
    </rPh>
    <rPh sb="15" eb="17">
      <t>イガイ</t>
    </rPh>
    <rPh sb="18" eb="20">
      <t>ケイサン</t>
    </rPh>
    <rPh sb="22" eb="24">
      <t>バアイ</t>
    </rPh>
    <rPh sb="26" eb="28">
      <t>ビコウ</t>
    </rPh>
    <rPh sb="28" eb="29">
      <t>ラン</t>
    </rPh>
    <rPh sb="30" eb="32">
      <t>コンキョ</t>
    </rPh>
    <rPh sb="33" eb="35">
      <t>キサイ</t>
    </rPh>
    <rPh sb="39" eb="41">
      <t>ベッシ</t>
    </rPh>
    <rPh sb="41" eb="43">
      <t>シリョウ</t>
    </rPh>
    <rPh sb="44" eb="46">
      <t>メイキ</t>
    </rPh>
    <phoneticPr fontId="3"/>
  </si>
  <si>
    <t>　計算結果を例①（器具排水量から算出）を使用し，時間最大使用水量（L/ｈ）に代入し作成すること。</t>
    <rPh sb="1" eb="3">
      <t>ケイサン</t>
    </rPh>
    <rPh sb="3" eb="5">
      <t>ケッカ</t>
    </rPh>
    <rPh sb="24" eb="26">
      <t>ジカン</t>
    </rPh>
    <rPh sb="26" eb="28">
      <t>サイダイ</t>
    </rPh>
    <rPh sb="28" eb="30">
      <t>シヨウ</t>
    </rPh>
    <rPh sb="30" eb="32">
      <t>スイリョウ</t>
    </rPh>
    <rPh sb="38" eb="40">
      <t>ダイニュウ</t>
    </rPh>
    <rPh sb="41" eb="43">
      <t>サクセイ</t>
    </rPh>
    <phoneticPr fontId="3"/>
  </si>
  <si>
    <t>・　排水量，揚程，出力，消費電力，性能曲線等は排水ポンプ仕様書と整合させること。また，性能曲線図に仕様点を明示すること。</t>
    <rPh sb="32" eb="34">
      <t>セイゴウ</t>
    </rPh>
    <rPh sb="47" eb="48">
      <t>ズ</t>
    </rPh>
    <phoneticPr fontId="3"/>
  </si>
  <si>
    <t>・　湧水は通常の下水使用料とは別途の課金となるため，他からの排水を湧水槽に流入させることは可能であるが，二重課金となる。（施主の承諾が必要）</t>
    <rPh sb="2" eb="4">
      <t>ユウスイ</t>
    </rPh>
    <rPh sb="5" eb="7">
      <t>ツウジョウ</t>
    </rPh>
    <rPh sb="8" eb="10">
      <t>ゲスイ</t>
    </rPh>
    <rPh sb="10" eb="13">
      <t>シヨウリョウ</t>
    </rPh>
    <rPh sb="15" eb="17">
      <t>ベット</t>
    </rPh>
    <rPh sb="18" eb="20">
      <t>カキン</t>
    </rPh>
    <rPh sb="26" eb="27">
      <t>ホカ</t>
    </rPh>
    <rPh sb="30" eb="32">
      <t>ハイスイ</t>
    </rPh>
    <rPh sb="33" eb="36">
      <t>ユウスイソウ</t>
    </rPh>
    <rPh sb="37" eb="39">
      <t>リュウニュウ</t>
    </rPh>
    <rPh sb="45" eb="47">
      <t>カノウ</t>
    </rPh>
    <rPh sb="52" eb="53">
      <t>２</t>
    </rPh>
    <rPh sb="53" eb="54">
      <t>ジュウ</t>
    </rPh>
    <rPh sb="54" eb="56">
      <t>カキン</t>
    </rPh>
    <rPh sb="61" eb="63">
      <t>セシュ</t>
    </rPh>
    <rPh sb="64" eb="66">
      <t>ショウダク</t>
    </rPh>
    <rPh sb="67" eb="69">
      <t>ヒツヨウ</t>
    </rPh>
    <phoneticPr fontId="3"/>
  </si>
  <si>
    <t>緊急時に備え，流速の基準内に収まる管径よりも大きな管径を設定したいという施主の意向のためである。</t>
    <phoneticPr fontId="3"/>
  </si>
  <si>
    <r>
      <rPr>
        <sz val="12"/>
        <rFont val="ＭＳ Ｐゴシック"/>
        <family val="3"/>
        <charset val="128"/>
        <scheme val="minor"/>
      </rPr>
      <t>・　</t>
    </r>
    <r>
      <rPr>
        <u/>
        <sz val="12"/>
        <rFont val="ＭＳ Ｐゴシック"/>
        <family val="2"/>
        <charset val="128"/>
        <scheme val="minor"/>
      </rPr>
      <t>排水槽の大きさが異形の場合は，公称値として長辺を記載すること。</t>
    </r>
    <rPh sb="2" eb="4">
      <t>ハイスイ</t>
    </rPh>
    <rPh sb="4" eb="5">
      <t>ソウ</t>
    </rPh>
    <rPh sb="6" eb="7">
      <t>オオ</t>
    </rPh>
    <rPh sb="10" eb="12">
      <t>イケイ</t>
    </rPh>
    <rPh sb="13" eb="15">
      <t>バアイ</t>
    </rPh>
    <rPh sb="17" eb="20">
      <t>コウショウチ</t>
    </rPh>
    <rPh sb="23" eb="25">
      <t>チョウヘン</t>
    </rPh>
    <rPh sb="26" eb="28">
      <t>キサイ</t>
    </rPh>
    <phoneticPr fontId="3"/>
  </si>
  <si>
    <r>
      <rPr>
        <sz val="12"/>
        <color theme="1"/>
        <rFont val="ＭＳ Ｐゴシック"/>
        <family val="3"/>
        <charset val="128"/>
        <scheme val="minor"/>
      </rPr>
      <t>　</t>
    </r>
    <r>
      <rPr>
        <u/>
        <sz val="12"/>
        <color theme="1"/>
        <rFont val="ＭＳ Ｐゴシック"/>
        <family val="2"/>
        <charset val="128"/>
        <scheme val="minor"/>
      </rPr>
      <t>なお，その際は「各排水槽シート」の排水槽の大きさの面積と必ずしも一致している必要はない。</t>
    </r>
    <rPh sb="29" eb="30">
      <t>カナラ</t>
    </rPh>
    <rPh sb="33" eb="35">
      <t>イッチ</t>
    </rPh>
    <rPh sb="39" eb="41">
      <t>ヒツヨウ</t>
    </rPh>
    <phoneticPr fontId="3"/>
  </si>
  <si>
    <r>
      <rPr>
        <sz val="12"/>
        <color theme="1"/>
        <rFont val="ＭＳ Ｐゴシック"/>
        <family val="3"/>
        <charset val="128"/>
        <scheme val="minor"/>
      </rPr>
      <t>・　</t>
    </r>
    <r>
      <rPr>
        <u/>
        <sz val="12"/>
        <color theme="1"/>
        <rFont val="ＭＳ Ｐゴシック"/>
        <family val="2"/>
        <charset val="128"/>
        <scheme val="minor"/>
      </rPr>
      <t>排水槽又は釜場のどちらか一方だけ設置の場合，排水槽一覧表シートには排水槽として記載し，釜場の大きさを「－」で表記すること。</t>
    </r>
    <rPh sb="2" eb="4">
      <t>ハイスイ</t>
    </rPh>
    <rPh sb="4" eb="5">
      <t>ソウ</t>
    </rPh>
    <rPh sb="7" eb="9">
      <t>カマバ</t>
    </rPh>
    <rPh sb="14" eb="16">
      <t>イッポウ</t>
    </rPh>
    <rPh sb="18" eb="20">
      <t>セッチ</t>
    </rPh>
    <rPh sb="21" eb="23">
      <t>バアイ</t>
    </rPh>
    <rPh sb="35" eb="37">
      <t>ハイスイ</t>
    </rPh>
    <rPh sb="37" eb="38">
      <t>ソウ</t>
    </rPh>
    <rPh sb="41" eb="43">
      <t>キサイ</t>
    </rPh>
    <rPh sb="45" eb="47">
      <t>カマバ</t>
    </rPh>
    <rPh sb="48" eb="49">
      <t>オオ</t>
    </rPh>
    <rPh sb="56" eb="58">
      <t>ヒョウキ</t>
    </rPh>
    <phoneticPr fontId="3"/>
  </si>
  <si>
    <t>φ</t>
    <phoneticPr fontId="3"/>
  </si>
  <si>
    <t>既設</t>
    <rPh sb="0" eb="2">
      <t>キセツ</t>
    </rPh>
    <phoneticPr fontId="3"/>
  </si>
  <si>
    <t>・受水槽は１台ずつ清掃を行い，１台の半量ずつ排水する　３ｍ×３ｍ×２ｍ＝１８ｍ3　×２台</t>
    <rPh sb="6" eb="7">
      <t>ダイ</t>
    </rPh>
    <rPh sb="12" eb="13">
      <t>オコナ</t>
    </rPh>
    <rPh sb="16" eb="17">
      <t>ダイ</t>
    </rPh>
    <rPh sb="18" eb="20">
      <t>ハンリョウ</t>
    </rPh>
    <rPh sb="43" eb="44">
      <t>ダイ</t>
    </rPh>
    <phoneticPr fontId="3"/>
  </si>
  <si>
    <t>・１８ｍ3　÷ 0.2 ｍ3/min　＝　９0min</t>
    <phoneticPr fontId="3"/>
  </si>
  <si>
    <t>上記理由より，排水量を200L/min，運転時間９０minと仮定する</t>
    <rPh sb="0" eb="2">
      <t>ジョウキ</t>
    </rPh>
    <rPh sb="2" eb="4">
      <t>リユウ</t>
    </rPh>
    <rPh sb="7" eb="9">
      <t>ハイスイ</t>
    </rPh>
    <rPh sb="9" eb="10">
      <t>リョウ</t>
    </rPh>
    <rPh sb="20" eb="22">
      <t>ウンテン</t>
    </rPh>
    <rPh sb="22" eb="24">
      <t>ジカン</t>
    </rPh>
    <rPh sb="30" eb="32">
      <t>カテイ</t>
    </rPh>
    <phoneticPr fontId="3"/>
  </si>
  <si>
    <t>Ver</t>
    <phoneticPr fontId="3"/>
  </si>
  <si>
    <t>高さ（ｍ）</t>
    <rPh sb="0" eb="1">
      <t>タカ</t>
    </rPh>
    <phoneticPr fontId="10"/>
  </si>
  <si>
    <t>（第２号様式）</t>
    <phoneticPr fontId="3"/>
  </si>
  <si>
    <t>計画最大汚水量　≦　ポンプ能力（L/min）とする</t>
    <rPh sb="0" eb="2">
      <t>ケイカク</t>
    </rPh>
    <rPh sb="2" eb="4">
      <t>サイダイ</t>
    </rPh>
    <rPh sb="4" eb="6">
      <t>オスイ</t>
    </rPh>
    <rPh sb="6" eb="7">
      <t>リョウ</t>
    </rPh>
    <rPh sb="13" eb="15">
      <t>ノウリョク</t>
    </rPh>
    <phoneticPr fontId="3"/>
  </si>
  <si>
    <t>排水槽全般について</t>
    <rPh sb="0" eb="3">
      <t>ハイスイソウ</t>
    </rPh>
    <rPh sb="3" eb="5">
      <t>ゼンパン</t>
    </rPh>
    <phoneticPr fontId="3"/>
  </si>
  <si>
    <t>・　その他のことについては、排水槽の設計指針を参照すること。</t>
    <rPh sb="4" eb="5">
      <t>タ</t>
    </rPh>
    <rPh sb="14" eb="16">
      <t>ハイスイ</t>
    </rPh>
    <rPh sb="16" eb="17">
      <t>ソウ</t>
    </rPh>
    <rPh sb="18" eb="22">
      <t>セッケイシシン</t>
    </rPh>
    <rPh sb="23" eb="25">
      <t>サンショウ</t>
    </rPh>
    <phoneticPr fontId="3"/>
  </si>
  <si>
    <t>・　タイマー制御を必要とする排水槽はタイマーの設定時間を明記した資料を添付すること。</t>
    <rPh sb="6" eb="8">
      <t>セイギョ</t>
    </rPh>
    <rPh sb="9" eb="11">
      <t>ヒツヨウ</t>
    </rPh>
    <rPh sb="14" eb="17">
      <t>ハイスイソウ</t>
    </rPh>
    <rPh sb="23" eb="25">
      <t>セッテイ</t>
    </rPh>
    <rPh sb="25" eb="27">
      <t>ジカン</t>
    </rPh>
    <rPh sb="28" eb="30">
      <t>メイキ</t>
    </rPh>
    <rPh sb="32" eb="34">
      <t>シリョウ</t>
    </rPh>
    <phoneticPr fontId="3"/>
  </si>
  <si>
    <t>・　湧水槽未設置計画の場合には、湧水対応の考え方について確認するため柱状図等で地下水位がわかる資料の添付及び、系統図（断面図）に地下水位を明示すること。</t>
    <rPh sb="2" eb="5">
      <t>ユウスイソウ</t>
    </rPh>
    <rPh sb="5" eb="8">
      <t>ミセッチ</t>
    </rPh>
    <rPh sb="8" eb="10">
      <t>ケイカク</t>
    </rPh>
    <rPh sb="11" eb="13">
      <t>バアイ</t>
    </rPh>
    <rPh sb="16" eb="18">
      <t>ユウスイ</t>
    </rPh>
    <rPh sb="18" eb="20">
      <t>タイオウ</t>
    </rPh>
    <rPh sb="21" eb="22">
      <t>カンガ</t>
    </rPh>
    <rPh sb="23" eb="24">
      <t>カタ</t>
    </rPh>
    <rPh sb="28" eb="30">
      <t>カクニン</t>
    </rPh>
    <rPh sb="34" eb="37">
      <t>チュウジョウズ</t>
    </rPh>
    <rPh sb="37" eb="38">
      <t>ナド</t>
    </rPh>
    <rPh sb="39" eb="43">
      <t>チカスイイ</t>
    </rPh>
    <rPh sb="47" eb="49">
      <t>シリョウ</t>
    </rPh>
    <rPh sb="50" eb="52">
      <t>テンプ</t>
    </rPh>
    <rPh sb="52" eb="53">
      <t>オヨ</t>
    </rPh>
    <rPh sb="55" eb="58">
      <t>ケイトウズ</t>
    </rPh>
    <rPh sb="59" eb="62">
      <t>ダンメンズ</t>
    </rPh>
    <rPh sb="64" eb="68">
      <t>チカスイイ</t>
    </rPh>
    <rPh sb="69" eb="71">
      <t>メイジ</t>
    </rPh>
    <phoneticPr fontId="3"/>
  </si>
  <si>
    <t>有効容量３㎥未満であること、かつ排水槽の大きさが有効容量の1.5倍以上の容量であること</t>
    <rPh sb="0" eb="4">
      <t>ユウコウヨウリョウ</t>
    </rPh>
    <rPh sb="6" eb="8">
      <t>ミマン</t>
    </rPh>
    <rPh sb="16" eb="18">
      <t>ハイスイ</t>
    </rPh>
    <rPh sb="32" eb="33">
      <t>バイ</t>
    </rPh>
    <rPh sb="33" eb="3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</si>
</sst>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0_);[Red]\(0.000\)"/>
    <numFmt numFmtId="177" formatCode="0_);[Red]\(0\)"/>
    <numFmt numFmtId="178" formatCode="0.0000"/>
    <numFmt numFmtId="179" formatCode="0.00000"/>
    <numFmt numFmtId="180" formatCode="0.0"/>
    <numFmt numFmtId="181" formatCode="0.000"/>
    <numFmt numFmtId="182" formatCode="#,##0.000;[Red]\-#,##0.000"/>
    <numFmt numFmtId="183" formatCode="0.000_ "/>
    <numFmt numFmtId="184" formatCode="0.00_ "/>
    <numFmt numFmtId="185" formatCode="\(\ 0.00"/>
    <numFmt numFmtId="186" formatCode="0.00\ \)"/>
    <numFmt numFmtId="187" formatCode="\(\ \ \ \ 0.00"/>
    <numFmt numFmtId="188" formatCode="#&quot; /（&quot;"/>
    <numFmt numFmtId="189" formatCode="##&quot;×60）×&quot;"/>
    <numFmt numFmtId="190" formatCode="#,##0.00_ ;[Red]\-#,##0.00\ "/>
    <numFmt numFmtId="191" formatCode="0.00_);[Red]\(0.00\)"/>
  </numFmts>
  <fonts count="64" x14ac:knownFonts="1">
    <font>
      <sz val="12"/>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9"/>
      <color indexed="81"/>
      <name val="ＭＳ Ｐゴシック"/>
      <family val="3"/>
      <charset val="128"/>
    </font>
    <font>
      <sz val="11"/>
      <name val="ＭＳ Ｐゴシック"/>
      <family val="3"/>
      <charset val="128"/>
    </font>
    <font>
      <sz val="12"/>
      <name val="ＭＳ 明朝"/>
      <family val="1"/>
      <charset val="128"/>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font>
    <font>
      <sz val="12"/>
      <name val="ＭＳ Ｐゴシック"/>
      <family val="3"/>
      <charset val="128"/>
      <scheme val="minor"/>
    </font>
    <font>
      <sz val="11"/>
      <name val="ＭＳ 明朝"/>
      <family val="1"/>
      <charset val="128"/>
    </font>
    <font>
      <sz val="10"/>
      <name val="ＭＳ 明朝"/>
      <family val="1"/>
      <charset val="128"/>
    </font>
    <font>
      <sz val="12"/>
      <color theme="1"/>
      <name val="ＭＳ 明朝"/>
      <family val="1"/>
      <charset val="128"/>
    </font>
    <font>
      <b/>
      <sz val="12"/>
      <color theme="1"/>
      <name val="ＭＳ 明朝"/>
      <family val="1"/>
      <charset val="128"/>
    </font>
    <font>
      <sz val="28"/>
      <color theme="1"/>
      <name val="メイリオ"/>
      <family val="3"/>
      <charset val="128"/>
    </font>
    <font>
      <sz val="12"/>
      <color theme="1"/>
      <name val="メイリオ"/>
      <family val="3"/>
      <charset val="128"/>
    </font>
    <font>
      <sz val="16"/>
      <color theme="1"/>
      <name val="メイリオ"/>
      <family val="3"/>
      <charset val="128"/>
    </font>
    <font>
      <sz val="10"/>
      <color theme="1"/>
      <name val="メイリオ"/>
      <family val="3"/>
      <charset val="128"/>
    </font>
    <font>
      <b/>
      <sz val="12"/>
      <color rgb="FFFF0000"/>
      <name val="メイリオ"/>
      <family val="3"/>
      <charset val="128"/>
    </font>
    <font>
      <sz val="12"/>
      <name val="メイリオ"/>
      <family val="3"/>
      <charset val="128"/>
    </font>
    <font>
      <sz val="8"/>
      <color theme="1"/>
      <name val="メイリオ"/>
      <family val="3"/>
      <charset val="128"/>
    </font>
    <font>
      <sz val="14"/>
      <color theme="1"/>
      <name val="メイリオ"/>
      <family val="3"/>
      <charset val="128"/>
    </font>
    <font>
      <b/>
      <sz val="11"/>
      <color theme="1"/>
      <name val="メイリオ"/>
      <family val="3"/>
      <charset val="128"/>
    </font>
    <font>
      <b/>
      <sz val="10"/>
      <color theme="1"/>
      <name val="メイリオ"/>
      <family val="3"/>
      <charset val="128"/>
    </font>
    <font>
      <b/>
      <sz val="10"/>
      <color rgb="FFFF0000"/>
      <name val="メイリオ"/>
      <family val="3"/>
      <charset val="128"/>
    </font>
    <font>
      <b/>
      <sz val="12"/>
      <color theme="1"/>
      <name val="メイリオ"/>
      <family val="3"/>
      <charset val="128"/>
    </font>
    <font>
      <sz val="11"/>
      <color theme="1"/>
      <name val="メイリオ"/>
      <family val="3"/>
      <charset val="128"/>
    </font>
    <font>
      <sz val="14"/>
      <color theme="1"/>
      <name val="ＭＳ Ｐゴシック"/>
      <family val="3"/>
      <charset val="128"/>
      <scheme val="minor"/>
    </font>
    <font>
      <b/>
      <sz val="12"/>
      <name val="メイリオ"/>
      <family val="3"/>
      <charset val="128"/>
    </font>
    <font>
      <sz val="24"/>
      <color theme="1"/>
      <name val="メイリオ"/>
      <family val="3"/>
      <charset val="128"/>
    </font>
    <font>
      <vertAlign val="superscript"/>
      <sz val="12"/>
      <color theme="1"/>
      <name val="メイリオ"/>
      <family val="3"/>
      <charset val="128"/>
    </font>
    <font>
      <b/>
      <sz val="12"/>
      <color theme="1"/>
      <name val="ＭＳ Ｐゴシック"/>
      <family val="3"/>
      <charset val="128"/>
    </font>
    <font>
      <sz val="12"/>
      <name val="ＭＳ Ｐゴシック"/>
      <family val="3"/>
      <charset val="128"/>
    </font>
    <font>
      <sz val="12"/>
      <color theme="1"/>
      <name val="ＭＳ Ｐゴシック"/>
      <family val="3"/>
      <charset val="128"/>
    </font>
    <font>
      <sz val="12"/>
      <color rgb="FFFFC000"/>
      <name val="メイリオ"/>
      <family val="3"/>
      <charset val="128"/>
    </font>
    <font>
      <b/>
      <sz val="8"/>
      <color theme="1"/>
      <name val="メイリオ"/>
      <family val="3"/>
      <charset val="128"/>
    </font>
    <font>
      <sz val="11"/>
      <color rgb="FFFF0000"/>
      <name val="メイリオ"/>
      <family val="3"/>
      <charset val="128"/>
    </font>
    <font>
      <sz val="9"/>
      <color theme="1"/>
      <name val="メイリオ"/>
      <family val="3"/>
      <charset val="128"/>
    </font>
    <font>
      <sz val="11"/>
      <name val="メイリオ"/>
      <family val="3"/>
      <charset val="128"/>
    </font>
    <font>
      <b/>
      <sz val="16"/>
      <color theme="1"/>
      <name val="メイリオ"/>
      <family val="3"/>
      <charset val="128"/>
    </font>
    <font>
      <vertAlign val="superscript"/>
      <sz val="12"/>
      <name val="メイリオ"/>
      <family val="3"/>
      <charset val="128"/>
    </font>
    <font>
      <sz val="9"/>
      <name val="メイリオ"/>
      <family val="3"/>
      <charset val="128"/>
    </font>
    <font>
      <sz val="10"/>
      <color indexed="81"/>
      <name val="ＭＳ Ｐゴシック"/>
      <family val="3"/>
      <charset val="128"/>
    </font>
    <font>
      <b/>
      <sz val="11"/>
      <color indexed="81"/>
      <name val="ＭＳ Ｐゴシック"/>
      <family val="3"/>
      <charset val="128"/>
    </font>
    <font>
      <sz val="9"/>
      <color indexed="81"/>
      <name val="ＭＳ Ｐゴシック"/>
      <family val="3"/>
      <charset val="128"/>
    </font>
    <font>
      <sz val="11"/>
      <color indexed="81"/>
      <name val="ＭＳ Ｐゴシック"/>
      <family val="3"/>
      <charset val="128"/>
    </font>
    <font>
      <sz val="14"/>
      <color rgb="FFFF0000"/>
      <name val="メイリオ"/>
      <family val="3"/>
      <charset val="128"/>
    </font>
    <font>
      <vertAlign val="subscript"/>
      <sz val="10"/>
      <color theme="1"/>
      <name val="メイリオ"/>
      <family val="3"/>
      <charset val="128"/>
    </font>
    <font>
      <sz val="10"/>
      <name val="メイリオ"/>
      <family val="3"/>
      <charset val="128"/>
    </font>
    <font>
      <vertAlign val="superscript"/>
      <sz val="10"/>
      <color theme="1"/>
      <name val="メイリオ"/>
      <family val="3"/>
      <charset val="128"/>
    </font>
    <font>
      <sz val="12"/>
      <color rgb="FF00B0F0"/>
      <name val="メイリオ"/>
      <family val="3"/>
      <charset val="128"/>
    </font>
    <font>
      <sz val="20"/>
      <color rgb="FFFF0000"/>
      <name val="ＭＳ Ｐゴシック"/>
      <family val="2"/>
      <charset val="128"/>
      <scheme val="minor"/>
    </font>
    <font>
      <b/>
      <sz val="11"/>
      <color rgb="FFFF0000"/>
      <name val="メイリオ"/>
      <family val="3"/>
      <charset val="128"/>
    </font>
    <font>
      <sz val="18"/>
      <name val="ＭＳ 明朝"/>
      <family val="1"/>
      <charset val="128"/>
    </font>
    <font>
      <b/>
      <sz val="12"/>
      <color rgb="FF9E0008"/>
      <name val="ＭＳ Ｐゴシック"/>
      <family val="3"/>
      <charset val="128"/>
      <scheme val="minor"/>
    </font>
    <font>
      <u/>
      <sz val="12"/>
      <name val="ＭＳ Ｐゴシック"/>
      <family val="2"/>
      <charset val="128"/>
      <scheme val="minor"/>
    </font>
    <font>
      <u/>
      <sz val="12"/>
      <name val="ＭＳ Ｐゴシック"/>
      <family val="3"/>
      <charset val="128"/>
      <scheme val="minor"/>
    </font>
    <font>
      <u/>
      <sz val="12"/>
      <color theme="1"/>
      <name val="ＭＳ Ｐゴシック"/>
      <family val="2"/>
      <charset val="128"/>
      <scheme val="minor"/>
    </font>
    <font>
      <u/>
      <sz val="12"/>
      <color theme="1"/>
      <name val="ＭＳ Ｐゴシック"/>
      <family val="3"/>
      <charset val="128"/>
      <scheme val="minor"/>
    </font>
    <font>
      <sz val="12"/>
      <color rgb="FFFF0000"/>
      <name val="メイリオ"/>
      <family val="3"/>
      <charset val="128"/>
    </font>
    <font>
      <b/>
      <sz val="12"/>
      <color rgb="FFFF0000"/>
      <name val="ＭＳ Ｐゴシック"/>
      <family val="3"/>
      <charset val="128"/>
      <scheme val="minor"/>
    </font>
    <font>
      <u/>
      <sz val="12"/>
      <color theme="10"/>
      <name val="ＭＳ Ｐゴシック"/>
      <family val="2"/>
      <charset val="128"/>
      <scheme val="minor"/>
    </font>
  </fonts>
  <fills count="7">
    <fill>
      <patternFill patternType="none"/>
    </fill>
    <fill>
      <patternFill patternType="gray125"/>
    </fill>
    <fill>
      <patternFill patternType="solid">
        <fgColor rgb="FF66FFFF"/>
        <bgColor indexed="64"/>
      </patternFill>
    </fill>
    <fill>
      <patternFill patternType="solid">
        <fgColor rgb="FFCCECFF"/>
        <bgColor indexed="64"/>
      </patternFill>
    </fill>
    <fill>
      <patternFill patternType="solid">
        <fgColor theme="0"/>
        <bgColor indexed="64"/>
      </patternFill>
    </fill>
    <fill>
      <patternFill patternType="solid">
        <fgColor rgb="FF92D050"/>
        <bgColor indexed="64"/>
      </patternFill>
    </fill>
    <fill>
      <patternFill patternType="solid">
        <fgColor rgb="FFFFC7CE"/>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diagonal/>
    </border>
    <border>
      <left/>
      <right style="thin">
        <color rgb="FF00B0F0"/>
      </right>
      <top/>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8">
    <xf numFmtId="0" fontId="0" fillId="0" borderId="0">
      <alignment vertical="center"/>
    </xf>
    <xf numFmtId="0" fontId="6" fillId="0" borderId="0">
      <alignment vertical="center"/>
    </xf>
    <xf numFmtId="0" fontId="8"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40" fontId="2" fillId="0" borderId="0" applyFont="0" applyFill="0" applyBorder="0" applyAlignment="0" applyProtection="0">
      <alignment vertical="center"/>
    </xf>
    <xf numFmtId="38" fontId="2" fillId="0" borderId="0" applyFont="0" applyFill="0" applyBorder="0" applyAlignment="0" applyProtection="0">
      <alignment vertical="center"/>
    </xf>
    <xf numFmtId="0" fontId="63" fillId="0" borderId="0" applyNumberFormat="0" applyFill="0" applyBorder="0" applyAlignment="0" applyProtection="0">
      <alignment vertical="center"/>
    </xf>
  </cellStyleXfs>
  <cellXfs count="787">
    <xf numFmtId="0" fontId="0" fillId="0" borderId="0" xfId="0">
      <alignment vertical="center"/>
    </xf>
    <xf numFmtId="0" fontId="4" fillId="0" borderId="0" xfId="0" applyFont="1">
      <alignment vertical="center"/>
    </xf>
    <xf numFmtId="0" fontId="0" fillId="2" borderId="1" xfId="0" applyFill="1" applyBorder="1">
      <alignment vertical="center"/>
    </xf>
    <xf numFmtId="0" fontId="0" fillId="3" borderId="1" xfId="0" applyFill="1" applyBorder="1">
      <alignment vertical="center"/>
    </xf>
    <xf numFmtId="0" fontId="0" fillId="0" borderId="1" xfId="0" applyBorder="1">
      <alignment vertical="center"/>
    </xf>
    <xf numFmtId="49" fontId="7" fillId="0" borderId="0" xfId="1" applyNumberFormat="1" applyFont="1" applyAlignment="1">
      <alignment vertical="center"/>
    </xf>
    <xf numFmtId="49" fontId="9" fillId="0" borderId="0" xfId="2" applyNumberFormat="1" applyFont="1">
      <alignment vertical="center"/>
    </xf>
    <xf numFmtId="49" fontId="7" fillId="0" borderId="0" xfId="1" applyNumberFormat="1" applyFont="1" applyFill="1" applyBorder="1" applyAlignment="1">
      <alignment vertical="center"/>
    </xf>
    <xf numFmtId="49" fontId="7" fillId="0" borderId="0" xfId="1" applyNumberFormat="1" applyFont="1" applyBorder="1" applyAlignment="1">
      <alignment vertical="center"/>
    </xf>
    <xf numFmtId="49" fontId="11" fillId="0" borderId="0" xfId="2" applyNumberFormat="1" applyFont="1" applyBorder="1">
      <alignment vertical="center"/>
    </xf>
    <xf numFmtId="49" fontId="11" fillId="0" borderId="0" xfId="2" applyNumberFormat="1" applyFont="1">
      <alignment vertical="center"/>
    </xf>
    <xf numFmtId="49" fontId="7" fillId="0" borderId="4" xfId="1" applyNumberFormat="1" applyFont="1" applyFill="1" applyBorder="1" applyAlignment="1">
      <alignment vertical="center"/>
    </xf>
    <xf numFmtId="49" fontId="9" fillId="0" borderId="0" xfId="2" applyNumberFormat="1" applyFont="1" applyBorder="1" applyAlignment="1">
      <alignment vertical="center"/>
    </xf>
    <xf numFmtId="177" fontId="7" fillId="0" borderId="0" xfId="1" applyNumberFormat="1" applyFont="1" applyFill="1" applyBorder="1" applyAlignment="1">
      <alignment horizontal="center" vertical="center"/>
    </xf>
    <xf numFmtId="177" fontId="7" fillId="0" borderId="0" xfId="1" applyNumberFormat="1" applyFont="1" applyFill="1" applyBorder="1" applyAlignment="1">
      <alignment vertical="center"/>
    </xf>
    <xf numFmtId="49" fontId="7" fillId="0" borderId="19" xfId="1" applyNumberFormat="1" applyFont="1" applyFill="1" applyBorder="1" applyAlignment="1">
      <alignment vertical="center"/>
    </xf>
    <xf numFmtId="49" fontId="7" fillId="0" borderId="19" xfId="1" applyNumberFormat="1" applyFont="1" applyBorder="1" applyAlignment="1">
      <alignment vertical="center"/>
    </xf>
    <xf numFmtId="49" fontId="12" fillId="0" borderId="0" xfId="1" applyNumberFormat="1" applyFont="1" applyFill="1" applyBorder="1" applyAlignment="1">
      <alignment vertical="center"/>
    </xf>
    <xf numFmtId="49" fontId="7" fillId="0" borderId="0" xfId="1" applyNumberFormat="1" applyFont="1" applyFill="1" applyBorder="1" applyAlignment="1">
      <alignment vertical="center" shrinkToFit="1"/>
    </xf>
    <xf numFmtId="49" fontId="7" fillId="0" borderId="0" xfId="1" applyNumberFormat="1" applyFont="1" applyFill="1" applyBorder="1" applyAlignment="1">
      <alignment horizontal="left" vertical="center"/>
    </xf>
    <xf numFmtId="49" fontId="7" fillId="0" borderId="0" xfId="1" applyNumberFormat="1" applyFont="1" applyFill="1" applyBorder="1" applyAlignment="1">
      <alignment vertical="center" wrapText="1"/>
    </xf>
    <xf numFmtId="49" fontId="7" fillId="0" borderId="0" xfId="1" applyNumberFormat="1" applyFont="1" applyFill="1" applyBorder="1" applyAlignment="1">
      <alignment vertical="center" textRotation="255"/>
    </xf>
    <xf numFmtId="49" fontId="7" fillId="0" borderId="0" xfId="1" applyNumberFormat="1" applyFont="1" applyFill="1" applyBorder="1" applyAlignment="1">
      <alignment vertical="top" wrapText="1"/>
    </xf>
    <xf numFmtId="49" fontId="14" fillId="0" borderId="0" xfId="2" applyNumberFormat="1" applyFont="1">
      <alignment vertical="center"/>
    </xf>
    <xf numFmtId="49" fontId="14" fillId="0" borderId="0" xfId="2" applyNumberFormat="1" applyFont="1" applyBorder="1">
      <alignment vertical="center"/>
    </xf>
    <xf numFmtId="49" fontId="15" fillId="0" borderId="0" xfId="2" applyNumberFormat="1" applyFont="1" applyBorder="1">
      <alignment vertical="center"/>
    </xf>
    <xf numFmtId="0" fontId="28" fillId="0" borderId="14" xfId="0" applyFont="1" applyBorder="1" applyAlignment="1" applyProtection="1">
      <alignment vertical="center"/>
    </xf>
    <xf numFmtId="0" fontId="17" fillId="0" borderId="4" xfId="0" applyFont="1" applyBorder="1" applyAlignment="1" applyProtection="1">
      <alignment vertical="center"/>
    </xf>
    <xf numFmtId="49" fontId="17" fillId="0" borderId="4" xfId="0" applyNumberFormat="1" applyFont="1" applyBorder="1" applyAlignment="1" applyProtection="1">
      <alignment vertical="center"/>
    </xf>
    <xf numFmtId="0" fontId="17" fillId="0" borderId="4" xfId="0" applyFont="1" applyBorder="1" applyProtection="1">
      <alignment vertical="center"/>
    </xf>
    <xf numFmtId="0" fontId="17" fillId="0" borderId="13" xfId="0" applyFont="1" applyBorder="1" applyProtection="1">
      <alignment vertical="center"/>
    </xf>
    <xf numFmtId="0" fontId="17" fillId="0" borderId="16" xfId="0" applyFont="1" applyBorder="1" applyAlignment="1" applyProtection="1">
      <alignment horizontal="center" vertical="center"/>
    </xf>
    <xf numFmtId="0" fontId="17" fillId="0" borderId="0" xfId="0" applyFont="1" applyBorder="1" applyProtection="1">
      <alignment vertical="center"/>
    </xf>
    <xf numFmtId="0" fontId="17" fillId="0" borderId="0" xfId="0" applyFont="1" applyBorder="1" applyAlignment="1" applyProtection="1">
      <alignment horizontal="right" vertical="center"/>
    </xf>
    <xf numFmtId="49" fontId="17" fillId="0" borderId="0" xfId="0" applyNumberFormat="1" applyFont="1" applyBorder="1" applyAlignment="1" applyProtection="1">
      <alignment vertical="center"/>
    </xf>
    <xf numFmtId="177" fontId="17" fillId="0" borderId="0" xfId="0" applyNumberFormat="1" applyFont="1" applyBorder="1" applyAlignment="1" applyProtection="1">
      <alignment vertical="center"/>
    </xf>
    <xf numFmtId="0" fontId="17" fillId="0" borderId="0" xfId="0" applyFont="1" applyBorder="1" applyAlignment="1" applyProtection="1">
      <alignment vertical="center"/>
    </xf>
    <xf numFmtId="0" fontId="17" fillId="0" borderId="15" xfId="0" applyFont="1" applyBorder="1" applyProtection="1">
      <alignment vertical="center"/>
    </xf>
    <xf numFmtId="0" fontId="27" fillId="0" borderId="16" xfId="0" applyFont="1" applyFill="1" applyBorder="1" applyAlignment="1" applyProtection="1">
      <alignment horizontal="center" vertical="center"/>
    </xf>
    <xf numFmtId="0" fontId="27" fillId="0" borderId="0" xfId="0" applyFont="1" applyFill="1" applyBorder="1" applyAlignment="1" applyProtection="1">
      <alignment vertical="center"/>
    </xf>
    <xf numFmtId="49" fontId="27" fillId="0" borderId="0" xfId="0" applyNumberFormat="1" applyFont="1" applyFill="1" applyBorder="1" applyAlignment="1" applyProtection="1">
      <alignment vertical="center"/>
    </xf>
    <xf numFmtId="0" fontId="17" fillId="0" borderId="0" xfId="0" applyFont="1" applyFill="1" applyBorder="1" applyProtection="1">
      <alignment vertical="center"/>
    </xf>
    <xf numFmtId="0" fontId="17" fillId="0" borderId="15" xfId="0" applyFont="1" applyFill="1" applyBorder="1" applyProtection="1">
      <alignment vertical="center"/>
    </xf>
    <xf numFmtId="0" fontId="19" fillId="0" borderId="4" xfId="0" applyFont="1" applyBorder="1" applyAlignment="1" applyProtection="1">
      <alignment horizontal="center" vertical="center"/>
    </xf>
    <xf numFmtId="0" fontId="17" fillId="0" borderId="4" xfId="0" applyFont="1" applyBorder="1" applyAlignment="1" applyProtection="1">
      <alignment horizontal="center" vertical="center"/>
    </xf>
    <xf numFmtId="49" fontId="17" fillId="0" borderId="16" xfId="0" applyNumberFormat="1" applyFont="1" applyFill="1" applyBorder="1" applyAlignment="1" applyProtection="1">
      <alignment vertical="center"/>
    </xf>
    <xf numFmtId="0" fontId="17" fillId="0" borderId="0" xfId="0" applyFont="1" applyFill="1" applyBorder="1" applyAlignment="1" applyProtection="1">
      <alignment vertical="center"/>
    </xf>
    <xf numFmtId="0" fontId="17" fillId="0" borderId="0" xfId="0" applyFont="1" applyBorder="1" applyAlignment="1" applyProtection="1">
      <alignment horizontal="center" vertical="center"/>
    </xf>
    <xf numFmtId="0" fontId="27" fillId="0" borderId="0" xfId="0" applyFont="1" applyFill="1" applyBorder="1" applyAlignment="1" applyProtection="1">
      <alignment horizontal="center" vertical="center"/>
    </xf>
    <xf numFmtId="49" fontId="17" fillId="0" borderId="16" xfId="0" applyNumberFormat="1"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49" fontId="27" fillId="0" borderId="0" xfId="0" applyNumberFormat="1" applyFont="1" applyFill="1" applyBorder="1" applyAlignment="1" applyProtection="1">
      <alignment horizontal="center" vertical="center"/>
    </xf>
    <xf numFmtId="2" fontId="17" fillId="0" borderId="16" xfId="0" applyNumberFormat="1" applyFont="1" applyBorder="1" applyAlignment="1" applyProtection="1">
      <alignment vertical="center"/>
    </xf>
    <xf numFmtId="2" fontId="17" fillId="0" borderId="0" xfId="0" applyNumberFormat="1" applyFont="1" applyBorder="1" applyAlignment="1" applyProtection="1">
      <alignment vertical="center"/>
    </xf>
    <xf numFmtId="49" fontId="17" fillId="0" borderId="0" xfId="0" applyNumberFormat="1" applyFont="1" applyFill="1" applyBorder="1" applyAlignment="1" applyProtection="1">
      <alignment vertical="center"/>
    </xf>
    <xf numFmtId="2" fontId="27" fillId="0" borderId="16" xfId="0" applyNumberFormat="1" applyFont="1" applyFill="1" applyBorder="1" applyAlignment="1" applyProtection="1">
      <alignment vertical="center"/>
    </xf>
    <xf numFmtId="2" fontId="27" fillId="0" borderId="0" xfId="0" applyNumberFormat="1" applyFont="1" applyFill="1" applyBorder="1" applyAlignment="1" applyProtection="1">
      <alignment vertical="center"/>
    </xf>
    <xf numFmtId="0" fontId="17" fillId="0" borderId="28" xfId="0" applyFont="1" applyBorder="1" applyProtection="1">
      <alignment vertical="center"/>
    </xf>
    <xf numFmtId="0" fontId="17" fillId="0" borderId="29" xfId="0" applyFont="1" applyBorder="1" applyProtection="1">
      <alignment vertical="center"/>
    </xf>
    <xf numFmtId="0" fontId="17" fillId="0" borderId="16" xfId="0" applyNumberFormat="1" applyFont="1" applyBorder="1" applyAlignment="1" applyProtection="1">
      <alignment vertical="center"/>
    </xf>
    <xf numFmtId="0" fontId="17" fillId="0" borderId="0" xfId="0" applyNumberFormat="1" applyFont="1" applyBorder="1" applyAlignment="1" applyProtection="1">
      <alignment vertical="center"/>
    </xf>
    <xf numFmtId="0" fontId="29" fillId="0" borderId="0" xfId="0" applyNumberFormat="1" applyFont="1" applyBorder="1" applyAlignment="1" applyProtection="1">
      <alignment vertical="center"/>
    </xf>
    <xf numFmtId="0" fontId="19" fillId="0" borderId="0" xfId="0" applyNumberFormat="1" applyFont="1" applyBorder="1" applyAlignment="1" applyProtection="1">
      <alignment vertical="center"/>
    </xf>
    <xf numFmtId="0" fontId="17" fillId="0" borderId="0" xfId="0" applyNumberFormat="1" applyFont="1" applyBorder="1" applyProtection="1">
      <alignment vertical="center"/>
    </xf>
    <xf numFmtId="0" fontId="17" fillId="0" borderId="0" xfId="0" applyNumberFormat="1" applyFont="1" applyProtection="1">
      <alignment vertical="center"/>
    </xf>
    <xf numFmtId="0" fontId="17" fillId="0" borderId="15" xfId="0" applyNumberFormat="1" applyFont="1" applyBorder="1" applyProtection="1">
      <alignment vertical="center"/>
    </xf>
    <xf numFmtId="0" fontId="27" fillId="0" borderId="16" xfId="0" applyNumberFormat="1" applyFont="1" applyFill="1" applyBorder="1" applyAlignment="1" applyProtection="1">
      <alignment vertical="center"/>
    </xf>
    <xf numFmtId="0" fontId="17" fillId="0" borderId="0" xfId="0" applyNumberFormat="1" applyFont="1" applyFill="1" applyBorder="1" applyAlignment="1" applyProtection="1">
      <alignment vertical="center"/>
    </xf>
    <xf numFmtId="0" fontId="17" fillId="0" borderId="0" xfId="0" applyNumberFormat="1" applyFont="1" applyBorder="1" applyAlignment="1" applyProtection="1">
      <alignment horizontal="center" vertical="center"/>
    </xf>
    <xf numFmtId="0" fontId="27" fillId="0" borderId="30" xfId="0" applyNumberFormat="1" applyFont="1" applyFill="1" applyBorder="1" applyAlignment="1" applyProtection="1">
      <alignment horizontal="center" vertical="center"/>
    </xf>
    <xf numFmtId="0" fontId="27" fillId="0" borderId="28" xfId="0" applyNumberFormat="1" applyFont="1" applyFill="1" applyBorder="1" applyProtection="1">
      <alignment vertical="center"/>
    </xf>
    <xf numFmtId="0" fontId="17" fillId="0" borderId="28" xfId="0" applyNumberFormat="1" applyFont="1" applyFill="1" applyBorder="1" applyProtection="1">
      <alignment vertical="center"/>
    </xf>
    <xf numFmtId="0" fontId="17" fillId="0" borderId="29" xfId="0" applyNumberFormat="1" applyFont="1" applyFill="1" applyBorder="1" applyProtection="1">
      <alignment vertical="center"/>
    </xf>
    <xf numFmtId="0" fontId="17" fillId="0" borderId="14" xfId="0" applyNumberFormat="1" applyFont="1" applyBorder="1" applyAlignment="1" applyProtection="1">
      <alignment vertical="center"/>
    </xf>
    <xf numFmtId="0" fontId="17" fillId="0" borderId="4" xfId="0" applyNumberFormat="1" applyFont="1" applyBorder="1" applyAlignment="1" applyProtection="1">
      <alignment vertical="center"/>
    </xf>
    <xf numFmtId="0" fontId="17" fillId="0" borderId="4" xfId="0" applyNumberFormat="1" applyFont="1" applyBorder="1" applyProtection="1">
      <alignment vertical="center"/>
    </xf>
    <xf numFmtId="0" fontId="17" fillId="2" borderId="4" xfId="0" applyNumberFormat="1" applyFont="1" applyFill="1" applyBorder="1" applyAlignment="1" applyProtection="1">
      <alignment horizontal="center" vertical="center"/>
      <protection locked="0"/>
    </xf>
    <xf numFmtId="0" fontId="17" fillId="0" borderId="13" xfId="0" applyNumberFormat="1" applyFont="1" applyBorder="1" applyProtection="1">
      <alignment vertical="center"/>
    </xf>
    <xf numFmtId="0" fontId="27" fillId="0" borderId="0" xfId="0" applyNumberFormat="1" applyFont="1" applyFill="1" applyBorder="1" applyAlignment="1" applyProtection="1">
      <alignment vertical="center"/>
    </xf>
    <xf numFmtId="0" fontId="17" fillId="0" borderId="0" xfId="0" applyNumberFormat="1" applyFont="1" applyFill="1" applyBorder="1" applyProtection="1">
      <alignment vertical="center"/>
    </xf>
    <xf numFmtId="0" fontId="17" fillId="0" borderId="15" xfId="0" applyNumberFormat="1" applyFont="1" applyFill="1" applyBorder="1" applyProtection="1">
      <alignment vertical="center"/>
    </xf>
    <xf numFmtId="0" fontId="17" fillId="0" borderId="32" xfId="0" applyNumberFormat="1" applyFont="1" applyBorder="1" applyAlignment="1" applyProtection="1">
      <alignment vertical="center"/>
    </xf>
    <xf numFmtId="0" fontId="17" fillId="0" borderId="33" xfId="0" applyNumberFormat="1" applyFont="1" applyBorder="1" applyAlignment="1" applyProtection="1">
      <alignment vertical="center"/>
    </xf>
    <xf numFmtId="0" fontId="17" fillId="0" borderId="33" xfId="0" applyNumberFormat="1" applyFont="1" applyBorder="1" applyProtection="1">
      <alignment vertical="center"/>
    </xf>
    <xf numFmtId="0" fontId="17" fillId="2" borderId="33" xfId="0" applyNumberFormat="1" applyFont="1" applyFill="1" applyBorder="1" applyAlignment="1" applyProtection="1">
      <alignment horizontal="center" vertical="center"/>
      <protection locked="0"/>
    </xf>
    <xf numFmtId="0" fontId="21" fillId="0" borderId="33" xfId="0" applyNumberFormat="1" applyFont="1" applyBorder="1" applyAlignment="1" applyProtection="1">
      <alignment vertical="center" wrapText="1"/>
    </xf>
    <xf numFmtId="0" fontId="17" fillId="0" borderId="34" xfId="0" applyNumberFormat="1" applyFont="1" applyBorder="1" applyProtection="1">
      <alignment vertical="center"/>
    </xf>
    <xf numFmtId="0" fontId="27" fillId="0" borderId="36" xfId="0" applyNumberFormat="1" applyFont="1" applyFill="1" applyBorder="1" applyAlignment="1" applyProtection="1">
      <alignment vertical="center"/>
    </xf>
    <xf numFmtId="0" fontId="27" fillId="0" borderId="37" xfId="0" applyNumberFormat="1" applyFont="1" applyFill="1" applyBorder="1" applyAlignment="1" applyProtection="1">
      <alignment vertical="center"/>
    </xf>
    <xf numFmtId="0" fontId="27" fillId="0" borderId="37" xfId="0" applyNumberFormat="1" applyFont="1" applyFill="1" applyBorder="1" applyAlignment="1" applyProtection="1">
      <alignment horizontal="center" vertical="center"/>
    </xf>
    <xf numFmtId="0" fontId="17" fillId="0" borderId="37" xfId="0" applyNumberFormat="1" applyFont="1" applyFill="1" applyBorder="1" applyAlignment="1" applyProtection="1">
      <alignment vertical="center"/>
    </xf>
    <xf numFmtId="0" fontId="20" fillId="0" borderId="37" xfId="0" applyNumberFormat="1" applyFont="1" applyFill="1" applyBorder="1" applyAlignment="1" applyProtection="1">
      <alignment vertical="center" wrapText="1"/>
    </xf>
    <xf numFmtId="0" fontId="17" fillId="0" borderId="37" xfId="0" applyNumberFormat="1" applyFont="1" applyFill="1" applyBorder="1" applyProtection="1">
      <alignment vertical="center"/>
    </xf>
    <xf numFmtId="0" fontId="17" fillId="0" borderId="38" xfId="0" applyNumberFormat="1" applyFont="1" applyFill="1" applyBorder="1" applyProtection="1">
      <alignment vertical="center"/>
    </xf>
    <xf numFmtId="2" fontId="30" fillId="0" borderId="0" xfId="0" applyNumberFormat="1" applyFont="1" applyFill="1" applyBorder="1" applyAlignment="1" applyProtection="1">
      <alignment horizontal="center" vertical="center"/>
    </xf>
    <xf numFmtId="0" fontId="27"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wrapText="1"/>
    </xf>
    <xf numFmtId="0" fontId="20" fillId="0" borderId="0" xfId="0" applyNumberFormat="1" applyFont="1" applyBorder="1" applyAlignment="1" applyProtection="1">
      <alignment horizontal="center" vertical="center" wrapText="1"/>
    </xf>
    <xf numFmtId="0" fontId="23" fillId="0" borderId="0" xfId="0" applyNumberFormat="1" applyFont="1" applyFill="1" applyBorder="1" applyAlignment="1" applyProtection="1">
      <alignment horizontal="center" vertical="center"/>
    </xf>
    <xf numFmtId="0" fontId="23" fillId="0" borderId="17" xfId="0" applyNumberFormat="1" applyFont="1" applyFill="1" applyBorder="1" applyAlignment="1" applyProtection="1">
      <alignment horizontal="center" vertical="center"/>
    </xf>
    <xf numFmtId="0" fontId="17" fillId="0" borderId="14" xfId="0" applyNumberFormat="1" applyFont="1" applyFill="1" applyBorder="1" applyProtection="1">
      <alignment vertical="center"/>
    </xf>
    <xf numFmtId="0" fontId="27" fillId="0" borderId="4" xfId="0" applyNumberFormat="1" applyFont="1" applyFill="1" applyBorder="1" applyProtection="1">
      <alignment vertical="center"/>
    </xf>
    <xf numFmtId="0" fontId="17" fillId="0" borderId="4" xfId="0" applyNumberFormat="1" applyFont="1" applyFill="1" applyBorder="1" applyAlignment="1" applyProtection="1">
      <alignment vertical="center"/>
    </xf>
    <xf numFmtId="0" fontId="17" fillId="0" borderId="4" xfId="0" applyNumberFormat="1" applyFont="1" applyFill="1" applyBorder="1" applyProtection="1">
      <alignment vertical="center"/>
    </xf>
    <xf numFmtId="0" fontId="17" fillId="0" borderId="4" xfId="0" applyNumberFormat="1" applyFont="1" applyBorder="1" applyAlignment="1" applyProtection="1">
      <alignment horizontal="center" vertical="center"/>
    </xf>
    <xf numFmtId="0" fontId="17" fillId="0" borderId="16" xfId="0" applyNumberFormat="1" applyFont="1" applyBorder="1" applyProtection="1">
      <alignment vertical="center"/>
    </xf>
    <xf numFmtId="0" fontId="17" fillId="0" borderId="16" xfId="0" applyNumberFormat="1" applyFont="1" applyBorder="1" applyAlignment="1" applyProtection="1">
      <alignment horizontal="center" vertical="center"/>
    </xf>
    <xf numFmtId="0" fontId="27" fillId="0" borderId="21" xfId="0" applyNumberFormat="1" applyFont="1" applyFill="1" applyBorder="1" applyProtection="1">
      <alignment vertical="center"/>
    </xf>
    <xf numFmtId="0" fontId="27" fillId="0" borderId="19" xfId="0" applyNumberFormat="1" applyFont="1" applyFill="1" applyBorder="1" applyProtection="1">
      <alignment vertical="center"/>
    </xf>
    <xf numFmtId="0" fontId="17" fillId="0" borderId="19" xfId="0" applyNumberFormat="1" applyFont="1" applyFill="1" applyBorder="1" applyProtection="1">
      <alignment vertical="center"/>
    </xf>
    <xf numFmtId="0" fontId="27" fillId="0" borderId="20" xfId="0" applyNumberFormat="1" applyFont="1" applyFill="1" applyBorder="1" applyProtection="1">
      <alignment vertical="center"/>
    </xf>
    <xf numFmtId="0" fontId="17" fillId="2" borderId="1" xfId="0" applyNumberFormat="1"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protection locked="0"/>
    </xf>
    <xf numFmtId="0" fontId="17" fillId="2" borderId="19" xfId="0" applyNumberFormat="1" applyFont="1" applyFill="1" applyBorder="1" applyProtection="1">
      <alignment vertical="center"/>
      <protection locked="0"/>
    </xf>
    <xf numFmtId="0" fontId="34" fillId="2" borderId="0" xfId="0" applyNumberFormat="1" applyFont="1" applyFill="1" applyAlignment="1" applyProtection="1">
      <alignment vertical="center" shrinkToFit="1"/>
      <protection locked="0"/>
    </xf>
    <xf numFmtId="0" fontId="35" fillId="2" borderId="0" xfId="0" applyNumberFormat="1" applyFont="1" applyFill="1" applyAlignment="1" applyProtection="1">
      <alignment vertical="center" shrinkToFit="1"/>
      <protection locked="0"/>
    </xf>
    <xf numFmtId="0" fontId="0" fillId="2" borderId="0" xfId="0" applyFill="1" applyAlignment="1" applyProtection="1">
      <alignment vertical="center"/>
      <protection locked="0"/>
    </xf>
    <xf numFmtId="0" fontId="35" fillId="2" borderId="0" xfId="0" applyNumberFormat="1" applyFont="1" applyFill="1" applyBorder="1" applyAlignment="1" applyProtection="1">
      <alignment vertical="center" shrinkToFit="1"/>
      <protection locked="0"/>
    </xf>
    <xf numFmtId="2" fontId="35" fillId="2" borderId="0" xfId="0" applyNumberFormat="1" applyFont="1" applyFill="1" applyAlignment="1" applyProtection="1">
      <alignment vertical="center" shrinkToFit="1"/>
      <protection locked="0"/>
    </xf>
    <xf numFmtId="0" fontId="19" fillId="2" borderId="0" xfId="0" applyFont="1" applyFill="1" applyProtection="1">
      <alignment vertical="center"/>
      <protection locked="0"/>
    </xf>
    <xf numFmtId="0" fontId="17" fillId="0" borderId="14" xfId="0" applyFont="1" applyBorder="1" applyAlignment="1" applyProtection="1">
      <alignment vertical="center"/>
    </xf>
    <xf numFmtId="0" fontId="17" fillId="0" borderId="14" xfId="0" applyFont="1" applyBorder="1" applyProtection="1">
      <alignment vertical="center"/>
    </xf>
    <xf numFmtId="2" fontId="28" fillId="0" borderId="4" xfId="0" applyNumberFormat="1" applyFont="1" applyBorder="1" applyAlignment="1" applyProtection="1">
      <alignment vertical="center"/>
    </xf>
    <xf numFmtId="2" fontId="22" fillId="0" borderId="4" xfId="0" applyNumberFormat="1" applyFont="1" applyBorder="1" applyAlignment="1" applyProtection="1">
      <alignment vertical="center"/>
    </xf>
    <xf numFmtId="1" fontId="17" fillId="0" borderId="4" xfId="0" applyNumberFormat="1" applyFont="1" applyBorder="1" applyProtection="1">
      <alignment vertical="center"/>
    </xf>
    <xf numFmtId="49" fontId="17" fillId="0" borderId="4" xfId="0" applyNumberFormat="1" applyFont="1" applyFill="1" applyBorder="1" applyAlignment="1" applyProtection="1">
      <alignment vertical="center"/>
    </xf>
    <xf numFmtId="0" fontId="48" fillId="2" borderId="0" xfId="0" applyFont="1" applyFill="1" applyAlignment="1" applyProtection="1">
      <alignment horizontal="right" vertical="center"/>
      <protection locked="0"/>
    </xf>
    <xf numFmtId="0" fontId="19" fillId="2" borderId="4" xfId="0" applyFont="1" applyFill="1" applyBorder="1" applyAlignment="1" applyProtection="1">
      <alignment vertical="center"/>
      <protection locked="0"/>
    </xf>
    <xf numFmtId="0" fontId="19" fillId="2" borderId="43" xfId="0" applyFont="1" applyFill="1" applyBorder="1" applyAlignment="1" applyProtection="1">
      <alignment vertical="center"/>
      <protection locked="0"/>
    </xf>
    <xf numFmtId="0" fontId="19" fillId="2" borderId="0" xfId="0" applyFont="1" applyFill="1" applyBorder="1" applyAlignment="1" applyProtection="1">
      <alignment vertical="center"/>
      <protection locked="0"/>
    </xf>
    <xf numFmtId="0" fontId="19" fillId="2" borderId="45" xfId="0" applyFont="1" applyFill="1" applyBorder="1" applyAlignment="1" applyProtection="1">
      <alignment vertical="center"/>
      <protection locked="0"/>
    </xf>
    <xf numFmtId="0" fontId="19" fillId="2" borderId="0" xfId="0" applyFont="1" applyFill="1" applyBorder="1" applyProtection="1">
      <alignment vertical="center"/>
      <protection locked="0"/>
    </xf>
    <xf numFmtId="0" fontId="19" fillId="2" borderId="45" xfId="0" applyFont="1" applyFill="1" applyBorder="1" applyProtection="1">
      <alignment vertical="center"/>
      <protection locked="0"/>
    </xf>
    <xf numFmtId="0" fontId="19" fillId="2" borderId="28" xfId="0" applyFont="1" applyFill="1" applyBorder="1" applyProtection="1">
      <alignment vertical="center"/>
      <protection locked="0"/>
    </xf>
    <xf numFmtId="0" fontId="19" fillId="2" borderId="44" xfId="0" applyFont="1" applyFill="1" applyBorder="1" applyProtection="1">
      <alignment vertical="center"/>
      <protection locked="0"/>
    </xf>
    <xf numFmtId="0" fontId="20" fillId="0" borderId="0" xfId="0" applyNumberFormat="1" applyFont="1" applyFill="1" applyBorder="1" applyAlignment="1" applyProtection="1">
      <alignment horizontal="center" vertical="center" wrapText="1"/>
    </xf>
    <xf numFmtId="0" fontId="27" fillId="2" borderId="0" xfId="0" applyFont="1" applyFill="1" applyBorder="1" applyAlignment="1" applyProtection="1">
      <alignment vertical="center"/>
      <protection locked="0"/>
    </xf>
    <xf numFmtId="0" fontId="27" fillId="3" borderId="0" xfId="0" applyFont="1" applyFill="1" applyBorder="1" applyAlignment="1" applyProtection="1">
      <alignment vertical="center"/>
      <protection locked="0"/>
    </xf>
    <xf numFmtId="0" fontId="50" fillId="2" borderId="14" xfId="0" applyNumberFormat="1" applyFont="1" applyFill="1" applyBorder="1" applyAlignment="1" applyProtection="1">
      <alignment vertical="center"/>
      <protection locked="0"/>
    </xf>
    <xf numFmtId="0" fontId="50" fillId="2" borderId="16" xfId="0" applyNumberFormat="1" applyFont="1" applyFill="1" applyBorder="1" applyAlignment="1" applyProtection="1">
      <alignment vertical="center"/>
      <protection locked="0"/>
    </xf>
    <xf numFmtId="0" fontId="50" fillId="2" borderId="16" xfId="0" applyNumberFormat="1" applyFont="1" applyFill="1" applyBorder="1" applyProtection="1">
      <alignment vertical="center"/>
      <protection locked="0"/>
    </xf>
    <xf numFmtId="2" fontId="27" fillId="2" borderId="28" xfId="0" applyNumberFormat="1" applyFont="1" applyFill="1" applyBorder="1" applyAlignment="1" applyProtection="1">
      <alignment vertical="center"/>
      <protection locked="0"/>
    </xf>
    <xf numFmtId="49" fontId="27" fillId="2" borderId="28" xfId="0" applyNumberFormat="1" applyFont="1" applyFill="1" applyBorder="1" applyAlignment="1" applyProtection="1">
      <alignment vertical="center"/>
      <protection locked="0"/>
    </xf>
    <xf numFmtId="0" fontId="17" fillId="2" borderId="28" xfId="0" applyFont="1" applyFill="1" applyBorder="1" applyProtection="1">
      <alignment vertical="center"/>
      <protection locked="0"/>
    </xf>
    <xf numFmtId="0" fontId="27" fillId="2" borderId="0" xfId="0" applyNumberFormat="1" applyFont="1" applyFill="1" applyBorder="1" applyAlignment="1" applyProtection="1">
      <alignment vertical="center"/>
      <protection locked="0"/>
    </xf>
    <xf numFmtId="0" fontId="17" fillId="2" borderId="0" xfId="0" applyNumberFormat="1" applyFont="1" applyFill="1" applyBorder="1" applyProtection="1">
      <alignment vertical="center"/>
      <protection locked="0"/>
    </xf>
    <xf numFmtId="0" fontId="17" fillId="2" borderId="0" xfId="0" applyNumberFormat="1" applyFont="1" applyFill="1" applyProtection="1">
      <alignment vertical="center"/>
      <protection locked="0"/>
    </xf>
    <xf numFmtId="0" fontId="16" fillId="0" borderId="0" xfId="0" applyFont="1" applyBorder="1" applyAlignment="1" applyProtection="1">
      <alignment vertical="center"/>
    </xf>
    <xf numFmtId="0" fontId="18" fillId="0" borderId="0" xfId="0" applyFont="1" applyBorder="1" applyAlignment="1" applyProtection="1">
      <alignment vertical="center"/>
    </xf>
    <xf numFmtId="0" fontId="17" fillId="0" borderId="0" xfId="0" applyFont="1" applyProtection="1">
      <alignment vertical="center"/>
    </xf>
    <xf numFmtId="0" fontId="19" fillId="0" borderId="0" xfId="0" applyFont="1" applyFill="1" applyBorder="1" applyProtection="1">
      <alignment vertical="center"/>
    </xf>
    <xf numFmtId="0" fontId="19" fillId="0" borderId="0" xfId="0" applyFont="1" applyProtection="1">
      <alignment vertical="center"/>
    </xf>
    <xf numFmtId="0" fontId="19" fillId="0" borderId="0" xfId="0" applyFont="1" applyBorder="1" applyProtection="1">
      <alignment vertical="center"/>
    </xf>
    <xf numFmtId="0" fontId="17" fillId="0" borderId="16" xfId="0" applyFont="1" applyBorder="1" applyProtection="1">
      <alignment vertical="center"/>
    </xf>
    <xf numFmtId="0" fontId="18" fillId="0" borderId="15" xfId="0" applyFont="1" applyBorder="1" applyAlignment="1" applyProtection="1">
      <alignment vertical="center"/>
    </xf>
    <xf numFmtId="0" fontId="18" fillId="0" borderId="17" xfId="0" applyFont="1" applyBorder="1" applyAlignment="1" applyProtection="1">
      <alignment vertical="center"/>
    </xf>
    <xf numFmtId="0" fontId="20" fillId="0" borderId="11" xfId="0" applyFont="1" applyFill="1" applyBorder="1" applyAlignment="1" applyProtection="1">
      <alignment vertical="center"/>
    </xf>
    <xf numFmtId="0" fontId="20" fillId="0" borderId="0" xfId="0" applyFont="1" applyFill="1" applyBorder="1" applyAlignment="1" applyProtection="1">
      <alignment vertical="center"/>
    </xf>
    <xf numFmtId="0" fontId="17" fillId="0" borderId="21" xfId="0" applyFont="1" applyBorder="1" applyProtection="1">
      <alignment vertical="center"/>
    </xf>
    <xf numFmtId="0" fontId="17" fillId="0" borderId="19" xfId="0" applyFont="1" applyBorder="1" applyProtection="1">
      <alignment vertical="center"/>
    </xf>
    <xf numFmtId="0" fontId="18" fillId="0" borderId="20" xfId="0" applyFont="1" applyBorder="1" applyAlignment="1" applyProtection="1">
      <alignment vertical="center"/>
    </xf>
    <xf numFmtId="0" fontId="18" fillId="0" borderId="24" xfId="0" applyFont="1" applyBorder="1" applyAlignment="1" applyProtection="1">
      <alignment vertical="center"/>
    </xf>
    <xf numFmtId="0" fontId="22" fillId="0" borderId="0" xfId="0" applyFont="1" applyBorder="1" applyAlignment="1" applyProtection="1">
      <alignment vertical="center"/>
    </xf>
    <xf numFmtId="0" fontId="23" fillId="0" borderId="0" xfId="0" applyFont="1" applyBorder="1" applyAlignment="1" applyProtection="1">
      <alignment vertical="center"/>
    </xf>
    <xf numFmtId="0" fontId="20" fillId="0" borderId="0" xfId="0" applyFont="1" applyFill="1" applyProtection="1">
      <alignment vertical="center"/>
    </xf>
    <xf numFmtId="0" fontId="24" fillId="0" borderId="0" xfId="0" applyFont="1" applyProtection="1">
      <alignment vertical="center"/>
    </xf>
    <xf numFmtId="0" fontId="19" fillId="0" borderId="0" xfId="0" applyFont="1" applyFill="1" applyProtection="1">
      <alignment vertical="center"/>
    </xf>
    <xf numFmtId="0" fontId="17" fillId="0" borderId="0" xfId="0" applyFont="1" applyFill="1" applyProtection="1">
      <alignment vertical="center"/>
    </xf>
    <xf numFmtId="0" fontId="19" fillId="0" borderId="0" xfId="0" applyFont="1" applyFill="1" applyBorder="1" applyAlignment="1" applyProtection="1">
      <alignment vertical="center"/>
    </xf>
    <xf numFmtId="0" fontId="19" fillId="0" borderId="0" xfId="0" applyFont="1" applyBorder="1" applyAlignment="1" applyProtection="1">
      <alignment vertical="center"/>
    </xf>
    <xf numFmtId="0" fontId="19" fillId="0" borderId="0" xfId="0" applyFont="1" applyFill="1" applyBorder="1" applyAlignment="1" applyProtection="1">
      <alignment horizontal="center" vertical="center"/>
    </xf>
    <xf numFmtId="0" fontId="19" fillId="0" borderId="0" xfId="0" applyFont="1" applyAlignment="1" applyProtection="1">
      <alignment horizontal="center" vertical="center"/>
    </xf>
    <xf numFmtId="0" fontId="26" fillId="0" borderId="0" xfId="0" applyFont="1" applyFill="1" applyBorder="1" applyAlignment="1" applyProtection="1">
      <alignment vertical="center"/>
    </xf>
    <xf numFmtId="0" fontId="19" fillId="0" borderId="0" xfId="0" applyFont="1" applyFill="1" applyAlignment="1" applyProtection="1">
      <alignment horizontal="center" vertical="center"/>
    </xf>
    <xf numFmtId="180" fontId="26" fillId="0" borderId="0" xfId="0" applyNumberFormat="1" applyFont="1" applyFill="1" applyBorder="1" applyAlignment="1" applyProtection="1">
      <alignment vertical="center"/>
    </xf>
    <xf numFmtId="0" fontId="26" fillId="0" borderId="0" xfId="0" applyFont="1" applyFill="1" applyBorder="1" applyProtection="1">
      <alignment vertical="center"/>
    </xf>
    <xf numFmtId="0" fontId="17" fillId="0" borderId="40" xfId="0" applyNumberFormat="1" applyFont="1" applyBorder="1" applyAlignment="1" applyProtection="1">
      <alignment vertical="center"/>
    </xf>
    <xf numFmtId="0" fontId="17" fillId="0" borderId="41" xfId="0" applyNumberFormat="1" applyFont="1" applyBorder="1" applyAlignment="1" applyProtection="1">
      <alignment vertical="center"/>
    </xf>
    <xf numFmtId="0" fontId="17" fillId="0" borderId="42" xfId="0" applyNumberFormat="1" applyFont="1" applyBorder="1" applyAlignment="1" applyProtection="1">
      <alignment vertical="center"/>
    </xf>
    <xf numFmtId="0" fontId="31" fillId="0" borderId="0" xfId="0" applyNumberFormat="1" applyFont="1" applyBorder="1" applyAlignment="1" applyProtection="1">
      <alignment vertical="center"/>
    </xf>
    <xf numFmtId="0" fontId="21" fillId="0" borderId="0" xfId="0" applyNumberFormat="1" applyFont="1" applyProtection="1">
      <alignment vertical="center"/>
    </xf>
    <xf numFmtId="0" fontId="20" fillId="0" borderId="0" xfId="0" applyNumberFormat="1" applyFont="1" applyProtection="1">
      <alignment vertical="center"/>
    </xf>
    <xf numFmtId="0" fontId="27" fillId="0" borderId="0" xfId="0" applyNumberFormat="1" applyFont="1" applyFill="1" applyProtection="1">
      <alignment vertical="center"/>
    </xf>
    <xf numFmtId="0" fontId="27" fillId="0" borderId="0" xfId="0" applyNumberFormat="1" applyFont="1" applyAlignment="1" applyProtection="1">
      <alignment vertical="center"/>
    </xf>
    <xf numFmtId="0" fontId="27" fillId="0" borderId="0" xfId="0" applyNumberFormat="1" applyFont="1" applyProtection="1">
      <alignment vertical="center"/>
    </xf>
    <xf numFmtId="0" fontId="27" fillId="0" borderId="0" xfId="0" applyNumberFormat="1" applyFont="1" applyAlignment="1" applyProtection="1">
      <alignment horizontal="center" vertical="center"/>
    </xf>
    <xf numFmtId="0" fontId="18" fillId="0" borderId="0" xfId="0" applyNumberFormat="1" applyFont="1" applyProtection="1">
      <alignment vertical="center"/>
    </xf>
    <xf numFmtId="0" fontId="18" fillId="0" borderId="14" xfId="0" applyNumberFormat="1" applyFont="1" applyBorder="1" applyProtection="1">
      <alignment vertical="center"/>
    </xf>
    <xf numFmtId="0" fontId="17" fillId="0" borderId="16" xfId="0" applyNumberFormat="1" applyFont="1" applyFill="1" applyBorder="1" applyAlignment="1" applyProtection="1">
      <alignment vertical="center"/>
    </xf>
    <xf numFmtId="0" fontId="23" fillId="0" borderId="0" xfId="0" applyNumberFormat="1" applyFont="1" applyFill="1" applyBorder="1" applyAlignment="1" applyProtection="1">
      <alignment vertical="center"/>
    </xf>
    <xf numFmtId="0" fontId="17" fillId="0" borderId="15" xfId="0" applyNumberFormat="1" applyFont="1" applyBorder="1" applyAlignment="1" applyProtection="1">
      <alignment vertical="center"/>
    </xf>
    <xf numFmtId="0" fontId="20" fillId="0" borderId="16" xfId="0" applyNumberFormat="1" applyFont="1" applyBorder="1" applyAlignment="1" applyProtection="1">
      <alignment vertical="center" wrapText="1"/>
    </xf>
    <xf numFmtId="0" fontId="20" fillId="0" borderId="0" xfId="0" applyNumberFormat="1" applyFont="1" applyBorder="1" applyAlignment="1" applyProtection="1">
      <alignment vertical="center" wrapText="1"/>
    </xf>
    <xf numFmtId="0" fontId="20" fillId="0" borderId="15" xfId="0" applyNumberFormat="1" applyFont="1" applyBorder="1" applyAlignment="1" applyProtection="1">
      <alignment vertical="center" wrapText="1"/>
    </xf>
    <xf numFmtId="0" fontId="23" fillId="0" borderId="16" xfId="0" applyNumberFormat="1" applyFont="1" applyFill="1" applyBorder="1" applyAlignment="1" applyProtection="1">
      <alignment vertical="center"/>
    </xf>
    <xf numFmtId="0" fontId="23" fillId="0" borderId="15" xfId="0" applyNumberFormat="1" applyFont="1" applyFill="1" applyBorder="1" applyAlignment="1" applyProtection="1">
      <alignment vertical="center"/>
    </xf>
    <xf numFmtId="0" fontId="20" fillId="0" borderId="0" xfId="0" applyNumberFormat="1" applyFont="1" applyBorder="1" applyProtection="1">
      <alignment vertical="center"/>
    </xf>
    <xf numFmtId="0" fontId="17" fillId="0" borderId="0" xfId="0" applyNumberFormat="1" applyFont="1" applyFill="1" applyBorder="1" applyAlignment="1" applyProtection="1">
      <alignment horizontal="center" vertical="center" shrinkToFit="1"/>
    </xf>
    <xf numFmtId="0" fontId="17" fillId="0" borderId="15" xfId="0" applyNumberFormat="1" applyFont="1" applyFill="1" applyBorder="1" applyAlignment="1" applyProtection="1">
      <alignment horizontal="center" vertical="center" shrinkToFit="1"/>
    </xf>
    <xf numFmtId="0" fontId="17" fillId="0" borderId="30" xfId="0" applyNumberFormat="1" applyFont="1" applyFill="1" applyBorder="1" applyAlignment="1" applyProtection="1">
      <alignment vertical="center"/>
    </xf>
    <xf numFmtId="0" fontId="23" fillId="0" borderId="28" xfId="0" applyNumberFormat="1" applyFont="1" applyFill="1" applyBorder="1" applyAlignment="1" applyProtection="1">
      <alignment vertical="center"/>
    </xf>
    <xf numFmtId="0" fontId="23" fillId="0" borderId="29" xfId="0" applyNumberFormat="1" applyFont="1" applyBorder="1" applyAlignment="1" applyProtection="1">
      <alignment vertical="center"/>
    </xf>
    <xf numFmtId="0" fontId="17" fillId="0" borderId="28" xfId="0" applyNumberFormat="1" applyFont="1" applyBorder="1" applyProtection="1">
      <alignment vertical="center"/>
    </xf>
    <xf numFmtId="0" fontId="23" fillId="0" borderId="0" xfId="0" applyNumberFormat="1" applyFont="1" applyBorder="1" applyAlignment="1" applyProtection="1">
      <alignment vertical="center"/>
    </xf>
    <xf numFmtId="0" fontId="17" fillId="0" borderId="14" xfId="0" applyNumberFormat="1" applyFont="1" applyBorder="1" applyProtection="1">
      <alignment vertical="center"/>
    </xf>
    <xf numFmtId="0" fontId="17" fillId="0" borderId="13" xfId="0" applyNumberFormat="1" applyFont="1" applyBorder="1" applyAlignment="1" applyProtection="1">
      <alignment vertical="center"/>
    </xf>
    <xf numFmtId="0" fontId="31" fillId="0" borderId="15" xfId="0" applyNumberFormat="1" applyFont="1" applyBorder="1" applyAlignment="1" applyProtection="1">
      <alignment vertical="center"/>
    </xf>
    <xf numFmtId="1" fontId="33" fillId="0" borderId="0" xfId="0" applyNumberFormat="1" applyFont="1" applyAlignment="1" applyProtection="1">
      <alignment vertical="center" shrinkToFit="1"/>
    </xf>
    <xf numFmtId="0" fontId="27" fillId="0" borderId="0" xfId="0" applyFont="1" applyBorder="1" applyProtection="1">
      <alignment vertical="center"/>
    </xf>
    <xf numFmtId="181" fontId="19" fillId="0" borderId="0" xfId="0" applyNumberFormat="1" applyFont="1" applyBorder="1" applyProtection="1">
      <alignment vertical="center"/>
    </xf>
    <xf numFmtId="2" fontId="35" fillId="0" borderId="0" xfId="0" applyNumberFormat="1" applyFont="1" applyAlignment="1" applyProtection="1">
      <alignment vertical="center" shrinkToFit="1"/>
    </xf>
    <xf numFmtId="0" fontId="19" fillId="0" borderId="16" xfId="0" applyNumberFormat="1" applyFont="1" applyFill="1" applyBorder="1" applyAlignment="1" applyProtection="1">
      <alignment vertical="center"/>
    </xf>
    <xf numFmtId="0" fontId="36" fillId="0" borderId="0" xfId="0" applyNumberFormat="1" applyFont="1" applyFill="1" applyBorder="1" applyProtection="1">
      <alignment vertical="center"/>
    </xf>
    <xf numFmtId="0" fontId="28" fillId="0" borderId="0" xfId="0" applyNumberFormat="1" applyFont="1" applyFill="1" applyBorder="1" applyAlignment="1" applyProtection="1">
      <alignment vertical="center"/>
    </xf>
    <xf numFmtId="0" fontId="23" fillId="0" borderId="0" xfId="0" applyNumberFormat="1" applyFont="1" applyFill="1" applyBorder="1" applyAlignment="1" applyProtection="1">
      <alignment vertical="center" shrinkToFit="1"/>
    </xf>
    <xf numFmtId="0" fontId="28" fillId="0" borderId="16" xfId="0" applyNumberFormat="1" applyFont="1" applyFill="1" applyBorder="1" applyAlignment="1" applyProtection="1">
      <alignment vertical="center"/>
    </xf>
    <xf numFmtId="0" fontId="19" fillId="0" borderId="0" xfId="0" applyNumberFormat="1" applyFont="1" applyFill="1" applyBorder="1" applyAlignment="1" applyProtection="1">
      <alignment vertical="center" shrinkToFit="1"/>
    </xf>
    <xf numFmtId="0" fontId="20" fillId="0" borderId="28" xfId="0" applyNumberFormat="1" applyFont="1" applyBorder="1" applyAlignment="1" applyProtection="1">
      <alignment vertical="center" wrapText="1"/>
    </xf>
    <xf numFmtId="0" fontId="28" fillId="0" borderId="16" xfId="0" applyNumberFormat="1" applyFont="1" applyFill="1" applyBorder="1" applyAlignment="1" applyProtection="1">
      <alignment horizontal="center" vertical="center"/>
    </xf>
    <xf numFmtId="0" fontId="28" fillId="0" borderId="0" xfId="0" applyNumberFormat="1" applyFont="1" applyFill="1" applyBorder="1" applyAlignment="1" applyProtection="1">
      <alignment horizontal="left" vertical="center" shrinkToFit="1"/>
    </xf>
    <xf numFmtId="0" fontId="17" fillId="4" borderId="40" xfId="0" applyNumberFormat="1" applyFont="1" applyFill="1" applyBorder="1" applyAlignment="1" applyProtection="1">
      <alignment vertical="center"/>
    </xf>
    <xf numFmtId="0" fontId="17" fillId="0" borderId="41" xfId="0" applyNumberFormat="1" applyFont="1" applyBorder="1" applyProtection="1">
      <alignment vertical="center"/>
    </xf>
    <xf numFmtId="0" fontId="17" fillId="4" borderId="41" xfId="0" applyNumberFormat="1" applyFont="1" applyFill="1" applyBorder="1" applyAlignment="1" applyProtection="1">
      <alignment vertical="center"/>
    </xf>
    <xf numFmtId="0" fontId="37" fillId="0" borderId="42" xfId="0" applyNumberFormat="1" applyFont="1" applyFill="1" applyBorder="1" applyAlignment="1" applyProtection="1">
      <alignment vertical="center" wrapText="1"/>
    </xf>
    <xf numFmtId="0" fontId="17" fillId="4" borderId="14" xfId="0" applyNumberFormat="1" applyFont="1" applyFill="1" applyBorder="1" applyAlignment="1" applyProtection="1">
      <alignment vertical="center"/>
    </xf>
    <xf numFmtId="0" fontId="17" fillId="0" borderId="4" xfId="0" applyNumberFormat="1" applyFont="1" applyFill="1" applyBorder="1" applyAlignment="1" applyProtection="1">
      <alignment vertical="center" wrapText="1"/>
    </xf>
    <xf numFmtId="0" fontId="17" fillId="0" borderId="13" xfId="0" applyNumberFormat="1" applyFont="1" applyFill="1" applyBorder="1" applyAlignment="1" applyProtection="1">
      <alignment vertical="center"/>
    </xf>
    <xf numFmtId="0" fontId="17" fillId="0" borderId="30" xfId="0" applyNumberFormat="1" applyFont="1" applyBorder="1" applyProtection="1">
      <alignment vertical="center"/>
    </xf>
    <xf numFmtId="2" fontId="17" fillId="0" borderId="28" xfId="0" applyNumberFormat="1" applyFont="1" applyFill="1" applyBorder="1" applyAlignment="1" applyProtection="1">
      <alignment vertical="center" shrinkToFit="1"/>
    </xf>
    <xf numFmtId="2" fontId="17" fillId="0" borderId="29" xfId="0" applyNumberFormat="1" applyFont="1" applyFill="1" applyBorder="1" applyAlignment="1" applyProtection="1">
      <alignment vertical="center" shrinkToFit="1"/>
    </xf>
    <xf numFmtId="0" fontId="38" fillId="0" borderId="16" xfId="0" applyNumberFormat="1" applyFont="1" applyBorder="1" applyAlignment="1" applyProtection="1">
      <alignment vertical="center"/>
    </xf>
    <xf numFmtId="0" fontId="38" fillId="0" borderId="0" xfId="0" applyNumberFormat="1" applyFont="1" applyBorder="1" applyAlignment="1" applyProtection="1">
      <alignment vertical="center"/>
    </xf>
    <xf numFmtId="0" fontId="38" fillId="0" borderId="15" xfId="0" applyNumberFormat="1" applyFont="1" applyBorder="1" applyAlignment="1" applyProtection="1">
      <alignment vertical="center"/>
    </xf>
    <xf numFmtId="0" fontId="39" fillId="0" borderId="0" xfId="0" applyNumberFormat="1" applyFont="1" applyBorder="1" applyAlignment="1" applyProtection="1">
      <alignment vertical="center"/>
    </xf>
    <xf numFmtId="0" fontId="17" fillId="0" borderId="40" xfId="0" applyNumberFormat="1" applyFont="1" applyBorder="1" applyProtection="1">
      <alignment vertical="center"/>
    </xf>
    <xf numFmtId="0" fontId="17" fillId="0" borderId="42" xfId="0" applyNumberFormat="1" applyFont="1" applyBorder="1" applyProtection="1">
      <alignment vertical="center"/>
    </xf>
    <xf numFmtId="0" fontId="17" fillId="0" borderId="0" xfId="0" applyNumberFormat="1" applyFont="1" applyBorder="1" applyAlignment="1" applyProtection="1">
      <alignment horizontal="right" vertical="center"/>
    </xf>
    <xf numFmtId="0" fontId="17" fillId="0" borderId="29" xfId="0" applyNumberFormat="1" applyFont="1" applyBorder="1" applyProtection="1">
      <alignment vertical="center"/>
    </xf>
    <xf numFmtId="0" fontId="17" fillId="0" borderId="28" xfId="0" applyNumberFormat="1" applyFont="1" applyBorder="1" applyAlignment="1" applyProtection="1">
      <alignment horizontal="center" vertical="center"/>
    </xf>
    <xf numFmtId="2" fontId="17" fillId="0" borderId="28" xfId="0" applyNumberFormat="1" applyFont="1" applyBorder="1" applyAlignment="1" applyProtection="1">
      <alignment vertical="center" shrinkToFit="1"/>
    </xf>
    <xf numFmtId="2" fontId="17" fillId="0" borderId="29" xfId="0" applyNumberFormat="1" applyFont="1" applyBorder="1" applyAlignment="1" applyProtection="1">
      <alignment vertical="center" shrinkToFit="1"/>
    </xf>
    <xf numFmtId="0" fontId="23" fillId="0" borderId="4" xfId="0" applyNumberFormat="1" applyFont="1" applyFill="1" applyBorder="1" applyAlignment="1" applyProtection="1">
      <alignment vertical="center"/>
    </xf>
    <xf numFmtId="0" fontId="38" fillId="0" borderId="14" xfId="0" applyNumberFormat="1" applyFont="1" applyBorder="1" applyAlignment="1" applyProtection="1">
      <alignment vertical="center" wrapText="1"/>
    </xf>
    <xf numFmtId="0" fontId="0" fillId="0" borderId="4" xfId="0" applyBorder="1" applyAlignment="1" applyProtection="1">
      <alignment vertical="center"/>
    </xf>
    <xf numFmtId="0" fontId="0" fillId="0" borderId="13" xfId="0" applyBorder="1" applyAlignment="1" applyProtection="1">
      <alignment vertical="center"/>
    </xf>
    <xf numFmtId="0" fontId="0" fillId="0" borderId="16" xfId="0" applyBorder="1" applyAlignment="1" applyProtection="1">
      <alignment vertical="center"/>
    </xf>
    <xf numFmtId="0" fontId="0" fillId="0" borderId="0" xfId="0" applyAlignment="1" applyProtection="1">
      <alignment vertical="center"/>
    </xf>
    <xf numFmtId="0" fontId="0" fillId="0" borderId="15" xfId="0" applyBorder="1" applyAlignment="1" applyProtection="1">
      <alignment vertical="center"/>
    </xf>
    <xf numFmtId="0" fontId="20" fillId="0" borderId="30" xfId="0" applyNumberFormat="1" applyFont="1" applyBorder="1" applyAlignment="1" applyProtection="1">
      <alignment vertical="center" wrapText="1"/>
    </xf>
    <xf numFmtId="0" fontId="17" fillId="0" borderId="28" xfId="0" applyNumberFormat="1" applyFont="1" applyBorder="1" applyAlignment="1" applyProtection="1">
      <alignment horizontal="right" vertical="center"/>
    </xf>
    <xf numFmtId="0" fontId="20" fillId="0" borderId="29" xfId="0" applyNumberFormat="1" applyFont="1" applyBorder="1" applyAlignment="1" applyProtection="1">
      <alignment vertical="center" wrapText="1"/>
    </xf>
    <xf numFmtId="0" fontId="23" fillId="0" borderId="4" xfId="0" applyNumberFormat="1" applyFont="1" applyFill="1" applyBorder="1" applyAlignment="1" applyProtection="1">
      <alignment vertical="center" shrinkToFit="1"/>
    </xf>
    <xf numFmtId="0" fontId="37" fillId="0" borderId="0" xfId="0" applyNumberFormat="1" applyFont="1" applyFill="1" applyBorder="1" applyAlignment="1" applyProtection="1">
      <alignment vertical="center" wrapText="1"/>
    </xf>
    <xf numFmtId="0" fontId="41" fillId="0" borderId="0" xfId="0" applyNumberFormat="1" applyFont="1" applyAlignment="1" applyProtection="1">
      <alignment vertical="center"/>
    </xf>
    <xf numFmtId="0" fontId="39" fillId="0" borderId="0" xfId="0" applyFont="1" applyFill="1" applyBorder="1" applyAlignment="1" applyProtection="1">
      <alignment vertical="center"/>
    </xf>
    <xf numFmtId="0" fontId="27" fillId="0" borderId="0" xfId="0" applyFont="1" applyProtection="1">
      <alignment vertical="center"/>
    </xf>
    <xf numFmtId="0" fontId="21" fillId="0" borderId="0" xfId="0" applyFont="1" applyProtection="1">
      <alignment vertical="center"/>
    </xf>
    <xf numFmtId="1" fontId="21" fillId="0" borderId="0" xfId="0" applyNumberFormat="1" applyFont="1" applyProtection="1">
      <alignment vertical="center"/>
    </xf>
    <xf numFmtId="0" fontId="21" fillId="0" borderId="0" xfId="0" applyFont="1" applyAlignment="1" applyProtection="1">
      <alignment horizontal="right" vertical="center"/>
    </xf>
    <xf numFmtId="0" fontId="21" fillId="0" borderId="0" xfId="0" applyFont="1" applyAlignment="1" applyProtection="1">
      <alignment horizontal="center" vertical="center"/>
    </xf>
    <xf numFmtId="0" fontId="21" fillId="0" borderId="0" xfId="0" applyNumberFormat="1" applyFont="1" applyBorder="1" applyProtection="1">
      <alignment vertical="center"/>
    </xf>
    <xf numFmtId="2" fontId="21" fillId="0" borderId="0" xfId="0" applyNumberFormat="1" applyFont="1" applyAlignment="1" applyProtection="1">
      <alignment horizontal="center" vertical="center"/>
    </xf>
    <xf numFmtId="1" fontId="21" fillId="0" borderId="0" xfId="0" applyNumberFormat="1" applyFont="1" applyAlignment="1" applyProtection="1">
      <alignment horizontal="right" vertical="center"/>
    </xf>
    <xf numFmtId="0" fontId="21" fillId="0" borderId="0" xfId="0" applyFont="1" applyFill="1" applyProtection="1">
      <alignment vertical="center"/>
    </xf>
    <xf numFmtId="0" fontId="30" fillId="0" borderId="0" xfId="0" applyFont="1" applyFill="1" applyProtection="1">
      <alignment vertical="center"/>
    </xf>
    <xf numFmtId="181" fontId="21" fillId="0" borderId="0" xfId="0" applyNumberFormat="1" applyFont="1" applyFill="1" applyAlignment="1" applyProtection="1">
      <alignment vertical="center"/>
    </xf>
    <xf numFmtId="0" fontId="43" fillId="0" borderId="0" xfId="0" applyFont="1" applyFill="1" applyBorder="1" applyAlignment="1" applyProtection="1">
      <alignment vertical="center"/>
    </xf>
    <xf numFmtId="0" fontId="21" fillId="0" borderId="0" xfId="0" applyFont="1" applyFill="1" applyBorder="1" applyProtection="1">
      <alignment vertical="center"/>
    </xf>
    <xf numFmtId="0" fontId="21" fillId="0" borderId="0" xfId="0" applyFont="1" applyFill="1" applyAlignment="1" applyProtection="1">
      <alignment horizontal="center" vertical="center"/>
    </xf>
    <xf numFmtId="0" fontId="17" fillId="0" borderId="7" xfId="0" applyFont="1" applyBorder="1" applyProtection="1">
      <alignment vertical="center"/>
    </xf>
    <xf numFmtId="0" fontId="18" fillId="0" borderId="22" xfId="0" applyFont="1" applyBorder="1" applyAlignment="1" applyProtection="1">
      <alignment vertical="center"/>
    </xf>
    <xf numFmtId="2" fontId="19" fillId="0" borderId="0" xfId="0" applyNumberFormat="1" applyFont="1" applyAlignment="1" applyProtection="1">
      <alignment vertical="center"/>
    </xf>
    <xf numFmtId="180" fontId="25" fillId="0" borderId="0" xfId="0" applyNumberFormat="1" applyFont="1" applyFill="1" applyProtection="1">
      <alignment vertical="center"/>
    </xf>
    <xf numFmtId="0" fontId="25" fillId="0" borderId="0" xfId="0" applyFont="1" applyFill="1" applyProtection="1">
      <alignment vertical="center"/>
    </xf>
    <xf numFmtId="0" fontId="48" fillId="0" borderId="0" xfId="0" applyFont="1" applyBorder="1" applyAlignment="1" applyProtection="1">
      <alignment vertical="center"/>
    </xf>
    <xf numFmtId="0" fontId="27" fillId="0" borderId="0" xfId="0" applyFont="1" applyBorder="1" applyAlignment="1" applyProtection="1">
      <alignment vertical="center"/>
    </xf>
    <xf numFmtId="0" fontId="19" fillId="0" borderId="29" xfId="0" applyFont="1" applyBorder="1" applyAlignment="1" applyProtection="1">
      <alignment vertical="center"/>
    </xf>
    <xf numFmtId="0" fontId="19" fillId="0" borderId="42" xfId="0" applyFont="1" applyFill="1" applyBorder="1" applyProtection="1">
      <alignment vertical="center"/>
    </xf>
    <xf numFmtId="1" fontId="25" fillId="0" borderId="0" xfId="0" applyNumberFormat="1" applyFont="1" applyProtection="1">
      <alignment vertical="center"/>
    </xf>
    <xf numFmtId="0" fontId="25" fillId="4" borderId="13" xfId="0" applyNumberFormat="1" applyFont="1" applyFill="1" applyBorder="1" applyAlignment="1" applyProtection="1">
      <alignment vertical="center"/>
    </xf>
    <xf numFmtId="0" fontId="27" fillId="4" borderId="0" xfId="0" applyFont="1" applyFill="1" applyBorder="1" applyAlignment="1" applyProtection="1">
      <alignment vertical="center"/>
    </xf>
    <xf numFmtId="0" fontId="17" fillId="3" borderId="4" xfId="0" applyNumberFormat="1" applyFont="1" applyFill="1" applyBorder="1" applyAlignment="1" applyProtection="1">
      <alignment vertical="center"/>
      <protection locked="0"/>
    </xf>
    <xf numFmtId="0" fontId="27" fillId="0" borderId="0" xfId="0" applyNumberFormat="1" applyFont="1" applyAlignment="1" applyProtection="1">
      <alignment horizontal="center" vertical="center"/>
    </xf>
    <xf numFmtId="0" fontId="19" fillId="2" borderId="0" xfId="0" applyFont="1" applyFill="1" applyAlignment="1" applyProtection="1">
      <alignment horizontal="center" vertical="center"/>
      <protection locked="0"/>
    </xf>
    <xf numFmtId="0" fontId="19" fillId="0" borderId="4" xfId="0" applyFont="1" applyFill="1" applyBorder="1" applyAlignment="1" applyProtection="1">
      <alignment horizontal="center" vertical="center"/>
    </xf>
    <xf numFmtId="0" fontId="28" fillId="0" borderId="0" xfId="0" applyFont="1" applyProtection="1">
      <alignment vertical="center"/>
    </xf>
    <xf numFmtId="0" fontId="28" fillId="0" borderId="0" xfId="0" applyFont="1" applyAlignment="1" applyProtection="1">
      <alignment vertical="center"/>
    </xf>
    <xf numFmtId="0" fontId="19" fillId="0" borderId="47" xfId="0" applyFont="1" applyFill="1" applyBorder="1" applyAlignment="1" applyProtection="1">
      <alignment vertical="center"/>
      <protection locked="0"/>
    </xf>
    <xf numFmtId="0" fontId="22" fillId="0" borderId="47" xfId="0" applyFont="1" applyFill="1" applyBorder="1" applyAlignment="1" applyProtection="1">
      <alignment vertical="center"/>
      <protection locked="0"/>
    </xf>
    <xf numFmtId="0" fontId="19" fillId="0" borderId="47" xfId="0" applyFont="1" applyFill="1" applyBorder="1" applyProtection="1">
      <alignment vertical="center"/>
      <protection locked="0"/>
    </xf>
    <xf numFmtId="0" fontId="17" fillId="0" borderId="49"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22" fillId="0" borderId="0" xfId="0" applyFont="1" applyFill="1" applyBorder="1" applyAlignment="1" applyProtection="1">
      <alignment vertical="center"/>
      <protection locked="0"/>
    </xf>
    <xf numFmtId="0" fontId="17" fillId="0" borderId="0" xfId="0" applyFont="1" applyFill="1" applyBorder="1" applyProtection="1">
      <alignment vertical="center"/>
      <protection locked="0"/>
    </xf>
    <xf numFmtId="0" fontId="19" fillId="0" borderId="49" xfId="0" applyFont="1" applyFill="1" applyBorder="1" applyAlignment="1" applyProtection="1">
      <alignment vertical="center"/>
      <protection locked="0"/>
    </xf>
    <xf numFmtId="0" fontId="19" fillId="0" borderId="0" xfId="0" applyFont="1" applyFill="1" applyBorder="1" applyProtection="1">
      <alignment vertical="center"/>
      <protection locked="0"/>
    </xf>
    <xf numFmtId="0" fontId="19" fillId="0" borderId="49" xfId="0" applyFont="1" applyFill="1" applyBorder="1" applyProtection="1">
      <alignment vertical="center"/>
      <protection locked="0"/>
    </xf>
    <xf numFmtId="0" fontId="28" fillId="0" borderId="49" xfId="0" applyFont="1" applyFill="1" applyBorder="1" applyProtection="1">
      <alignment vertical="center"/>
      <protection locked="0"/>
    </xf>
    <xf numFmtId="0" fontId="25" fillId="0" borderId="0" xfId="0" applyFont="1" applyFill="1" applyBorder="1" applyProtection="1">
      <alignment vertical="center"/>
      <protection locked="0"/>
    </xf>
    <xf numFmtId="0" fontId="17" fillId="0" borderId="49" xfId="0" applyFont="1" applyFill="1" applyBorder="1" applyProtection="1">
      <alignment vertical="center"/>
      <protection locked="0"/>
    </xf>
    <xf numFmtId="0" fontId="19" fillId="0" borderId="0" xfId="0" applyFont="1" applyFill="1" applyBorder="1" applyAlignment="1" applyProtection="1">
      <alignment horizontal="center" vertical="center"/>
      <protection locked="0"/>
    </xf>
    <xf numFmtId="0" fontId="19" fillId="0" borderId="51" xfId="0" applyFont="1" applyFill="1" applyBorder="1" applyProtection="1">
      <alignment vertical="center"/>
      <protection locked="0"/>
    </xf>
    <xf numFmtId="0" fontId="19" fillId="0" borderId="52" xfId="0" applyFont="1" applyFill="1" applyBorder="1" applyProtection="1">
      <alignment vertical="center"/>
      <protection locked="0"/>
    </xf>
    <xf numFmtId="180" fontId="25" fillId="0" borderId="52" xfId="0" applyNumberFormat="1" applyFont="1" applyFill="1" applyBorder="1" applyProtection="1">
      <alignment vertical="center"/>
      <protection locked="0"/>
    </xf>
    <xf numFmtId="0" fontId="25" fillId="0" borderId="52" xfId="0" applyFont="1" applyFill="1" applyBorder="1" applyProtection="1">
      <alignment vertical="center"/>
      <protection locked="0"/>
    </xf>
    <xf numFmtId="0" fontId="19" fillId="0" borderId="52" xfId="0" applyFont="1" applyFill="1" applyBorder="1" applyAlignment="1" applyProtection="1">
      <alignment horizontal="center" vertical="center"/>
      <protection locked="0"/>
    </xf>
    <xf numFmtId="0" fontId="52" fillId="0" borderId="46" xfId="0" applyFont="1" applyFill="1" applyBorder="1" applyProtection="1">
      <alignment vertical="center"/>
      <protection locked="0"/>
    </xf>
    <xf numFmtId="0" fontId="17" fillId="0" borderId="47" xfId="0" applyFont="1" applyFill="1" applyBorder="1" applyProtection="1">
      <alignment vertical="center"/>
      <protection locked="0"/>
    </xf>
    <xf numFmtId="0" fontId="23" fillId="0" borderId="47" xfId="0" applyFont="1" applyFill="1" applyBorder="1" applyAlignment="1" applyProtection="1">
      <alignment vertical="center"/>
      <protection locked="0"/>
    </xf>
    <xf numFmtId="0" fontId="19" fillId="0" borderId="48" xfId="0" applyFont="1" applyFill="1" applyBorder="1" applyProtection="1">
      <alignment vertical="center"/>
      <protection locked="0"/>
    </xf>
    <xf numFmtId="0" fontId="23" fillId="0" borderId="0" xfId="0" applyFont="1" applyFill="1" applyBorder="1" applyAlignment="1" applyProtection="1">
      <alignment vertical="center"/>
      <protection locked="0"/>
    </xf>
    <xf numFmtId="0" fontId="23" fillId="0" borderId="50" xfId="0" applyFont="1" applyFill="1" applyBorder="1" applyAlignment="1" applyProtection="1">
      <alignment vertical="center"/>
      <protection locked="0"/>
    </xf>
    <xf numFmtId="0" fontId="19" fillId="0" borderId="50" xfId="0" applyFont="1" applyFill="1" applyBorder="1" applyAlignment="1" applyProtection="1">
      <alignment vertical="center"/>
      <protection locked="0"/>
    </xf>
    <xf numFmtId="0" fontId="19" fillId="0" borderId="50" xfId="0" applyFont="1" applyFill="1" applyBorder="1" applyProtection="1">
      <alignment vertical="center"/>
      <protection locked="0"/>
    </xf>
    <xf numFmtId="0" fontId="17" fillId="0" borderId="50" xfId="0" applyFont="1" applyFill="1" applyBorder="1" applyProtection="1">
      <alignment vertical="center"/>
      <protection locked="0"/>
    </xf>
    <xf numFmtId="0" fontId="19" fillId="0" borderId="53" xfId="0" applyFont="1" applyFill="1" applyBorder="1" applyProtection="1">
      <alignment vertical="center"/>
      <protection locked="0"/>
    </xf>
    <xf numFmtId="0" fontId="52" fillId="0" borderId="46" xfId="0" applyFont="1" applyBorder="1" applyProtection="1">
      <alignment vertical="center"/>
      <protection locked="0"/>
    </xf>
    <xf numFmtId="0" fontId="17" fillId="0" borderId="47" xfId="0" applyFont="1" applyBorder="1" applyProtection="1">
      <alignment vertical="center"/>
      <protection locked="0"/>
    </xf>
    <xf numFmtId="0" fontId="17" fillId="0" borderId="48" xfId="0" applyFont="1" applyBorder="1" applyProtection="1">
      <alignment vertical="center"/>
      <protection locked="0"/>
    </xf>
    <xf numFmtId="0" fontId="19" fillId="0" borderId="49" xfId="0" applyFont="1" applyBorder="1" applyProtection="1">
      <alignment vertical="center"/>
      <protection locked="0"/>
    </xf>
    <xf numFmtId="0" fontId="19" fillId="0" borderId="0" xfId="0" applyFont="1" applyBorder="1" applyProtection="1">
      <alignment vertical="center"/>
      <protection locked="0"/>
    </xf>
    <xf numFmtId="0" fontId="17" fillId="0" borderId="0" xfId="0" applyFont="1" applyBorder="1" applyProtection="1">
      <alignment vertical="center"/>
      <protection locked="0"/>
    </xf>
    <xf numFmtId="0" fontId="17" fillId="0" borderId="50" xfId="0" applyFont="1" applyBorder="1" applyProtection="1">
      <alignment vertical="center"/>
      <protection locked="0"/>
    </xf>
    <xf numFmtId="0" fontId="19" fillId="0" borderId="49"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19" fillId="0" borderId="50" xfId="0" applyFont="1" applyBorder="1" applyProtection="1">
      <alignment vertical="center"/>
      <protection locked="0"/>
    </xf>
    <xf numFmtId="0" fontId="19" fillId="0" borderId="52" xfId="0" applyFont="1" applyBorder="1" applyProtection="1">
      <alignment vertical="center"/>
      <protection locked="0"/>
    </xf>
    <xf numFmtId="0" fontId="19" fillId="0" borderId="53" xfId="0" applyFont="1" applyBorder="1" applyProtection="1">
      <alignment vertical="center"/>
      <protection locked="0"/>
    </xf>
    <xf numFmtId="0" fontId="19" fillId="0" borderId="47" xfId="0" applyFont="1" applyBorder="1" applyProtection="1">
      <alignment vertical="center"/>
      <protection locked="0"/>
    </xf>
    <xf numFmtId="0" fontId="17" fillId="0" borderId="49" xfId="0" applyFont="1" applyBorder="1" applyProtection="1">
      <alignment vertical="center"/>
      <protection locked="0"/>
    </xf>
    <xf numFmtId="0" fontId="19" fillId="0" borderId="50" xfId="0" applyFont="1" applyBorder="1" applyAlignment="1" applyProtection="1">
      <alignment vertical="center"/>
      <protection locked="0"/>
    </xf>
    <xf numFmtId="0" fontId="26" fillId="0" borderId="49" xfId="0" applyFont="1" applyFill="1" applyBorder="1" applyProtection="1">
      <alignment vertical="center"/>
      <protection locked="0"/>
    </xf>
    <xf numFmtId="0" fontId="26" fillId="0" borderId="0" xfId="0" applyFont="1" applyFill="1" applyBorder="1" applyProtection="1">
      <alignment vertical="center"/>
      <protection locked="0"/>
    </xf>
    <xf numFmtId="0" fontId="26" fillId="0" borderId="0" xfId="0" applyFont="1" applyBorder="1" applyProtection="1">
      <alignment vertical="center"/>
      <protection locked="0"/>
    </xf>
    <xf numFmtId="0" fontId="19" fillId="2" borderId="16" xfId="0" applyFont="1" applyFill="1" applyBorder="1" applyAlignment="1" applyProtection="1">
      <alignment vertical="center"/>
      <protection locked="0"/>
    </xf>
    <xf numFmtId="0" fontId="19" fillId="2" borderId="30" xfId="0" applyFont="1" applyFill="1" applyBorder="1" applyAlignment="1" applyProtection="1">
      <alignment vertical="center"/>
      <protection locked="0"/>
    </xf>
    <xf numFmtId="0" fontId="19" fillId="2" borderId="14" xfId="0" applyFont="1" applyFill="1" applyBorder="1" applyAlignment="1" applyProtection="1">
      <alignment vertical="center"/>
      <protection locked="0"/>
    </xf>
    <xf numFmtId="0" fontId="19" fillId="0" borderId="0" xfId="0" applyFont="1" applyFill="1" applyBorder="1" applyAlignment="1" applyProtection="1">
      <alignment horizontal="center" vertical="center"/>
      <protection locked="0"/>
    </xf>
    <xf numFmtId="0" fontId="53" fillId="0" borderId="0" xfId="0" applyFont="1">
      <alignment vertical="center"/>
    </xf>
    <xf numFmtId="0" fontId="19" fillId="0" borderId="0" xfId="0" applyFont="1" applyProtection="1">
      <alignment vertical="center"/>
      <protection locked="0"/>
    </xf>
    <xf numFmtId="0" fontId="25" fillId="0" borderId="0" xfId="0" applyFont="1" applyFill="1" applyBorder="1" applyAlignment="1" applyProtection="1">
      <alignment vertical="center"/>
      <protection locked="0"/>
    </xf>
    <xf numFmtId="0" fontId="17" fillId="0" borderId="0" xfId="0" applyFont="1" applyProtection="1">
      <alignment vertical="center"/>
      <protection locked="0"/>
    </xf>
    <xf numFmtId="0" fontId="19" fillId="0" borderId="0" xfId="0" applyFont="1" applyFill="1" applyProtection="1">
      <alignment vertical="center"/>
      <protection locked="0"/>
    </xf>
    <xf numFmtId="0" fontId="19" fillId="0" borderId="0" xfId="0" applyFont="1" applyAlignment="1" applyProtection="1">
      <alignment horizontal="center" vertical="center"/>
      <protection locked="0"/>
    </xf>
    <xf numFmtId="0" fontId="23" fillId="0" borderId="0" xfId="0" applyFont="1" applyBorder="1" applyAlignment="1" applyProtection="1">
      <alignment vertical="center"/>
      <protection locked="0"/>
    </xf>
    <xf numFmtId="0" fontId="17" fillId="0" borderId="0" xfId="0" applyFont="1" applyFill="1" applyProtection="1">
      <alignment vertical="center"/>
      <protection locked="0"/>
    </xf>
    <xf numFmtId="0" fontId="28" fillId="0" borderId="0" xfId="0" applyFont="1" applyFill="1" applyProtection="1">
      <alignment vertical="center"/>
      <protection locked="0"/>
    </xf>
    <xf numFmtId="49" fontId="27" fillId="0" borderId="0" xfId="0" applyNumberFormat="1" applyFont="1" applyFill="1" applyBorder="1" applyAlignment="1" applyProtection="1">
      <alignment horizontal="center" vertical="center"/>
    </xf>
    <xf numFmtId="0" fontId="27" fillId="0" borderId="0" xfId="0" applyFont="1" applyAlignment="1" applyProtection="1">
      <alignment vertical="center"/>
    </xf>
    <xf numFmtId="0" fontId="27" fillId="0" borderId="0" xfId="0" applyFont="1" applyAlignment="1" applyProtection="1">
      <alignment horizontal="left" vertical="center"/>
    </xf>
    <xf numFmtId="0" fontId="27" fillId="0" borderId="0" xfId="0" applyFont="1" applyFill="1" applyAlignment="1" applyProtection="1">
      <alignment vertical="center"/>
    </xf>
    <xf numFmtId="49" fontId="27" fillId="0" borderId="0" xfId="0" applyNumberFormat="1" applyFont="1" applyFill="1" applyBorder="1" applyAlignment="1" applyProtection="1">
      <alignment horizontal="center" vertical="center"/>
    </xf>
    <xf numFmtId="49" fontId="30" fillId="0" borderId="28" xfId="0" applyNumberFormat="1" applyFont="1" applyBorder="1" applyAlignment="1" applyProtection="1">
      <alignment vertical="center" wrapText="1"/>
    </xf>
    <xf numFmtId="49" fontId="50" fillId="0" borderId="30" xfId="0" applyNumberFormat="1" applyFont="1" applyBorder="1" applyAlignment="1" applyProtection="1">
      <alignment vertical="center"/>
    </xf>
    <xf numFmtId="49" fontId="21" fillId="0" borderId="29" xfId="0" applyNumberFormat="1" applyFont="1" applyBorder="1" applyAlignment="1" applyProtection="1">
      <alignment vertical="center" wrapText="1"/>
    </xf>
    <xf numFmtId="0" fontId="27" fillId="0" borderId="0" xfId="0" applyNumberFormat="1" applyFont="1" applyAlignment="1" applyProtection="1">
      <alignment horizontal="center" vertical="center"/>
    </xf>
    <xf numFmtId="0" fontId="28" fillId="0" borderId="19" xfId="0" applyNumberFormat="1" applyFont="1" applyFill="1" applyBorder="1" applyProtection="1">
      <alignment vertical="center"/>
    </xf>
    <xf numFmtId="49" fontId="7" fillId="0" borderId="57" xfId="1" applyNumberFormat="1" applyFont="1" applyFill="1" applyBorder="1" applyAlignment="1">
      <alignment vertical="center"/>
    </xf>
    <xf numFmtId="49" fontId="7" fillId="0" borderId="58" xfId="1" applyNumberFormat="1" applyFont="1" applyFill="1" applyBorder="1" applyAlignment="1">
      <alignment vertical="center"/>
    </xf>
    <xf numFmtId="49" fontId="7" fillId="0" borderId="58" xfId="1" applyNumberFormat="1" applyFont="1" applyBorder="1" applyAlignment="1">
      <alignment vertical="center"/>
    </xf>
    <xf numFmtId="49" fontId="7" fillId="0" borderId="58" xfId="1" applyNumberFormat="1" applyFont="1" applyFill="1" applyBorder="1" applyAlignment="1">
      <alignment horizontal="center" vertical="center"/>
    </xf>
    <xf numFmtId="49" fontId="7" fillId="0" borderId="59" xfId="1" applyNumberFormat="1" applyFont="1" applyBorder="1" applyAlignment="1">
      <alignment vertical="center"/>
    </xf>
    <xf numFmtId="177" fontId="7" fillId="0" borderId="14" xfId="1" applyNumberFormat="1" applyFont="1" applyFill="1" applyBorder="1" applyAlignment="1">
      <alignment horizontal="center" vertical="center" shrinkToFit="1"/>
    </xf>
    <xf numFmtId="177" fontId="7" fillId="0" borderId="16" xfId="1" applyNumberFormat="1" applyFont="1" applyBorder="1" applyAlignment="1">
      <alignment horizontal="center" vertical="center" shrinkToFit="1"/>
    </xf>
    <xf numFmtId="177" fontId="7" fillId="0" borderId="21" xfId="1" applyNumberFormat="1" applyFont="1" applyBorder="1" applyAlignment="1">
      <alignment horizontal="center" vertical="center" shrinkToFit="1"/>
    </xf>
    <xf numFmtId="49" fontId="7" fillId="0" borderId="58" xfId="1" applyNumberFormat="1" applyFont="1" applyFill="1" applyBorder="1" applyAlignment="1">
      <alignment horizontal="right" vertical="center"/>
    </xf>
    <xf numFmtId="49" fontId="7" fillId="0" borderId="58" xfId="1" applyNumberFormat="1" applyFont="1" applyBorder="1" applyAlignment="1">
      <alignment horizontal="right" vertical="center"/>
    </xf>
    <xf numFmtId="0" fontId="21" fillId="0" borderId="0" xfId="0" applyFont="1" applyAlignment="1" applyProtection="1">
      <alignment horizontal="center" vertical="center"/>
    </xf>
    <xf numFmtId="0" fontId="52" fillId="0" borderId="46" xfId="0" applyFont="1" applyBorder="1" applyProtection="1">
      <alignment vertical="center"/>
    </xf>
    <xf numFmtId="0" fontId="28" fillId="0" borderId="0" xfId="0" applyNumberFormat="1" applyFont="1" applyAlignment="1" applyProtection="1">
      <alignment horizontal="right" vertical="center"/>
    </xf>
    <xf numFmtId="0" fontId="56" fillId="6" borderId="1" xfId="0" applyFont="1" applyFill="1" applyBorder="1">
      <alignment vertical="center"/>
    </xf>
    <xf numFmtId="0" fontId="0" fillId="0" borderId="0" xfId="0" applyFill="1">
      <alignment vertical="center"/>
    </xf>
    <xf numFmtId="0" fontId="11" fillId="0" borderId="0" xfId="0" applyFont="1">
      <alignment vertical="center"/>
    </xf>
    <xf numFmtId="0" fontId="27" fillId="2" borderId="19" xfId="0" applyNumberFormat="1" applyFont="1" applyFill="1" applyBorder="1" applyProtection="1">
      <alignment vertical="center"/>
      <protection locked="0"/>
    </xf>
    <xf numFmtId="0" fontId="60" fillId="0" borderId="0" xfId="0" applyFont="1">
      <alignment vertical="center"/>
    </xf>
    <xf numFmtId="0" fontId="58" fillId="0" borderId="0" xfId="0" applyFont="1">
      <alignment vertical="center"/>
    </xf>
    <xf numFmtId="0" fontId="61" fillId="2" borderId="0" xfId="0" applyFont="1" applyFill="1" applyAlignment="1" applyProtection="1">
      <alignment horizontal="left" vertical="center"/>
      <protection locked="0"/>
    </xf>
    <xf numFmtId="0" fontId="62" fillId="0" borderId="0" xfId="0" applyFont="1" applyAlignment="1">
      <alignment horizontal="right" vertical="center"/>
    </xf>
    <xf numFmtId="0" fontId="62" fillId="0" borderId="0" xfId="0" applyFont="1" applyAlignment="1">
      <alignment horizontal="left" vertical="center"/>
    </xf>
    <xf numFmtId="0" fontId="63" fillId="0" borderId="0" xfId="7">
      <alignment vertical="center"/>
    </xf>
    <xf numFmtId="0" fontId="59" fillId="0" borderId="0" xfId="0" applyFont="1">
      <alignment vertical="center"/>
    </xf>
    <xf numFmtId="49" fontId="7" fillId="0" borderId="45" xfId="1" applyNumberFormat="1" applyFont="1" applyFill="1" applyBorder="1" applyAlignment="1">
      <alignment horizontal="center" vertical="center"/>
    </xf>
    <xf numFmtId="49" fontId="7" fillId="0" borderId="61" xfId="1" applyNumberFormat="1" applyFont="1" applyFill="1" applyBorder="1" applyAlignment="1">
      <alignment horizontal="center" vertical="center"/>
    </xf>
    <xf numFmtId="49" fontId="7" fillId="0" borderId="60" xfId="1" applyNumberFormat="1" applyFont="1" applyFill="1" applyBorder="1" applyAlignment="1">
      <alignment horizontal="center" vertical="center"/>
    </xf>
    <xf numFmtId="49" fontId="7" fillId="0" borderId="64" xfId="1" applyNumberFormat="1" applyFont="1" applyFill="1" applyBorder="1" applyAlignment="1">
      <alignment horizontal="center" vertical="center"/>
    </xf>
    <xf numFmtId="49" fontId="12" fillId="0" borderId="54" xfId="1" applyNumberFormat="1" applyFont="1" applyFill="1" applyBorder="1" applyAlignment="1">
      <alignment horizontal="center" vertical="center" wrapText="1"/>
    </xf>
    <xf numFmtId="49" fontId="12" fillId="0" borderId="54" xfId="1" applyNumberFormat="1" applyFont="1" applyFill="1" applyBorder="1" applyAlignment="1">
      <alignment horizontal="center" vertical="center"/>
    </xf>
    <xf numFmtId="49" fontId="7" fillId="0" borderId="43" xfId="1" applyNumberFormat="1" applyFont="1" applyFill="1" applyBorder="1" applyAlignment="1">
      <alignment horizontal="center" vertical="center"/>
    </xf>
    <xf numFmtId="49" fontId="12" fillId="0" borderId="62" xfId="1" applyNumberFormat="1" applyFont="1" applyFill="1" applyBorder="1" applyAlignment="1">
      <alignment horizontal="center" vertical="center"/>
    </xf>
    <xf numFmtId="49" fontId="7" fillId="0" borderId="63" xfId="1" applyNumberFormat="1" applyFont="1" applyFill="1" applyBorder="1" applyAlignment="1">
      <alignment horizontal="center" vertical="center"/>
    </xf>
    <xf numFmtId="177" fontId="7" fillId="0" borderId="0" xfId="1" applyNumberFormat="1" applyFont="1" applyBorder="1" applyAlignment="1">
      <alignment horizontal="center" vertical="center"/>
    </xf>
    <xf numFmtId="177" fontId="7" fillId="0" borderId="15" xfId="1" applyNumberFormat="1" applyFont="1" applyBorder="1" applyAlignment="1">
      <alignment horizontal="center" vertical="center"/>
    </xf>
    <xf numFmtId="176" fontId="7" fillId="0" borderId="16" xfId="1" applyNumberFormat="1" applyFont="1" applyBorder="1" applyAlignment="1">
      <alignment horizontal="center" vertical="center"/>
    </xf>
    <xf numFmtId="176" fontId="7" fillId="0" borderId="0" xfId="1" applyNumberFormat="1" applyFont="1" applyBorder="1" applyAlignment="1">
      <alignment horizontal="center" vertical="center"/>
    </xf>
    <xf numFmtId="176" fontId="7" fillId="0" borderId="15" xfId="1" applyNumberFormat="1" applyFont="1" applyBorder="1" applyAlignment="1">
      <alignment horizontal="center" vertical="center"/>
    </xf>
    <xf numFmtId="176" fontId="7" fillId="0" borderId="17" xfId="1" applyNumberFormat="1" applyFont="1" applyBorder="1" applyAlignment="1">
      <alignment horizontal="center" vertical="center"/>
    </xf>
    <xf numFmtId="176" fontId="7" fillId="0" borderId="16"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176" fontId="7" fillId="0" borderId="15" xfId="1" applyNumberFormat="1" applyFont="1" applyFill="1" applyBorder="1" applyAlignment="1">
      <alignment horizontal="center" vertical="center"/>
    </xf>
    <xf numFmtId="49" fontId="12" fillId="0" borderId="28" xfId="1" applyNumberFormat="1" applyFont="1" applyFill="1" applyBorder="1" applyAlignment="1">
      <alignment horizontal="center" vertical="center"/>
    </xf>
    <xf numFmtId="49" fontId="12" fillId="0" borderId="30" xfId="1" applyNumberFormat="1" applyFont="1" applyFill="1" applyBorder="1" applyAlignment="1">
      <alignment horizontal="center" vertical="center" shrinkToFit="1"/>
    </xf>
    <xf numFmtId="49" fontId="12" fillId="0" borderId="28" xfId="1" applyNumberFormat="1" applyFont="1" applyFill="1" applyBorder="1" applyAlignment="1">
      <alignment horizontal="center" vertical="center" shrinkToFit="1"/>
    </xf>
    <xf numFmtId="49" fontId="12" fillId="0" borderId="29" xfId="1" applyNumberFormat="1" applyFont="1" applyFill="1" applyBorder="1" applyAlignment="1">
      <alignment horizontal="center" vertical="center" shrinkToFit="1"/>
    </xf>
    <xf numFmtId="49" fontId="7" fillId="0" borderId="11" xfId="1" applyNumberFormat="1" applyFont="1" applyFill="1" applyBorder="1" applyAlignment="1">
      <alignment horizontal="center" vertical="center" shrinkToFit="1"/>
    </xf>
    <xf numFmtId="49" fontId="7" fillId="0" borderId="0" xfId="1" applyNumberFormat="1" applyFont="1" applyFill="1" applyBorder="1" applyAlignment="1">
      <alignment horizontal="center" vertical="center" shrinkToFit="1"/>
    </xf>
    <xf numFmtId="49" fontId="7" fillId="0" borderId="15" xfId="1" applyNumberFormat="1" applyFont="1" applyFill="1" applyBorder="1" applyAlignment="1">
      <alignment horizontal="center" vertical="center" shrinkToFit="1"/>
    </xf>
    <xf numFmtId="49" fontId="7" fillId="0" borderId="58" xfId="1" applyNumberFormat="1" applyFont="1" applyFill="1" applyBorder="1" applyAlignment="1">
      <alignment horizontal="center" vertical="center"/>
    </xf>
    <xf numFmtId="49" fontId="12" fillId="0" borderId="8" xfId="1" applyNumberFormat="1" applyFont="1" applyBorder="1" applyAlignment="1">
      <alignment horizontal="center" vertical="center"/>
    </xf>
    <xf numFmtId="49" fontId="12" fillId="0" borderId="9" xfId="1" applyNumberFormat="1" applyFont="1" applyBorder="1" applyAlignment="1">
      <alignment horizontal="center" vertical="center"/>
    </xf>
    <xf numFmtId="49" fontId="12" fillId="0" borderId="55" xfId="1" applyNumberFormat="1" applyFont="1" applyBorder="1" applyAlignment="1">
      <alignment horizontal="center" vertical="center"/>
    </xf>
    <xf numFmtId="49" fontId="12" fillId="0" borderId="44" xfId="1" applyNumberFormat="1" applyFont="1" applyBorder="1" applyAlignment="1">
      <alignment horizontal="center" vertical="center"/>
    </xf>
    <xf numFmtId="49" fontId="12" fillId="0" borderId="9" xfId="1" applyNumberFormat="1" applyFont="1" applyFill="1" applyBorder="1" applyAlignment="1">
      <alignment horizontal="center" vertical="center"/>
    </xf>
    <xf numFmtId="49" fontId="12" fillId="0" borderId="44" xfId="1" applyNumberFormat="1" applyFont="1" applyFill="1" applyBorder="1" applyAlignment="1">
      <alignment horizontal="center" vertical="center"/>
    </xf>
    <xf numFmtId="49" fontId="13" fillId="0" borderId="9" xfId="1" applyNumberFormat="1" applyFont="1" applyFill="1" applyBorder="1" applyAlignment="1">
      <alignment horizontal="center" vertical="center" wrapText="1"/>
    </xf>
    <xf numFmtId="49" fontId="13" fillId="0" borderId="44" xfId="1" applyNumberFormat="1" applyFont="1" applyFill="1" applyBorder="1" applyAlignment="1">
      <alignment horizontal="center" vertical="center" wrapText="1"/>
    </xf>
    <xf numFmtId="49" fontId="55" fillId="0" borderId="0" xfId="1" applyNumberFormat="1" applyFont="1" applyAlignment="1">
      <alignment horizontal="center" vertical="center"/>
    </xf>
    <xf numFmtId="177" fontId="7" fillId="0" borderId="4" xfId="1" applyNumberFormat="1" applyFont="1" applyFill="1" applyBorder="1" applyAlignment="1">
      <alignment horizontal="center" vertical="center"/>
    </xf>
    <xf numFmtId="177" fontId="7" fillId="0" borderId="13" xfId="1" applyNumberFormat="1" applyFont="1" applyFill="1" applyBorder="1" applyAlignment="1">
      <alignment horizontal="center" vertical="center"/>
    </xf>
    <xf numFmtId="176" fontId="7" fillId="0" borderId="14" xfId="1" applyNumberFormat="1" applyFont="1" applyFill="1" applyBorder="1" applyAlignment="1">
      <alignment horizontal="center" vertical="center"/>
    </xf>
    <xf numFmtId="176" fontId="7" fillId="0" borderId="4" xfId="1" applyNumberFormat="1" applyFont="1" applyFill="1" applyBorder="1" applyAlignment="1">
      <alignment horizontal="center" vertical="center"/>
    </xf>
    <xf numFmtId="176" fontId="7" fillId="0" borderId="13" xfId="1" applyNumberFormat="1" applyFont="1" applyFill="1" applyBorder="1" applyAlignment="1">
      <alignment horizontal="center" vertical="center"/>
    </xf>
    <xf numFmtId="176" fontId="7" fillId="0" borderId="5" xfId="1" applyNumberFormat="1" applyFont="1" applyFill="1" applyBorder="1" applyAlignment="1">
      <alignment horizontal="center" vertical="center"/>
    </xf>
    <xf numFmtId="49" fontId="7" fillId="0" borderId="12" xfId="1" applyNumberFormat="1" applyFont="1" applyFill="1" applyBorder="1" applyAlignment="1">
      <alignment horizontal="center" vertical="center" shrinkToFit="1"/>
    </xf>
    <xf numFmtId="49" fontId="7" fillId="0" borderId="4" xfId="1" applyNumberFormat="1" applyFont="1" applyFill="1" applyBorder="1" applyAlignment="1">
      <alignment horizontal="center" vertical="center" shrinkToFit="1"/>
    </xf>
    <xf numFmtId="49" fontId="7" fillId="0" borderId="13" xfId="1" applyNumberFormat="1" applyFont="1" applyFill="1" applyBorder="1" applyAlignment="1">
      <alignment horizontal="center" vertical="center" shrinkToFit="1"/>
    </xf>
    <xf numFmtId="49" fontId="12" fillId="0" borderId="30" xfId="1" applyNumberFormat="1" applyFont="1" applyFill="1" applyBorder="1" applyAlignment="1">
      <alignment horizontal="center" vertical="center"/>
    </xf>
    <xf numFmtId="49" fontId="12" fillId="0" borderId="9" xfId="1" applyNumberFormat="1" applyFont="1" applyFill="1" applyBorder="1" applyAlignment="1">
      <alignment horizontal="center" vertical="center" wrapText="1"/>
    </xf>
    <xf numFmtId="49" fontId="12" fillId="0" borderId="61" xfId="1" applyNumberFormat="1" applyFont="1" applyFill="1" applyBorder="1" applyAlignment="1">
      <alignment horizontal="center" vertical="center" wrapText="1"/>
    </xf>
    <xf numFmtId="49" fontId="12" fillId="0" borderId="44" xfId="1" applyNumberFormat="1" applyFont="1" applyFill="1" applyBorder="1" applyAlignment="1">
      <alignment horizontal="center" vertical="center" wrapText="1"/>
    </xf>
    <xf numFmtId="49" fontId="12" fillId="0" borderId="56" xfId="1" applyNumberFormat="1" applyFont="1" applyFill="1" applyBorder="1" applyAlignment="1">
      <alignment horizontal="center" vertical="center" wrapText="1"/>
    </xf>
    <xf numFmtId="49" fontId="7" fillId="0" borderId="6" xfId="1" applyNumberFormat="1" applyFont="1" applyBorder="1" applyAlignment="1">
      <alignment horizontal="center" vertical="center" textRotation="255"/>
    </xf>
    <xf numFmtId="49" fontId="7" fillId="0" borderId="22" xfId="1" applyNumberFormat="1" applyFont="1" applyBorder="1" applyAlignment="1">
      <alignment horizontal="center" vertical="center" textRotation="255"/>
    </xf>
    <xf numFmtId="49" fontId="7" fillId="0" borderId="11" xfId="1" applyNumberFormat="1" applyFont="1" applyBorder="1" applyAlignment="1">
      <alignment horizontal="center" vertical="center" textRotation="255"/>
    </xf>
    <xf numFmtId="49" fontId="7" fillId="0" borderId="17" xfId="1" applyNumberFormat="1" applyFont="1" applyBorder="1" applyAlignment="1">
      <alignment horizontal="center" vertical="center" textRotation="255"/>
    </xf>
    <xf numFmtId="49" fontId="7" fillId="0" borderId="18" xfId="1" applyNumberFormat="1" applyFont="1" applyBorder="1" applyAlignment="1">
      <alignment horizontal="center" vertical="center" textRotation="255"/>
    </xf>
    <xf numFmtId="49" fontId="7" fillId="0" borderId="24" xfId="1" applyNumberFormat="1" applyFont="1" applyBorder="1" applyAlignment="1">
      <alignment horizontal="center" vertical="center" textRotation="255"/>
    </xf>
    <xf numFmtId="176" fontId="7" fillId="0" borderId="17" xfId="1" applyNumberFormat="1" applyFont="1" applyFill="1" applyBorder="1" applyAlignment="1">
      <alignment horizontal="center" vertical="center"/>
    </xf>
    <xf numFmtId="49" fontId="7" fillId="0" borderId="11" xfId="1" applyNumberFormat="1" applyFont="1" applyBorder="1" applyAlignment="1">
      <alignment horizontal="center" vertical="center" shrinkToFit="1"/>
    </xf>
    <xf numFmtId="49" fontId="7" fillId="0" borderId="0" xfId="1" applyNumberFormat="1" applyFont="1" applyBorder="1" applyAlignment="1">
      <alignment horizontal="center" vertical="center" shrinkToFit="1"/>
    </xf>
    <xf numFmtId="49" fontId="7" fillId="0" borderId="15" xfId="1" applyNumberFormat="1" applyFont="1" applyBorder="1" applyAlignment="1">
      <alignment horizontal="center" vertical="center" shrinkToFit="1"/>
    </xf>
    <xf numFmtId="177" fontId="7" fillId="0" borderId="11" xfId="1" applyNumberFormat="1" applyFont="1" applyFill="1" applyBorder="1" applyAlignment="1">
      <alignment horizontal="center" vertical="center" shrinkToFit="1"/>
    </xf>
    <xf numFmtId="177" fontId="7" fillId="0" borderId="0" xfId="1" applyNumberFormat="1" applyFont="1" applyFill="1" applyBorder="1" applyAlignment="1">
      <alignment horizontal="center" vertical="center" shrinkToFit="1"/>
    </xf>
    <xf numFmtId="177" fontId="7" fillId="0" borderId="15" xfId="1" applyNumberFormat="1" applyFont="1" applyFill="1" applyBorder="1" applyAlignment="1">
      <alignment horizontal="center" vertical="center" shrinkToFit="1"/>
    </xf>
    <xf numFmtId="49" fontId="7" fillId="0" borderId="16" xfId="1" applyNumberFormat="1" applyFont="1" applyFill="1" applyBorder="1" applyAlignment="1">
      <alignment horizontal="center" vertical="center"/>
    </xf>
    <xf numFmtId="49" fontId="7" fillId="0" borderId="0" xfId="1" applyNumberFormat="1" applyFont="1" applyFill="1" applyBorder="1" applyAlignment="1">
      <alignment horizontal="center" vertical="center"/>
    </xf>
    <xf numFmtId="49" fontId="7" fillId="0" borderId="15" xfId="1" applyNumberFormat="1" applyFont="1" applyFill="1" applyBorder="1" applyAlignment="1">
      <alignment horizontal="center" vertical="center"/>
    </xf>
    <xf numFmtId="49" fontId="7" fillId="0" borderId="14" xfId="1" applyNumberFormat="1" applyFont="1" applyFill="1" applyBorder="1" applyAlignment="1">
      <alignment horizontal="center" vertical="center"/>
    </xf>
    <xf numFmtId="49" fontId="7" fillId="0" borderId="4" xfId="1" applyNumberFormat="1" applyFont="1" applyFill="1" applyBorder="1" applyAlignment="1">
      <alignment horizontal="center" vertical="center"/>
    </xf>
    <xf numFmtId="49" fontId="7" fillId="0" borderId="13" xfId="1" applyNumberFormat="1" applyFont="1" applyFill="1" applyBorder="1" applyAlignment="1">
      <alignment horizontal="center" vertical="center"/>
    </xf>
    <xf numFmtId="49" fontId="7" fillId="0" borderId="16"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18" xfId="1" applyNumberFormat="1" applyFont="1" applyFill="1" applyBorder="1" applyAlignment="1">
      <alignment horizontal="center" vertical="center" shrinkToFit="1"/>
    </xf>
    <xf numFmtId="49" fontId="7" fillId="0" borderId="19" xfId="1" applyNumberFormat="1" applyFont="1" applyFill="1" applyBorder="1" applyAlignment="1">
      <alignment horizontal="center" vertical="center" shrinkToFit="1"/>
    </xf>
    <xf numFmtId="49" fontId="7" fillId="0" borderId="20" xfId="1" applyNumberFormat="1" applyFont="1" applyFill="1" applyBorder="1" applyAlignment="1">
      <alignment horizontal="center" vertical="center" shrinkToFit="1"/>
    </xf>
    <xf numFmtId="176" fontId="7" fillId="0" borderId="21" xfId="1" applyNumberFormat="1" applyFont="1" applyFill="1" applyBorder="1" applyAlignment="1">
      <alignment horizontal="center" vertical="center"/>
    </xf>
    <xf numFmtId="176" fontId="7" fillId="0" borderId="19" xfId="1" applyNumberFormat="1" applyFont="1" applyFill="1" applyBorder="1" applyAlignment="1">
      <alignment horizontal="center" vertical="center"/>
    </xf>
    <xf numFmtId="176" fontId="7" fillId="0" borderId="20" xfId="1" applyNumberFormat="1" applyFont="1" applyFill="1" applyBorder="1" applyAlignment="1">
      <alignment horizontal="center" vertical="center"/>
    </xf>
    <xf numFmtId="177" fontId="7" fillId="0" borderId="18" xfId="1" applyNumberFormat="1" applyFont="1" applyFill="1" applyBorder="1" applyAlignment="1">
      <alignment horizontal="center" vertical="center" shrinkToFit="1"/>
    </xf>
    <xf numFmtId="177" fontId="7" fillId="0" borderId="19" xfId="1" applyNumberFormat="1" applyFont="1" applyFill="1" applyBorder="1" applyAlignment="1">
      <alignment horizontal="center" vertical="center" shrinkToFit="1"/>
    </xf>
    <xf numFmtId="177" fontId="7" fillId="0" borderId="20" xfId="1" applyNumberFormat="1" applyFont="1" applyFill="1" applyBorder="1" applyAlignment="1">
      <alignment horizontal="center" vertical="center" shrinkToFit="1"/>
    </xf>
    <xf numFmtId="49" fontId="7" fillId="0" borderId="21" xfId="1" applyNumberFormat="1" applyFont="1" applyFill="1" applyBorder="1" applyAlignment="1">
      <alignment horizontal="center" vertical="center"/>
    </xf>
    <xf numFmtId="49" fontId="7" fillId="0" borderId="19" xfId="1" applyNumberFormat="1" applyFont="1" applyFill="1" applyBorder="1" applyAlignment="1">
      <alignment horizontal="center" vertical="center"/>
    </xf>
    <xf numFmtId="49" fontId="7" fillId="0" borderId="20" xfId="1" applyNumberFormat="1" applyFont="1" applyFill="1" applyBorder="1" applyAlignment="1">
      <alignment horizontal="center" vertical="center"/>
    </xf>
    <xf numFmtId="49" fontId="7" fillId="0" borderId="6" xfId="2" applyNumberFormat="1" applyFont="1" applyBorder="1" applyAlignment="1">
      <alignment horizontal="center" vertical="center" textRotation="255"/>
    </xf>
    <xf numFmtId="49" fontId="7" fillId="0" borderId="22" xfId="2" applyNumberFormat="1" applyFont="1" applyBorder="1" applyAlignment="1">
      <alignment horizontal="center" vertical="center" textRotation="255"/>
    </xf>
    <xf numFmtId="49" fontId="7" fillId="0" borderId="11" xfId="2" applyNumberFormat="1" applyFont="1" applyBorder="1" applyAlignment="1">
      <alignment horizontal="center" vertical="center" textRotation="255"/>
    </xf>
    <xf numFmtId="49" fontId="7" fillId="0" borderId="17" xfId="2" applyNumberFormat="1" applyFont="1" applyBorder="1" applyAlignment="1">
      <alignment horizontal="center" vertical="center" textRotation="255"/>
    </xf>
    <xf numFmtId="49" fontId="7" fillId="0" borderId="18" xfId="2" applyNumberFormat="1" applyFont="1" applyBorder="1" applyAlignment="1">
      <alignment horizontal="center" vertical="center" textRotation="255"/>
    </xf>
    <xf numFmtId="49" fontId="7" fillId="0" borderId="24" xfId="2" applyNumberFormat="1" applyFont="1" applyBorder="1" applyAlignment="1">
      <alignment horizontal="center" vertical="center" textRotation="255"/>
    </xf>
    <xf numFmtId="49" fontId="12" fillId="0" borderId="2" xfId="1" applyNumberFormat="1" applyFont="1" applyBorder="1" applyAlignment="1">
      <alignment horizontal="center" vertical="center" shrinkToFit="1"/>
    </xf>
    <xf numFmtId="49" fontId="12" fillId="0" borderId="23" xfId="1" applyNumberFormat="1" applyFont="1" applyBorder="1" applyAlignment="1">
      <alignment horizontal="center" vertical="center" shrinkToFit="1"/>
    </xf>
    <xf numFmtId="49" fontId="12" fillId="0" borderId="10" xfId="1" applyNumberFormat="1" applyFont="1" applyFill="1" applyBorder="1" applyAlignment="1">
      <alignment horizontal="center" vertical="center" wrapText="1"/>
    </xf>
    <xf numFmtId="49" fontId="12" fillId="0" borderId="2" xfId="1" applyNumberFormat="1" applyFont="1" applyFill="1" applyBorder="1" applyAlignment="1">
      <alignment horizontal="center" vertical="center" wrapText="1"/>
    </xf>
    <xf numFmtId="49" fontId="12" fillId="0" borderId="23" xfId="1" applyNumberFormat="1" applyFont="1" applyFill="1" applyBorder="1" applyAlignment="1">
      <alignment horizontal="center" vertical="center" wrapText="1"/>
    </xf>
    <xf numFmtId="49" fontId="7" fillId="0" borderId="16" xfId="1" applyNumberFormat="1" applyFont="1" applyFill="1" applyBorder="1" applyAlignment="1">
      <alignment horizontal="center" vertical="center" shrinkToFit="1"/>
    </xf>
    <xf numFmtId="49" fontId="7" fillId="0" borderId="21" xfId="1" applyNumberFormat="1" applyFont="1" applyFill="1" applyBorder="1" applyAlignment="1">
      <alignment horizontal="center" vertical="center" shrinkToFit="1"/>
    </xf>
    <xf numFmtId="49" fontId="12" fillId="0" borderId="10" xfId="1" applyNumberFormat="1" applyFont="1" applyFill="1" applyBorder="1" applyAlignment="1">
      <alignment horizontal="center" vertical="center"/>
    </xf>
    <xf numFmtId="49" fontId="12" fillId="0" borderId="2" xfId="1" applyNumberFormat="1" applyFont="1" applyFill="1" applyBorder="1" applyAlignment="1">
      <alignment horizontal="center" vertical="center"/>
    </xf>
    <xf numFmtId="49" fontId="7" fillId="0" borderId="14" xfId="1" applyNumberFormat="1" applyFont="1" applyFill="1" applyBorder="1" applyAlignment="1">
      <alignment horizontal="center" vertical="center" shrinkToFit="1"/>
    </xf>
    <xf numFmtId="176" fontId="7" fillId="0" borderId="24" xfId="1" applyNumberFormat="1" applyFont="1" applyFill="1" applyBorder="1" applyAlignment="1">
      <alignment horizontal="center" vertical="center"/>
    </xf>
    <xf numFmtId="177" fontId="7" fillId="0" borderId="19" xfId="1" applyNumberFormat="1" applyFont="1" applyBorder="1" applyAlignment="1">
      <alignment horizontal="center" vertical="center"/>
    </xf>
    <xf numFmtId="177" fontId="7" fillId="0" borderId="20" xfId="1" applyNumberFormat="1" applyFont="1" applyBorder="1" applyAlignment="1">
      <alignment horizontal="center" vertical="center"/>
    </xf>
    <xf numFmtId="0" fontId="20" fillId="0" borderId="11" xfId="0" applyFont="1" applyFill="1" applyBorder="1" applyAlignment="1" applyProtection="1">
      <alignment horizontal="center" vertical="center"/>
    </xf>
    <xf numFmtId="0" fontId="20" fillId="0" borderId="0" xfId="0" applyFont="1" applyFill="1" applyAlignment="1" applyProtection="1">
      <alignment horizontal="center" vertical="center"/>
    </xf>
    <xf numFmtId="181" fontId="17" fillId="0" borderId="0" xfId="0" applyNumberFormat="1" applyFont="1" applyAlignment="1" applyProtection="1">
      <alignment horizontal="center" vertical="center"/>
    </xf>
    <xf numFmtId="0" fontId="17" fillId="2" borderId="40" xfId="0" applyNumberFormat="1" applyFont="1" applyFill="1" applyBorder="1" applyAlignment="1" applyProtection="1">
      <alignment horizontal="left" vertical="center"/>
      <protection locked="0"/>
    </xf>
    <xf numFmtId="0" fontId="17" fillId="2" borderId="41" xfId="0" applyNumberFormat="1" applyFont="1" applyFill="1" applyBorder="1" applyAlignment="1" applyProtection="1">
      <alignment horizontal="left" vertical="center"/>
      <protection locked="0"/>
    </xf>
    <xf numFmtId="0" fontId="17" fillId="2" borderId="42" xfId="0" applyNumberFormat="1" applyFont="1" applyFill="1" applyBorder="1" applyAlignment="1" applyProtection="1">
      <alignment horizontal="left" vertical="center"/>
      <protection locked="0"/>
    </xf>
    <xf numFmtId="188" fontId="19" fillId="0" borderId="0" xfId="0" applyNumberFormat="1" applyFont="1" applyAlignment="1" applyProtection="1">
      <alignment horizontal="right" vertical="center"/>
    </xf>
    <xf numFmtId="189" fontId="19" fillId="0" borderId="0" xfId="0" applyNumberFormat="1" applyFont="1" applyAlignment="1" applyProtection="1">
      <alignment horizontal="left" vertical="center"/>
    </xf>
    <xf numFmtId="0" fontId="19" fillId="2" borderId="0" xfId="0" applyFont="1" applyFill="1" applyAlignment="1" applyProtection="1">
      <alignment horizontal="center" vertical="center"/>
      <protection locked="0"/>
    </xf>
    <xf numFmtId="0" fontId="19" fillId="0" borderId="14" xfId="0" applyFont="1" applyBorder="1" applyAlignment="1" applyProtection="1">
      <alignment horizontal="center" vertical="center"/>
    </xf>
    <xf numFmtId="0" fontId="19" fillId="0" borderId="4" xfId="0" applyFont="1" applyBorder="1" applyAlignment="1" applyProtection="1">
      <alignment horizontal="center" vertical="center"/>
    </xf>
    <xf numFmtId="0" fontId="19" fillId="0" borderId="13" xfId="0" applyFont="1" applyBorder="1" applyAlignment="1" applyProtection="1">
      <alignment horizontal="center" vertical="center"/>
    </xf>
    <xf numFmtId="0" fontId="19" fillId="0" borderId="30" xfId="0" applyFont="1" applyBorder="1" applyAlignment="1" applyProtection="1">
      <alignment horizontal="center" vertical="center"/>
    </xf>
    <xf numFmtId="0" fontId="19" fillId="0" borderId="28" xfId="0" applyFont="1" applyBorder="1" applyAlignment="1" applyProtection="1">
      <alignment horizontal="center" vertical="center"/>
    </xf>
    <xf numFmtId="0" fontId="19" fillId="0" borderId="29" xfId="0" applyFont="1" applyBorder="1" applyAlignment="1" applyProtection="1">
      <alignment horizontal="center" vertical="center"/>
    </xf>
    <xf numFmtId="0" fontId="19" fillId="2" borderId="16" xfId="0" applyFont="1" applyFill="1" applyBorder="1" applyAlignment="1" applyProtection="1">
      <alignment vertical="center"/>
      <protection locked="0"/>
    </xf>
    <xf numFmtId="0" fontId="0" fillId="0" borderId="15" xfId="0" applyBorder="1" applyAlignment="1" applyProtection="1">
      <alignment vertical="center"/>
      <protection locked="0"/>
    </xf>
    <xf numFmtId="181" fontId="27" fillId="3" borderId="0" xfId="0" applyNumberFormat="1" applyFont="1" applyFill="1" applyBorder="1" applyAlignment="1" applyProtection="1">
      <alignment horizontal="center" vertical="center"/>
      <protection locked="0"/>
    </xf>
    <xf numFmtId="2" fontId="27" fillId="3" borderId="0" xfId="0" applyNumberFormat="1" applyFont="1" applyFill="1" applyBorder="1" applyAlignment="1" applyProtection="1">
      <alignment horizontal="center" vertical="center"/>
      <protection locked="0"/>
    </xf>
    <xf numFmtId="49" fontId="20" fillId="0" borderId="14" xfId="0" applyNumberFormat="1" applyFont="1" applyBorder="1" applyAlignment="1" applyProtection="1">
      <alignment horizontal="center" vertical="center" wrapText="1"/>
    </xf>
    <xf numFmtId="49" fontId="20" fillId="0" borderId="4" xfId="0" applyNumberFormat="1" applyFont="1" applyBorder="1" applyAlignment="1" applyProtection="1">
      <alignment horizontal="center" vertical="center" wrapText="1"/>
    </xf>
    <xf numFmtId="49" fontId="20" fillId="0" borderId="13" xfId="0" applyNumberFormat="1" applyFont="1" applyBorder="1" applyAlignment="1" applyProtection="1">
      <alignment horizontal="center" vertical="center" wrapText="1"/>
    </xf>
    <xf numFmtId="49" fontId="20" fillId="0" borderId="16" xfId="0" applyNumberFormat="1" applyFont="1" applyBorder="1" applyAlignment="1" applyProtection="1">
      <alignment horizontal="center" vertical="center" wrapText="1"/>
    </xf>
    <xf numFmtId="49" fontId="20" fillId="0" borderId="0" xfId="0" applyNumberFormat="1" applyFont="1" applyBorder="1" applyAlignment="1" applyProtection="1">
      <alignment horizontal="center" vertical="center" wrapText="1"/>
    </xf>
    <xf numFmtId="49" fontId="20" fillId="0" borderId="15" xfId="0" applyNumberFormat="1" applyFont="1" applyBorder="1" applyAlignment="1" applyProtection="1">
      <alignment horizontal="center" vertical="center" wrapText="1"/>
    </xf>
    <xf numFmtId="49" fontId="20" fillId="0" borderId="36" xfId="0" applyNumberFormat="1" applyFont="1" applyBorder="1" applyAlignment="1" applyProtection="1">
      <alignment horizontal="center" vertical="center" wrapText="1"/>
    </xf>
    <xf numFmtId="49" fontId="20" fillId="0" borderId="37" xfId="0" applyNumberFormat="1" applyFont="1" applyBorder="1" applyAlignment="1" applyProtection="1">
      <alignment horizontal="center" vertical="center" wrapText="1"/>
    </xf>
    <xf numFmtId="49" fontId="20" fillId="0" borderId="38" xfId="0" applyNumberFormat="1" applyFont="1" applyBorder="1" applyAlignment="1" applyProtection="1">
      <alignment horizontal="center" vertical="center" wrapText="1"/>
    </xf>
    <xf numFmtId="0" fontId="50" fillId="0" borderId="32" xfId="0" applyNumberFormat="1" applyFont="1" applyBorder="1" applyAlignment="1" applyProtection="1">
      <alignment vertical="center"/>
    </xf>
    <xf numFmtId="0" fontId="50" fillId="0" borderId="33" xfId="0" applyNumberFormat="1" applyFont="1" applyBorder="1" applyAlignment="1" applyProtection="1">
      <alignment vertical="center"/>
    </xf>
    <xf numFmtId="0" fontId="50" fillId="0" borderId="34" xfId="0" applyNumberFormat="1" applyFont="1" applyBorder="1" applyAlignment="1" applyProtection="1">
      <alignment vertical="center"/>
    </xf>
    <xf numFmtId="2" fontId="30" fillId="3" borderId="28" xfId="0" applyNumberFormat="1" applyFont="1" applyFill="1" applyBorder="1" applyAlignment="1" applyProtection="1">
      <alignment horizontal="center" vertical="center"/>
      <protection locked="0"/>
    </xf>
    <xf numFmtId="0" fontId="23" fillId="0" borderId="12" xfId="0" applyNumberFormat="1" applyFont="1" applyBorder="1" applyAlignment="1" applyProtection="1">
      <alignment horizontal="center" vertical="center" wrapText="1"/>
    </xf>
    <xf numFmtId="0" fontId="23" fillId="0" borderId="4" xfId="0" applyNumberFormat="1" applyFont="1" applyBorder="1" applyAlignment="1" applyProtection="1">
      <alignment horizontal="center" vertical="center" wrapText="1"/>
    </xf>
    <xf numFmtId="0" fontId="23" fillId="0" borderId="13" xfId="0" applyNumberFormat="1" applyFont="1" applyBorder="1" applyAlignment="1" applyProtection="1">
      <alignment horizontal="center" vertical="center" wrapText="1"/>
    </xf>
    <xf numFmtId="0" fontId="23" fillId="0" borderId="11" xfId="0" applyNumberFormat="1" applyFont="1" applyBorder="1" applyAlignment="1" applyProtection="1">
      <alignment horizontal="center" vertical="center" wrapText="1"/>
    </xf>
    <xf numFmtId="0" fontId="23" fillId="0" borderId="0" xfId="0" applyNumberFormat="1" applyFont="1" applyBorder="1" applyAlignment="1" applyProtection="1">
      <alignment horizontal="center" vertical="center" wrapText="1"/>
    </xf>
    <xf numFmtId="0" fontId="23" fillId="0" borderId="15" xfId="0" applyNumberFormat="1" applyFont="1" applyBorder="1" applyAlignment="1" applyProtection="1">
      <alignment horizontal="center" vertical="center" wrapText="1"/>
    </xf>
    <xf numFmtId="0" fontId="23" fillId="0" borderId="27" xfId="0" applyNumberFormat="1" applyFont="1" applyBorder="1" applyAlignment="1" applyProtection="1">
      <alignment horizontal="center" vertical="center" wrapText="1"/>
    </xf>
    <xf numFmtId="0" fontId="23" fillId="0" borderId="28" xfId="0" applyNumberFormat="1" applyFont="1" applyBorder="1" applyAlignment="1" applyProtection="1">
      <alignment horizontal="center" vertical="center" wrapText="1"/>
    </xf>
    <xf numFmtId="0" fontId="23" fillId="0" borderId="29" xfId="0" applyNumberFormat="1" applyFont="1" applyBorder="1" applyAlignment="1" applyProtection="1">
      <alignment horizontal="center" vertical="center" wrapText="1"/>
    </xf>
    <xf numFmtId="181" fontId="21" fillId="0" borderId="0" xfId="0" applyNumberFormat="1" applyFont="1" applyBorder="1" applyAlignment="1" applyProtection="1">
      <alignment horizontal="center" vertical="center"/>
    </xf>
    <xf numFmtId="0" fontId="17" fillId="0" borderId="0" xfId="0" applyNumberFormat="1" applyFont="1" applyBorder="1" applyAlignment="1" applyProtection="1">
      <alignment horizontal="center" vertical="center"/>
    </xf>
    <xf numFmtId="181" fontId="21" fillId="2" borderId="0" xfId="0" applyNumberFormat="1" applyFont="1" applyFill="1" applyAlignment="1" applyProtection="1">
      <alignment horizontal="center" vertical="center"/>
      <protection locked="0"/>
    </xf>
    <xf numFmtId="0" fontId="21" fillId="0" borderId="0" xfId="0" applyFont="1" applyAlignment="1" applyProtection="1">
      <alignment horizontal="left" vertical="center"/>
    </xf>
    <xf numFmtId="1" fontId="27" fillId="0" borderId="19" xfId="0" applyNumberFormat="1" applyFont="1" applyFill="1" applyBorder="1" applyAlignment="1" applyProtection="1">
      <alignment horizontal="center" vertical="center"/>
    </xf>
    <xf numFmtId="0" fontId="27" fillId="0" borderId="19" xfId="0" applyNumberFormat="1" applyFont="1" applyFill="1" applyBorder="1" applyAlignment="1" applyProtection="1">
      <alignment horizontal="center" vertical="center"/>
    </xf>
    <xf numFmtId="181" fontId="21" fillId="2" borderId="0" xfId="0" applyNumberFormat="1" applyFont="1" applyFill="1" applyBorder="1" applyAlignment="1" applyProtection="1">
      <alignment horizontal="center" vertical="center"/>
      <protection locked="0"/>
    </xf>
    <xf numFmtId="2" fontId="27" fillId="2" borderId="19" xfId="0" applyNumberFormat="1" applyFont="1" applyFill="1" applyBorder="1" applyAlignment="1" applyProtection="1">
      <alignment horizontal="center" vertical="center"/>
      <protection locked="0"/>
    </xf>
    <xf numFmtId="180" fontId="27" fillId="0" borderId="19" xfId="0" applyNumberFormat="1" applyFont="1" applyFill="1" applyBorder="1" applyAlignment="1" applyProtection="1">
      <alignment horizontal="center" vertical="center"/>
    </xf>
    <xf numFmtId="0" fontId="23" fillId="0" borderId="12" xfId="0" applyNumberFormat="1" applyFont="1" applyFill="1" applyBorder="1" applyAlignment="1" applyProtection="1">
      <alignment horizontal="center" vertical="center" wrapText="1"/>
    </xf>
    <xf numFmtId="0" fontId="23" fillId="0" borderId="4" xfId="0" applyNumberFormat="1" applyFont="1" applyFill="1" applyBorder="1" applyAlignment="1" applyProtection="1">
      <alignment horizontal="center" vertical="center"/>
    </xf>
    <xf numFmtId="0" fontId="23" fillId="0" borderId="13" xfId="0" applyNumberFormat="1" applyFont="1" applyFill="1" applyBorder="1" applyAlignment="1" applyProtection="1">
      <alignment horizontal="center" vertical="center"/>
    </xf>
    <xf numFmtId="0" fontId="23" fillId="0" borderId="11"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0" fontId="23" fillId="0" borderId="15" xfId="0" applyNumberFormat="1" applyFont="1" applyFill="1" applyBorder="1" applyAlignment="1" applyProtection="1">
      <alignment horizontal="center" vertical="center"/>
    </xf>
    <xf numFmtId="0" fontId="23" fillId="0" borderId="18" xfId="0" applyNumberFormat="1" applyFont="1" applyFill="1" applyBorder="1" applyAlignment="1" applyProtection="1">
      <alignment horizontal="center" vertical="center"/>
    </xf>
    <xf numFmtId="0" fontId="23" fillId="0" borderId="19" xfId="0" applyNumberFormat="1" applyFont="1" applyFill="1" applyBorder="1" applyAlignment="1" applyProtection="1">
      <alignment horizontal="center" vertical="center"/>
    </xf>
    <xf numFmtId="0" fontId="23" fillId="0" borderId="20" xfId="0" applyNumberFormat="1" applyFont="1" applyFill="1" applyBorder="1" applyAlignment="1" applyProtection="1">
      <alignment horizontal="center" vertical="center"/>
    </xf>
    <xf numFmtId="0" fontId="27" fillId="0" borderId="0" xfId="0" applyNumberFormat="1" applyFont="1" applyAlignment="1" applyProtection="1">
      <alignment horizontal="center" vertical="center"/>
    </xf>
    <xf numFmtId="0" fontId="40" fillId="0" borderId="16" xfId="0" applyNumberFormat="1" applyFont="1" applyBorder="1" applyAlignment="1" applyProtection="1">
      <alignment horizontal="center" vertical="center" wrapText="1"/>
    </xf>
    <xf numFmtId="0" fontId="40" fillId="0" borderId="0" xfId="0" applyNumberFormat="1" applyFont="1" applyBorder="1" applyAlignment="1" applyProtection="1">
      <alignment horizontal="center" vertical="center" wrapText="1"/>
    </xf>
    <xf numFmtId="0" fontId="40" fillId="0" borderId="15" xfId="0" applyNumberFormat="1" applyFont="1" applyBorder="1" applyAlignment="1" applyProtection="1">
      <alignment horizontal="center" vertical="center" wrapText="1"/>
    </xf>
    <xf numFmtId="0" fontId="40" fillId="0" borderId="30" xfId="0" applyNumberFormat="1" applyFont="1" applyBorder="1" applyAlignment="1" applyProtection="1">
      <alignment horizontal="center" vertical="center" wrapText="1"/>
    </xf>
    <xf numFmtId="0" fontId="40" fillId="0" borderId="28" xfId="0" applyNumberFormat="1" applyFont="1" applyBorder="1" applyAlignment="1" applyProtection="1">
      <alignment horizontal="center" vertical="center" wrapText="1"/>
    </xf>
    <xf numFmtId="0" fontId="40" fillId="0" borderId="29" xfId="0" applyNumberFormat="1" applyFont="1" applyBorder="1" applyAlignment="1" applyProtection="1">
      <alignment horizontal="center" vertical="center" wrapText="1"/>
    </xf>
    <xf numFmtId="0" fontId="40" fillId="0" borderId="16" xfId="0" applyNumberFormat="1" applyFont="1" applyFill="1" applyBorder="1" applyAlignment="1" applyProtection="1">
      <alignment horizontal="center" vertical="center" wrapText="1"/>
    </xf>
    <xf numFmtId="0" fontId="40" fillId="0" borderId="0" xfId="0" applyNumberFormat="1" applyFont="1" applyFill="1" applyBorder="1" applyAlignment="1" applyProtection="1">
      <alignment horizontal="center" vertical="center" wrapText="1"/>
    </xf>
    <xf numFmtId="0" fontId="40" fillId="0" borderId="15" xfId="0" applyNumberFormat="1" applyFont="1" applyFill="1" applyBorder="1" applyAlignment="1" applyProtection="1">
      <alignment horizontal="center" vertical="center" wrapText="1"/>
    </xf>
    <xf numFmtId="0" fontId="40" fillId="0" borderId="30" xfId="0" applyNumberFormat="1" applyFont="1" applyFill="1" applyBorder="1" applyAlignment="1" applyProtection="1">
      <alignment horizontal="center" vertical="center" wrapText="1"/>
    </xf>
    <xf numFmtId="0" fontId="40" fillId="0" borderId="28" xfId="0" applyNumberFormat="1" applyFont="1" applyFill="1" applyBorder="1" applyAlignment="1" applyProtection="1">
      <alignment horizontal="center" vertical="center" wrapText="1"/>
    </xf>
    <xf numFmtId="0" fontId="40" fillId="0" borderId="29" xfId="0" applyNumberFormat="1" applyFont="1" applyFill="1" applyBorder="1" applyAlignment="1" applyProtection="1">
      <alignment horizontal="center" vertical="center" wrapText="1"/>
    </xf>
    <xf numFmtId="0" fontId="19" fillId="0" borderId="43" xfId="0" applyFont="1" applyBorder="1" applyAlignment="1" applyProtection="1">
      <alignment horizontal="center" vertical="center"/>
    </xf>
    <xf numFmtId="0" fontId="19" fillId="0" borderId="44" xfId="0" applyFont="1" applyBorder="1" applyAlignment="1" applyProtection="1">
      <alignment horizontal="center" vertical="center"/>
    </xf>
    <xf numFmtId="0" fontId="19" fillId="0" borderId="14" xfId="0" applyFont="1" applyBorder="1" applyAlignment="1" applyProtection="1">
      <alignment horizontal="center" vertical="center" wrapText="1"/>
    </xf>
    <xf numFmtId="0" fontId="19" fillId="0" borderId="13" xfId="0" applyFont="1" applyBorder="1" applyAlignment="1" applyProtection="1">
      <alignment horizontal="center" vertical="center" wrapText="1"/>
    </xf>
    <xf numFmtId="0" fontId="19" fillId="0" borderId="30" xfId="0" applyFont="1" applyBorder="1" applyAlignment="1" applyProtection="1">
      <alignment horizontal="center" vertical="center" wrapText="1"/>
    </xf>
    <xf numFmtId="0" fontId="19" fillId="0" borderId="29" xfId="0" applyFont="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22" fillId="0" borderId="13" xfId="0" applyFont="1" applyBorder="1" applyAlignment="1" applyProtection="1">
      <alignment horizontal="center" vertical="center"/>
    </xf>
    <xf numFmtId="0" fontId="22" fillId="0" borderId="30" xfId="0" applyFont="1" applyBorder="1" applyAlignment="1" applyProtection="1">
      <alignment horizontal="center" vertical="center"/>
    </xf>
    <xf numFmtId="0" fontId="22" fillId="0" borderId="29" xfId="0" applyFont="1" applyBorder="1" applyAlignment="1" applyProtection="1">
      <alignment horizontal="center" vertical="center"/>
    </xf>
    <xf numFmtId="0" fontId="23" fillId="0" borderId="12" xfId="0" applyFont="1" applyBorder="1" applyAlignment="1" applyProtection="1">
      <alignment horizontal="center" vertical="center" wrapText="1"/>
    </xf>
    <xf numFmtId="0" fontId="23" fillId="0" borderId="4" xfId="0" applyFont="1" applyBorder="1" applyAlignment="1" applyProtection="1">
      <alignment horizontal="center" vertical="center"/>
    </xf>
    <xf numFmtId="0" fontId="23" fillId="0" borderId="13" xfId="0" applyFont="1" applyBorder="1" applyAlignment="1" applyProtection="1">
      <alignment horizontal="center" vertical="center"/>
    </xf>
    <xf numFmtId="0" fontId="23" fillId="0" borderId="11"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27" xfId="0" applyFont="1" applyBorder="1" applyAlignment="1" applyProtection="1">
      <alignment horizontal="center" vertical="center"/>
    </xf>
    <xf numFmtId="0" fontId="23" fillId="0" borderId="28" xfId="0" applyFont="1" applyBorder="1" applyAlignment="1" applyProtection="1">
      <alignment horizontal="center" vertical="center"/>
    </xf>
    <xf numFmtId="0" fontId="23" fillId="0" borderId="29" xfId="0" applyFont="1" applyBorder="1" applyAlignment="1" applyProtection="1">
      <alignment horizontal="center" vertical="center"/>
    </xf>
    <xf numFmtId="0" fontId="19" fillId="0" borderId="16" xfId="0" applyFont="1" applyBorder="1" applyAlignment="1" applyProtection="1">
      <alignment vertical="center"/>
    </xf>
    <xf numFmtId="0" fontId="0" fillId="0" borderId="15" xfId="0" applyBorder="1" applyAlignment="1">
      <alignment vertical="center"/>
    </xf>
    <xf numFmtId="0" fontId="19" fillId="2" borderId="30" xfId="0" applyFont="1" applyFill="1" applyBorder="1" applyAlignment="1" applyProtection="1">
      <alignment vertical="center"/>
      <protection locked="0"/>
    </xf>
    <xf numFmtId="0" fontId="0" fillId="0" borderId="29" xfId="0" applyBorder="1" applyAlignment="1" applyProtection="1">
      <alignment vertical="center"/>
      <protection locked="0"/>
    </xf>
    <xf numFmtId="0" fontId="19" fillId="0" borderId="30" xfId="0" applyFont="1" applyBorder="1" applyAlignment="1" applyProtection="1">
      <alignment vertical="center"/>
    </xf>
    <xf numFmtId="0" fontId="0" fillId="0" borderId="29" xfId="0" applyBorder="1" applyAlignment="1">
      <alignment vertical="center"/>
    </xf>
    <xf numFmtId="183" fontId="17" fillId="0" borderId="0" xfId="0" applyNumberFormat="1" applyFont="1" applyBorder="1" applyAlignment="1" applyProtection="1">
      <alignment horizontal="center" vertical="center"/>
    </xf>
    <xf numFmtId="181" fontId="17" fillId="0" borderId="0" xfId="0" applyNumberFormat="1" applyFont="1" applyBorder="1" applyAlignment="1" applyProtection="1">
      <alignment horizontal="center" vertical="center"/>
    </xf>
    <xf numFmtId="180" fontId="27" fillId="3" borderId="19" xfId="3" applyNumberFormat="1" applyFont="1" applyFill="1" applyBorder="1" applyAlignment="1" applyProtection="1">
      <alignment horizontal="center" vertical="center"/>
      <protection locked="0"/>
    </xf>
    <xf numFmtId="0" fontId="17" fillId="0" borderId="0" xfId="0" applyNumberFormat="1"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4" xfId="0" applyFont="1" applyBorder="1" applyAlignment="1" applyProtection="1">
      <alignment horizontal="center" vertical="center"/>
    </xf>
    <xf numFmtId="0" fontId="20" fillId="0" borderId="13" xfId="0" applyFont="1" applyBorder="1" applyAlignment="1" applyProtection="1">
      <alignment horizontal="center" vertical="center"/>
    </xf>
    <xf numFmtId="0" fontId="20" fillId="0" borderId="16"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30" xfId="0" applyFont="1" applyBorder="1" applyAlignment="1" applyProtection="1">
      <alignment horizontal="center" vertical="center"/>
    </xf>
    <xf numFmtId="0" fontId="20" fillId="0" borderId="28" xfId="0" applyFont="1" applyBorder="1" applyAlignment="1" applyProtection="1">
      <alignment horizontal="center" vertical="center"/>
    </xf>
    <xf numFmtId="0" fontId="20" fillId="0" borderId="29" xfId="0" applyFont="1" applyBorder="1" applyAlignment="1" applyProtection="1">
      <alignment horizontal="center" vertical="center"/>
    </xf>
    <xf numFmtId="0" fontId="20" fillId="0" borderId="14" xfId="0" applyNumberFormat="1" applyFont="1" applyFill="1" applyBorder="1" applyAlignment="1" applyProtection="1">
      <alignment horizontal="center" vertical="center" wrapText="1"/>
    </xf>
    <xf numFmtId="0" fontId="20" fillId="0" borderId="4"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20" fillId="0" borderId="16"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wrapText="1"/>
    </xf>
    <xf numFmtId="0" fontId="20" fillId="0" borderId="21" xfId="0" applyNumberFormat="1" applyFont="1" applyFill="1" applyBorder="1" applyAlignment="1" applyProtection="1">
      <alignment horizontal="center" vertical="center" wrapText="1"/>
    </xf>
    <xf numFmtId="0" fontId="20" fillId="0" borderId="19" xfId="0" applyNumberFormat="1" applyFont="1" applyFill="1" applyBorder="1" applyAlignment="1" applyProtection="1">
      <alignment horizontal="center" vertical="center" wrapText="1"/>
    </xf>
    <xf numFmtId="0" fontId="20" fillId="0" borderId="20" xfId="0" applyNumberFormat="1" applyFont="1" applyFill="1" applyBorder="1" applyAlignment="1" applyProtection="1">
      <alignment horizontal="center" vertical="center" wrapText="1"/>
    </xf>
    <xf numFmtId="0" fontId="23" fillId="0" borderId="14" xfId="0" applyNumberFormat="1" applyFont="1" applyBorder="1" applyAlignment="1" applyProtection="1">
      <alignment horizontal="center" vertical="center"/>
    </xf>
    <xf numFmtId="0" fontId="23" fillId="0" borderId="4" xfId="0" applyNumberFormat="1" applyFont="1" applyBorder="1" applyAlignment="1" applyProtection="1">
      <alignment horizontal="center" vertical="center"/>
    </xf>
    <xf numFmtId="0" fontId="23" fillId="0" borderId="5" xfId="0" applyNumberFormat="1" applyFont="1" applyBorder="1" applyAlignment="1" applyProtection="1">
      <alignment horizontal="center" vertical="center"/>
    </xf>
    <xf numFmtId="0" fontId="23" fillId="0" borderId="16" xfId="0" applyNumberFormat="1" applyFont="1" applyBorder="1" applyAlignment="1" applyProtection="1">
      <alignment horizontal="center" vertical="center"/>
    </xf>
    <xf numFmtId="0" fontId="23" fillId="0" borderId="0" xfId="0" applyNumberFormat="1" applyFont="1" applyBorder="1" applyAlignment="1" applyProtection="1">
      <alignment horizontal="center" vertical="center"/>
    </xf>
    <xf numFmtId="0" fontId="23" fillId="0" borderId="17" xfId="0" applyNumberFormat="1" applyFont="1" applyBorder="1" applyAlignment="1" applyProtection="1">
      <alignment horizontal="center" vertical="center"/>
    </xf>
    <xf numFmtId="0" fontId="23" fillId="0" borderId="30" xfId="0" applyNumberFormat="1" applyFont="1" applyBorder="1" applyAlignment="1" applyProtection="1">
      <alignment horizontal="center" vertical="center"/>
    </xf>
    <xf numFmtId="0" fontId="23" fillId="0" borderId="28" xfId="0" applyNumberFormat="1" applyFont="1" applyBorder="1" applyAlignment="1" applyProtection="1">
      <alignment horizontal="center" vertical="center"/>
    </xf>
    <xf numFmtId="0" fontId="23" fillId="0" borderId="31" xfId="0" applyNumberFormat="1" applyFont="1" applyBorder="1" applyAlignment="1" applyProtection="1">
      <alignment horizontal="center" vertical="center"/>
    </xf>
    <xf numFmtId="1" fontId="17" fillId="0" borderId="0" xfId="0" applyNumberFormat="1" applyFont="1" applyBorder="1" applyAlignment="1" applyProtection="1">
      <alignment horizontal="center" vertical="center"/>
    </xf>
    <xf numFmtId="177" fontId="17" fillId="0" borderId="0" xfId="0" applyNumberFormat="1" applyFont="1" applyBorder="1" applyAlignment="1" applyProtection="1">
      <alignment horizontal="center" vertical="center"/>
    </xf>
    <xf numFmtId="181" fontId="27" fillId="2" borderId="28" xfId="3" applyNumberFormat="1" applyFont="1" applyFill="1" applyBorder="1" applyAlignment="1" applyProtection="1">
      <alignment horizontal="center" vertical="center"/>
      <protection locked="0"/>
    </xf>
    <xf numFmtId="0" fontId="23" fillId="0" borderId="12" xfId="0" applyNumberFormat="1" applyFont="1" applyBorder="1" applyAlignment="1" applyProtection="1">
      <alignment horizontal="center" vertical="center"/>
    </xf>
    <xf numFmtId="0" fontId="23" fillId="0" borderId="13" xfId="0" applyNumberFormat="1" applyFont="1" applyBorder="1" applyAlignment="1" applyProtection="1">
      <alignment horizontal="center" vertical="center"/>
    </xf>
    <xf numFmtId="0" fontId="23" fillId="0" borderId="11" xfId="0" applyNumberFormat="1" applyFont="1" applyBorder="1" applyAlignment="1" applyProtection="1">
      <alignment horizontal="center" vertical="center"/>
    </xf>
    <xf numFmtId="0" fontId="23" fillId="0" borderId="15" xfId="0" applyNumberFormat="1" applyFont="1" applyBorder="1" applyAlignment="1" applyProtection="1">
      <alignment horizontal="center" vertical="center"/>
    </xf>
    <xf numFmtId="0" fontId="23" fillId="0" borderId="27" xfId="0" applyNumberFormat="1" applyFont="1" applyBorder="1" applyAlignment="1" applyProtection="1">
      <alignment horizontal="center" vertical="center"/>
    </xf>
    <xf numFmtId="0" fontId="23" fillId="0" borderId="29" xfId="0" applyNumberFormat="1" applyFont="1" applyBorder="1" applyAlignment="1" applyProtection="1">
      <alignment horizontal="center" vertical="center"/>
    </xf>
    <xf numFmtId="1" fontId="27" fillId="2" borderId="0" xfId="0" applyNumberFormat="1" applyFont="1" applyFill="1" applyBorder="1" applyAlignment="1" applyProtection="1">
      <alignment horizontal="center" vertical="center"/>
      <protection locked="0"/>
    </xf>
    <xf numFmtId="2" fontId="17" fillId="0" borderId="4" xfId="0" applyNumberFormat="1" applyFont="1" applyBorder="1" applyAlignment="1" applyProtection="1">
      <alignment horizontal="center" vertical="center"/>
    </xf>
    <xf numFmtId="0" fontId="23" fillId="0" borderId="14" xfId="0" applyNumberFormat="1" applyFont="1" applyFill="1" applyBorder="1" applyAlignment="1" applyProtection="1">
      <alignment horizontal="center" vertical="center" wrapText="1"/>
    </xf>
    <xf numFmtId="0" fontId="23" fillId="0" borderId="4" xfId="0" applyNumberFormat="1" applyFont="1" applyFill="1" applyBorder="1" applyAlignment="1" applyProtection="1">
      <alignment horizontal="center" vertical="center" wrapText="1"/>
    </xf>
    <xf numFmtId="0" fontId="23" fillId="0" borderId="5" xfId="0" applyNumberFormat="1" applyFont="1" applyFill="1" applyBorder="1" applyAlignment="1" applyProtection="1">
      <alignment horizontal="center" vertical="center" wrapText="1"/>
    </xf>
    <xf numFmtId="0" fontId="23" fillId="0" borderId="16"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23" fillId="0" borderId="17" xfId="0" applyNumberFormat="1" applyFont="1" applyFill="1" applyBorder="1" applyAlignment="1" applyProtection="1">
      <alignment horizontal="center" vertical="center" wrapText="1"/>
    </xf>
    <xf numFmtId="0" fontId="23" fillId="0" borderId="30" xfId="0" applyNumberFormat="1" applyFont="1" applyFill="1" applyBorder="1" applyAlignment="1" applyProtection="1">
      <alignment horizontal="center" vertical="center" wrapText="1"/>
    </xf>
    <xf numFmtId="0" fontId="23" fillId="0" borderId="28" xfId="0" applyNumberFormat="1" applyFont="1" applyFill="1" applyBorder="1" applyAlignment="1" applyProtection="1">
      <alignment horizontal="center" vertical="center" wrapText="1"/>
    </xf>
    <xf numFmtId="0" fontId="23" fillId="0" borderId="31" xfId="0" applyNumberFormat="1" applyFont="1" applyFill="1" applyBorder="1" applyAlignment="1" applyProtection="1">
      <alignment horizontal="center" vertical="center" wrapText="1"/>
    </xf>
    <xf numFmtId="2" fontId="27" fillId="5" borderId="0" xfId="0" applyNumberFormat="1" applyFont="1" applyFill="1" applyBorder="1" applyAlignment="1" applyProtection="1">
      <alignment horizontal="center" vertical="center"/>
      <protection locked="0"/>
    </xf>
    <xf numFmtId="2" fontId="17" fillId="0" borderId="30" xfId="0" applyNumberFormat="1" applyFont="1" applyFill="1" applyBorder="1" applyAlignment="1" applyProtection="1">
      <alignment horizontal="center" vertical="center"/>
    </xf>
    <xf numFmtId="2" fontId="17" fillId="0" borderId="28" xfId="0" applyNumberFormat="1" applyFont="1" applyFill="1" applyBorder="1" applyAlignment="1" applyProtection="1">
      <alignment horizontal="center" vertical="center"/>
    </xf>
    <xf numFmtId="181" fontId="27" fillId="2" borderId="28" xfId="0" applyNumberFormat="1" applyFont="1" applyFill="1" applyBorder="1" applyAlignment="1" applyProtection="1">
      <alignment horizontal="center" vertical="center"/>
      <protection locked="0"/>
    </xf>
    <xf numFmtId="181" fontId="27" fillId="2" borderId="28" xfId="5" applyNumberFormat="1" applyFont="1" applyFill="1" applyBorder="1" applyAlignment="1" applyProtection="1">
      <alignment horizontal="center" vertical="center"/>
      <protection locked="0"/>
    </xf>
    <xf numFmtId="0" fontId="23" fillId="0" borderId="14" xfId="0" applyNumberFormat="1" applyFont="1" applyFill="1" applyBorder="1" applyAlignment="1" applyProtection="1">
      <alignment horizontal="center" vertical="center"/>
    </xf>
    <xf numFmtId="0" fontId="23" fillId="0" borderId="5" xfId="0" applyNumberFormat="1" applyFont="1" applyFill="1" applyBorder="1" applyAlignment="1" applyProtection="1">
      <alignment horizontal="center" vertical="center"/>
    </xf>
    <xf numFmtId="0" fontId="23" fillId="0" borderId="16" xfId="0" applyNumberFormat="1" applyFont="1" applyFill="1" applyBorder="1" applyAlignment="1" applyProtection="1">
      <alignment horizontal="center" vertical="center"/>
    </xf>
    <xf numFmtId="0" fontId="23" fillId="0" borderId="17" xfId="0" applyNumberFormat="1" applyFont="1" applyFill="1" applyBorder="1" applyAlignment="1" applyProtection="1">
      <alignment horizontal="center" vertical="center"/>
    </xf>
    <xf numFmtId="0" fontId="23" fillId="0" borderId="21" xfId="0" applyNumberFormat="1" applyFont="1" applyFill="1" applyBorder="1" applyAlignment="1" applyProtection="1">
      <alignment horizontal="center" vertical="center"/>
    </xf>
    <xf numFmtId="0" fontId="23" fillId="0" borderId="24" xfId="0" applyNumberFormat="1" applyFont="1" applyFill="1" applyBorder="1" applyAlignment="1" applyProtection="1">
      <alignment horizontal="center" vertical="center"/>
    </xf>
    <xf numFmtId="182" fontId="17" fillId="0" borderId="0" xfId="3" applyNumberFormat="1" applyFont="1" applyBorder="1" applyAlignment="1" applyProtection="1">
      <alignment horizontal="center" vertical="center"/>
    </xf>
    <xf numFmtId="0" fontId="23" fillId="0" borderId="30" xfId="0" applyNumberFormat="1" applyFont="1" applyFill="1" applyBorder="1" applyAlignment="1" applyProtection="1">
      <alignment horizontal="center" vertical="center"/>
    </xf>
    <xf numFmtId="0" fontId="23" fillId="0" borderId="28" xfId="0" applyNumberFormat="1" applyFont="1" applyFill="1" applyBorder="1" applyAlignment="1" applyProtection="1">
      <alignment horizontal="center" vertical="center"/>
    </xf>
    <xf numFmtId="0" fontId="23" fillId="0" borderId="31" xfId="0" applyNumberFormat="1" applyFont="1" applyFill="1" applyBorder="1" applyAlignment="1" applyProtection="1">
      <alignment horizontal="center" vertical="center"/>
    </xf>
    <xf numFmtId="2" fontId="30" fillId="0" borderId="0" xfId="0" applyNumberFormat="1" applyFont="1" applyFill="1" applyBorder="1" applyAlignment="1" applyProtection="1">
      <alignment horizontal="center" vertical="center"/>
    </xf>
    <xf numFmtId="0" fontId="16" fillId="0" borderId="0"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2" borderId="0"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protection locked="0"/>
    </xf>
    <xf numFmtId="0" fontId="18" fillId="0" borderId="6" xfId="0" applyFont="1" applyBorder="1" applyAlignment="1" applyProtection="1">
      <alignment horizontal="center" vertical="center"/>
    </xf>
    <xf numFmtId="0" fontId="18" fillId="0" borderId="7" xfId="0" applyFont="1" applyBorder="1" applyAlignment="1" applyProtection="1">
      <alignment horizontal="center" vertical="center"/>
    </xf>
    <xf numFmtId="0" fontId="18" fillId="0" borderId="25" xfId="0" applyFont="1" applyBorder="1" applyAlignment="1" applyProtection="1">
      <alignment horizontal="center" vertical="center"/>
    </xf>
    <xf numFmtId="0" fontId="18" fillId="0" borderId="18" xfId="0" applyFont="1" applyBorder="1" applyAlignment="1" applyProtection="1">
      <alignment horizontal="center" vertical="center"/>
    </xf>
    <xf numFmtId="0" fontId="18" fillId="0" borderId="19" xfId="0" applyFont="1" applyBorder="1" applyAlignment="1" applyProtection="1">
      <alignment horizontal="center" vertical="center"/>
    </xf>
    <xf numFmtId="0" fontId="18" fillId="0" borderId="20" xfId="0" applyFont="1" applyBorder="1" applyAlignment="1" applyProtection="1">
      <alignment horizontal="center" vertical="center"/>
    </xf>
    <xf numFmtId="0" fontId="17" fillId="2" borderId="26"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22"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protection locked="0"/>
    </xf>
    <xf numFmtId="0" fontId="17" fillId="2" borderId="19" xfId="0" applyFont="1" applyFill="1" applyBorder="1" applyAlignment="1" applyProtection="1">
      <alignment horizontal="center" vertical="center"/>
      <protection locked="0"/>
    </xf>
    <xf numFmtId="0" fontId="17" fillId="2" borderId="24" xfId="0" applyFont="1" applyFill="1" applyBorder="1" applyAlignment="1" applyProtection="1">
      <alignment horizontal="center" vertical="center"/>
      <protection locked="0"/>
    </xf>
    <xf numFmtId="38" fontId="19" fillId="0" borderId="0" xfId="3" applyFont="1" applyAlignment="1" applyProtection="1">
      <alignment horizontal="center" vertical="center"/>
    </xf>
    <xf numFmtId="0" fontId="23" fillId="0" borderId="6" xfId="0" applyFont="1" applyBorder="1" applyAlignment="1" applyProtection="1">
      <alignment horizontal="center" vertical="center"/>
    </xf>
    <xf numFmtId="0" fontId="23" fillId="0" borderId="7" xfId="0" applyFont="1" applyBorder="1" applyAlignment="1" applyProtection="1">
      <alignment horizontal="center" vertical="center"/>
    </xf>
    <xf numFmtId="0" fontId="23" fillId="0" borderId="25" xfId="0" applyFont="1" applyBorder="1" applyAlignment="1" applyProtection="1">
      <alignment horizontal="center" vertical="center"/>
    </xf>
    <xf numFmtId="0" fontId="23" fillId="0" borderId="26" xfId="0" applyFont="1" applyBorder="1" applyAlignment="1" applyProtection="1">
      <alignment horizontal="center" vertical="center"/>
    </xf>
    <xf numFmtId="0" fontId="23" fillId="0" borderId="30" xfId="0" applyFont="1" applyBorder="1" applyAlignment="1" applyProtection="1">
      <alignment horizontal="center" vertical="center"/>
    </xf>
    <xf numFmtId="0" fontId="23" fillId="0" borderId="22" xfId="0" applyFont="1" applyBorder="1" applyAlignment="1" applyProtection="1">
      <alignment horizontal="center" vertical="center"/>
    </xf>
    <xf numFmtId="0" fontId="23" fillId="0" borderId="31" xfId="0" applyFont="1" applyBorder="1" applyAlignment="1" applyProtection="1">
      <alignment horizontal="center" vertical="center"/>
    </xf>
    <xf numFmtId="0" fontId="19" fillId="0" borderId="0" xfId="0" applyFont="1" applyFill="1" applyAlignment="1" applyProtection="1">
      <alignment horizontal="right" vertical="center"/>
    </xf>
    <xf numFmtId="0" fontId="0" fillId="0" borderId="0" xfId="0" applyAlignment="1">
      <alignment horizontal="right" vertical="center"/>
    </xf>
    <xf numFmtId="0" fontId="19" fillId="0" borderId="40" xfId="0" applyFont="1" applyBorder="1" applyAlignment="1" applyProtection="1">
      <alignment horizontal="right" vertical="center"/>
    </xf>
    <xf numFmtId="0" fontId="0" fillId="0" borderId="28" xfId="0" applyBorder="1" applyAlignment="1">
      <alignment horizontal="right" vertical="center"/>
    </xf>
    <xf numFmtId="1" fontId="25" fillId="0" borderId="40" xfId="0" applyNumberFormat="1" applyFont="1" applyFill="1" applyBorder="1" applyAlignment="1" applyProtection="1">
      <alignment horizontal="right" vertical="center"/>
    </xf>
    <xf numFmtId="0" fontId="0" fillId="0" borderId="41" xfId="0" applyBorder="1" applyAlignment="1">
      <alignment horizontal="right" vertical="center"/>
    </xf>
    <xf numFmtId="0" fontId="23" fillId="0" borderId="32" xfId="0" applyNumberFormat="1" applyFont="1" applyFill="1" applyBorder="1" applyAlignment="1" applyProtection="1">
      <alignment horizontal="center" vertical="center"/>
    </xf>
    <xf numFmtId="0" fontId="23" fillId="0" borderId="33" xfId="0" applyNumberFormat="1" applyFont="1" applyFill="1" applyBorder="1" applyAlignment="1" applyProtection="1">
      <alignment horizontal="center" vertical="center"/>
    </xf>
    <xf numFmtId="0" fontId="23" fillId="0" borderId="35" xfId="0" applyNumberFormat="1" applyFont="1" applyFill="1" applyBorder="1" applyAlignment="1" applyProtection="1">
      <alignment horizontal="center" vertical="center"/>
    </xf>
    <xf numFmtId="0" fontId="23" fillId="0" borderId="36" xfId="0" applyNumberFormat="1" applyFont="1" applyFill="1" applyBorder="1" applyAlignment="1" applyProtection="1">
      <alignment horizontal="center" vertical="center"/>
    </xf>
    <xf numFmtId="0" fontId="23" fillId="0" borderId="37" xfId="0" applyNumberFormat="1" applyFont="1" applyFill="1" applyBorder="1" applyAlignment="1" applyProtection="1">
      <alignment horizontal="center" vertical="center"/>
    </xf>
    <xf numFmtId="0" fontId="23" fillId="0" borderId="39" xfId="0" applyNumberFormat="1" applyFont="1" applyFill="1" applyBorder="1" applyAlignment="1" applyProtection="1">
      <alignment horizontal="center" vertical="center"/>
    </xf>
    <xf numFmtId="2" fontId="30" fillId="0" borderId="37" xfId="0" applyNumberFormat="1" applyFont="1" applyFill="1" applyBorder="1" applyAlignment="1" applyProtection="1">
      <alignment horizontal="center" vertical="center"/>
    </xf>
    <xf numFmtId="0" fontId="20" fillId="2" borderId="28" xfId="0" applyNumberFormat="1" applyFont="1" applyFill="1" applyBorder="1" applyAlignment="1" applyProtection="1">
      <alignment horizontal="center" vertical="center" shrinkToFit="1"/>
      <protection locked="0"/>
    </xf>
    <xf numFmtId="0" fontId="27" fillId="2" borderId="28" xfId="0" applyNumberFormat="1" applyFont="1" applyFill="1" applyBorder="1" applyAlignment="1" applyProtection="1">
      <alignment horizontal="center" vertical="center"/>
      <protection locked="0"/>
    </xf>
    <xf numFmtId="0" fontId="20" fillId="0" borderId="14" xfId="0" applyNumberFormat="1" applyFont="1" applyBorder="1" applyAlignment="1" applyProtection="1">
      <alignment horizontal="center" vertical="center" wrapText="1"/>
    </xf>
    <xf numFmtId="0" fontId="20" fillId="0" borderId="4" xfId="0" applyNumberFormat="1" applyFont="1" applyBorder="1" applyAlignment="1" applyProtection="1">
      <alignment horizontal="center" vertical="center"/>
    </xf>
    <xf numFmtId="0" fontId="20" fillId="0" borderId="13" xfId="0" applyNumberFormat="1" applyFont="1" applyBorder="1" applyAlignment="1" applyProtection="1">
      <alignment horizontal="center" vertical="center"/>
    </xf>
    <xf numFmtId="0" fontId="20" fillId="0" borderId="16" xfId="0" applyNumberFormat="1" applyFont="1" applyBorder="1" applyAlignment="1" applyProtection="1">
      <alignment horizontal="center" vertical="center"/>
    </xf>
    <xf numFmtId="0" fontId="20" fillId="0" borderId="0" xfId="0" applyNumberFormat="1" applyFont="1" applyBorder="1" applyAlignment="1" applyProtection="1">
      <alignment horizontal="center" vertical="center"/>
    </xf>
    <xf numFmtId="0" fontId="20" fillId="0" borderId="15" xfId="0" applyNumberFormat="1" applyFont="1" applyBorder="1" applyAlignment="1" applyProtection="1">
      <alignment horizontal="center" vertical="center"/>
    </xf>
    <xf numFmtId="0" fontId="20" fillId="0" borderId="30" xfId="0" applyNumberFormat="1" applyFont="1" applyBorder="1" applyAlignment="1" applyProtection="1">
      <alignment horizontal="center" vertical="center"/>
    </xf>
    <xf numFmtId="0" fontId="20" fillId="0" borderId="28" xfId="0" applyNumberFormat="1" applyFont="1" applyBorder="1" applyAlignment="1" applyProtection="1">
      <alignment horizontal="center" vertical="center"/>
    </xf>
    <xf numFmtId="0" fontId="20" fillId="0" borderId="29" xfId="0" applyNumberFormat="1" applyFont="1" applyBorder="1" applyAlignment="1" applyProtection="1">
      <alignment horizontal="center" vertical="center"/>
    </xf>
    <xf numFmtId="0" fontId="17" fillId="0" borderId="0" xfId="0" applyNumberFormat="1" applyFont="1" applyFill="1" applyBorder="1" applyAlignment="1" applyProtection="1">
      <alignment horizontal="center" vertical="center"/>
    </xf>
    <xf numFmtId="0" fontId="20" fillId="0" borderId="4" xfId="0" applyNumberFormat="1" applyFont="1" applyBorder="1" applyAlignment="1" applyProtection="1">
      <alignment horizontal="center" vertical="center" wrapText="1"/>
    </xf>
    <xf numFmtId="0" fontId="20" fillId="0" borderId="13" xfId="0" applyNumberFormat="1" applyFont="1" applyBorder="1" applyAlignment="1" applyProtection="1">
      <alignment horizontal="center" vertical="center" wrapText="1"/>
    </xf>
    <xf numFmtId="0" fontId="20" fillId="0" borderId="16" xfId="0" applyNumberFormat="1" applyFont="1" applyBorder="1" applyAlignment="1" applyProtection="1">
      <alignment horizontal="center" vertical="center" wrapText="1"/>
    </xf>
    <xf numFmtId="0" fontId="20" fillId="0" borderId="0" xfId="0" applyNumberFormat="1" applyFont="1" applyBorder="1" applyAlignment="1" applyProtection="1">
      <alignment horizontal="center" vertical="center" wrapText="1"/>
    </xf>
    <xf numFmtId="0" fontId="20" fillId="0" borderId="15" xfId="0" applyNumberFormat="1" applyFont="1" applyBorder="1" applyAlignment="1" applyProtection="1">
      <alignment horizontal="center" vertical="center" wrapText="1"/>
    </xf>
    <xf numFmtId="0" fontId="20" fillId="0" borderId="36" xfId="0" applyNumberFormat="1" applyFont="1" applyBorder="1" applyAlignment="1" applyProtection="1">
      <alignment horizontal="center" vertical="center" wrapText="1"/>
    </xf>
    <xf numFmtId="0" fontId="20" fillId="0" borderId="37" xfId="0" applyNumberFormat="1" applyFont="1" applyBorder="1" applyAlignment="1" applyProtection="1">
      <alignment horizontal="center" vertical="center" wrapText="1"/>
    </xf>
    <xf numFmtId="0" fontId="20" fillId="0" borderId="38" xfId="0" applyNumberFormat="1" applyFont="1" applyBorder="1" applyAlignment="1" applyProtection="1">
      <alignment horizontal="center" vertical="center" wrapText="1"/>
    </xf>
    <xf numFmtId="0" fontId="17" fillId="0" borderId="4" xfId="0" applyNumberFormat="1" applyFont="1" applyFill="1" applyBorder="1" applyAlignment="1" applyProtection="1">
      <alignment horizontal="center" vertical="center"/>
    </xf>
    <xf numFmtId="0" fontId="21" fillId="0" borderId="0" xfId="0" applyNumberFormat="1" applyFont="1" applyBorder="1" applyAlignment="1" applyProtection="1">
      <alignment horizontal="center" vertical="center"/>
    </xf>
    <xf numFmtId="2" fontId="21" fillId="0" borderId="0" xfId="0" applyNumberFormat="1" applyFont="1" applyFill="1" applyAlignment="1" applyProtection="1">
      <alignment horizontal="center" vertical="center"/>
    </xf>
    <xf numFmtId="181" fontId="21" fillId="0" borderId="0" xfId="0" applyNumberFormat="1" applyFont="1" applyFill="1" applyAlignment="1" applyProtection="1">
      <alignment horizontal="center" vertical="center"/>
    </xf>
    <xf numFmtId="0" fontId="21" fillId="0" borderId="0" xfId="0" applyFont="1" applyAlignment="1" applyProtection="1">
      <alignment horizontal="center" vertical="center"/>
    </xf>
    <xf numFmtId="181" fontId="21" fillId="0" borderId="0" xfId="0" applyNumberFormat="1" applyFont="1" applyAlignment="1" applyProtection="1">
      <alignment horizontal="center" vertical="center"/>
    </xf>
    <xf numFmtId="2" fontId="21" fillId="0" borderId="0" xfId="0" applyNumberFormat="1" applyFont="1" applyAlignment="1" applyProtection="1">
      <alignment horizontal="center" vertical="center"/>
    </xf>
    <xf numFmtId="2" fontId="21" fillId="3" borderId="0" xfId="0" applyNumberFormat="1" applyFont="1" applyFill="1" applyAlignment="1" applyProtection="1">
      <alignment horizontal="center" vertical="center"/>
      <protection locked="0"/>
    </xf>
    <xf numFmtId="185" fontId="21" fillId="0" borderId="0" xfId="0" applyNumberFormat="1" applyFont="1" applyAlignment="1" applyProtection="1">
      <alignment horizontal="center" vertical="center"/>
    </xf>
    <xf numFmtId="186" fontId="21" fillId="0" borderId="0" xfId="0" applyNumberFormat="1" applyFont="1" applyAlignment="1" applyProtection="1">
      <alignment horizontal="center" vertical="center"/>
    </xf>
    <xf numFmtId="2" fontId="30" fillId="0" borderId="0" xfId="0" applyNumberFormat="1" applyFont="1" applyFill="1" applyAlignment="1" applyProtection="1">
      <alignment horizontal="center" vertical="center"/>
      <protection locked="0"/>
    </xf>
    <xf numFmtId="0" fontId="19" fillId="2" borderId="14" xfId="0" applyFont="1" applyFill="1" applyBorder="1" applyAlignment="1" applyProtection="1">
      <alignment horizontal="right" vertical="center"/>
      <protection locked="0"/>
    </xf>
    <xf numFmtId="0" fontId="19" fillId="2" borderId="13" xfId="0" applyFont="1" applyFill="1" applyBorder="1" applyAlignment="1" applyProtection="1">
      <alignment horizontal="right" vertical="center"/>
      <protection locked="0"/>
    </xf>
    <xf numFmtId="0" fontId="19" fillId="2" borderId="14" xfId="0" applyFont="1" applyFill="1" applyBorder="1" applyAlignment="1" applyProtection="1">
      <alignment vertical="center"/>
      <protection locked="0"/>
    </xf>
    <xf numFmtId="0" fontId="0" fillId="0" borderId="13" xfId="0" applyBorder="1" applyAlignment="1" applyProtection="1">
      <alignment vertical="center"/>
      <protection locked="0"/>
    </xf>
    <xf numFmtId="181" fontId="19" fillId="0" borderId="0" xfId="0" applyNumberFormat="1" applyFont="1" applyBorder="1" applyAlignment="1" applyProtection="1">
      <alignment horizontal="center" vertical="center"/>
    </xf>
    <xf numFmtId="178" fontId="19" fillId="0" borderId="0" xfId="0" applyNumberFormat="1" applyFont="1" applyBorder="1" applyAlignment="1" applyProtection="1">
      <alignment horizontal="center" vertical="center"/>
    </xf>
    <xf numFmtId="181" fontId="28" fillId="0" borderId="0" xfId="0" applyNumberFormat="1" applyFont="1" applyBorder="1" applyAlignment="1" applyProtection="1">
      <alignment horizontal="center" vertical="center"/>
    </xf>
    <xf numFmtId="184" fontId="17" fillId="0" borderId="0" xfId="0" applyNumberFormat="1" applyFont="1" applyBorder="1" applyAlignment="1" applyProtection="1">
      <alignment horizontal="center" vertical="center"/>
    </xf>
    <xf numFmtId="0" fontId="17" fillId="0" borderId="28" xfId="0" applyNumberFormat="1" applyFont="1" applyBorder="1" applyAlignment="1" applyProtection="1">
      <alignment horizontal="center" vertical="center"/>
    </xf>
    <xf numFmtId="2" fontId="17" fillId="0" borderId="28" xfId="0" applyNumberFormat="1" applyFont="1" applyBorder="1" applyAlignment="1" applyProtection="1">
      <alignment horizontal="center" vertical="center" shrinkToFit="1"/>
    </xf>
    <xf numFmtId="0" fontId="28" fillId="0" borderId="0" xfId="0" applyNumberFormat="1" applyFont="1" applyAlignment="1" applyProtection="1">
      <alignment horizontal="center" vertical="center"/>
    </xf>
    <xf numFmtId="0" fontId="1" fillId="0" borderId="0" xfId="0" applyFont="1" applyAlignment="1">
      <alignment horizontal="center" vertical="center"/>
    </xf>
    <xf numFmtId="2" fontId="30" fillId="0" borderId="0" xfId="0" applyNumberFormat="1" applyFont="1" applyFill="1" applyAlignment="1" applyProtection="1">
      <alignment horizontal="center" vertical="center"/>
    </xf>
    <xf numFmtId="0" fontId="27" fillId="2" borderId="0" xfId="0" applyFont="1" applyFill="1" applyAlignment="1" applyProtection="1">
      <alignment horizontal="center" vertical="center"/>
      <protection locked="0"/>
    </xf>
    <xf numFmtId="2" fontId="17" fillId="0" borderId="0" xfId="0" applyNumberFormat="1" applyFont="1" applyFill="1" applyAlignment="1" applyProtection="1">
      <alignment horizontal="center" vertical="center"/>
    </xf>
    <xf numFmtId="187" fontId="21" fillId="0" borderId="0" xfId="0" applyNumberFormat="1" applyFont="1" applyAlignment="1" applyProtection="1">
      <alignment horizontal="center" vertical="center"/>
    </xf>
    <xf numFmtId="0" fontId="19" fillId="0" borderId="14" xfId="0" applyFont="1" applyBorder="1" applyAlignment="1" applyProtection="1">
      <alignment vertical="center"/>
    </xf>
    <xf numFmtId="0" fontId="0" fillId="0" borderId="13" xfId="0" applyBorder="1" applyAlignment="1">
      <alignment vertical="center"/>
    </xf>
    <xf numFmtId="181" fontId="30" fillId="2" borderId="0" xfId="0" applyNumberFormat="1" applyFont="1" applyFill="1" applyAlignment="1" applyProtection="1">
      <alignment horizontal="center" vertical="center"/>
      <protection locked="0"/>
    </xf>
    <xf numFmtId="1" fontId="25" fillId="0" borderId="41" xfId="0" applyNumberFormat="1" applyFont="1" applyFill="1" applyBorder="1" applyAlignment="1" applyProtection="1">
      <alignment horizontal="right" vertical="center"/>
    </xf>
    <xf numFmtId="0" fontId="19" fillId="0" borderId="28" xfId="0" applyFont="1" applyBorder="1" applyAlignment="1" applyProtection="1">
      <alignment horizontal="right" vertical="center"/>
    </xf>
    <xf numFmtId="1" fontId="27" fillId="3" borderId="0" xfId="0" applyNumberFormat="1" applyFont="1" applyFill="1" applyBorder="1" applyAlignment="1" applyProtection="1">
      <alignment horizontal="center" vertical="center"/>
      <protection locked="0"/>
    </xf>
    <xf numFmtId="38" fontId="19" fillId="0" borderId="0" xfId="3" applyFont="1" applyFill="1" applyAlignment="1" applyProtection="1">
      <alignment horizontal="center" vertical="center"/>
    </xf>
    <xf numFmtId="1" fontId="25" fillId="0" borderId="40" xfId="0" applyNumberFormat="1" applyFont="1" applyFill="1" applyBorder="1" applyAlignment="1" applyProtection="1">
      <alignment vertical="center"/>
    </xf>
    <xf numFmtId="1" fontId="25" fillId="0" borderId="41" xfId="0" applyNumberFormat="1" applyFont="1" applyFill="1" applyBorder="1" applyAlignment="1" applyProtection="1">
      <alignment vertical="center"/>
    </xf>
    <xf numFmtId="49" fontId="54" fillId="0" borderId="14" xfId="0" applyNumberFormat="1" applyFont="1" applyBorder="1" applyAlignment="1" applyProtection="1">
      <alignment horizontal="center" vertical="center" wrapText="1"/>
    </xf>
    <xf numFmtId="49" fontId="54" fillId="0" borderId="4" xfId="0" applyNumberFormat="1" applyFont="1" applyBorder="1" applyAlignment="1" applyProtection="1">
      <alignment horizontal="center" vertical="center" wrapText="1"/>
    </xf>
    <xf numFmtId="49" fontId="54" fillId="0" borderId="13" xfId="0" applyNumberFormat="1" applyFont="1" applyBorder="1" applyAlignment="1" applyProtection="1">
      <alignment horizontal="center" vertical="center" wrapText="1"/>
    </xf>
    <xf numFmtId="49" fontId="54" fillId="0" borderId="16" xfId="0" applyNumberFormat="1" applyFont="1" applyBorder="1" applyAlignment="1" applyProtection="1">
      <alignment horizontal="center" vertical="center" wrapText="1"/>
    </xf>
    <xf numFmtId="49" fontId="54" fillId="0" borderId="0" xfId="0" applyNumberFormat="1" applyFont="1" applyBorder="1" applyAlignment="1" applyProtection="1">
      <alignment horizontal="center" vertical="center" wrapText="1"/>
    </xf>
    <xf numFmtId="49" fontId="54" fillId="0" borderId="15" xfId="0" applyNumberFormat="1" applyFont="1" applyBorder="1" applyAlignment="1" applyProtection="1">
      <alignment horizontal="center" vertical="center" wrapText="1"/>
    </xf>
    <xf numFmtId="0" fontId="20" fillId="0" borderId="36" xfId="0" applyNumberFormat="1" applyFont="1" applyFill="1" applyBorder="1" applyAlignment="1" applyProtection="1">
      <alignment horizontal="center" vertical="center" wrapText="1"/>
    </xf>
    <xf numFmtId="0" fontId="20" fillId="0" borderId="37" xfId="0" applyNumberFormat="1" applyFont="1" applyFill="1" applyBorder="1" applyAlignment="1" applyProtection="1">
      <alignment horizontal="center" vertical="center" wrapText="1"/>
    </xf>
    <xf numFmtId="0" fontId="20" fillId="0" borderId="38" xfId="0" applyNumberFormat="1" applyFont="1" applyFill="1" applyBorder="1" applyAlignment="1" applyProtection="1">
      <alignment horizontal="center" vertical="center" wrapText="1"/>
    </xf>
    <xf numFmtId="0" fontId="19" fillId="0" borderId="40" xfId="0" applyFont="1" applyBorder="1" applyAlignment="1" applyProtection="1">
      <alignment vertical="center"/>
    </xf>
    <xf numFmtId="0" fontId="19" fillId="0" borderId="28" xfId="0" applyFont="1" applyBorder="1" applyAlignment="1" applyProtection="1">
      <alignment vertical="center"/>
    </xf>
    <xf numFmtId="0" fontId="19"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xf>
    <xf numFmtId="38" fontId="19" fillId="0" borderId="0" xfId="3" applyFont="1" applyFill="1" applyBorder="1" applyAlignment="1" applyProtection="1">
      <alignment horizontal="center" vertical="center"/>
      <protection locked="0"/>
    </xf>
    <xf numFmtId="38" fontId="17" fillId="2" borderId="7" xfId="3" applyFont="1" applyFill="1" applyBorder="1" applyAlignment="1" applyProtection="1">
      <alignment horizontal="center" vertical="center"/>
      <protection locked="0"/>
    </xf>
    <xf numFmtId="0" fontId="20" fillId="0" borderId="11" xfId="0" applyFont="1" applyFill="1" applyBorder="1" applyAlignment="1" applyProtection="1">
      <alignment vertical="center"/>
    </xf>
    <xf numFmtId="0" fontId="20" fillId="0" borderId="0" xfId="0" applyFont="1" applyFill="1" applyBorder="1" applyAlignment="1" applyProtection="1">
      <alignment vertical="center"/>
    </xf>
    <xf numFmtId="38" fontId="17" fillId="2" borderId="19" xfId="3"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center" vertical="center"/>
      <protection locked="0"/>
    </xf>
    <xf numFmtId="178" fontId="19" fillId="0" borderId="0" xfId="0" applyNumberFormat="1" applyFont="1" applyAlignment="1" applyProtection="1">
      <alignment horizontal="center" vertical="center"/>
    </xf>
    <xf numFmtId="0" fontId="25" fillId="0" borderId="0"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16"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15" xfId="0" applyFont="1" applyBorder="1" applyAlignment="1" applyProtection="1">
      <alignment horizontal="center" vertical="center" wrapText="1"/>
    </xf>
    <xf numFmtId="0" fontId="20" fillId="0" borderId="30" xfId="0" applyFont="1" applyBorder="1" applyAlignment="1" applyProtection="1">
      <alignment horizontal="center" vertical="center" wrapText="1"/>
    </xf>
    <xf numFmtId="0" fontId="20" fillId="0" borderId="28" xfId="0" applyFont="1" applyBorder="1" applyAlignment="1" applyProtection="1">
      <alignment horizontal="center" vertical="center" wrapText="1"/>
    </xf>
    <xf numFmtId="0" fontId="20" fillId="0" borderId="29" xfId="0" applyFont="1" applyBorder="1" applyAlignment="1" applyProtection="1">
      <alignment horizontal="center" vertical="center" wrapText="1"/>
    </xf>
    <xf numFmtId="0" fontId="18" fillId="0" borderId="0" xfId="0" applyFont="1" applyBorder="1" applyAlignment="1" applyProtection="1">
      <alignment horizontal="center" vertical="center"/>
    </xf>
    <xf numFmtId="0" fontId="19" fillId="0" borderId="10" xfId="0" applyFont="1" applyFill="1" applyBorder="1" applyAlignment="1" applyProtection="1">
      <alignment horizontal="center" vertical="center"/>
    </xf>
    <xf numFmtId="0" fontId="19" fillId="0" borderId="2" xfId="0" applyFont="1" applyFill="1" applyBorder="1" applyAlignment="1" applyProtection="1">
      <alignment horizontal="center" vertical="center"/>
    </xf>
    <xf numFmtId="0" fontId="19" fillId="0" borderId="23"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38" fontId="17" fillId="2" borderId="0" xfId="3" applyFont="1" applyFill="1" applyBorder="1" applyAlignment="1" applyProtection="1">
      <alignment horizontal="center" vertical="center"/>
      <protection locked="0"/>
    </xf>
    <xf numFmtId="9" fontId="17" fillId="0" borderId="0" xfId="4" applyFont="1" applyFill="1" applyBorder="1" applyAlignment="1" applyProtection="1">
      <alignment horizontal="center" vertical="center"/>
    </xf>
    <xf numFmtId="9" fontId="17" fillId="0" borderId="15" xfId="4" applyFont="1" applyFill="1" applyBorder="1" applyAlignment="1" applyProtection="1">
      <alignment horizontal="center" vertical="center"/>
    </xf>
    <xf numFmtId="38" fontId="17" fillId="0" borderId="0" xfId="3" applyFont="1" applyFill="1" applyBorder="1" applyAlignment="1" applyProtection="1">
      <alignment vertical="center"/>
    </xf>
    <xf numFmtId="9" fontId="21" fillId="0" borderId="19" xfId="0" applyNumberFormat="1" applyFont="1" applyFill="1" applyBorder="1" applyAlignment="1" applyProtection="1">
      <alignment horizontal="center" vertical="center"/>
    </xf>
    <xf numFmtId="9" fontId="21" fillId="0" borderId="20" xfId="0" applyNumberFormat="1" applyFont="1" applyFill="1" applyBorder="1" applyAlignment="1" applyProtection="1">
      <alignment horizontal="center" vertical="center"/>
    </xf>
    <xf numFmtId="38" fontId="17" fillId="0" borderId="19" xfId="3" applyFont="1" applyFill="1" applyBorder="1" applyAlignment="1" applyProtection="1">
      <alignment vertical="center"/>
    </xf>
    <xf numFmtId="2" fontId="28" fillId="0" borderId="4" xfId="0" applyNumberFormat="1" applyFont="1" applyBorder="1" applyAlignment="1" applyProtection="1">
      <alignment horizontal="center" vertical="center"/>
    </xf>
    <xf numFmtId="0" fontId="17" fillId="0" borderId="0" xfId="0" applyFont="1" applyBorder="1" applyAlignment="1" applyProtection="1">
      <alignment horizontal="center" vertical="center"/>
    </xf>
    <xf numFmtId="49" fontId="27" fillId="0" borderId="0" xfId="0" applyNumberFormat="1" applyFont="1" applyFill="1" applyBorder="1" applyAlignment="1" applyProtection="1">
      <alignment horizontal="center" vertical="center"/>
    </xf>
    <xf numFmtId="191" fontId="27" fillId="3" borderId="0" xfId="0" applyNumberFormat="1" applyFont="1" applyFill="1" applyBorder="1" applyAlignment="1" applyProtection="1">
      <alignment horizontal="center" vertical="center"/>
      <protection locked="0"/>
    </xf>
    <xf numFmtId="190" fontId="17" fillId="0" borderId="0" xfId="6" applyNumberFormat="1" applyFont="1" applyFill="1" applyAlignment="1" applyProtection="1">
      <alignment horizontal="center" vertical="center"/>
    </xf>
    <xf numFmtId="38" fontId="19" fillId="0" borderId="0" xfId="3" applyFont="1" applyFill="1" applyBorder="1" applyAlignment="1" applyProtection="1">
      <alignment vertical="center"/>
      <protection locked="0"/>
    </xf>
  </cellXfs>
  <cellStyles count="8">
    <cellStyle name="パーセント 2" xfId="4"/>
    <cellStyle name="ハイパーリンク" xfId="7" builtinId="8"/>
    <cellStyle name="桁区切り" xfId="6" builtinId="6"/>
    <cellStyle name="桁区切り [0.00] 2" xfId="5"/>
    <cellStyle name="桁区切り 2" xfId="3"/>
    <cellStyle name="標準" xfId="0" builtinId="0"/>
    <cellStyle name="標準 2" xfId="2"/>
    <cellStyle name="標準 7" xfId="1"/>
  </cellStyles>
  <dxfs count="30">
    <dxf>
      <fill>
        <patternFill>
          <bgColor rgb="FF66FFFF"/>
        </patternFill>
      </fill>
    </dxf>
    <dxf>
      <fill>
        <patternFill>
          <bgColor rgb="FF66FFFF"/>
        </patternFill>
      </fill>
    </dxf>
    <dxf>
      <font>
        <color rgb="FFC00000"/>
      </font>
      <fill>
        <patternFill>
          <bgColor rgb="FFFFC7CE"/>
        </patternFill>
      </fill>
    </dxf>
    <dxf>
      <fill>
        <patternFill>
          <bgColor rgb="FF66FFFF"/>
        </patternFill>
      </fill>
    </dxf>
    <dxf>
      <fill>
        <patternFill>
          <bgColor rgb="FF66FFFF"/>
        </patternFill>
      </fill>
    </dxf>
    <dxf>
      <font>
        <b/>
        <i val="0"/>
        <color rgb="FF9E0008"/>
      </font>
      <fill>
        <gradientFill degree="90">
          <stop position="0">
            <color rgb="FFFFC7CE"/>
          </stop>
          <stop position="1">
            <color rgb="FFFFC7CE"/>
          </stop>
        </gradientFill>
      </fill>
    </dxf>
    <dxf>
      <font>
        <color rgb="FFC00000"/>
      </font>
      <fill>
        <patternFill>
          <bgColor rgb="FFFFC7CE"/>
        </patternFill>
      </fill>
    </dxf>
    <dxf>
      <fill>
        <patternFill>
          <bgColor rgb="FF66FFFF"/>
        </patternFill>
      </fill>
    </dxf>
    <dxf>
      <font>
        <color rgb="FF9E0008"/>
      </font>
      <fill>
        <patternFill>
          <fgColor rgb="FFFFC7CE"/>
          <bgColor rgb="FFFFC7CE"/>
        </patternFill>
      </fill>
    </dxf>
    <dxf>
      <fill>
        <patternFill>
          <bgColor rgb="FF66FFFF"/>
        </patternFill>
      </fill>
    </dxf>
    <dxf>
      <font>
        <b/>
        <i val="0"/>
        <color rgb="FF9E0008"/>
      </font>
      <fill>
        <gradientFill degree="90">
          <stop position="0">
            <color rgb="FFFFC7CE"/>
          </stop>
          <stop position="1">
            <color rgb="FFFFC7CE"/>
          </stop>
        </gradientFill>
      </fill>
    </dxf>
    <dxf>
      <fill>
        <patternFill>
          <bgColor rgb="FF66FFFF"/>
        </patternFill>
      </fill>
    </dxf>
    <dxf>
      <font>
        <color rgb="FF9C0006"/>
      </font>
      <fill>
        <patternFill>
          <bgColor rgb="FFFFC7CE"/>
        </patternFill>
      </fill>
    </dxf>
    <dxf>
      <fill>
        <patternFill>
          <bgColor rgb="FF66FFFF"/>
        </patternFill>
      </fill>
    </dxf>
    <dxf>
      <fill>
        <patternFill>
          <bgColor rgb="FF66FFFF"/>
        </patternFill>
      </fill>
    </dxf>
    <dxf>
      <font>
        <b/>
        <i val="0"/>
        <color rgb="FFC00000"/>
      </font>
      <fill>
        <gradientFill degree="90">
          <stop position="0">
            <color rgb="FFFFC7CE"/>
          </stop>
          <stop position="1">
            <color rgb="FFFFC7CE"/>
          </stop>
        </gradientFill>
      </fill>
    </dxf>
    <dxf>
      <font>
        <color rgb="FF9C0006"/>
      </font>
      <fill>
        <patternFill>
          <bgColor rgb="FFFFC7CE"/>
        </patternFill>
      </fill>
    </dxf>
    <dxf>
      <fill>
        <patternFill>
          <bgColor rgb="FF66FFFF"/>
        </patternFill>
      </fill>
    </dxf>
    <dxf>
      <font>
        <color rgb="FF9C0006"/>
      </font>
      <fill>
        <patternFill>
          <bgColor rgb="FFFFC7CE"/>
        </patternFill>
      </fill>
    </dxf>
    <dxf>
      <fill>
        <patternFill>
          <bgColor rgb="FF66FFFF"/>
        </patternFill>
      </fill>
    </dxf>
    <dxf>
      <font>
        <b/>
        <i val="0"/>
        <color rgb="FF9E0008"/>
      </font>
      <fill>
        <gradientFill degree="90">
          <stop position="0">
            <color rgb="FFFFC7CE"/>
          </stop>
          <stop position="1">
            <color rgb="FFFFC7CE"/>
          </stop>
        </gradientFill>
      </fill>
    </dxf>
    <dxf>
      <fill>
        <patternFill>
          <bgColor rgb="FF66FFFF"/>
        </patternFill>
      </fill>
    </dxf>
    <dxf>
      <font>
        <color rgb="FF9C0006"/>
      </font>
      <fill>
        <patternFill>
          <bgColor rgb="FFFFC7CE"/>
        </patternFill>
      </fill>
    </dxf>
    <dxf>
      <fill>
        <patternFill>
          <bgColor rgb="FF66FFFF"/>
        </patternFill>
      </fill>
    </dxf>
    <dxf>
      <font>
        <color rgb="FF9C0006"/>
      </font>
      <fill>
        <patternFill>
          <bgColor rgb="FFFFC7CE"/>
        </patternFill>
      </fill>
    </dxf>
    <dxf>
      <fill>
        <patternFill>
          <bgColor rgb="FF66FFFF"/>
        </patternFill>
      </fill>
    </dxf>
    <dxf>
      <font>
        <b/>
        <i val="0"/>
        <color rgb="FF9E0008"/>
      </font>
      <fill>
        <gradientFill degree="90">
          <stop position="0">
            <color rgb="FFFFC7CE"/>
          </stop>
          <stop position="1">
            <color rgb="FFFFC7CE"/>
          </stop>
        </gradientFill>
      </fill>
    </dxf>
    <dxf>
      <fill>
        <patternFill>
          <bgColor rgb="FFCCECFF"/>
        </patternFill>
      </fill>
    </dxf>
    <dxf>
      <fill>
        <patternFill>
          <bgColor rgb="FF66FFFF"/>
        </patternFill>
      </fill>
    </dxf>
    <dxf>
      <font>
        <color rgb="FF9C0006"/>
      </font>
      <fill>
        <patternFill>
          <bgColor rgb="FFFFC7CE"/>
        </patternFill>
      </fill>
    </dxf>
  </dxfs>
  <tableStyles count="0" defaultTableStyle="TableStyleMedium2" defaultPivotStyle="PivotStyleLight16"/>
  <colors>
    <mruColors>
      <color rgb="FF66FFFF"/>
      <color rgb="FF9E0008"/>
      <color rgb="FFFFC7CE"/>
      <color rgb="FFF8CBAD"/>
      <color rgb="FFFFCCFF"/>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ity.kyoto.lg.jp/suido/cmsfiles/contents/0000008/8446/shishin_220822.pdf"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city.kyoto.lg.jp/suido/cmsfiles/contents/0000008/8446/shishin_220822.pdf"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2:N40"/>
  <sheetViews>
    <sheetView tabSelected="1" view="pageBreakPreview" zoomScaleNormal="100" zoomScaleSheetLayoutView="100" workbookViewId="0">
      <selection activeCell="I18" sqref="I18"/>
    </sheetView>
  </sheetViews>
  <sheetFormatPr defaultRowHeight="14.25" x14ac:dyDescent="0.15"/>
  <cols>
    <col min="2" max="2" width="7.375" customWidth="1"/>
  </cols>
  <sheetData>
    <row r="2" spans="2:14" ht="24" x14ac:dyDescent="0.15">
      <c r="B2" s="338" t="s">
        <v>0</v>
      </c>
      <c r="M2" s="377" t="s">
        <v>647</v>
      </c>
      <c r="N2" s="378">
        <v>250131</v>
      </c>
    </row>
    <row r="4" spans="2:14" x14ac:dyDescent="0.15">
      <c r="C4" s="372" t="s">
        <v>655</v>
      </c>
    </row>
    <row r="5" spans="2:14" x14ac:dyDescent="0.15">
      <c r="C5" t="s">
        <v>656</v>
      </c>
    </row>
    <row r="6" spans="2:14" x14ac:dyDescent="0.15">
      <c r="C6" t="s">
        <v>657</v>
      </c>
    </row>
    <row r="9" spans="2:14" x14ac:dyDescent="0.15">
      <c r="B9" s="1" t="s">
        <v>650</v>
      </c>
    </row>
    <row r="10" spans="2:14" x14ac:dyDescent="0.15">
      <c r="C10" t="s">
        <v>658</v>
      </c>
    </row>
    <row r="11" spans="2:14" x14ac:dyDescent="0.15">
      <c r="C11" t="s">
        <v>659</v>
      </c>
    </row>
    <row r="12" spans="2:14" x14ac:dyDescent="0.15">
      <c r="C12" t="s">
        <v>660</v>
      </c>
    </row>
    <row r="13" spans="2:14" x14ac:dyDescent="0.15">
      <c r="C13" s="375" t="s">
        <v>667</v>
      </c>
    </row>
    <row r="14" spans="2:14" x14ac:dyDescent="0.15">
      <c r="C14" s="374" t="s">
        <v>668</v>
      </c>
      <c r="D14" s="374"/>
      <c r="E14" s="374"/>
      <c r="F14" s="374"/>
      <c r="G14" s="374"/>
      <c r="H14" s="374"/>
      <c r="I14" s="374"/>
      <c r="J14" s="374"/>
      <c r="K14" s="374"/>
    </row>
    <row r="15" spans="2:14" x14ac:dyDescent="0.15">
      <c r="C15" s="374" t="s">
        <v>669</v>
      </c>
    </row>
    <row r="18" spans="2:4" x14ac:dyDescent="0.15">
      <c r="B18" s="1" t="s">
        <v>580</v>
      </c>
    </row>
    <row r="19" spans="2:4" x14ac:dyDescent="0.15">
      <c r="B19" s="1"/>
      <c r="C19" t="s">
        <v>579</v>
      </c>
    </row>
    <row r="20" spans="2:4" x14ac:dyDescent="0.15">
      <c r="B20" s="1"/>
      <c r="C20" t="s">
        <v>661</v>
      </c>
    </row>
    <row r="21" spans="2:4" x14ac:dyDescent="0.15">
      <c r="B21" s="1"/>
      <c r="C21" t="s">
        <v>662</v>
      </c>
    </row>
    <row r="22" spans="2:4" x14ac:dyDescent="0.15">
      <c r="C22" t="s">
        <v>663</v>
      </c>
    </row>
    <row r="25" spans="2:4" x14ac:dyDescent="0.15">
      <c r="B25" s="1" t="s">
        <v>1</v>
      </c>
    </row>
    <row r="26" spans="2:4" x14ac:dyDescent="0.15">
      <c r="C26" s="2"/>
      <c r="D26" t="s">
        <v>652</v>
      </c>
    </row>
    <row r="27" spans="2:4" x14ac:dyDescent="0.15">
      <c r="C27" s="3"/>
      <c r="D27" t="s">
        <v>2</v>
      </c>
    </row>
    <row r="28" spans="2:4" x14ac:dyDescent="0.15">
      <c r="C28" s="4"/>
      <c r="D28" t="s">
        <v>653</v>
      </c>
    </row>
    <row r="29" spans="2:4" x14ac:dyDescent="0.15">
      <c r="C29" s="4"/>
      <c r="D29" t="s">
        <v>578</v>
      </c>
    </row>
    <row r="30" spans="2:4" x14ac:dyDescent="0.15">
      <c r="C30" s="370">
        <v>11.1</v>
      </c>
      <c r="D30" t="s">
        <v>654</v>
      </c>
    </row>
    <row r="32" spans="2:4" x14ac:dyDescent="0.15">
      <c r="B32" s="1"/>
    </row>
    <row r="33" spans="2:3" x14ac:dyDescent="0.15">
      <c r="B33" s="1" t="s">
        <v>679</v>
      </c>
      <c r="C33" s="371"/>
    </row>
    <row r="34" spans="2:3" x14ac:dyDescent="0.15">
      <c r="C34" t="s">
        <v>651</v>
      </c>
    </row>
    <row r="35" spans="2:3" x14ac:dyDescent="0.15">
      <c r="C35" t="s">
        <v>681</v>
      </c>
    </row>
    <row r="36" spans="2:3" x14ac:dyDescent="0.15">
      <c r="C36" t="s">
        <v>3</v>
      </c>
    </row>
    <row r="37" spans="2:3" x14ac:dyDescent="0.15">
      <c r="C37" t="s">
        <v>664</v>
      </c>
    </row>
    <row r="38" spans="2:3" x14ac:dyDescent="0.15">
      <c r="C38" t="s">
        <v>665</v>
      </c>
    </row>
    <row r="39" spans="2:3" x14ac:dyDescent="0.15">
      <c r="C39" s="380" t="s">
        <v>682</v>
      </c>
    </row>
    <row r="40" spans="2:3" x14ac:dyDescent="0.15">
      <c r="C40" s="379" t="s">
        <v>680</v>
      </c>
    </row>
  </sheetData>
  <sheetProtection algorithmName="SHA-512" hashValue="JC/jumz66W37y8GQoY5HmjcWtda1VERpz3SfFnhvl1LgVfeTeMZxh1ewJGe2yutswqPnDN6rJCM5elSI5FQPdQ==" saltValue="J0ooYdq0RC5VBpW3Or15+g==" spinCount="100000" sheet="1" formatCells="0"/>
  <phoneticPr fontId="3"/>
  <hyperlinks>
    <hyperlink ref="C40" r:id="rId1" display="・　その他のことについては、排水設備設計指針を参照すること。"/>
  </hyperlinks>
  <pageMargins left="0.7" right="0.7" top="0.75" bottom="0.75" header="0.3" footer="0.3"/>
  <pageSetup paperSize="9" scale="74" orientation="landscape"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2:N39"/>
  <sheetViews>
    <sheetView view="pageBreakPreview" topLeftCell="A10" zoomScaleNormal="100" zoomScaleSheetLayoutView="100" workbookViewId="0">
      <selection activeCell="I19" sqref="I19"/>
    </sheetView>
  </sheetViews>
  <sheetFormatPr defaultRowHeight="14.25" x14ac:dyDescent="0.15"/>
  <cols>
    <col min="2" max="2" width="7.375" customWidth="1"/>
  </cols>
  <sheetData>
    <row r="2" spans="2:14" ht="24" x14ac:dyDescent="0.15">
      <c r="B2" s="338" t="s">
        <v>0</v>
      </c>
      <c r="M2" s="377" t="s">
        <v>647</v>
      </c>
      <c r="N2" s="378">
        <v>241004</v>
      </c>
    </row>
    <row r="4" spans="2:14" x14ac:dyDescent="0.15">
      <c r="C4" s="372" t="s">
        <v>655</v>
      </c>
    </row>
    <row r="5" spans="2:14" x14ac:dyDescent="0.15">
      <c r="C5" t="s">
        <v>656</v>
      </c>
    </row>
    <row r="6" spans="2:14" x14ac:dyDescent="0.15">
      <c r="C6" t="s">
        <v>657</v>
      </c>
    </row>
    <row r="9" spans="2:14" x14ac:dyDescent="0.15">
      <c r="B9" s="1" t="s">
        <v>650</v>
      </c>
    </row>
    <row r="10" spans="2:14" x14ac:dyDescent="0.15">
      <c r="C10" t="s">
        <v>658</v>
      </c>
    </row>
    <row r="11" spans="2:14" x14ac:dyDescent="0.15">
      <c r="C11" t="s">
        <v>659</v>
      </c>
    </row>
    <row r="12" spans="2:14" x14ac:dyDescent="0.15">
      <c r="C12" t="s">
        <v>660</v>
      </c>
    </row>
    <row r="13" spans="2:14" x14ac:dyDescent="0.15">
      <c r="C13" s="375" t="s">
        <v>667</v>
      </c>
    </row>
    <row r="14" spans="2:14" x14ac:dyDescent="0.15">
      <c r="C14" s="374" t="s">
        <v>668</v>
      </c>
      <c r="D14" s="374"/>
      <c r="E14" s="374"/>
      <c r="F14" s="374"/>
      <c r="G14" s="374"/>
      <c r="H14" s="374"/>
      <c r="I14" s="374"/>
      <c r="J14" s="374"/>
      <c r="K14" s="374"/>
    </row>
    <row r="15" spans="2:14" x14ac:dyDescent="0.15">
      <c r="C15" s="374" t="s">
        <v>669</v>
      </c>
    </row>
    <row r="18" spans="2:4" x14ac:dyDescent="0.15">
      <c r="B18" s="1" t="s">
        <v>580</v>
      </c>
    </row>
    <row r="19" spans="2:4" x14ac:dyDescent="0.15">
      <c r="B19" s="1"/>
      <c r="C19" t="s">
        <v>579</v>
      </c>
    </row>
    <row r="20" spans="2:4" x14ac:dyDescent="0.15">
      <c r="B20" s="1"/>
      <c r="C20" t="s">
        <v>661</v>
      </c>
    </row>
    <row r="21" spans="2:4" x14ac:dyDescent="0.15">
      <c r="B21" s="1"/>
      <c r="C21" t="s">
        <v>662</v>
      </c>
    </row>
    <row r="22" spans="2:4" x14ac:dyDescent="0.15">
      <c r="C22" t="s">
        <v>663</v>
      </c>
    </row>
    <row r="25" spans="2:4" x14ac:dyDescent="0.15">
      <c r="B25" s="1" t="s">
        <v>1</v>
      </c>
    </row>
    <row r="26" spans="2:4" x14ac:dyDescent="0.15">
      <c r="C26" s="2"/>
      <c r="D26" t="s">
        <v>652</v>
      </c>
    </row>
    <row r="27" spans="2:4" x14ac:dyDescent="0.15">
      <c r="C27" s="3"/>
      <c r="D27" t="s">
        <v>2</v>
      </c>
    </row>
    <row r="28" spans="2:4" x14ac:dyDescent="0.15">
      <c r="C28" s="4"/>
      <c r="D28" t="s">
        <v>653</v>
      </c>
    </row>
    <row r="29" spans="2:4" x14ac:dyDescent="0.15">
      <c r="C29" s="4"/>
      <c r="D29" t="s">
        <v>578</v>
      </c>
    </row>
    <row r="30" spans="2:4" x14ac:dyDescent="0.15">
      <c r="C30" s="370">
        <v>11.1</v>
      </c>
      <c r="D30" t="s">
        <v>654</v>
      </c>
    </row>
    <row r="32" spans="2:4" x14ac:dyDescent="0.15">
      <c r="B32" s="1"/>
    </row>
    <row r="33" spans="2:3" x14ac:dyDescent="0.15">
      <c r="B33" s="1" t="s">
        <v>679</v>
      </c>
      <c r="C33" s="371"/>
    </row>
    <row r="34" spans="2:3" x14ac:dyDescent="0.15">
      <c r="C34" t="s">
        <v>651</v>
      </c>
    </row>
    <row r="35" spans="2:3" x14ac:dyDescent="0.15">
      <c r="C35" t="s">
        <v>681</v>
      </c>
    </row>
    <row r="36" spans="2:3" x14ac:dyDescent="0.15">
      <c r="C36" t="s">
        <v>3</v>
      </c>
    </row>
    <row r="37" spans="2:3" x14ac:dyDescent="0.15">
      <c r="C37" t="s">
        <v>664</v>
      </c>
    </row>
    <row r="38" spans="2:3" x14ac:dyDescent="0.15">
      <c r="C38" t="s">
        <v>665</v>
      </c>
    </row>
    <row r="39" spans="2:3" x14ac:dyDescent="0.15">
      <c r="C39" s="379" t="s">
        <v>680</v>
      </c>
    </row>
  </sheetData>
  <sheetProtection algorithmName="SHA-512" hashValue="YBWy0cmFhN/DQaQ/n2cfMqksOT8BQtS4JTTJdJUZZPKGAS8zbA01+g9U1t5W0EbkNspS72xDb/nKmL7/2YiuPg==" saltValue="7ewYK454CJC/Y/G67Q+7aw==" spinCount="100000" sheet="1" formatCells="0"/>
  <phoneticPr fontId="3"/>
  <hyperlinks>
    <hyperlink ref="C39" r:id="rId1" display="・　その他のことについては、排水設備設計指針を参照すること。"/>
  </hyperlinks>
  <pageMargins left="0.7" right="0.7" top="0.75" bottom="0.75" header="0.3" footer="0.3"/>
  <pageSetup paperSize="9" scale="81" orientation="landscape"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65"/>
  <sheetViews>
    <sheetView view="pageBreakPreview" zoomScale="115" zoomScaleNormal="100" zoomScaleSheetLayoutView="115" workbookViewId="0">
      <selection activeCell="N31" sqref="N31"/>
    </sheetView>
  </sheetViews>
  <sheetFormatPr defaultRowHeight="20.100000000000001" customHeight="1" x14ac:dyDescent="0.15"/>
  <cols>
    <col min="1" max="1" width="1.75" style="6" customWidth="1"/>
    <col min="2" max="42" width="2.75" style="5" customWidth="1"/>
    <col min="43" max="43" width="1.625" style="5" customWidth="1"/>
    <col min="44" max="46" width="2.75" style="5" customWidth="1"/>
    <col min="47" max="47" width="2.875" style="5" customWidth="1"/>
    <col min="48" max="58" width="2.625" style="6" customWidth="1"/>
    <col min="59" max="59" width="3.25" style="6" customWidth="1"/>
    <col min="60" max="257" width="9" style="6"/>
    <col min="258" max="297" width="2.75" style="6" customWidth="1"/>
    <col min="298" max="298" width="3.125" style="6" customWidth="1"/>
    <col min="299" max="302" width="2.75" style="6" customWidth="1"/>
    <col min="303" max="303" width="2.875" style="6" customWidth="1"/>
    <col min="304" max="314" width="2.625" style="6" customWidth="1"/>
    <col min="315" max="315" width="3.25" style="6" customWidth="1"/>
    <col min="316" max="513" width="9" style="6"/>
    <col min="514" max="553" width="2.75" style="6" customWidth="1"/>
    <col min="554" max="554" width="3.125" style="6" customWidth="1"/>
    <col min="555" max="558" width="2.75" style="6" customWidth="1"/>
    <col min="559" max="559" width="2.875" style="6" customWidth="1"/>
    <col min="560" max="570" width="2.625" style="6" customWidth="1"/>
    <col min="571" max="571" width="3.25" style="6" customWidth="1"/>
    <col min="572" max="769" width="9" style="6"/>
    <col min="770" max="809" width="2.75" style="6" customWidth="1"/>
    <col min="810" max="810" width="3.125" style="6" customWidth="1"/>
    <col min="811" max="814" width="2.75" style="6" customWidth="1"/>
    <col min="815" max="815" width="2.875" style="6" customWidth="1"/>
    <col min="816" max="826" width="2.625" style="6" customWidth="1"/>
    <col min="827" max="827" width="3.25" style="6" customWidth="1"/>
    <col min="828" max="1025" width="9" style="6"/>
    <col min="1026" max="1065" width="2.75" style="6" customWidth="1"/>
    <col min="1066" max="1066" width="3.125" style="6" customWidth="1"/>
    <col min="1067" max="1070" width="2.75" style="6" customWidth="1"/>
    <col min="1071" max="1071" width="2.875" style="6" customWidth="1"/>
    <col min="1072" max="1082" width="2.625" style="6" customWidth="1"/>
    <col min="1083" max="1083" width="3.25" style="6" customWidth="1"/>
    <col min="1084" max="1281" width="9" style="6"/>
    <col min="1282" max="1321" width="2.75" style="6" customWidth="1"/>
    <col min="1322" max="1322" width="3.125" style="6" customWidth="1"/>
    <col min="1323" max="1326" width="2.75" style="6" customWidth="1"/>
    <col min="1327" max="1327" width="2.875" style="6" customWidth="1"/>
    <col min="1328" max="1338" width="2.625" style="6" customWidth="1"/>
    <col min="1339" max="1339" width="3.25" style="6" customWidth="1"/>
    <col min="1340" max="1537" width="9" style="6"/>
    <col min="1538" max="1577" width="2.75" style="6" customWidth="1"/>
    <col min="1578" max="1578" width="3.125" style="6" customWidth="1"/>
    <col min="1579" max="1582" width="2.75" style="6" customWidth="1"/>
    <col min="1583" max="1583" width="2.875" style="6" customWidth="1"/>
    <col min="1584" max="1594" width="2.625" style="6" customWidth="1"/>
    <col min="1595" max="1595" width="3.25" style="6" customWidth="1"/>
    <col min="1596" max="1793" width="9" style="6"/>
    <col min="1794" max="1833" width="2.75" style="6" customWidth="1"/>
    <col min="1834" max="1834" width="3.125" style="6" customWidth="1"/>
    <col min="1835" max="1838" width="2.75" style="6" customWidth="1"/>
    <col min="1839" max="1839" width="2.875" style="6" customWidth="1"/>
    <col min="1840" max="1850" width="2.625" style="6" customWidth="1"/>
    <col min="1851" max="1851" width="3.25" style="6" customWidth="1"/>
    <col min="1852" max="2049" width="9" style="6"/>
    <col min="2050" max="2089" width="2.75" style="6" customWidth="1"/>
    <col min="2090" max="2090" width="3.125" style="6" customWidth="1"/>
    <col min="2091" max="2094" width="2.75" style="6" customWidth="1"/>
    <col min="2095" max="2095" width="2.875" style="6" customWidth="1"/>
    <col min="2096" max="2106" width="2.625" style="6" customWidth="1"/>
    <col min="2107" max="2107" width="3.25" style="6" customWidth="1"/>
    <col min="2108" max="2305" width="9" style="6"/>
    <col min="2306" max="2345" width="2.75" style="6" customWidth="1"/>
    <col min="2346" max="2346" width="3.125" style="6" customWidth="1"/>
    <col min="2347" max="2350" width="2.75" style="6" customWidth="1"/>
    <col min="2351" max="2351" width="2.875" style="6" customWidth="1"/>
    <col min="2352" max="2362" width="2.625" style="6" customWidth="1"/>
    <col min="2363" max="2363" width="3.25" style="6" customWidth="1"/>
    <col min="2364" max="2561" width="9" style="6"/>
    <col min="2562" max="2601" width="2.75" style="6" customWidth="1"/>
    <col min="2602" max="2602" width="3.125" style="6" customWidth="1"/>
    <col min="2603" max="2606" width="2.75" style="6" customWidth="1"/>
    <col min="2607" max="2607" width="2.875" style="6" customWidth="1"/>
    <col min="2608" max="2618" width="2.625" style="6" customWidth="1"/>
    <col min="2619" max="2619" width="3.25" style="6" customWidth="1"/>
    <col min="2620" max="2817" width="9" style="6"/>
    <col min="2818" max="2857" width="2.75" style="6" customWidth="1"/>
    <col min="2858" max="2858" width="3.125" style="6" customWidth="1"/>
    <col min="2859" max="2862" width="2.75" style="6" customWidth="1"/>
    <col min="2863" max="2863" width="2.875" style="6" customWidth="1"/>
    <col min="2864" max="2874" width="2.625" style="6" customWidth="1"/>
    <col min="2875" max="2875" width="3.25" style="6" customWidth="1"/>
    <col min="2876" max="3073" width="9" style="6"/>
    <col min="3074" max="3113" width="2.75" style="6" customWidth="1"/>
    <col min="3114" max="3114" width="3.125" style="6" customWidth="1"/>
    <col min="3115" max="3118" width="2.75" style="6" customWidth="1"/>
    <col min="3119" max="3119" width="2.875" style="6" customWidth="1"/>
    <col min="3120" max="3130" width="2.625" style="6" customWidth="1"/>
    <col min="3131" max="3131" width="3.25" style="6" customWidth="1"/>
    <col min="3132" max="3329" width="9" style="6"/>
    <col min="3330" max="3369" width="2.75" style="6" customWidth="1"/>
    <col min="3370" max="3370" width="3.125" style="6" customWidth="1"/>
    <col min="3371" max="3374" width="2.75" style="6" customWidth="1"/>
    <col min="3375" max="3375" width="2.875" style="6" customWidth="1"/>
    <col min="3376" max="3386" width="2.625" style="6" customWidth="1"/>
    <col min="3387" max="3387" width="3.25" style="6" customWidth="1"/>
    <col min="3388" max="3585" width="9" style="6"/>
    <col min="3586" max="3625" width="2.75" style="6" customWidth="1"/>
    <col min="3626" max="3626" width="3.125" style="6" customWidth="1"/>
    <col min="3627" max="3630" width="2.75" style="6" customWidth="1"/>
    <col min="3631" max="3631" width="2.875" style="6" customWidth="1"/>
    <col min="3632" max="3642" width="2.625" style="6" customWidth="1"/>
    <col min="3643" max="3643" width="3.25" style="6" customWidth="1"/>
    <col min="3644" max="3841" width="9" style="6"/>
    <col min="3842" max="3881" width="2.75" style="6" customWidth="1"/>
    <col min="3882" max="3882" width="3.125" style="6" customWidth="1"/>
    <col min="3883" max="3886" width="2.75" style="6" customWidth="1"/>
    <col min="3887" max="3887" width="2.875" style="6" customWidth="1"/>
    <col min="3888" max="3898" width="2.625" style="6" customWidth="1"/>
    <col min="3899" max="3899" width="3.25" style="6" customWidth="1"/>
    <col min="3900" max="4097" width="9" style="6"/>
    <col min="4098" max="4137" width="2.75" style="6" customWidth="1"/>
    <col min="4138" max="4138" width="3.125" style="6" customWidth="1"/>
    <col min="4139" max="4142" width="2.75" style="6" customWidth="1"/>
    <col min="4143" max="4143" width="2.875" style="6" customWidth="1"/>
    <col min="4144" max="4154" width="2.625" style="6" customWidth="1"/>
    <col min="4155" max="4155" width="3.25" style="6" customWidth="1"/>
    <col min="4156" max="4353" width="9" style="6"/>
    <col min="4354" max="4393" width="2.75" style="6" customWidth="1"/>
    <col min="4394" max="4394" width="3.125" style="6" customWidth="1"/>
    <col min="4395" max="4398" width="2.75" style="6" customWidth="1"/>
    <col min="4399" max="4399" width="2.875" style="6" customWidth="1"/>
    <col min="4400" max="4410" width="2.625" style="6" customWidth="1"/>
    <col min="4411" max="4411" width="3.25" style="6" customWidth="1"/>
    <col min="4412" max="4609" width="9" style="6"/>
    <col min="4610" max="4649" width="2.75" style="6" customWidth="1"/>
    <col min="4650" max="4650" width="3.125" style="6" customWidth="1"/>
    <col min="4651" max="4654" width="2.75" style="6" customWidth="1"/>
    <col min="4655" max="4655" width="2.875" style="6" customWidth="1"/>
    <col min="4656" max="4666" width="2.625" style="6" customWidth="1"/>
    <col min="4667" max="4667" width="3.25" style="6" customWidth="1"/>
    <col min="4668" max="4865" width="9" style="6"/>
    <col min="4866" max="4905" width="2.75" style="6" customWidth="1"/>
    <col min="4906" max="4906" width="3.125" style="6" customWidth="1"/>
    <col min="4907" max="4910" width="2.75" style="6" customWidth="1"/>
    <col min="4911" max="4911" width="2.875" style="6" customWidth="1"/>
    <col min="4912" max="4922" width="2.625" style="6" customWidth="1"/>
    <col min="4923" max="4923" width="3.25" style="6" customWidth="1"/>
    <col min="4924" max="5121" width="9" style="6"/>
    <col min="5122" max="5161" width="2.75" style="6" customWidth="1"/>
    <col min="5162" max="5162" width="3.125" style="6" customWidth="1"/>
    <col min="5163" max="5166" width="2.75" style="6" customWidth="1"/>
    <col min="5167" max="5167" width="2.875" style="6" customWidth="1"/>
    <col min="5168" max="5178" width="2.625" style="6" customWidth="1"/>
    <col min="5179" max="5179" width="3.25" style="6" customWidth="1"/>
    <col min="5180" max="5377" width="9" style="6"/>
    <col min="5378" max="5417" width="2.75" style="6" customWidth="1"/>
    <col min="5418" max="5418" width="3.125" style="6" customWidth="1"/>
    <col min="5419" max="5422" width="2.75" style="6" customWidth="1"/>
    <col min="5423" max="5423" width="2.875" style="6" customWidth="1"/>
    <col min="5424" max="5434" width="2.625" style="6" customWidth="1"/>
    <col min="5435" max="5435" width="3.25" style="6" customWidth="1"/>
    <col min="5436" max="5633" width="9" style="6"/>
    <col min="5634" max="5673" width="2.75" style="6" customWidth="1"/>
    <col min="5674" max="5674" width="3.125" style="6" customWidth="1"/>
    <col min="5675" max="5678" width="2.75" style="6" customWidth="1"/>
    <col min="5679" max="5679" width="2.875" style="6" customWidth="1"/>
    <col min="5680" max="5690" width="2.625" style="6" customWidth="1"/>
    <col min="5691" max="5691" width="3.25" style="6" customWidth="1"/>
    <col min="5692" max="5889" width="9" style="6"/>
    <col min="5890" max="5929" width="2.75" style="6" customWidth="1"/>
    <col min="5930" max="5930" width="3.125" style="6" customWidth="1"/>
    <col min="5931" max="5934" width="2.75" style="6" customWidth="1"/>
    <col min="5935" max="5935" width="2.875" style="6" customWidth="1"/>
    <col min="5936" max="5946" width="2.625" style="6" customWidth="1"/>
    <col min="5947" max="5947" width="3.25" style="6" customWidth="1"/>
    <col min="5948" max="6145" width="9" style="6"/>
    <col min="6146" max="6185" width="2.75" style="6" customWidth="1"/>
    <col min="6186" max="6186" width="3.125" style="6" customWidth="1"/>
    <col min="6187" max="6190" width="2.75" style="6" customWidth="1"/>
    <col min="6191" max="6191" width="2.875" style="6" customWidth="1"/>
    <col min="6192" max="6202" width="2.625" style="6" customWidth="1"/>
    <col min="6203" max="6203" width="3.25" style="6" customWidth="1"/>
    <col min="6204" max="6401" width="9" style="6"/>
    <col min="6402" max="6441" width="2.75" style="6" customWidth="1"/>
    <col min="6442" max="6442" width="3.125" style="6" customWidth="1"/>
    <col min="6443" max="6446" width="2.75" style="6" customWidth="1"/>
    <col min="6447" max="6447" width="2.875" style="6" customWidth="1"/>
    <col min="6448" max="6458" width="2.625" style="6" customWidth="1"/>
    <col min="6459" max="6459" width="3.25" style="6" customWidth="1"/>
    <col min="6460" max="6657" width="9" style="6"/>
    <col min="6658" max="6697" width="2.75" style="6" customWidth="1"/>
    <col min="6698" max="6698" width="3.125" style="6" customWidth="1"/>
    <col min="6699" max="6702" width="2.75" style="6" customWidth="1"/>
    <col min="6703" max="6703" width="2.875" style="6" customWidth="1"/>
    <col min="6704" max="6714" width="2.625" style="6" customWidth="1"/>
    <col min="6715" max="6715" width="3.25" style="6" customWidth="1"/>
    <col min="6716" max="6913" width="9" style="6"/>
    <col min="6914" max="6953" width="2.75" style="6" customWidth="1"/>
    <col min="6954" max="6954" width="3.125" style="6" customWidth="1"/>
    <col min="6955" max="6958" width="2.75" style="6" customWidth="1"/>
    <col min="6959" max="6959" width="2.875" style="6" customWidth="1"/>
    <col min="6960" max="6970" width="2.625" style="6" customWidth="1"/>
    <col min="6971" max="6971" width="3.25" style="6" customWidth="1"/>
    <col min="6972" max="7169" width="9" style="6"/>
    <col min="7170" max="7209" width="2.75" style="6" customWidth="1"/>
    <col min="7210" max="7210" width="3.125" style="6" customWidth="1"/>
    <col min="7211" max="7214" width="2.75" style="6" customWidth="1"/>
    <col min="7215" max="7215" width="2.875" style="6" customWidth="1"/>
    <col min="7216" max="7226" width="2.625" style="6" customWidth="1"/>
    <col min="7227" max="7227" width="3.25" style="6" customWidth="1"/>
    <col min="7228" max="7425" width="9" style="6"/>
    <col min="7426" max="7465" width="2.75" style="6" customWidth="1"/>
    <col min="7466" max="7466" width="3.125" style="6" customWidth="1"/>
    <col min="7467" max="7470" width="2.75" style="6" customWidth="1"/>
    <col min="7471" max="7471" width="2.875" style="6" customWidth="1"/>
    <col min="7472" max="7482" width="2.625" style="6" customWidth="1"/>
    <col min="7483" max="7483" width="3.25" style="6" customWidth="1"/>
    <col min="7484" max="7681" width="9" style="6"/>
    <col min="7682" max="7721" width="2.75" style="6" customWidth="1"/>
    <col min="7722" max="7722" width="3.125" style="6" customWidth="1"/>
    <col min="7723" max="7726" width="2.75" style="6" customWidth="1"/>
    <col min="7727" max="7727" width="2.875" style="6" customWidth="1"/>
    <col min="7728" max="7738" width="2.625" style="6" customWidth="1"/>
    <col min="7739" max="7739" width="3.25" style="6" customWidth="1"/>
    <col min="7740" max="7937" width="9" style="6"/>
    <col min="7938" max="7977" width="2.75" style="6" customWidth="1"/>
    <col min="7978" max="7978" width="3.125" style="6" customWidth="1"/>
    <col min="7979" max="7982" width="2.75" style="6" customWidth="1"/>
    <col min="7983" max="7983" width="2.875" style="6" customWidth="1"/>
    <col min="7984" max="7994" width="2.625" style="6" customWidth="1"/>
    <col min="7995" max="7995" width="3.25" style="6" customWidth="1"/>
    <col min="7996" max="8193" width="9" style="6"/>
    <col min="8194" max="8233" width="2.75" style="6" customWidth="1"/>
    <col min="8234" max="8234" width="3.125" style="6" customWidth="1"/>
    <col min="8235" max="8238" width="2.75" style="6" customWidth="1"/>
    <col min="8239" max="8239" width="2.875" style="6" customWidth="1"/>
    <col min="8240" max="8250" width="2.625" style="6" customWidth="1"/>
    <col min="8251" max="8251" width="3.25" style="6" customWidth="1"/>
    <col min="8252" max="8449" width="9" style="6"/>
    <col min="8450" max="8489" width="2.75" style="6" customWidth="1"/>
    <col min="8490" max="8490" width="3.125" style="6" customWidth="1"/>
    <col min="8491" max="8494" width="2.75" style="6" customWidth="1"/>
    <col min="8495" max="8495" width="2.875" style="6" customWidth="1"/>
    <col min="8496" max="8506" width="2.625" style="6" customWidth="1"/>
    <col min="8507" max="8507" width="3.25" style="6" customWidth="1"/>
    <col min="8508" max="8705" width="9" style="6"/>
    <col min="8706" max="8745" width="2.75" style="6" customWidth="1"/>
    <col min="8746" max="8746" width="3.125" style="6" customWidth="1"/>
    <col min="8747" max="8750" width="2.75" style="6" customWidth="1"/>
    <col min="8751" max="8751" width="2.875" style="6" customWidth="1"/>
    <col min="8752" max="8762" width="2.625" style="6" customWidth="1"/>
    <col min="8763" max="8763" width="3.25" style="6" customWidth="1"/>
    <col min="8764" max="8961" width="9" style="6"/>
    <col min="8962" max="9001" width="2.75" style="6" customWidth="1"/>
    <col min="9002" max="9002" width="3.125" style="6" customWidth="1"/>
    <col min="9003" max="9006" width="2.75" style="6" customWidth="1"/>
    <col min="9007" max="9007" width="2.875" style="6" customWidth="1"/>
    <col min="9008" max="9018" width="2.625" style="6" customWidth="1"/>
    <col min="9019" max="9019" width="3.25" style="6" customWidth="1"/>
    <col min="9020" max="9217" width="9" style="6"/>
    <col min="9218" max="9257" width="2.75" style="6" customWidth="1"/>
    <col min="9258" max="9258" width="3.125" style="6" customWidth="1"/>
    <col min="9259" max="9262" width="2.75" style="6" customWidth="1"/>
    <col min="9263" max="9263" width="2.875" style="6" customWidth="1"/>
    <col min="9264" max="9274" width="2.625" style="6" customWidth="1"/>
    <col min="9275" max="9275" width="3.25" style="6" customWidth="1"/>
    <col min="9276" max="9473" width="9" style="6"/>
    <col min="9474" max="9513" width="2.75" style="6" customWidth="1"/>
    <col min="9514" max="9514" width="3.125" style="6" customWidth="1"/>
    <col min="9515" max="9518" width="2.75" style="6" customWidth="1"/>
    <col min="9519" max="9519" width="2.875" style="6" customWidth="1"/>
    <col min="9520" max="9530" width="2.625" style="6" customWidth="1"/>
    <col min="9531" max="9531" width="3.25" style="6" customWidth="1"/>
    <col min="9532" max="9729" width="9" style="6"/>
    <col min="9730" max="9769" width="2.75" style="6" customWidth="1"/>
    <col min="9770" max="9770" width="3.125" style="6" customWidth="1"/>
    <col min="9771" max="9774" width="2.75" style="6" customWidth="1"/>
    <col min="9775" max="9775" width="2.875" style="6" customWidth="1"/>
    <col min="9776" max="9786" width="2.625" style="6" customWidth="1"/>
    <col min="9787" max="9787" width="3.25" style="6" customWidth="1"/>
    <col min="9788" max="9985" width="9" style="6"/>
    <col min="9986" max="10025" width="2.75" style="6" customWidth="1"/>
    <col min="10026" max="10026" width="3.125" style="6" customWidth="1"/>
    <col min="10027" max="10030" width="2.75" style="6" customWidth="1"/>
    <col min="10031" max="10031" width="2.875" style="6" customWidth="1"/>
    <col min="10032" max="10042" width="2.625" style="6" customWidth="1"/>
    <col min="10043" max="10043" width="3.25" style="6" customWidth="1"/>
    <col min="10044" max="10241" width="9" style="6"/>
    <col min="10242" max="10281" width="2.75" style="6" customWidth="1"/>
    <col min="10282" max="10282" width="3.125" style="6" customWidth="1"/>
    <col min="10283" max="10286" width="2.75" style="6" customWidth="1"/>
    <col min="10287" max="10287" width="2.875" style="6" customWidth="1"/>
    <col min="10288" max="10298" width="2.625" style="6" customWidth="1"/>
    <col min="10299" max="10299" width="3.25" style="6" customWidth="1"/>
    <col min="10300" max="10497" width="9" style="6"/>
    <col min="10498" max="10537" width="2.75" style="6" customWidth="1"/>
    <col min="10538" max="10538" width="3.125" style="6" customWidth="1"/>
    <col min="10539" max="10542" width="2.75" style="6" customWidth="1"/>
    <col min="10543" max="10543" width="2.875" style="6" customWidth="1"/>
    <col min="10544" max="10554" width="2.625" style="6" customWidth="1"/>
    <col min="10555" max="10555" width="3.25" style="6" customWidth="1"/>
    <col min="10556" max="10753" width="9" style="6"/>
    <col min="10754" max="10793" width="2.75" style="6" customWidth="1"/>
    <col min="10794" max="10794" width="3.125" style="6" customWidth="1"/>
    <col min="10795" max="10798" width="2.75" style="6" customWidth="1"/>
    <col min="10799" max="10799" width="2.875" style="6" customWidth="1"/>
    <col min="10800" max="10810" width="2.625" style="6" customWidth="1"/>
    <col min="10811" max="10811" width="3.25" style="6" customWidth="1"/>
    <col min="10812" max="11009" width="9" style="6"/>
    <col min="11010" max="11049" width="2.75" style="6" customWidth="1"/>
    <col min="11050" max="11050" width="3.125" style="6" customWidth="1"/>
    <col min="11051" max="11054" width="2.75" style="6" customWidth="1"/>
    <col min="11055" max="11055" width="2.875" style="6" customWidth="1"/>
    <col min="11056" max="11066" width="2.625" style="6" customWidth="1"/>
    <col min="11067" max="11067" width="3.25" style="6" customWidth="1"/>
    <col min="11068" max="11265" width="9" style="6"/>
    <col min="11266" max="11305" width="2.75" style="6" customWidth="1"/>
    <col min="11306" max="11306" width="3.125" style="6" customWidth="1"/>
    <col min="11307" max="11310" width="2.75" style="6" customWidth="1"/>
    <col min="11311" max="11311" width="2.875" style="6" customWidth="1"/>
    <col min="11312" max="11322" width="2.625" style="6" customWidth="1"/>
    <col min="11323" max="11323" width="3.25" style="6" customWidth="1"/>
    <col min="11324" max="11521" width="9" style="6"/>
    <col min="11522" max="11561" width="2.75" style="6" customWidth="1"/>
    <col min="11562" max="11562" width="3.125" style="6" customWidth="1"/>
    <col min="11563" max="11566" width="2.75" style="6" customWidth="1"/>
    <col min="11567" max="11567" width="2.875" style="6" customWidth="1"/>
    <col min="11568" max="11578" width="2.625" style="6" customWidth="1"/>
    <col min="11579" max="11579" width="3.25" style="6" customWidth="1"/>
    <col min="11580" max="11777" width="9" style="6"/>
    <col min="11778" max="11817" width="2.75" style="6" customWidth="1"/>
    <col min="11818" max="11818" width="3.125" style="6" customWidth="1"/>
    <col min="11819" max="11822" width="2.75" style="6" customWidth="1"/>
    <col min="11823" max="11823" width="2.875" style="6" customWidth="1"/>
    <col min="11824" max="11834" width="2.625" style="6" customWidth="1"/>
    <col min="11835" max="11835" width="3.25" style="6" customWidth="1"/>
    <col min="11836" max="12033" width="9" style="6"/>
    <col min="12034" max="12073" width="2.75" style="6" customWidth="1"/>
    <col min="12074" max="12074" width="3.125" style="6" customWidth="1"/>
    <col min="12075" max="12078" width="2.75" style="6" customWidth="1"/>
    <col min="12079" max="12079" width="2.875" style="6" customWidth="1"/>
    <col min="12080" max="12090" width="2.625" style="6" customWidth="1"/>
    <col min="12091" max="12091" width="3.25" style="6" customWidth="1"/>
    <col min="12092" max="12289" width="9" style="6"/>
    <col min="12290" max="12329" width="2.75" style="6" customWidth="1"/>
    <col min="12330" max="12330" width="3.125" style="6" customWidth="1"/>
    <col min="12331" max="12334" width="2.75" style="6" customWidth="1"/>
    <col min="12335" max="12335" width="2.875" style="6" customWidth="1"/>
    <col min="12336" max="12346" width="2.625" style="6" customWidth="1"/>
    <col min="12347" max="12347" width="3.25" style="6" customWidth="1"/>
    <col min="12348" max="12545" width="9" style="6"/>
    <col min="12546" max="12585" width="2.75" style="6" customWidth="1"/>
    <col min="12586" max="12586" width="3.125" style="6" customWidth="1"/>
    <col min="12587" max="12590" width="2.75" style="6" customWidth="1"/>
    <col min="12591" max="12591" width="2.875" style="6" customWidth="1"/>
    <col min="12592" max="12602" width="2.625" style="6" customWidth="1"/>
    <col min="12603" max="12603" width="3.25" style="6" customWidth="1"/>
    <col min="12604" max="12801" width="9" style="6"/>
    <col min="12802" max="12841" width="2.75" style="6" customWidth="1"/>
    <col min="12842" max="12842" width="3.125" style="6" customWidth="1"/>
    <col min="12843" max="12846" width="2.75" style="6" customWidth="1"/>
    <col min="12847" max="12847" width="2.875" style="6" customWidth="1"/>
    <col min="12848" max="12858" width="2.625" style="6" customWidth="1"/>
    <col min="12859" max="12859" width="3.25" style="6" customWidth="1"/>
    <col min="12860" max="13057" width="9" style="6"/>
    <col min="13058" max="13097" width="2.75" style="6" customWidth="1"/>
    <col min="13098" max="13098" width="3.125" style="6" customWidth="1"/>
    <col min="13099" max="13102" width="2.75" style="6" customWidth="1"/>
    <col min="13103" max="13103" width="2.875" style="6" customWidth="1"/>
    <col min="13104" max="13114" width="2.625" style="6" customWidth="1"/>
    <col min="13115" max="13115" width="3.25" style="6" customWidth="1"/>
    <col min="13116" max="13313" width="9" style="6"/>
    <col min="13314" max="13353" width="2.75" style="6" customWidth="1"/>
    <col min="13354" max="13354" width="3.125" style="6" customWidth="1"/>
    <col min="13355" max="13358" width="2.75" style="6" customWidth="1"/>
    <col min="13359" max="13359" width="2.875" style="6" customWidth="1"/>
    <col min="13360" max="13370" width="2.625" style="6" customWidth="1"/>
    <col min="13371" max="13371" width="3.25" style="6" customWidth="1"/>
    <col min="13372" max="13569" width="9" style="6"/>
    <col min="13570" max="13609" width="2.75" style="6" customWidth="1"/>
    <col min="13610" max="13610" width="3.125" style="6" customWidth="1"/>
    <col min="13611" max="13614" width="2.75" style="6" customWidth="1"/>
    <col min="13615" max="13615" width="2.875" style="6" customWidth="1"/>
    <col min="13616" max="13626" width="2.625" style="6" customWidth="1"/>
    <col min="13627" max="13627" width="3.25" style="6" customWidth="1"/>
    <col min="13628" max="13825" width="9" style="6"/>
    <col min="13826" max="13865" width="2.75" style="6" customWidth="1"/>
    <col min="13866" max="13866" width="3.125" style="6" customWidth="1"/>
    <col min="13867" max="13870" width="2.75" style="6" customWidth="1"/>
    <col min="13871" max="13871" width="2.875" style="6" customWidth="1"/>
    <col min="13872" max="13882" width="2.625" style="6" customWidth="1"/>
    <col min="13883" max="13883" width="3.25" style="6" customWidth="1"/>
    <col min="13884" max="14081" width="9" style="6"/>
    <col min="14082" max="14121" width="2.75" style="6" customWidth="1"/>
    <col min="14122" max="14122" width="3.125" style="6" customWidth="1"/>
    <col min="14123" max="14126" width="2.75" style="6" customWidth="1"/>
    <col min="14127" max="14127" width="2.875" style="6" customWidth="1"/>
    <col min="14128" max="14138" width="2.625" style="6" customWidth="1"/>
    <col min="14139" max="14139" width="3.25" style="6" customWidth="1"/>
    <col min="14140" max="14337" width="9" style="6"/>
    <col min="14338" max="14377" width="2.75" style="6" customWidth="1"/>
    <col min="14378" max="14378" width="3.125" style="6" customWidth="1"/>
    <col min="14379" max="14382" width="2.75" style="6" customWidth="1"/>
    <col min="14383" max="14383" width="2.875" style="6" customWidth="1"/>
    <col min="14384" max="14394" width="2.625" style="6" customWidth="1"/>
    <col min="14395" max="14395" width="3.25" style="6" customWidth="1"/>
    <col min="14396" max="14593" width="9" style="6"/>
    <col min="14594" max="14633" width="2.75" style="6" customWidth="1"/>
    <col min="14634" max="14634" width="3.125" style="6" customWidth="1"/>
    <col min="14635" max="14638" width="2.75" style="6" customWidth="1"/>
    <col min="14639" max="14639" width="2.875" style="6" customWidth="1"/>
    <col min="14640" max="14650" width="2.625" style="6" customWidth="1"/>
    <col min="14651" max="14651" width="3.25" style="6" customWidth="1"/>
    <col min="14652" max="14849" width="9" style="6"/>
    <col min="14850" max="14889" width="2.75" style="6" customWidth="1"/>
    <col min="14890" max="14890" width="3.125" style="6" customWidth="1"/>
    <col min="14891" max="14894" width="2.75" style="6" customWidth="1"/>
    <col min="14895" max="14895" width="2.875" style="6" customWidth="1"/>
    <col min="14896" max="14906" width="2.625" style="6" customWidth="1"/>
    <col min="14907" max="14907" width="3.25" style="6" customWidth="1"/>
    <col min="14908" max="15105" width="9" style="6"/>
    <col min="15106" max="15145" width="2.75" style="6" customWidth="1"/>
    <col min="15146" max="15146" width="3.125" style="6" customWidth="1"/>
    <col min="15147" max="15150" width="2.75" style="6" customWidth="1"/>
    <col min="15151" max="15151" width="2.875" style="6" customWidth="1"/>
    <col min="15152" max="15162" width="2.625" style="6" customWidth="1"/>
    <col min="15163" max="15163" width="3.25" style="6" customWidth="1"/>
    <col min="15164" max="15361" width="9" style="6"/>
    <col min="15362" max="15401" width="2.75" style="6" customWidth="1"/>
    <col min="15402" max="15402" width="3.125" style="6" customWidth="1"/>
    <col min="15403" max="15406" width="2.75" style="6" customWidth="1"/>
    <col min="15407" max="15407" width="2.875" style="6" customWidth="1"/>
    <col min="15408" max="15418" width="2.625" style="6" customWidth="1"/>
    <col min="15419" max="15419" width="3.25" style="6" customWidth="1"/>
    <col min="15420" max="15617" width="9" style="6"/>
    <col min="15618" max="15657" width="2.75" style="6" customWidth="1"/>
    <col min="15658" max="15658" width="3.125" style="6" customWidth="1"/>
    <col min="15659" max="15662" width="2.75" style="6" customWidth="1"/>
    <col min="15663" max="15663" width="2.875" style="6" customWidth="1"/>
    <col min="15664" max="15674" width="2.625" style="6" customWidth="1"/>
    <col min="15675" max="15675" width="3.25" style="6" customWidth="1"/>
    <col min="15676" max="15873" width="9" style="6"/>
    <col min="15874" max="15913" width="2.75" style="6" customWidth="1"/>
    <col min="15914" max="15914" width="3.125" style="6" customWidth="1"/>
    <col min="15915" max="15918" width="2.75" style="6" customWidth="1"/>
    <col min="15919" max="15919" width="2.875" style="6" customWidth="1"/>
    <col min="15920" max="15930" width="2.625" style="6" customWidth="1"/>
    <col min="15931" max="15931" width="3.25" style="6" customWidth="1"/>
    <col min="15932" max="16129" width="9" style="6"/>
    <col min="16130" max="16169" width="2.75" style="6" customWidth="1"/>
    <col min="16170" max="16170" width="3.125" style="6" customWidth="1"/>
    <col min="16171" max="16174" width="2.75" style="6" customWidth="1"/>
    <col min="16175" max="16175" width="2.875" style="6" customWidth="1"/>
    <col min="16176" max="16186" width="2.625" style="6" customWidth="1"/>
    <col min="16187" max="16187" width="3.25" style="6" customWidth="1"/>
    <col min="16188" max="16384" width="9" style="6"/>
  </cols>
  <sheetData>
    <row r="1" spans="1:58" ht="20.100000000000001" customHeight="1" x14ac:dyDescent="0.15">
      <c r="A1" s="6" t="s">
        <v>677</v>
      </c>
    </row>
    <row r="2" spans="1:58" ht="12" customHeight="1" x14ac:dyDescent="0.15"/>
    <row r="3" spans="1:58" ht="27.75" customHeight="1" x14ac:dyDescent="0.15">
      <c r="B3" s="415" t="s">
        <v>619</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row>
    <row r="4" spans="1:58" ht="19.5" customHeight="1" thickBot="1" x14ac:dyDescent="0.2"/>
    <row r="5" spans="1:58" ht="27.75" customHeight="1" thickBot="1" x14ac:dyDescent="0.2">
      <c r="B5" s="357"/>
      <c r="C5" s="358"/>
      <c r="D5" s="358"/>
      <c r="E5" s="359"/>
      <c r="F5" s="366" t="s">
        <v>637</v>
      </c>
      <c r="G5" s="406" t="s">
        <v>4</v>
      </c>
      <c r="H5" s="406"/>
      <c r="I5" s="406"/>
      <c r="J5" s="360" t="s">
        <v>5</v>
      </c>
      <c r="K5" s="358"/>
      <c r="L5" s="358"/>
      <c r="M5" s="358"/>
      <c r="N5" s="366" t="s">
        <v>636</v>
      </c>
      <c r="O5" s="406" t="s">
        <v>4</v>
      </c>
      <c r="P5" s="406"/>
      <c r="Q5" s="406"/>
      <c r="R5" s="359" t="s">
        <v>6</v>
      </c>
      <c r="S5" s="359"/>
      <c r="T5" s="359"/>
      <c r="U5" s="359"/>
      <c r="V5" s="365" t="s">
        <v>635</v>
      </c>
      <c r="W5" s="406"/>
      <c r="X5" s="406"/>
      <c r="Y5" s="406"/>
      <c r="Z5" s="359" t="s">
        <v>6</v>
      </c>
      <c r="AA5" s="359"/>
      <c r="AB5" s="358"/>
      <c r="AC5" s="359"/>
      <c r="AD5" s="365" t="s">
        <v>634</v>
      </c>
      <c r="AE5" s="406" t="s">
        <v>576</v>
      </c>
      <c r="AF5" s="406"/>
      <c r="AG5" s="406"/>
      <c r="AH5" s="360" t="s">
        <v>6</v>
      </c>
      <c r="AI5" s="358"/>
      <c r="AJ5" s="359"/>
      <c r="AK5" s="359"/>
      <c r="AL5" s="365" t="s">
        <v>633</v>
      </c>
      <c r="AM5" s="406" t="s">
        <v>577</v>
      </c>
      <c r="AN5" s="406"/>
      <c r="AO5" s="406"/>
      <c r="AP5" s="361" t="s">
        <v>628</v>
      </c>
      <c r="AQ5" s="8"/>
      <c r="AR5" s="8"/>
      <c r="AS5" s="8"/>
      <c r="AT5" s="8"/>
      <c r="AU5" s="7"/>
      <c r="AV5" s="7"/>
      <c r="AW5" s="7"/>
      <c r="AX5" s="7"/>
      <c r="AY5" s="7"/>
      <c r="AZ5" s="7"/>
      <c r="BA5" s="7"/>
      <c r="BB5" s="10"/>
      <c r="BC5" s="12"/>
      <c r="BD5" s="12"/>
      <c r="BE5" s="12"/>
    </row>
    <row r="6" spans="1:58" ht="20.100000000000001" customHeight="1" x14ac:dyDescent="0.15">
      <c r="B6" s="430" t="s">
        <v>615</v>
      </c>
      <c r="C6" s="431"/>
      <c r="D6" s="407" t="s">
        <v>7</v>
      </c>
      <c r="E6" s="408"/>
      <c r="F6" s="408"/>
      <c r="G6" s="408"/>
      <c r="H6" s="411" t="s">
        <v>617</v>
      </c>
      <c r="I6" s="411"/>
      <c r="J6" s="411"/>
      <c r="K6" s="411"/>
      <c r="L6" s="411"/>
      <c r="M6" s="411"/>
      <c r="N6" s="411"/>
      <c r="O6" s="411"/>
      <c r="P6" s="411"/>
      <c r="Q6" s="411"/>
      <c r="R6" s="411"/>
      <c r="S6" s="411"/>
      <c r="T6" s="408" t="s">
        <v>618</v>
      </c>
      <c r="U6" s="408"/>
      <c r="V6" s="408"/>
      <c r="W6" s="408"/>
      <c r="X6" s="408"/>
      <c r="Y6" s="408"/>
      <c r="Z6" s="408"/>
      <c r="AA6" s="408"/>
      <c r="AB6" s="408"/>
      <c r="AC6" s="408"/>
      <c r="AD6" s="408"/>
      <c r="AE6" s="411" t="s">
        <v>10</v>
      </c>
      <c r="AF6" s="411"/>
      <c r="AG6" s="411"/>
      <c r="AH6" s="411"/>
      <c r="AI6" s="413" t="s">
        <v>11</v>
      </c>
      <c r="AJ6" s="413"/>
      <c r="AK6" s="413"/>
      <c r="AL6" s="413"/>
      <c r="AM6" s="426" t="s">
        <v>12</v>
      </c>
      <c r="AN6" s="426"/>
      <c r="AO6" s="426"/>
      <c r="AP6" s="427"/>
      <c r="AQ6" s="8"/>
      <c r="AR6" s="8"/>
      <c r="AS6" s="8"/>
      <c r="AT6" s="8"/>
      <c r="AU6" s="8"/>
      <c r="AV6" s="7"/>
      <c r="AW6" s="7"/>
      <c r="AX6" s="7"/>
      <c r="AY6" s="7"/>
      <c r="AZ6" s="7"/>
      <c r="BA6" s="7"/>
      <c r="BB6" s="7"/>
      <c r="BC6" s="10"/>
      <c r="BD6" s="12"/>
      <c r="BE6" s="12"/>
      <c r="BF6" s="12"/>
    </row>
    <row r="7" spans="1:58" ht="19.5" customHeight="1" x14ac:dyDescent="0.15">
      <c r="B7" s="432"/>
      <c r="C7" s="433"/>
      <c r="D7" s="409"/>
      <c r="E7" s="410"/>
      <c r="F7" s="410"/>
      <c r="G7" s="410"/>
      <c r="H7" s="425" t="s">
        <v>8</v>
      </c>
      <c r="I7" s="399"/>
      <c r="J7" s="399"/>
      <c r="K7" s="399"/>
      <c r="L7" s="399" t="s">
        <v>9</v>
      </c>
      <c r="M7" s="399"/>
      <c r="N7" s="399"/>
      <c r="O7" s="399"/>
      <c r="P7" s="399" t="s">
        <v>676</v>
      </c>
      <c r="Q7" s="399"/>
      <c r="R7" s="399"/>
      <c r="S7" s="399"/>
      <c r="T7" s="400" t="s">
        <v>616</v>
      </c>
      <c r="U7" s="401"/>
      <c r="V7" s="401"/>
      <c r="W7" s="401"/>
      <c r="X7" s="401"/>
      <c r="Y7" s="401"/>
      <c r="Z7" s="401"/>
      <c r="AA7" s="401"/>
      <c r="AB7" s="401"/>
      <c r="AC7" s="401"/>
      <c r="AD7" s="402"/>
      <c r="AE7" s="412"/>
      <c r="AF7" s="412"/>
      <c r="AG7" s="412"/>
      <c r="AH7" s="412"/>
      <c r="AI7" s="414"/>
      <c r="AJ7" s="414"/>
      <c r="AK7" s="414"/>
      <c r="AL7" s="414"/>
      <c r="AM7" s="428"/>
      <c r="AN7" s="428"/>
      <c r="AO7" s="428"/>
      <c r="AP7" s="429"/>
      <c r="AQ7" s="8"/>
      <c r="AR7" s="8"/>
      <c r="AS7" s="8"/>
      <c r="AT7" s="8"/>
      <c r="AU7" s="8"/>
      <c r="AV7" s="9"/>
      <c r="AW7" s="10"/>
      <c r="AX7" s="10"/>
      <c r="AY7" s="10"/>
      <c r="AZ7" s="10"/>
      <c r="BA7" s="10"/>
      <c r="BB7" s="10"/>
      <c r="BC7" s="10"/>
    </row>
    <row r="8" spans="1:58" ht="30" customHeight="1" x14ac:dyDescent="0.15">
      <c r="B8" s="432"/>
      <c r="C8" s="433"/>
      <c r="D8" s="422" t="s">
        <v>13</v>
      </c>
      <c r="E8" s="423"/>
      <c r="F8" s="423"/>
      <c r="G8" s="424"/>
      <c r="H8" s="419">
        <v>1</v>
      </c>
      <c r="I8" s="419"/>
      <c r="J8" s="419"/>
      <c r="K8" s="420"/>
      <c r="L8" s="418">
        <v>1</v>
      </c>
      <c r="M8" s="419"/>
      <c r="N8" s="419"/>
      <c r="O8" s="420"/>
      <c r="P8" s="418">
        <v>1</v>
      </c>
      <c r="Q8" s="419"/>
      <c r="R8" s="419"/>
      <c r="S8" s="420"/>
      <c r="T8" s="418">
        <v>0.5</v>
      </c>
      <c r="U8" s="419"/>
      <c r="V8" s="419"/>
      <c r="W8" s="11" t="s">
        <v>14</v>
      </c>
      <c r="X8" s="419">
        <v>0.5</v>
      </c>
      <c r="Y8" s="419"/>
      <c r="Z8" s="419"/>
      <c r="AA8" s="11" t="s">
        <v>14</v>
      </c>
      <c r="AB8" s="419">
        <v>0.5</v>
      </c>
      <c r="AC8" s="419"/>
      <c r="AD8" s="420"/>
      <c r="AE8" s="362">
        <v>1</v>
      </c>
      <c r="AF8" s="11" t="s">
        <v>15</v>
      </c>
      <c r="AG8" s="416">
        <v>15</v>
      </c>
      <c r="AH8" s="417"/>
      <c r="AI8" s="418">
        <v>1</v>
      </c>
      <c r="AJ8" s="419"/>
      <c r="AK8" s="419"/>
      <c r="AL8" s="420"/>
      <c r="AM8" s="418">
        <v>1</v>
      </c>
      <c r="AN8" s="419"/>
      <c r="AO8" s="419"/>
      <c r="AP8" s="421"/>
      <c r="AQ8" s="8"/>
      <c r="AR8" s="8"/>
      <c r="AS8" s="8"/>
      <c r="AT8" s="8"/>
      <c r="AU8" s="7"/>
      <c r="AV8" s="9"/>
      <c r="AW8" s="10"/>
      <c r="AX8" s="10"/>
      <c r="AY8" s="10"/>
      <c r="AZ8" s="10"/>
      <c r="BA8" s="10"/>
      <c r="BB8" s="10"/>
      <c r="BC8" s="10"/>
    </row>
    <row r="9" spans="1:58" ht="30" customHeight="1" x14ac:dyDescent="0.15">
      <c r="B9" s="432"/>
      <c r="C9" s="433"/>
      <c r="D9" s="403" t="s">
        <v>16</v>
      </c>
      <c r="E9" s="404"/>
      <c r="F9" s="404"/>
      <c r="G9" s="405"/>
      <c r="H9" s="396">
        <v>2</v>
      </c>
      <c r="I9" s="397"/>
      <c r="J9" s="397"/>
      <c r="K9" s="398"/>
      <c r="L9" s="396">
        <v>1</v>
      </c>
      <c r="M9" s="397"/>
      <c r="N9" s="397"/>
      <c r="O9" s="398"/>
      <c r="P9" s="396">
        <v>1</v>
      </c>
      <c r="Q9" s="397"/>
      <c r="R9" s="397"/>
      <c r="S9" s="398"/>
      <c r="T9" s="396">
        <v>0.5</v>
      </c>
      <c r="U9" s="397"/>
      <c r="V9" s="397"/>
      <c r="W9" s="7" t="s">
        <v>14</v>
      </c>
      <c r="X9" s="397">
        <v>0.5</v>
      </c>
      <c r="Y9" s="397"/>
      <c r="Z9" s="397"/>
      <c r="AA9" s="7" t="s">
        <v>14</v>
      </c>
      <c r="AB9" s="397">
        <v>0.5</v>
      </c>
      <c r="AC9" s="397"/>
      <c r="AD9" s="398"/>
      <c r="AE9" s="363">
        <v>1</v>
      </c>
      <c r="AF9" s="8" t="s">
        <v>15</v>
      </c>
      <c r="AG9" s="390">
        <v>15</v>
      </c>
      <c r="AH9" s="391"/>
      <c r="AI9" s="392">
        <v>1</v>
      </c>
      <c r="AJ9" s="393"/>
      <c r="AK9" s="393"/>
      <c r="AL9" s="394"/>
      <c r="AM9" s="392">
        <v>1</v>
      </c>
      <c r="AN9" s="393"/>
      <c r="AO9" s="393"/>
      <c r="AP9" s="395"/>
      <c r="AQ9" s="8"/>
      <c r="AR9" s="8"/>
      <c r="AS9" s="8"/>
      <c r="AT9" s="8"/>
      <c r="AU9" s="8"/>
      <c r="AV9" s="9"/>
      <c r="AW9" s="13"/>
      <c r="AX9" s="14"/>
      <c r="AY9" s="14"/>
      <c r="AZ9" s="14"/>
      <c r="BA9" s="10"/>
      <c r="BB9" s="10"/>
      <c r="BC9" s="10"/>
    </row>
    <row r="10" spans="1:58" ht="30" customHeight="1" x14ac:dyDescent="0.15">
      <c r="B10" s="432"/>
      <c r="C10" s="433"/>
      <c r="D10" s="403" t="s">
        <v>17</v>
      </c>
      <c r="E10" s="404"/>
      <c r="F10" s="404"/>
      <c r="G10" s="405"/>
      <c r="H10" s="396">
        <v>1</v>
      </c>
      <c r="I10" s="397"/>
      <c r="J10" s="397"/>
      <c r="K10" s="398"/>
      <c r="L10" s="396">
        <v>1</v>
      </c>
      <c r="M10" s="397"/>
      <c r="N10" s="397"/>
      <c r="O10" s="398"/>
      <c r="P10" s="396">
        <v>1</v>
      </c>
      <c r="Q10" s="397"/>
      <c r="R10" s="397"/>
      <c r="S10" s="398"/>
      <c r="T10" s="396">
        <v>0.5</v>
      </c>
      <c r="U10" s="397"/>
      <c r="V10" s="397"/>
      <c r="W10" s="7" t="s">
        <v>14</v>
      </c>
      <c r="X10" s="397">
        <v>0.5</v>
      </c>
      <c r="Y10" s="397"/>
      <c r="Z10" s="397"/>
      <c r="AA10" s="7" t="s">
        <v>14</v>
      </c>
      <c r="AB10" s="397">
        <v>0.5</v>
      </c>
      <c r="AC10" s="397"/>
      <c r="AD10" s="398"/>
      <c r="AE10" s="363"/>
      <c r="AF10" s="8"/>
      <c r="AG10" s="390"/>
      <c r="AH10" s="391"/>
      <c r="AI10" s="396">
        <v>1</v>
      </c>
      <c r="AJ10" s="397"/>
      <c r="AK10" s="397"/>
      <c r="AL10" s="398"/>
      <c r="AM10" s="396">
        <v>1</v>
      </c>
      <c r="AN10" s="397"/>
      <c r="AO10" s="397"/>
      <c r="AP10" s="436"/>
      <c r="AQ10" s="7"/>
      <c r="AR10" s="7"/>
      <c r="AS10" s="7"/>
      <c r="AT10" s="7"/>
      <c r="AU10" s="7"/>
      <c r="AV10" s="9"/>
      <c r="AW10" s="10"/>
      <c r="AX10" s="10"/>
      <c r="AY10" s="10"/>
      <c r="AZ10" s="10"/>
      <c r="BA10" s="10"/>
      <c r="BB10" s="10"/>
      <c r="BC10" s="10"/>
    </row>
    <row r="11" spans="1:58" ht="30" customHeight="1" x14ac:dyDescent="0.15">
      <c r="B11" s="432"/>
      <c r="C11" s="433"/>
      <c r="D11" s="437" t="s">
        <v>18</v>
      </c>
      <c r="E11" s="438"/>
      <c r="F11" s="438"/>
      <c r="G11" s="439"/>
      <c r="H11" s="396">
        <v>1</v>
      </c>
      <c r="I11" s="397"/>
      <c r="J11" s="397"/>
      <c r="K11" s="398"/>
      <c r="L11" s="396">
        <v>1</v>
      </c>
      <c r="M11" s="397"/>
      <c r="N11" s="397"/>
      <c r="O11" s="398"/>
      <c r="P11" s="396">
        <v>1</v>
      </c>
      <c r="Q11" s="397"/>
      <c r="R11" s="397"/>
      <c r="S11" s="398"/>
      <c r="T11" s="396" t="s">
        <v>236</v>
      </c>
      <c r="U11" s="397"/>
      <c r="V11" s="397"/>
      <c r="W11" s="7" t="s">
        <v>14</v>
      </c>
      <c r="X11" s="397" t="s">
        <v>236</v>
      </c>
      <c r="Y11" s="397"/>
      <c r="Z11" s="397"/>
      <c r="AA11" s="7" t="s">
        <v>14</v>
      </c>
      <c r="AB11" s="397" t="s">
        <v>236</v>
      </c>
      <c r="AC11" s="397"/>
      <c r="AD11" s="398"/>
      <c r="AE11" s="363"/>
      <c r="AF11" s="8"/>
      <c r="AG11" s="390"/>
      <c r="AH11" s="391"/>
      <c r="AI11" s="396">
        <v>1</v>
      </c>
      <c r="AJ11" s="397"/>
      <c r="AK11" s="397"/>
      <c r="AL11" s="398"/>
      <c r="AM11" s="396">
        <v>1</v>
      </c>
      <c r="AN11" s="397"/>
      <c r="AO11" s="397"/>
      <c r="AP11" s="436"/>
      <c r="AQ11" s="7"/>
      <c r="AR11" s="7"/>
      <c r="AS11" s="7"/>
      <c r="AT11" s="7"/>
      <c r="AU11" s="7"/>
      <c r="AV11" s="9"/>
      <c r="AW11" s="10"/>
      <c r="AX11" s="10"/>
      <c r="AY11" s="10"/>
      <c r="AZ11" s="10"/>
      <c r="BA11" s="10"/>
      <c r="BB11" s="10"/>
      <c r="BC11" s="10"/>
    </row>
    <row r="12" spans="1:58" ht="30" customHeight="1" x14ac:dyDescent="0.15">
      <c r="B12" s="432"/>
      <c r="C12" s="433"/>
      <c r="D12" s="403" t="s">
        <v>19</v>
      </c>
      <c r="E12" s="404"/>
      <c r="F12" s="404"/>
      <c r="G12" s="405"/>
      <c r="H12" s="396" t="s">
        <v>670</v>
      </c>
      <c r="I12" s="397"/>
      <c r="J12" s="397"/>
      <c r="K12" s="398"/>
      <c r="L12" s="396">
        <v>1.2</v>
      </c>
      <c r="M12" s="397"/>
      <c r="N12" s="397"/>
      <c r="O12" s="398"/>
      <c r="P12" s="396">
        <v>1.4</v>
      </c>
      <c r="Q12" s="397"/>
      <c r="R12" s="397"/>
      <c r="S12" s="398"/>
      <c r="T12" s="396" t="s">
        <v>573</v>
      </c>
      <c r="U12" s="397"/>
      <c r="V12" s="397"/>
      <c r="W12" s="7" t="s">
        <v>14</v>
      </c>
      <c r="X12" s="397" t="s">
        <v>573</v>
      </c>
      <c r="Y12" s="397"/>
      <c r="Z12" s="397"/>
      <c r="AA12" s="7" t="s">
        <v>14</v>
      </c>
      <c r="AB12" s="397" t="s">
        <v>573</v>
      </c>
      <c r="AC12" s="397"/>
      <c r="AD12" s="398"/>
      <c r="AE12" s="363"/>
      <c r="AF12" s="8"/>
      <c r="AG12" s="390"/>
      <c r="AH12" s="391"/>
      <c r="AI12" s="396">
        <v>1</v>
      </c>
      <c r="AJ12" s="397"/>
      <c r="AK12" s="397"/>
      <c r="AL12" s="398"/>
      <c r="AM12" s="396">
        <v>1</v>
      </c>
      <c r="AN12" s="397"/>
      <c r="AO12" s="397"/>
      <c r="AP12" s="436"/>
      <c r="AQ12" s="7"/>
      <c r="AR12" s="7"/>
      <c r="AS12" s="7"/>
      <c r="AT12" s="7"/>
      <c r="AU12" s="7"/>
      <c r="AV12" s="9"/>
      <c r="AW12" s="10"/>
      <c r="AX12" s="10"/>
      <c r="AY12" s="10"/>
      <c r="AZ12" s="10"/>
      <c r="BA12" s="10"/>
      <c r="BB12" s="10"/>
      <c r="BC12" s="10"/>
    </row>
    <row r="13" spans="1:58" ht="30" customHeight="1" x14ac:dyDescent="0.15">
      <c r="B13" s="432"/>
      <c r="C13" s="433"/>
      <c r="D13" s="403"/>
      <c r="E13" s="404"/>
      <c r="F13" s="404"/>
      <c r="G13" s="405"/>
      <c r="H13" s="396"/>
      <c r="I13" s="397"/>
      <c r="J13" s="397"/>
      <c r="K13" s="398"/>
      <c r="L13" s="396"/>
      <c r="M13" s="397"/>
      <c r="N13" s="397"/>
      <c r="O13" s="398"/>
      <c r="P13" s="396"/>
      <c r="Q13" s="397"/>
      <c r="R13" s="397"/>
      <c r="S13" s="398"/>
      <c r="T13" s="396"/>
      <c r="U13" s="397"/>
      <c r="V13" s="397"/>
      <c r="W13" s="7"/>
      <c r="X13" s="397"/>
      <c r="Y13" s="397"/>
      <c r="Z13" s="397"/>
      <c r="AA13" s="7"/>
      <c r="AB13" s="397"/>
      <c r="AC13" s="397"/>
      <c r="AD13" s="398"/>
      <c r="AE13" s="363"/>
      <c r="AF13" s="8"/>
      <c r="AG13" s="390"/>
      <c r="AH13" s="391"/>
      <c r="AI13" s="396"/>
      <c r="AJ13" s="397"/>
      <c r="AK13" s="397"/>
      <c r="AL13" s="398"/>
      <c r="AM13" s="396"/>
      <c r="AN13" s="397"/>
      <c r="AO13" s="397"/>
      <c r="AP13" s="436"/>
      <c r="AQ13" s="7"/>
      <c r="AR13" s="7"/>
      <c r="AS13" s="7"/>
      <c r="AT13" s="7"/>
      <c r="AU13" s="7"/>
      <c r="AV13" s="9"/>
      <c r="AW13" s="10"/>
      <c r="AX13" s="10"/>
      <c r="AY13" s="10"/>
      <c r="AZ13" s="10"/>
      <c r="BA13" s="10"/>
      <c r="BB13" s="10"/>
      <c r="BC13" s="10"/>
    </row>
    <row r="14" spans="1:58" ht="30" customHeight="1" x14ac:dyDescent="0.15">
      <c r="B14" s="432"/>
      <c r="C14" s="433"/>
      <c r="D14" s="403"/>
      <c r="E14" s="404"/>
      <c r="F14" s="404"/>
      <c r="G14" s="405"/>
      <c r="H14" s="396"/>
      <c r="I14" s="397"/>
      <c r="J14" s="397"/>
      <c r="K14" s="398"/>
      <c r="L14" s="396"/>
      <c r="M14" s="397"/>
      <c r="N14" s="397"/>
      <c r="O14" s="398"/>
      <c r="P14" s="396"/>
      <c r="Q14" s="397"/>
      <c r="R14" s="397"/>
      <c r="S14" s="398"/>
      <c r="T14" s="396"/>
      <c r="U14" s="397"/>
      <c r="V14" s="397"/>
      <c r="W14" s="7"/>
      <c r="X14" s="397"/>
      <c r="Y14" s="397"/>
      <c r="Z14" s="397"/>
      <c r="AA14" s="7"/>
      <c r="AB14" s="397"/>
      <c r="AC14" s="397"/>
      <c r="AD14" s="398"/>
      <c r="AE14" s="363"/>
      <c r="AF14" s="8"/>
      <c r="AG14" s="390"/>
      <c r="AH14" s="391"/>
      <c r="AI14" s="396"/>
      <c r="AJ14" s="397"/>
      <c r="AK14" s="397"/>
      <c r="AL14" s="398"/>
      <c r="AM14" s="396"/>
      <c r="AN14" s="397"/>
      <c r="AO14" s="397"/>
      <c r="AP14" s="436"/>
      <c r="AQ14" s="7"/>
      <c r="AR14" s="7"/>
      <c r="AS14" s="7"/>
      <c r="AT14" s="7"/>
      <c r="AU14" s="7"/>
      <c r="AV14" s="9"/>
      <c r="AW14" s="10"/>
      <c r="AX14" s="10"/>
      <c r="AY14" s="10"/>
      <c r="AZ14" s="10"/>
      <c r="BA14" s="10"/>
      <c r="BB14" s="10"/>
      <c r="BC14" s="10"/>
    </row>
    <row r="15" spans="1:58" ht="30" customHeight="1" x14ac:dyDescent="0.15">
      <c r="B15" s="432"/>
      <c r="C15" s="433"/>
      <c r="D15" s="403"/>
      <c r="E15" s="404"/>
      <c r="F15" s="404"/>
      <c r="G15" s="405"/>
      <c r="H15" s="396"/>
      <c r="I15" s="397"/>
      <c r="J15" s="397"/>
      <c r="K15" s="398"/>
      <c r="L15" s="396"/>
      <c r="M15" s="397"/>
      <c r="N15" s="397"/>
      <c r="O15" s="398"/>
      <c r="P15" s="396"/>
      <c r="Q15" s="397"/>
      <c r="R15" s="397"/>
      <c r="S15" s="398"/>
      <c r="T15" s="396"/>
      <c r="U15" s="397"/>
      <c r="V15" s="397"/>
      <c r="W15" s="7"/>
      <c r="X15" s="397"/>
      <c r="Y15" s="397"/>
      <c r="Z15" s="397"/>
      <c r="AA15" s="7"/>
      <c r="AB15" s="397"/>
      <c r="AC15" s="397"/>
      <c r="AD15" s="398"/>
      <c r="AE15" s="363"/>
      <c r="AF15" s="8"/>
      <c r="AG15" s="390"/>
      <c r="AH15" s="391"/>
      <c r="AI15" s="396"/>
      <c r="AJ15" s="397"/>
      <c r="AK15" s="397"/>
      <c r="AL15" s="398"/>
      <c r="AM15" s="396"/>
      <c r="AN15" s="397"/>
      <c r="AO15" s="397"/>
      <c r="AP15" s="436"/>
      <c r="AQ15" s="7"/>
      <c r="AR15" s="7"/>
      <c r="AS15" s="7"/>
      <c r="AT15" s="7"/>
      <c r="AU15" s="7"/>
      <c r="AV15" s="9"/>
      <c r="AW15" s="10"/>
      <c r="AX15" s="10"/>
      <c r="AY15" s="10"/>
      <c r="AZ15" s="10"/>
      <c r="BA15" s="10"/>
      <c r="BB15" s="10"/>
      <c r="BC15" s="10"/>
    </row>
    <row r="16" spans="1:58" ht="30" customHeight="1" x14ac:dyDescent="0.15">
      <c r="B16" s="432"/>
      <c r="C16" s="433"/>
      <c r="D16" s="403"/>
      <c r="E16" s="404"/>
      <c r="F16" s="404"/>
      <c r="G16" s="405"/>
      <c r="H16" s="396"/>
      <c r="I16" s="397"/>
      <c r="J16" s="397"/>
      <c r="K16" s="398"/>
      <c r="L16" s="396"/>
      <c r="M16" s="397"/>
      <c r="N16" s="397"/>
      <c r="O16" s="398"/>
      <c r="P16" s="396"/>
      <c r="Q16" s="397"/>
      <c r="R16" s="397"/>
      <c r="S16" s="398"/>
      <c r="T16" s="396"/>
      <c r="U16" s="397"/>
      <c r="V16" s="397"/>
      <c r="W16" s="7"/>
      <c r="X16" s="397"/>
      <c r="Y16" s="397"/>
      <c r="Z16" s="397"/>
      <c r="AA16" s="7"/>
      <c r="AB16" s="397"/>
      <c r="AC16" s="397"/>
      <c r="AD16" s="398"/>
      <c r="AE16" s="363"/>
      <c r="AF16" s="8"/>
      <c r="AG16" s="390"/>
      <c r="AH16" s="391"/>
      <c r="AI16" s="396"/>
      <c r="AJ16" s="397"/>
      <c r="AK16" s="397"/>
      <c r="AL16" s="398"/>
      <c r="AM16" s="396"/>
      <c r="AN16" s="397"/>
      <c r="AO16" s="397"/>
      <c r="AP16" s="436"/>
      <c r="AQ16" s="7"/>
      <c r="AR16" s="7"/>
      <c r="AS16" s="7"/>
      <c r="AT16" s="7"/>
      <c r="AU16" s="7"/>
      <c r="AV16" s="9"/>
      <c r="AW16" s="10"/>
      <c r="AX16" s="10"/>
      <c r="AY16" s="10"/>
      <c r="AZ16" s="10"/>
      <c r="BA16" s="10"/>
      <c r="BB16" s="10"/>
      <c r="BC16" s="10"/>
    </row>
    <row r="17" spans="2:55" ht="30" customHeight="1" thickBot="1" x14ac:dyDescent="0.2">
      <c r="B17" s="434"/>
      <c r="C17" s="435"/>
      <c r="D17" s="452"/>
      <c r="E17" s="453"/>
      <c r="F17" s="453"/>
      <c r="G17" s="454"/>
      <c r="H17" s="455"/>
      <c r="I17" s="456"/>
      <c r="J17" s="456"/>
      <c r="K17" s="457"/>
      <c r="L17" s="455"/>
      <c r="M17" s="456"/>
      <c r="N17" s="456"/>
      <c r="O17" s="457"/>
      <c r="P17" s="455"/>
      <c r="Q17" s="456"/>
      <c r="R17" s="456"/>
      <c r="S17" s="457"/>
      <c r="T17" s="455"/>
      <c r="U17" s="456"/>
      <c r="V17" s="456"/>
      <c r="W17" s="15"/>
      <c r="X17" s="456"/>
      <c r="Y17" s="456"/>
      <c r="Z17" s="456"/>
      <c r="AA17" s="15"/>
      <c r="AB17" s="456"/>
      <c r="AC17" s="456"/>
      <c r="AD17" s="457"/>
      <c r="AE17" s="364"/>
      <c r="AF17" s="16"/>
      <c r="AG17" s="481"/>
      <c r="AH17" s="482"/>
      <c r="AI17" s="455"/>
      <c r="AJ17" s="456"/>
      <c r="AK17" s="456"/>
      <c r="AL17" s="457"/>
      <c r="AM17" s="455"/>
      <c r="AN17" s="456"/>
      <c r="AO17" s="456"/>
      <c r="AP17" s="480"/>
      <c r="AQ17" s="7"/>
      <c r="AR17" s="7"/>
      <c r="AS17" s="7"/>
      <c r="AT17" s="7"/>
      <c r="AU17" s="7"/>
      <c r="AV17" s="9"/>
      <c r="AW17" s="10"/>
      <c r="AX17" s="10"/>
      <c r="AY17" s="10"/>
      <c r="AZ17" s="10"/>
      <c r="BA17" s="10"/>
      <c r="BB17" s="10"/>
      <c r="BC17" s="10"/>
    </row>
    <row r="18" spans="2:55" ht="39" customHeight="1" x14ac:dyDescent="0.15">
      <c r="B18" s="464" t="s">
        <v>20</v>
      </c>
      <c r="C18" s="465"/>
      <c r="D18" s="470" t="s">
        <v>7</v>
      </c>
      <c r="E18" s="470"/>
      <c r="F18" s="470"/>
      <c r="G18" s="471"/>
      <c r="H18" s="472" t="s">
        <v>629</v>
      </c>
      <c r="I18" s="473"/>
      <c r="J18" s="473"/>
      <c r="K18" s="473"/>
      <c r="L18" s="472" t="s">
        <v>630</v>
      </c>
      <c r="M18" s="473"/>
      <c r="N18" s="473"/>
      <c r="O18" s="474"/>
      <c r="P18" s="385" t="s">
        <v>631</v>
      </c>
      <c r="Q18" s="386"/>
      <c r="R18" s="386"/>
      <c r="S18" s="386"/>
      <c r="T18" s="385" t="s">
        <v>632</v>
      </c>
      <c r="U18" s="386"/>
      <c r="V18" s="386"/>
      <c r="W18" s="386"/>
      <c r="X18" s="386" t="s">
        <v>627</v>
      </c>
      <c r="Y18" s="386"/>
      <c r="Z18" s="386"/>
      <c r="AA18" s="477" t="s">
        <v>21</v>
      </c>
      <c r="AB18" s="478"/>
      <c r="AC18" s="478"/>
      <c r="AD18" s="478"/>
      <c r="AE18" s="478"/>
      <c r="AF18" s="478"/>
      <c r="AG18" s="478"/>
      <c r="AH18" s="478"/>
      <c r="AI18" s="478"/>
      <c r="AJ18" s="478"/>
      <c r="AK18" s="478"/>
      <c r="AL18" s="478"/>
      <c r="AM18" s="385" t="s">
        <v>648</v>
      </c>
      <c r="AN18" s="386"/>
      <c r="AO18" s="386"/>
      <c r="AP18" s="388"/>
      <c r="AQ18" s="17"/>
      <c r="AR18" s="17"/>
      <c r="AS18" s="17"/>
      <c r="AT18" s="17"/>
      <c r="AU18" s="9"/>
      <c r="AV18" s="10"/>
      <c r="AW18" s="10"/>
      <c r="AX18" s="10"/>
      <c r="AY18" s="10"/>
      <c r="AZ18" s="10"/>
      <c r="BA18" s="10"/>
      <c r="BB18" s="10"/>
    </row>
    <row r="19" spans="2:55" ht="30" customHeight="1" x14ac:dyDescent="0.15">
      <c r="B19" s="466"/>
      <c r="C19" s="467"/>
      <c r="D19" s="441" t="str">
        <f>T(D8)</f>
        <v>汚水槽</v>
      </c>
      <c r="E19" s="441"/>
      <c r="F19" s="441"/>
      <c r="G19" s="441"/>
      <c r="H19" s="446" t="s">
        <v>22</v>
      </c>
      <c r="I19" s="447"/>
      <c r="J19" s="447"/>
      <c r="K19" s="447"/>
      <c r="L19" s="446" t="s">
        <v>23</v>
      </c>
      <c r="M19" s="447"/>
      <c r="N19" s="447"/>
      <c r="O19" s="448"/>
      <c r="P19" s="387" t="s">
        <v>24</v>
      </c>
      <c r="Q19" s="387"/>
      <c r="R19" s="387"/>
      <c r="S19" s="387"/>
      <c r="T19" s="387" t="s">
        <v>25</v>
      </c>
      <c r="U19" s="387"/>
      <c r="V19" s="387"/>
      <c r="W19" s="387"/>
      <c r="X19" s="387" t="s">
        <v>620</v>
      </c>
      <c r="Y19" s="387"/>
      <c r="Z19" s="387"/>
      <c r="AA19" s="479" t="s">
        <v>26</v>
      </c>
      <c r="AB19" s="423"/>
      <c r="AC19" s="423"/>
      <c r="AD19" s="423"/>
      <c r="AE19" s="423"/>
      <c r="AF19" s="423"/>
      <c r="AG19" s="423"/>
      <c r="AH19" s="423"/>
      <c r="AI19" s="423"/>
      <c r="AJ19" s="423"/>
      <c r="AK19" s="423"/>
      <c r="AL19" s="423"/>
      <c r="AM19" s="387"/>
      <c r="AN19" s="387"/>
      <c r="AO19" s="387"/>
      <c r="AP19" s="389"/>
      <c r="AQ19" s="18"/>
      <c r="AR19" s="18"/>
      <c r="AS19" s="18"/>
      <c r="AT19" s="18"/>
      <c r="AU19" s="9"/>
      <c r="AV19" s="10"/>
      <c r="AW19" s="10"/>
      <c r="AX19" s="10"/>
      <c r="AY19" s="10"/>
      <c r="AZ19" s="10"/>
      <c r="BA19" s="10"/>
      <c r="BB19" s="10"/>
    </row>
    <row r="20" spans="2:55" ht="30" customHeight="1" x14ac:dyDescent="0.15">
      <c r="B20" s="466"/>
      <c r="C20" s="467"/>
      <c r="D20" s="440" t="str">
        <f t="shared" ref="D20:D28" si="0">T(D9)</f>
        <v>雑排水槽</v>
      </c>
      <c r="E20" s="441"/>
      <c r="F20" s="441"/>
      <c r="G20" s="442"/>
      <c r="H20" s="449" t="s">
        <v>27</v>
      </c>
      <c r="I20" s="450"/>
      <c r="J20" s="450"/>
      <c r="K20" s="450"/>
      <c r="L20" s="449" t="s">
        <v>28</v>
      </c>
      <c r="M20" s="450"/>
      <c r="N20" s="450"/>
      <c r="O20" s="451"/>
      <c r="P20" s="381" t="s">
        <v>24</v>
      </c>
      <c r="Q20" s="381"/>
      <c r="R20" s="381"/>
      <c r="S20" s="381"/>
      <c r="T20" s="381" t="s">
        <v>623</v>
      </c>
      <c r="U20" s="381"/>
      <c r="V20" s="381"/>
      <c r="W20" s="381"/>
      <c r="X20" s="381" t="s">
        <v>620</v>
      </c>
      <c r="Y20" s="381"/>
      <c r="Z20" s="381"/>
      <c r="AA20" s="475" t="s">
        <v>26</v>
      </c>
      <c r="AB20" s="404"/>
      <c r="AC20" s="404"/>
      <c r="AD20" s="404"/>
      <c r="AE20" s="404"/>
      <c r="AF20" s="404"/>
      <c r="AG20" s="404"/>
      <c r="AH20" s="404"/>
      <c r="AI20" s="404"/>
      <c r="AJ20" s="404"/>
      <c r="AK20" s="404"/>
      <c r="AL20" s="404"/>
      <c r="AM20" s="381"/>
      <c r="AN20" s="381"/>
      <c r="AO20" s="381"/>
      <c r="AP20" s="382"/>
      <c r="AQ20" s="18"/>
      <c r="AR20" s="18"/>
      <c r="AS20" s="18"/>
      <c r="AT20" s="18"/>
      <c r="AU20" s="9"/>
      <c r="AV20" s="10"/>
      <c r="AW20" s="10"/>
      <c r="AX20" s="10"/>
      <c r="AY20" s="10"/>
      <c r="AZ20" s="10"/>
      <c r="BA20" s="10"/>
      <c r="BB20" s="10"/>
    </row>
    <row r="21" spans="2:55" ht="30" customHeight="1" x14ac:dyDescent="0.15">
      <c r="B21" s="466"/>
      <c r="C21" s="467"/>
      <c r="D21" s="440" t="str">
        <f t="shared" si="0"/>
        <v>雨水槽</v>
      </c>
      <c r="E21" s="441"/>
      <c r="F21" s="441"/>
      <c r="G21" s="442"/>
      <c r="H21" s="443" t="s">
        <v>29</v>
      </c>
      <c r="I21" s="444"/>
      <c r="J21" s="444"/>
      <c r="K21" s="444"/>
      <c r="L21" s="443" t="s">
        <v>28</v>
      </c>
      <c r="M21" s="444"/>
      <c r="N21" s="444"/>
      <c r="O21" s="445"/>
      <c r="P21" s="381" t="s">
        <v>24</v>
      </c>
      <c r="Q21" s="381"/>
      <c r="R21" s="381"/>
      <c r="S21" s="381"/>
      <c r="T21" s="381" t="s">
        <v>624</v>
      </c>
      <c r="U21" s="381"/>
      <c r="V21" s="381"/>
      <c r="W21" s="381"/>
      <c r="X21" s="381" t="s">
        <v>621</v>
      </c>
      <c r="Y21" s="381"/>
      <c r="Z21" s="381"/>
      <c r="AA21" s="475" t="s">
        <v>30</v>
      </c>
      <c r="AB21" s="404"/>
      <c r="AC21" s="404"/>
      <c r="AD21" s="404"/>
      <c r="AE21" s="404"/>
      <c r="AF21" s="404"/>
      <c r="AG21" s="404"/>
      <c r="AH21" s="404"/>
      <c r="AI21" s="404"/>
      <c r="AJ21" s="404"/>
      <c r="AK21" s="404"/>
      <c r="AL21" s="404"/>
      <c r="AM21" s="381" t="s">
        <v>671</v>
      </c>
      <c r="AN21" s="381"/>
      <c r="AO21" s="381"/>
      <c r="AP21" s="382"/>
      <c r="AQ21" s="18"/>
      <c r="AR21" s="18"/>
      <c r="AS21" s="18"/>
      <c r="AT21" s="18"/>
      <c r="AU21" s="9"/>
      <c r="AV21" s="10"/>
      <c r="AW21" s="10"/>
      <c r="AX21" s="10"/>
      <c r="AY21" s="10"/>
      <c r="AZ21" s="10"/>
      <c r="BA21" s="10"/>
      <c r="BB21" s="10"/>
    </row>
    <row r="22" spans="2:55" ht="30" customHeight="1" x14ac:dyDescent="0.15">
      <c r="B22" s="466"/>
      <c r="C22" s="467"/>
      <c r="D22" s="440" t="str">
        <f t="shared" si="0"/>
        <v>湧水槽①</v>
      </c>
      <c r="E22" s="441"/>
      <c r="F22" s="441"/>
      <c r="G22" s="442"/>
      <c r="H22" s="475" t="s">
        <v>31</v>
      </c>
      <c r="I22" s="404"/>
      <c r="J22" s="404"/>
      <c r="K22" s="404"/>
      <c r="L22" s="443" t="s">
        <v>574</v>
      </c>
      <c r="M22" s="444"/>
      <c r="N22" s="444"/>
      <c r="O22" s="445"/>
      <c r="P22" s="381" t="s">
        <v>24</v>
      </c>
      <c r="Q22" s="381"/>
      <c r="R22" s="381"/>
      <c r="S22" s="381"/>
      <c r="T22" s="381" t="s">
        <v>625</v>
      </c>
      <c r="U22" s="381"/>
      <c r="V22" s="381"/>
      <c r="W22" s="381"/>
      <c r="X22" s="381" t="s">
        <v>622</v>
      </c>
      <c r="Y22" s="381"/>
      <c r="Z22" s="381"/>
      <c r="AA22" s="475" t="s">
        <v>32</v>
      </c>
      <c r="AB22" s="404"/>
      <c r="AC22" s="404"/>
      <c r="AD22" s="404"/>
      <c r="AE22" s="404"/>
      <c r="AF22" s="404"/>
      <c r="AG22" s="404"/>
      <c r="AH22" s="404"/>
      <c r="AI22" s="404"/>
      <c r="AJ22" s="404"/>
      <c r="AK22" s="404"/>
      <c r="AL22" s="404"/>
      <c r="AM22" s="381"/>
      <c r="AN22" s="381"/>
      <c r="AO22" s="381"/>
      <c r="AP22" s="382"/>
      <c r="AQ22" s="18"/>
      <c r="AR22" s="18"/>
      <c r="AS22" s="18"/>
      <c r="AT22" s="18"/>
      <c r="AU22" s="9"/>
      <c r="AV22" s="10"/>
      <c r="AW22" s="10"/>
      <c r="AX22" s="10"/>
      <c r="AY22" s="10"/>
      <c r="AZ22" s="10"/>
      <c r="BA22" s="10"/>
      <c r="BB22" s="10"/>
    </row>
    <row r="23" spans="2:55" ht="30" customHeight="1" x14ac:dyDescent="0.15">
      <c r="B23" s="466"/>
      <c r="C23" s="467"/>
      <c r="D23" s="440" t="str">
        <f t="shared" si="0"/>
        <v>湧水槽②</v>
      </c>
      <c r="E23" s="441"/>
      <c r="F23" s="441"/>
      <c r="G23" s="442"/>
      <c r="H23" s="475" t="s">
        <v>31</v>
      </c>
      <c r="I23" s="404"/>
      <c r="J23" s="404"/>
      <c r="K23" s="404"/>
      <c r="L23" s="443" t="s">
        <v>575</v>
      </c>
      <c r="M23" s="444"/>
      <c r="N23" s="444"/>
      <c r="O23" s="445"/>
      <c r="P23" s="381" t="s">
        <v>24</v>
      </c>
      <c r="Q23" s="381"/>
      <c r="R23" s="381"/>
      <c r="S23" s="381"/>
      <c r="T23" s="381" t="s">
        <v>626</v>
      </c>
      <c r="U23" s="381"/>
      <c r="V23" s="381"/>
      <c r="W23" s="381"/>
      <c r="X23" s="381" t="s">
        <v>620</v>
      </c>
      <c r="Y23" s="381"/>
      <c r="Z23" s="381"/>
      <c r="AA23" s="475" t="s">
        <v>32</v>
      </c>
      <c r="AB23" s="404"/>
      <c r="AC23" s="404"/>
      <c r="AD23" s="404"/>
      <c r="AE23" s="404"/>
      <c r="AF23" s="404"/>
      <c r="AG23" s="404"/>
      <c r="AH23" s="404"/>
      <c r="AI23" s="404"/>
      <c r="AJ23" s="404"/>
      <c r="AK23" s="404"/>
      <c r="AL23" s="404"/>
      <c r="AM23" s="381"/>
      <c r="AN23" s="381"/>
      <c r="AO23" s="381"/>
      <c r="AP23" s="382"/>
      <c r="AQ23" s="18"/>
      <c r="AR23" s="18"/>
      <c r="AS23" s="18"/>
      <c r="AT23" s="8"/>
      <c r="AU23" s="9"/>
      <c r="AV23" s="10"/>
      <c r="AW23" s="10"/>
      <c r="AX23" s="10"/>
      <c r="AY23" s="10"/>
      <c r="AZ23" s="10"/>
      <c r="BA23" s="10"/>
      <c r="BB23" s="10"/>
    </row>
    <row r="24" spans="2:55" ht="30" customHeight="1" x14ac:dyDescent="0.15">
      <c r="B24" s="466"/>
      <c r="C24" s="467"/>
      <c r="D24" s="440" t="str">
        <f t="shared" si="0"/>
        <v/>
      </c>
      <c r="E24" s="441"/>
      <c r="F24" s="441"/>
      <c r="G24" s="442"/>
      <c r="H24" s="475"/>
      <c r="I24" s="404"/>
      <c r="J24" s="404"/>
      <c r="K24" s="404"/>
      <c r="L24" s="443"/>
      <c r="M24" s="444"/>
      <c r="N24" s="444"/>
      <c r="O24" s="445"/>
      <c r="P24" s="381"/>
      <c r="Q24" s="381"/>
      <c r="R24" s="381"/>
      <c r="S24" s="381"/>
      <c r="T24" s="381"/>
      <c r="U24" s="381"/>
      <c r="V24" s="381"/>
      <c r="W24" s="381"/>
      <c r="X24" s="381"/>
      <c r="Y24" s="381"/>
      <c r="Z24" s="381"/>
      <c r="AA24" s="443"/>
      <c r="AB24" s="444"/>
      <c r="AC24" s="444"/>
      <c r="AD24" s="444"/>
      <c r="AE24" s="444"/>
      <c r="AF24" s="444"/>
      <c r="AG24" s="444"/>
      <c r="AH24" s="444"/>
      <c r="AI24" s="444"/>
      <c r="AJ24" s="444"/>
      <c r="AK24" s="444"/>
      <c r="AL24" s="444"/>
      <c r="AM24" s="381"/>
      <c r="AN24" s="381"/>
      <c r="AO24" s="381"/>
      <c r="AP24" s="382"/>
      <c r="AQ24" s="18"/>
      <c r="AR24" s="18"/>
      <c r="AS24" s="18"/>
      <c r="AT24" s="8"/>
      <c r="AU24" s="9"/>
      <c r="AV24" s="10"/>
      <c r="AW24" s="10"/>
      <c r="AX24" s="10"/>
      <c r="AY24" s="10"/>
      <c r="AZ24" s="10"/>
      <c r="BA24" s="10"/>
      <c r="BB24" s="10"/>
    </row>
    <row r="25" spans="2:55" ht="30" customHeight="1" x14ac:dyDescent="0.15">
      <c r="B25" s="466"/>
      <c r="C25" s="467"/>
      <c r="D25" s="440" t="str">
        <f t="shared" si="0"/>
        <v/>
      </c>
      <c r="E25" s="441"/>
      <c r="F25" s="441"/>
      <c r="G25" s="442"/>
      <c r="H25" s="475"/>
      <c r="I25" s="404"/>
      <c r="J25" s="404"/>
      <c r="K25" s="404"/>
      <c r="L25" s="443"/>
      <c r="M25" s="444"/>
      <c r="N25" s="444"/>
      <c r="O25" s="445"/>
      <c r="P25" s="381"/>
      <c r="Q25" s="381"/>
      <c r="R25" s="381"/>
      <c r="S25" s="381"/>
      <c r="T25" s="381"/>
      <c r="U25" s="381"/>
      <c r="V25" s="381"/>
      <c r="W25" s="381"/>
      <c r="X25" s="381"/>
      <c r="Y25" s="381"/>
      <c r="Z25" s="381"/>
      <c r="AA25" s="443"/>
      <c r="AB25" s="444"/>
      <c r="AC25" s="444"/>
      <c r="AD25" s="444"/>
      <c r="AE25" s="444"/>
      <c r="AF25" s="444"/>
      <c r="AG25" s="444"/>
      <c r="AH25" s="444"/>
      <c r="AI25" s="444"/>
      <c r="AJ25" s="444"/>
      <c r="AK25" s="444"/>
      <c r="AL25" s="444"/>
      <c r="AM25" s="381"/>
      <c r="AN25" s="381"/>
      <c r="AO25" s="381"/>
      <c r="AP25" s="382"/>
      <c r="AQ25" s="18"/>
      <c r="AR25" s="18"/>
      <c r="AS25" s="18"/>
      <c r="AT25" s="8"/>
      <c r="AU25" s="9"/>
      <c r="AV25" s="10"/>
      <c r="AW25" s="10"/>
      <c r="AX25" s="10"/>
      <c r="AY25" s="10"/>
      <c r="AZ25" s="10"/>
      <c r="BA25" s="10"/>
      <c r="BB25" s="10"/>
    </row>
    <row r="26" spans="2:55" ht="30" customHeight="1" x14ac:dyDescent="0.15">
      <c r="B26" s="466"/>
      <c r="C26" s="467"/>
      <c r="D26" s="440" t="str">
        <f t="shared" si="0"/>
        <v/>
      </c>
      <c r="E26" s="441"/>
      <c r="F26" s="441"/>
      <c r="G26" s="442"/>
      <c r="H26" s="475"/>
      <c r="I26" s="404"/>
      <c r="J26" s="404"/>
      <c r="K26" s="404"/>
      <c r="L26" s="443"/>
      <c r="M26" s="444"/>
      <c r="N26" s="444"/>
      <c r="O26" s="445"/>
      <c r="P26" s="381"/>
      <c r="Q26" s="381"/>
      <c r="R26" s="381"/>
      <c r="S26" s="381"/>
      <c r="T26" s="381"/>
      <c r="U26" s="381"/>
      <c r="V26" s="381"/>
      <c r="W26" s="381"/>
      <c r="X26" s="381"/>
      <c r="Y26" s="381"/>
      <c r="Z26" s="381"/>
      <c r="AA26" s="443"/>
      <c r="AB26" s="444"/>
      <c r="AC26" s="444"/>
      <c r="AD26" s="444"/>
      <c r="AE26" s="444"/>
      <c r="AF26" s="444"/>
      <c r="AG26" s="444"/>
      <c r="AH26" s="444"/>
      <c r="AI26" s="444"/>
      <c r="AJ26" s="444"/>
      <c r="AK26" s="444"/>
      <c r="AL26" s="444"/>
      <c r="AM26" s="381"/>
      <c r="AN26" s="381"/>
      <c r="AO26" s="381"/>
      <c r="AP26" s="382"/>
      <c r="AQ26" s="18"/>
      <c r="AR26" s="18"/>
      <c r="AS26" s="18"/>
      <c r="AT26" s="8"/>
      <c r="AU26" s="9"/>
      <c r="AV26" s="10"/>
      <c r="AW26" s="10"/>
      <c r="AX26" s="10"/>
      <c r="AY26" s="10"/>
      <c r="AZ26" s="10"/>
      <c r="BA26" s="10"/>
      <c r="BB26" s="10"/>
    </row>
    <row r="27" spans="2:55" ht="30" customHeight="1" x14ac:dyDescent="0.15">
      <c r="B27" s="466"/>
      <c r="C27" s="467"/>
      <c r="D27" s="440" t="str">
        <f t="shared" si="0"/>
        <v/>
      </c>
      <c r="E27" s="441"/>
      <c r="F27" s="441"/>
      <c r="G27" s="442"/>
      <c r="H27" s="475"/>
      <c r="I27" s="404"/>
      <c r="J27" s="404"/>
      <c r="K27" s="404"/>
      <c r="L27" s="443"/>
      <c r="M27" s="444"/>
      <c r="N27" s="444"/>
      <c r="O27" s="445"/>
      <c r="P27" s="381"/>
      <c r="Q27" s="381"/>
      <c r="R27" s="381"/>
      <c r="S27" s="381"/>
      <c r="T27" s="381"/>
      <c r="U27" s="381"/>
      <c r="V27" s="381"/>
      <c r="W27" s="381"/>
      <c r="X27" s="381"/>
      <c r="Y27" s="381"/>
      <c r="Z27" s="381"/>
      <c r="AA27" s="443"/>
      <c r="AB27" s="444"/>
      <c r="AC27" s="444"/>
      <c r="AD27" s="444"/>
      <c r="AE27" s="444"/>
      <c r="AF27" s="444"/>
      <c r="AG27" s="444"/>
      <c r="AH27" s="444"/>
      <c r="AI27" s="444"/>
      <c r="AJ27" s="444"/>
      <c r="AK27" s="444"/>
      <c r="AL27" s="444"/>
      <c r="AM27" s="381"/>
      <c r="AN27" s="381"/>
      <c r="AO27" s="381"/>
      <c r="AP27" s="382"/>
      <c r="AQ27" s="18"/>
      <c r="AR27" s="18"/>
      <c r="AS27" s="18"/>
      <c r="AT27" s="8"/>
      <c r="AU27" s="9"/>
      <c r="AV27" s="10"/>
      <c r="AW27" s="10"/>
      <c r="AX27" s="10"/>
      <c r="AY27" s="10"/>
      <c r="AZ27" s="10"/>
      <c r="BA27" s="10"/>
      <c r="BB27" s="10"/>
    </row>
    <row r="28" spans="2:55" ht="30" customHeight="1" thickBot="1" x14ac:dyDescent="0.2">
      <c r="B28" s="468"/>
      <c r="C28" s="469"/>
      <c r="D28" s="458" t="str">
        <f t="shared" si="0"/>
        <v/>
      </c>
      <c r="E28" s="459"/>
      <c r="F28" s="459"/>
      <c r="G28" s="460"/>
      <c r="H28" s="476"/>
      <c r="I28" s="453"/>
      <c r="J28" s="453"/>
      <c r="K28" s="453"/>
      <c r="L28" s="461"/>
      <c r="M28" s="462"/>
      <c r="N28" s="462"/>
      <c r="O28" s="463"/>
      <c r="P28" s="383"/>
      <c r="Q28" s="383"/>
      <c r="R28" s="383"/>
      <c r="S28" s="383"/>
      <c r="T28" s="383"/>
      <c r="U28" s="383"/>
      <c r="V28" s="383"/>
      <c r="W28" s="383"/>
      <c r="X28" s="383"/>
      <c r="Y28" s="383"/>
      <c r="Z28" s="383"/>
      <c r="AA28" s="461"/>
      <c r="AB28" s="462"/>
      <c r="AC28" s="462"/>
      <c r="AD28" s="462"/>
      <c r="AE28" s="462"/>
      <c r="AF28" s="462"/>
      <c r="AG28" s="462"/>
      <c r="AH28" s="462"/>
      <c r="AI28" s="462"/>
      <c r="AJ28" s="462"/>
      <c r="AK28" s="462"/>
      <c r="AL28" s="462"/>
      <c r="AM28" s="383"/>
      <c r="AN28" s="383"/>
      <c r="AO28" s="383"/>
      <c r="AP28" s="384"/>
      <c r="AQ28" s="18"/>
      <c r="AR28" s="18"/>
      <c r="AS28" s="18"/>
      <c r="AT28" s="8"/>
      <c r="AU28" s="9"/>
      <c r="AV28" s="10"/>
      <c r="AW28" s="10"/>
      <c r="AX28" s="10"/>
      <c r="AY28" s="10"/>
      <c r="AZ28" s="10"/>
      <c r="BA28" s="10"/>
      <c r="BB28" s="10"/>
    </row>
    <row r="29" spans="2:55" ht="20.100000000000001" customHeight="1" x14ac:dyDescent="0.1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row>
    <row r="30" spans="2:55" ht="20.100000000000001" customHeight="1" x14ac:dyDescent="0.15">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row>
    <row r="31" spans="2:55" ht="20.100000000000001" customHeight="1" x14ac:dyDescent="0.15">
      <c r="B31" s="7"/>
      <c r="C31" s="7"/>
      <c r="D31" s="7"/>
      <c r="E31" s="6"/>
      <c r="F31" s="6"/>
      <c r="G31" s="6"/>
      <c r="H31" s="6"/>
      <c r="I31" s="6"/>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row>
    <row r="32" spans="2:55" ht="20.100000000000001" customHeight="1" x14ac:dyDescent="0.15">
      <c r="B32" s="7"/>
      <c r="C32" s="7"/>
      <c r="D32" s="7"/>
      <c r="E32" s="6"/>
      <c r="F32" s="6"/>
      <c r="G32" s="6"/>
      <c r="H32" s="6"/>
      <c r="I32" s="6"/>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row>
    <row r="33" spans="2:47" ht="20.100000000000001" customHeight="1" x14ac:dyDescent="0.15">
      <c r="B33" s="7"/>
      <c r="C33" s="7"/>
      <c r="D33" s="7"/>
      <c r="E33" s="6"/>
      <c r="F33" s="6"/>
      <c r="G33" s="6"/>
      <c r="H33" s="6"/>
      <c r="I33" s="6"/>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row>
    <row r="34" spans="2:47" ht="20.100000000000001" customHeight="1" x14ac:dyDescent="0.15">
      <c r="B34" s="7"/>
      <c r="C34" s="7"/>
      <c r="D34" s="7"/>
      <c r="E34" s="6"/>
      <c r="F34" s="6"/>
      <c r="G34" s="6"/>
      <c r="H34" s="6"/>
      <c r="I34" s="6"/>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row>
    <row r="35" spans="2:47" ht="20.100000000000001" customHeight="1" x14ac:dyDescent="0.15">
      <c r="B35" s="7"/>
      <c r="C35" s="7"/>
      <c r="D35" s="7"/>
      <c r="E35" s="6"/>
      <c r="F35" s="6"/>
      <c r="G35" s="6"/>
      <c r="H35" s="6"/>
      <c r="I35" s="6"/>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row>
    <row r="36" spans="2:47" ht="20.100000000000001" customHeight="1" x14ac:dyDescent="0.15">
      <c r="B36" s="7"/>
      <c r="C36" s="7"/>
      <c r="D36" s="7"/>
      <c r="E36" s="6"/>
      <c r="F36" s="6"/>
      <c r="G36" s="6"/>
      <c r="H36" s="6"/>
      <c r="I36" s="6"/>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row>
    <row r="37" spans="2:47" ht="20.100000000000001" customHeight="1" x14ac:dyDescent="0.15">
      <c r="B37" s="7"/>
      <c r="C37" s="7"/>
      <c r="D37" s="7"/>
      <c r="E37" s="6"/>
      <c r="F37" s="6"/>
      <c r="G37" s="6"/>
      <c r="H37" s="6"/>
      <c r="I37" s="6"/>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row>
    <row r="38" spans="2:47" ht="20.100000000000001" customHeight="1" x14ac:dyDescent="0.15">
      <c r="B38" s="7"/>
      <c r="C38" s="7"/>
      <c r="D38" s="7"/>
      <c r="E38" s="6"/>
      <c r="F38" s="6"/>
      <c r="G38" s="6"/>
      <c r="H38" s="6"/>
      <c r="I38" s="6"/>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row>
    <row r="39" spans="2:47" ht="20.100000000000001" customHeight="1" x14ac:dyDescent="0.15">
      <c r="B39" s="7"/>
      <c r="C39" s="7"/>
      <c r="D39" s="7"/>
      <c r="E39" s="6"/>
      <c r="F39" s="6"/>
      <c r="G39" s="6"/>
      <c r="H39" s="6"/>
      <c r="I39" s="6"/>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19"/>
      <c r="AM39" s="19"/>
      <c r="AN39" s="19"/>
      <c r="AO39" s="19"/>
      <c r="AP39" s="7"/>
      <c r="AQ39" s="7"/>
      <c r="AR39" s="7"/>
      <c r="AS39" s="7"/>
      <c r="AT39" s="7"/>
      <c r="AU39" s="7"/>
    </row>
    <row r="40" spans="2:47" ht="20.100000000000001" customHeight="1" x14ac:dyDescent="0.15">
      <c r="B40" s="20"/>
      <c r="C40" s="7"/>
      <c r="D40" s="7"/>
      <c r="E40" s="6"/>
      <c r="F40" s="6"/>
      <c r="G40" s="6"/>
      <c r="H40" s="6"/>
      <c r="I40" s="6"/>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row>
    <row r="41" spans="2:47" ht="20.100000000000001" customHeight="1" x14ac:dyDescent="0.15">
      <c r="B41" s="7"/>
      <c r="C41" s="7"/>
      <c r="D41" s="7"/>
      <c r="E41" s="6"/>
      <c r="F41" s="6"/>
      <c r="G41" s="6"/>
      <c r="H41" s="6"/>
      <c r="I41" s="6"/>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row>
    <row r="42" spans="2:47" ht="20.100000000000001" customHeight="1" x14ac:dyDescent="0.15">
      <c r="B42" s="7"/>
      <c r="C42" s="7"/>
      <c r="D42" s="7"/>
      <c r="E42" s="6"/>
      <c r="F42" s="6"/>
      <c r="G42" s="6"/>
      <c r="H42" s="6"/>
      <c r="I42" s="6"/>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19"/>
      <c r="AM42" s="19"/>
      <c r="AN42" s="19"/>
      <c r="AO42" s="19"/>
      <c r="AP42" s="7"/>
      <c r="AQ42" s="7"/>
      <c r="AR42" s="7"/>
      <c r="AS42" s="7"/>
      <c r="AT42" s="7"/>
      <c r="AU42" s="7"/>
    </row>
    <row r="43" spans="2:47" ht="20.100000000000001" customHeight="1" x14ac:dyDescent="0.15">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row>
    <row r="44" spans="2:47" ht="20.100000000000001" customHeight="1" x14ac:dyDescent="0.15">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row>
    <row r="45" spans="2:47" ht="20.100000000000001" customHeight="1" x14ac:dyDescent="0.15">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row>
    <row r="46" spans="2:47" ht="20.100000000000001" customHeight="1" x14ac:dyDescent="0.15">
      <c r="B46" s="21"/>
      <c r="C46" s="21"/>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row>
    <row r="47" spans="2:47" ht="20.100000000000001" customHeight="1" x14ac:dyDescent="0.15">
      <c r="B47" s="21"/>
      <c r="C47" s="21"/>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row>
    <row r="48" spans="2:47" ht="20.100000000000001" customHeight="1" x14ac:dyDescent="0.15">
      <c r="B48" s="21"/>
      <c r="C48" s="21"/>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row>
    <row r="49" spans="2:47" ht="20.100000000000001" customHeight="1" x14ac:dyDescent="0.15">
      <c r="B49" s="21"/>
      <c r="C49" s="21"/>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row>
    <row r="50" spans="2:47" ht="20.100000000000001" customHeight="1" x14ac:dyDescent="0.15">
      <c r="B50" s="21"/>
      <c r="C50" s="21"/>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row>
    <row r="51" spans="2:47" ht="20.100000000000001" customHeight="1" x14ac:dyDescent="0.15">
      <c r="B51" s="21"/>
      <c r="C51" s="21"/>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row>
    <row r="52" spans="2:47" ht="20.100000000000001" customHeight="1" x14ac:dyDescent="0.15">
      <c r="B52" s="21"/>
      <c r="C52" s="21"/>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row>
    <row r="53" spans="2:47" ht="20.100000000000001" customHeight="1" x14ac:dyDescent="0.15">
      <c r="B53" s="21"/>
      <c r="C53" s="21"/>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row>
    <row r="54" spans="2:47" ht="20.100000000000001" customHeight="1" x14ac:dyDescent="0.15">
      <c r="B54" s="21"/>
      <c r="C54" s="21"/>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row>
    <row r="55" spans="2:47" ht="20.100000000000001" customHeight="1" x14ac:dyDescent="0.15">
      <c r="B55" s="21"/>
      <c r="C55" s="21"/>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row>
    <row r="56" spans="2:47" ht="20.100000000000001" customHeight="1" x14ac:dyDescent="0.1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row>
    <row r="57" spans="2:47" ht="20.100000000000001" customHeight="1" x14ac:dyDescent="0.15">
      <c r="B57" s="23"/>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row>
    <row r="58" spans="2:47" ht="20.100000000000001" customHeight="1" x14ac:dyDescent="0.15">
      <c r="B58" s="24"/>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row>
    <row r="59" spans="2:47" ht="20.100000000000001" customHeight="1" x14ac:dyDescent="0.15">
      <c r="B59" s="25"/>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row>
    <row r="60" spans="2:47" ht="20.100000000000001" customHeight="1" x14ac:dyDescent="0.15">
      <c r="B60" s="24"/>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row>
    <row r="61" spans="2:47" ht="20.100000000000001" customHeight="1" x14ac:dyDescent="0.15">
      <c r="B61" s="24"/>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row>
    <row r="62" spans="2:47" ht="20.100000000000001" customHeight="1" x14ac:dyDescent="0.15">
      <c r="B62" s="24"/>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row>
    <row r="63" spans="2:47" ht="20.100000000000001" customHeight="1" x14ac:dyDescent="0.15">
      <c r="B63" s="24"/>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row>
    <row r="64" spans="2:47" ht="20.100000000000001" customHeight="1" x14ac:dyDescent="0.15">
      <c r="B64" s="24"/>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row>
    <row r="65" spans="2:47" ht="20.100000000000001" customHeight="1" x14ac:dyDescent="0.15">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row>
  </sheetData>
  <sheetProtection formatCells="0"/>
  <mergeCells count="206">
    <mergeCell ref="AG14:AH14"/>
    <mergeCell ref="AI14:AL14"/>
    <mergeCell ref="AM14:AP14"/>
    <mergeCell ref="P24:S24"/>
    <mergeCell ref="T24:W24"/>
    <mergeCell ref="X24:Z24"/>
    <mergeCell ref="AA24:AL24"/>
    <mergeCell ref="D25:G25"/>
    <mergeCell ref="L25:O25"/>
    <mergeCell ref="P25:S25"/>
    <mergeCell ref="T25:W25"/>
    <mergeCell ref="X25:Z25"/>
    <mergeCell ref="AA25:AL25"/>
    <mergeCell ref="H25:K25"/>
    <mergeCell ref="AM17:AP17"/>
    <mergeCell ref="D16:G16"/>
    <mergeCell ref="H16:K16"/>
    <mergeCell ref="L16:O16"/>
    <mergeCell ref="AI16:AL16"/>
    <mergeCell ref="AM16:AP16"/>
    <mergeCell ref="AB17:AD17"/>
    <mergeCell ref="AG17:AH17"/>
    <mergeCell ref="AI17:AL17"/>
    <mergeCell ref="T27:W27"/>
    <mergeCell ref="X27:Z27"/>
    <mergeCell ref="P28:S28"/>
    <mergeCell ref="T28:W28"/>
    <mergeCell ref="X28:Z28"/>
    <mergeCell ref="AA18:AL18"/>
    <mergeCell ref="AA19:AL19"/>
    <mergeCell ref="AA20:AL20"/>
    <mergeCell ref="AA21:AL21"/>
    <mergeCell ref="AA22:AL22"/>
    <mergeCell ref="AA23:AL23"/>
    <mergeCell ref="AA26:AL26"/>
    <mergeCell ref="AA27:AL27"/>
    <mergeCell ref="AA28:AL28"/>
    <mergeCell ref="P22:S22"/>
    <mergeCell ref="T22:W22"/>
    <mergeCell ref="X22:Z22"/>
    <mergeCell ref="P23:S23"/>
    <mergeCell ref="T23:W23"/>
    <mergeCell ref="X23:Z23"/>
    <mergeCell ref="P26:S26"/>
    <mergeCell ref="T26:W26"/>
    <mergeCell ref="X26:Z26"/>
    <mergeCell ref="D28:G28"/>
    <mergeCell ref="L28:O28"/>
    <mergeCell ref="B18:C28"/>
    <mergeCell ref="D26:G26"/>
    <mergeCell ref="L26:O26"/>
    <mergeCell ref="D27:G27"/>
    <mergeCell ref="L27:O27"/>
    <mergeCell ref="D18:G18"/>
    <mergeCell ref="L18:O18"/>
    <mergeCell ref="D24:G24"/>
    <mergeCell ref="L24:O24"/>
    <mergeCell ref="H18:K18"/>
    <mergeCell ref="H19:K19"/>
    <mergeCell ref="H20:K20"/>
    <mergeCell ref="H21:K21"/>
    <mergeCell ref="H22:K22"/>
    <mergeCell ref="H23:K23"/>
    <mergeCell ref="H24:K24"/>
    <mergeCell ref="H26:K26"/>
    <mergeCell ref="H27:K27"/>
    <mergeCell ref="H28:K28"/>
    <mergeCell ref="P13:S13"/>
    <mergeCell ref="T13:V13"/>
    <mergeCell ref="X13:Z13"/>
    <mergeCell ref="AB13:AD13"/>
    <mergeCell ref="AG13:AH13"/>
    <mergeCell ref="AI13:AL13"/>
    <mergeCell ref="AM13:AP13"/>
    <mergeCell ref="D15:G15"/>
    <mergeCell ref="H15:K15"/>
    <mergeCell ref="L15:O15"/>
    <mergeCell ref="P15:S15"/>
    <mergeCell ref="T15:V15"/>
    <mergeCell ref="X15:Z15"/>
    <mergeCell ref="AB15:AD15"/>
    <mergeCell ref="AG15:AH15"/>
    <mergeCell ref="AI15:AL15"/>
    <mergeCell ref="AM15:AP15"/>
    <mergeCell ref="D14:G14"/>
    <mergeCell ref="H14:K14"/>
    <mergeCell ref="L14:O14"/>
    <mergeCell ref="P14:S14"/>
    <mergeCell ref="T14:V14"/>
    <mergeCell ref="X14:Z14"/>
    <mergeCell ref="AB14:AD14"/>
    <mergeCell ref="AG11:AH11"/>
    <mergeCell ref="D21:G21"/>
    <mergeCell ref="D23:G23"/>
    <mergeCell ref="L23:O23"/>
    <mergeCell ref="D22:G22"/>
    <mergeCell ref="L22:O22"/>
    <mergeCell ref="D19:G19"/>
    <mergeCell ref="L19:O19"/>
    <mergeCell ref="AG12:AH12"/>
    <mergeCell ref="L21:O21"/>
    <mergeCell ref="D20:G20"/>
    <mergeCell ref="L20:O20"/>
    <mergeCell ref="P16:S16"/>
    <mergeCell ref="T16:V16"/>
    <mergeCell ref="X16:Z16"/>
    <mergeCell ref="AB16:AD16"/>
    <mergeCell ref="AG16:AH16"/>
    <mergeCell ref="D13:G13"/>
    <mergeCell ref="D17:G17"/>
    <mergeCell ref="H17:K17"/>
    <mergeCell ref="L17:O17"/>
    <mergeCell ref="P17:S17"/>
    <mergeCell ref="T17:V17"/>
    <mergeCell ref="X17:Z17"/>
    <mergeCell ref="AM11:AP11"/>
    <mergeCell ref="D12:G12"/>
    <mergeCell ref="H12:K12"/>
    <mergeCell ref="L12:O12"/>
    <mergeCell ref="P12:S12"/>
    <mergeCell ref="T12:V12"/>
    <mergeCell ref="X12:Z12"/>
    <mergeCell ref="AB12:AD12"/>
    <mergeCell ref="AG10:AH10"/>
    <mergeCell ref="AI10:AL10"/>
    <mergeCell ref="AM10:AP10"/>
    <mergeCell ref="D11:G11"/>
    <mergeCell ref="H11:K11"/>
    <mergeCell ref="L11:O11"/>
    <mergeCell ref="P11:S11"/>
    <mergeCell ref="T11:V11"/>
    <mergeCell ref="X11:Z11"/>
    <mergeCell ref="AI11:AL11"/>
    <mergeCell ref="AB11:AD11"/>
    <mergeCell ref="AI12:AL12"/>
    <mergeCell ref="AM12:AP12"/>
    <mergeCell ref="D10:G10"/>
    <mergeCell ref="H10:K10"/>
    <mergeCell ref="L10:O10"/>
    <mergeCell ref="AE5:AG5"/>
    <mergeCell ref="D6:G7"/>
    <mergeCell ref="AE6:AH7"/>
    <mergeCell ref="AI6:AL7"/>
    <mergeCell ref="B3:AP3"/>
    <mergeCell ref="AG8:AH8"/>
    <mergeCell ref="AI8:AL8"/>
    <mergeCell ref="AM8:AP8"/>
    <mergeCell ref="D8:G8"/>
    <mergeCell ref="H8:K8"/>
    <mergeCell ref="L8:O8"/>
    <mergeCell ref="P8:S8"/>
    <mergeCell ref="T8:V8"/>
    <mergeCell ref="X8:Z8"/>
    <mergeCell ref="AB8:AD8"/>
    <mergeCell ref="AM5:AO5"/>
    <mergeCell ref="H7:K7"/>
    <mergeCell ref="L7:O7"/>
    <mergeCell ref="AM6:AP7"/>
    <mergeCell ref="T6:AD6"/>
    <mergeCell ref="H6:S6"/>
    <mergeCell ref="B6:C17"/>
    <mergeCell ref="H13:K13"/>
    <mergeCell ref="L13:O13"/>
    <mergeCell ref="D9:G9"/>
    <mergeCell ref="H9:K9"/>
    <mergeCell ref="L9:O9"/>
    <mergeCell ref="P9:S9"/>
    <mergeCell ref="T9:V9"/>
    <mergeCell ref="X9:Z9"/>
    <mergeCell ref="AB9:AD9"/>
    <mergeCell ref="G5:I5"/>
    <mergeCell ref="O5:Q5"/>
    <mergeCell ref="W5:Y5"/>
    <mergeCell ref="AG9:AH9"/>
    <mergeCell ref="AI9:AL9"/>
    <mergeCell ref="AM9:AP9"/>
    <mergeCell ref="P10:S10"/>
    <mergeCell ref="T10:V10"/>
    <mergeCell ref="X10:Z10"/>
    <mergeCell ref="AB10:AD10"/>
    <mergeCell ref="P7:S7"/>
    <mergeCell ref="T7:AD7"/>
    <mergeCell ref="AM27:AP27"/>
    <mergeCell ref="AM28:AP28"/>
    <mergeCell ref="T18:W18"/>
    <mergeCell ref="X18:Z18"/>
    <mergeCell ref="T19:W19"/>
    <mergeCell ref="X19:Z19"/>
    <mergeCell ref="P20:S20"/>
    <mergeCell ref="T20:W20"/>
    <mergeCell ref="X20:Z20"/>
    <mergeCell ref="P21:S21"/>
    <mergeCell ref="T21:W21"/>
    <mergeCell ref="X21:Z21"/>
    <mergeCell ref="AM18:AP18"/>
    <mergeCell ref="AM19:AP19"/>
    <mergeCell ref="AM20:AP20"/>
    <mergeCell ref="AM21:AP21"/>
    <mergeCell ref="AM22:AP22"/>
    <mergeCell ref="AM23:AP23"/>
    <mergeCell ref="AM24:AP24"/>
    <mergeCell ref="AM25:AP25"/>
    <mergeCell ref="AM26:AP26"/>
    <mergeCell ref="P18:S18"/>
    <mergeCell ref="P19:S19"/>
    <mergeCell ref="P27:S27"/>
  </mergeCells>
  <phoneticPr fontId="3"/>
  <pageMargins left="0.62992125984251968" right="0.43307086614173229" top="0.74803149606299213" bottom="0" header="0.31496062992125984" footer="0.31496062992125984"/>
  <pageSetup paperSize="9" scale="74"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39"/>
  <sheetViews>
    <sheetView view="pageBreakPreview" zoomScale="85" zoomScaleNormal="85" zoomScaleSheetLayoutView="85" workbookViewId="0">
      <selection activeCell="L17" sqref="L17:M17"/>
    </sheetView>
  </sheetViews>
  <sheetFormatPr defaultRowHeight="19.5" x14ac:dyDescent="0.15"/>
  <cols>
    <col min="1" max="1" width="8.25" style="149" customWidth="1"/>
    <col min="2" max="2" width="7.625" style="149" customWidth="1"/>
    <col min="3" max="22" width="5.625" style="149" customWidth="1"/>
    <col min="23" max="24" width="5.125" style="149" customWidth="1"/>
    <col min="25" max="25" width="1.875" style="149" customWidth="1"/>
    <col min="26" max="35" width="5.625" style="149" customWidth="1"/>
    <col min="36" max="16384" width="9" style="149"/>
  </cols>
  <sheetData>
    <row r="1" spans="1:33" ht="20.100000000000001" customHeight="1" x14ac:dyDescent="0.15">
      <c r="A1" s="647" t="s">
        <v>13</v>
      </c>
      <c r="B1" s="647"/>
      <c r="C1" s="647"/>
      <c r="D1" s="647"/>
      <c r="E1" s="649" t="s">
        <v>34</v>
      </c>
      <c r="F1" s="649"/>
      <c r="G1" s="147"/>
      <c r="H1" s="147"/>
      <c r="I1" s="147"/>
      <c r="J1" s="147"/>
      <c r="K1" s="147"/>
      <c r="L1" s="147"/>
      <c r="M1" s="147"/>
      <c r="N1" s="147"/>
      <c r="O1" s="147"/>
      <c r="P1" s="147"/>
      <c r="Q1" s="147"/>
      <c r="R1" s="147"/>
      <c r="S1" s="147"/>
      <c r="T1" s="147"/>
      <c r="U1" s="64"/>
      <c r="V1" s="369" t="s">
        <v>675</v>
      </c>
      <c r="W1" s="725">
        <f>'使用方法 (修正後)'!N2</f>
        <v>250131</v>
      </c>
      <c r="X1" s="726"/>
      <c r="Y1" s="148"/>
      <c r="Z1" s="148"/>
      <c r="AA1" s="148"/>
      <c r="AB1" s="148"/>
    </row>
    <row r="2" spans="1:33" ht="19.5" customHeight="1" x14ac:dyDescent="0.15">
      <c r="A2" s="647"/>
      <c r="B2" s="647"/>
      <c r="C2" s="647"/>
      <c r="D2" s="647"/>
      <c r="E2" s="649"/>
      <c r="F2" s="649"/>
      <c r="G2" s="147"/>
      <c r="H2" s="147"/>
      <c r="I2" s="147"/>
      <c r="J2" s="147"/>
      <c r="K2" s="147"/>
      <c r="L2" s="147"/>
      <c r="M2" s="147"/>
      <c r="N2" s="147"/>
      <c r="O2" s="147"/>
      <c r="P2" s="147"/>
      <c r="Q2" s="147"/>
      <c r="R2" s="147"/>
      <c r="S2" s="147"/>
      <c r="T2" s="147"/>
      <c r="U2" s="147"/>
      <c r="V2" s="147"/>
      <c r="W2" s="147"/>
      <c r="X2" s="147"/>
      <c r="Y2" s="148"/>
      <c r="Z2" s="148"/>
      <c r="AA2" s="148"/>
      <c r="AB2" s="148"/>
    </row>
    <row r="3" spans="1:33" ht="19.5" customHeight="1" thickBot="1" x14ac:dyDescent="0.2">
      <c r="A3" s="648"/>
      <c r="B3" s="648"/>
      <c r="C3" s="648"/>
      <c r="D3" s="648"/>
      <c r="E3" s="650"/>
      <c r="F3" s="650"/>
      <c r="G3" s="147"/>
      <c r="H3" s="147"/>
      <c r="I3" s="147"/>
      <c r="J3" s="147"/>
      <c r="K3" s="147"/>
      <c r="L3" s="147"/>
      <c r="M3" s="147"/>
      <c r="N3" s="147"/>
      <c r="O3" s="147"/>
      <c r="P3" s="147"/>
      <c r="Q3" s="147"/>
      <c r="R3" s="147"/>
      <c r="S3" s="147"/>
      <c r="T3" s="147"/>
      <c r="U3" s="147"/>
      <c r="V3" s="147"/>
      <c r="W3" s="147"/>
      <c r="X3" s="147"/>
      <c r="Y3" s="148"/>
      <c r="Z3" s="148"/>
      <c r="AA3" s="148"/>
      <c r="AB3" s="148"/>
    </row>
    <row r="4" spans="1:33" ht="19.5" customHeight="1" x14ac:dyDescent="0.15">
      <c r="A4" s="651" t="s">
        <v>362</v>
      </c>
      <c r="B4" s="652"/>
      <c r="C4" s="652"/>
      <c r="D4" s="653"/>
      <c r="E4" s="657" t="s">
        <v>572</v>
      </c>
      <c r="F4" s="658"/>
      <c r="G4" s="658"/>
      <c r="H4" s="658"/>
      <c r="I4" s="658"/>
      <c r="J4" s="658"/>
      <c r="K4" s="658"/>
      <c r="L4" s="658"/>
      <c r="M4" s="658"/>
      <c r="N4" s="658"/>
      <c r="O4" s="659"/>
      <c r="P4" s="483" t="s">
        <v>458</v>
      </c>
      <c r="Q4" s="484"/>
      <c r="R4" s="484"/>
      <c r="S4" s="484"/>
      <c r="T4" s="484"/>
      <c r="U4" s="484"/>
      <c r="V4" s="148"/>
      <c r="W4" s="148"/>
      <c r="X4" s="148"/>
      <c r="Y4" s="148"/>
      <c r="Z4" s="148"/>
      <c r="AA4" s="32"/>
      <c r="AB4" s="32"/>
    </row>
    <row r="5" spans="1:33" ht="19.5" customHeight="1" thickBot="1" x14ac:dyDescent="0.2">
      <c r="A5" s="654"/>
      <c r="B5" s="655"/>
      <c r="C5" s="655"/>
      <c r="D5" s="656"/>
      <c r="E5" s="660"/>
      <c r="F5" s="661"/>
      <c r="G5" s="661"/>
      <c r="H5" s="661"/>
      <c r="I5" s="661"/>
      <c r="J5" s="661"/>
      <c r="K5" s="661"/>
      <c r="L5" s="661"/>
      <c r="M5" s="661"/>
      <c r="N5" s="661"/>
      <c r="O5" s="662"/>
      <c r="P5" s="483"/>
      <c r="Q5" s="484"/>
      <c r="R5" s="484"/>
      <c r="S5" s="484"/>
      <c r="T5" s="484"/>
      <c r="U5" s="484"/>
      <c r="V5" s="148"/>
      <c r="W5" s="148"/>
      <c r="AA5" s="32"/>
      <c r="AB5" s="32"/>
    </row>
    <row r="6" spans="1:33" ht="19.5" customHeight="1" x14ac:dyDescent="0.15">
      <c r="C6" s="162"/>
      <c r="D6" s="36"/>
      <c r="E6" s="36"/>
      <c r="F6" s="36"/>
      <c r="G6" s="36"/>
      <c r="H6" s="36"/>
      <c r="Q6" s="32"/>
      <c r="R6" s="32"/>
      <c r="S6" s="32"/>
      <c r="T6" s="32"/>
      <c r="U6" s="32"/>
      <c r="V6" s="32"/>
      <c r="W6" s="32"/>
      <c r="AA6" s="32"/>
      <c r="AB6" s="32"/>
    </row>
    <row r="7" spans="1:33" ht="19.5" customHeight="1" x14ac:dyDescent="0.15">
      <c r="A7" s="163" t="s">
        <v>365</v>
      </c>
      <c r="B7" s="163"/>
      <c r="C7" s="163"/>
      <c r="D7" s="163"/>
      <c r="E7" s="126" t="s">
        <v>638</v>
      </c>
      <c r="F7" s="274" t="s">
        <v>367</v>
      </c>
      <c r="H7" s="164" t="s">
        <v>250</v>
      </c>
      <c r="Y7" s="163"/>
      <c r="Z7" s="148"/>
      <c r="AA7" s="32"/>
      <c r="AB7" s="32"/>
      <c r="AC7" s="32"/>
      <c r="AD7" s="32"/>
      <c r="AE7" s="32"/>
      <c r="AF7" s="32"/>
      <c r="AG7" s="32"/>
    </row>
    <row r="8" spans="1:33" ht="19.5" customHeight="1" x14ac:dyDescent="0.15">
      <c r="C8" s="32"/>
      <c r="O8" s="368" t="s">
        <v>589</v>
      </c>
      <c r="P8" s="317"/>
      <c r="Q8" s="317"/>
      <c r="R8" s="317"/>
      <c r="S8" s="317"/>
      <c r="T8" s="317"/>
      <c r="U8" s="317"/>
      <c r="V8" s="317"/>
      <c r="W8" s="317"/>
      <c r="X8" s="318"/>
      <c r="Y8" s="32"/>
      <c r="Z8" s="32"/>
      <c r="AA8" s="32"/>
      <c r="AB8" s="32"/>
      <c r="AC8" s="32"/>
      <c r="AD8" s="32"/>
      <c r="AE8" s="32"/>
      <c r="AF8" s="32"/>
      <c r="AG8" s="32"/>
    </row>
    <row r="9" spans="1:33" ht="19.5" customHeight="1" x14ac:dyDescent="0.15">
      <c r="A9" s="275" t="s">
        <v>521</v>
      </c>
      <c r="B9" s="151"/>
      <c r="C9" s="151"/>
      <c r="D9" s="151"/>
      <c r="E9" s="151"/>
      <c r="F9" s="151"/>
      <c r="G9" s="151"/>
      <c r="H9" s="151"/>
      <c r="I9" s="151"/>
      <c r="J9" s="151"/>
      <c r="K9" s="151"/>
      <c r="L9" s="151"/>
      <c r="M9" s="151"/>
      <c r="N9" s="151"/>
      <c r="O9" s="319"/>
      <c r="P9" s="320"/>
      <c r="Q9" s="320"/>
      <c r="R9" s="321"/>
      <c r="S9" s="321"/>
      <c r="T9" s="321"/>
      <c r="U9" s="321"/>
      <c r="V9" s="321"/>
      <c r="W9" s="321"/>
      <c r="X9" s="322"/>
      <c r="AC9" s="32"/>
      <c r="AD9" s="32"/>
      <c r="AE9" s="32"/>
      <c r="AF9" s="32"/>
      <c r="AG9" s="32"/>
    </row>
    <row r="10" spans="1:33" ht="19.5" customHeight="1" x14ac:dyDescent="0.15">
      <c r="A10" s="492" t="s">
        <v>369</v>
      </c>
      <c r="B10" s="493"/>
      <c r="C10" s="493"/>
      <c r="D10" s="494"/>
      <c r="E10" s="555" t="s">
        <v>370</v>
      </c>
      <c r="F10" s="557" t="s">
        <v>371</v>
      </c>
      <c r="G10" s="494"/>
      <c r="H10" s="557" t="s">
        <v>372</v>
      </c>
      <c r="I10" s="558"/>
      <c r="J10" s="557" t="s">
        <v>373</v>
      </c>
      <c r="K10" s="494"/>
      <c r="L10" s="561" t="s">
        <v>374</v>
      </c>
      <c r="M10" s="562"/>
      <c r="N10" s="152"/>
      <c r="O10" s="323"/>
      <c r="P10" s="324"/>
      <c r="Q10" s="320"/>
      <c r="R10" s="320"/>
      <c r="S10" s="321"/>
      <c r="T10" s="321"/>
      <c r="U10" s="321"/>
      <c r="V10" s="321"/>
      <c r="W10" s="321"/>
      <c r="X10" s="322"/>
      <c r="Y10" s="163"/>
      <c r="AC10" s="32"/>
      <c r="AD10" s="32"/>
      <c r="AE10" s="32"/>
      <c r="AF10" s="32"/>
      <c r="AG10" s="32"/>
    </row>
    <row r="11" spans="1:33" ht="19.5" customHeight="1" x14ac:dyDescent="0.15">
      <c r="A11" s="495"/>
      <c r="B11" s="496"/>
      <c r="C11" s="496"/>
      <c r="D11" s="497"/>
      <c r="E11" s="556"/>
      <c r="F11" s="495"/>
      <c r="G11" s="497"/>
      <c r="H11" s="559"/>
      <c r="I11" s="560"/>
      <c r="J11" s="495"/>
      <c r="K11" s="497"/>
      <c r="L11" s="563"/>
      <c r="M11" s="564"/>
      <c r="N11" s="169"/>
      <c r="O11" s="323"/>
      <c r="P11" s="324"/>
      <c r="Q11" s="320"/>
      <c r="R11" s="321"/>
      <c r="S11" s="321"/>
      <c r="T11" s="321"/>
      <c r="U11" s="321"/>
      <c r="V11" s="321"/>
      <c r="W11" s="321"/>
      <c r="X11" s="322"/>
      <c r="Y11" s="163"/>
      <c r="AC11" s="32"/>
      <c r="AD11" s="32"/>
      <c r="AE11" s="32"/>
      <c r="AF11" s="32"/>
      <c r="AG11" s="32"/>
    </row>
    <row r="12" spans="1:33" ht="19.5" customHeight="1" x14ac:dyDescent="0.15">
      <c r="A12" s="138" t="s">
        <v>544</v>
      </c>
      <c r="B12" s="127"/>
      <c r="C12" s="127"/>
      <c r="D12" s="127"/>
      <c r="E12" s="128">
        <v>2</v>
      </c>
      <c r="F12" s="715">
        <v>8</v>
      </c>
      <c r="G12" s="716"/>
      <c r="H12" s="717">
        <v>12</v>
      </c>
      <c r="I12" s="718"/>
      <c r="J12" s="717">
        <v>100</v>
      </c>
      <c r="K12" s="718"/>
      <c r="L12" s="731">
        <f>ROUND(E12*F12*H12*J12/100,0)</f>
        <v>192</v>
      </c>
      <c r="M12" s="732"/>
      <c r="N12" s="152"/>
      <c r="O12" s="319"/>
      <c r="P12" s="320"/>
      <c r="Q12" s="320"/>
      <c r="R12" s="321"/>
      <c r="S12" s="321"/>
      <c r="T12" s="321"/>
      <c r="U12" s="321"/>
      <c r="V12" s="321"/>
      <c r="W12" s="321"/>
      <c r="X12" s="322"/>
      <c r="AC12" s="32"/>
      <c r="AD12" s="32"/>
      <c r="AE12" s="32"/>
      <c r="AF12" s="32"/>
      <c r="AG12" s="32"/>
    </row>
    <row r="13" spans="1:33" ht="19.5" customHeight="1" x14ac:dyDescent="0.15">
      <c r="A13" s="139" t="s">
        <v>545</v>
      </c>
      <c r="B13" s="129"/>
      <c r="C13" s="129"/>
      <c r="D13" s="129"/>
      <c r="E13" s="130">
        <v>3</v>
      </c>
      <c r="F13" s="498">
        <v>4</v>
      </c>
      <c r="G13" s="499"/>
      <c r="H13" s="498">
        <v>20</v>
      </c>
      <c r="I13" s="499"/>
      <c r="J13" s="498">
        <v>100</v>
      </c>
      <c r="K13" s="499"/>
      <c r="L13" s="574">
        <f>ROUND(E13*F13*H13*J13/100,0)</f>
        <v>240</v>
      </c>
      <c r="M13" s="575"/>
      <c r="N13" s="169"/>
      <c r="O13" s="319"/>
      <c r="P13" s="320"/>
      <c r="Q13" s="320"/>
      <c r="R13" s="324"/>
      <c r="S13" s="321"/>
      <c r="T13" s="321"/>
      <c r="U13" s="321"/>
      <c r="V13" s="321"/>
      <c r="W13" s="321"/>
      <c r="X13" s="322"/>
      <c r="AC13" s="32"/>
      <c r="AD13" s="32"/>
      <c r="AE13" s="32"/>
      <c r="AF13" s="32"/>
      <c r="AG13" s="32"/>
    </row>
    <row r="14" spans="1:33" ht="19.5" customHeight="1" x14ac:dyDescent="0.15">
      <c r="A14" s="139" t="s">
        <v>546</v>
      </c>
      <c r="B14" s="129"/>
      <c r="C14" s="131"/>
      <c r="D14" s="131"/>
      <c r="E14" s="132">
        <v>2</v>
      </c>
      <c r="F14" s="498">
        <v>8</v>
      </c>
      <c r="G14" s="499"/>
      <c r="H14" s="498">
        <v>12</v>
      </c>
      <c r="I14" s="499"/>
      <c r="J14" s="498">
        <v>100</v>
      </c>
      <c r="K14" s="499"/>
      <c r="L14" s="574">
        <f>ROUND(E14*F14*H14*J14/100,0)</f>
        <v>192</v>
      </c>
      <c r="M14" s="575"/>
      <c r="N14" s="169"/>
      <c r="O14" s="319"/>
      <c r="P14" s="320"/>
      <c r="Q14" s="320"/>
      <c r="R14" s="324"/>
      <c r="S14" s="321"/>
      <c r="T14" s="321"/>
      <c r="U14" s="321"/>
      <c r="V14" s="321"/>
      <c r="W14" s="321"/>
      <c r="X14" s="322"/>
      <c r="AC14" s="32"/>
      <c r="AD14" s="32"/>
      <c r="AE14" s="32"/>
      <c r="AF14" s="32"/>
      <c r="AG14" s="32"/>
    </row>
    <row r="15" spans="1:33" ht="19.5" customHeight="1" x14ac:dyDescent="0.15">
      <c r="A15" s="334" t="s">
        <v>581</v>
      </c>
      <c r="B15" s="129"/>
      <c r="C15" s="131"/>
      <c r="D15" s="131"/>
      <c r="E15" s="132">
        <v>2</v>
      </c>
      <c r="F15" s="498">
        <v>1</v>
      </c>
      <c r="G15" s="499"/>
      <c r="H15" s="498">
        <v>20</v>
      </c>
      <c r="I15" s="499"/>
      <c r="J15" s="498">
        <v>100</v>
      </c>
      <c r="K15" s="499"/>
      <c r="L15" s="574">
        <f t="shared" ref="L15:L19" si="0">ROUND(E15*F15*H15*J15/100,0)</f>
        <v>40</v>
      </c>
      <c r="M15" s="575"/>
      <c r="N15" s="169"/>
      <c r="O15" s="319"/>
      <c r="P15" s="320"/>
      <c r="Q15" s="320"/>
      <c r="R15" s="324"/>
      <c r="S15" s="321"/>
      <c r="T15" s="321"/>
      <c r="U15" s="321"/>
      <c r="V15" s="321"/>
      <c r="W15" s="321"/>
      <c r="X15" s="322"/>
      <c r="AC15" s="32"/>
      <c r="AD15" s="32"/>
      <c r="AE15" s="32"/>
      <c r="AF15" s="32"/>
      <c r="AG15" s="32"/>
    </row>
    <row r="16" spans="1:33" ht="19.5" customHeight="1" x14ac:dyDescent="0.15">
      <c r="A16" s="334" t="s">
        <v>582</v>
      </c>
      <c r="B16" s="129"/>
      <c r="C16" s="131"/>
      <c r="D16" s="131"/>
      <c r="E16" s="132">
        <v>2</v>
      </c>
      <c r="F16" s="498">
        <v>1</v>
      </c>
      <c r="G16" s="499"/>
      <c r="H16" s="498">
        <v>20</v>
      </c>
      <c r="I16" s="499"/>
      <c r="J16" s="498">
        <v>100</v>
      </c>
      <c r="K16" s="499"/>
      <c r="L16" s="574">
        <f t="shared" si="0"/>
        <v>40</v>
      </c>
      <c r="M16" s="575"/>
      <c r="N16" s="169"/>
      <c r="O16" s="319"/>
      <c r="P16" s="320"/>
      <c r="Q16" s="320"/>
      <c r="R16" s="324"/>
      <c r="S16" s="321"/>
      <c r="T16" s="321"/>
      <c r="U16" s="321"/>
      <c r="V16" s="321"/>
      <c r="W16" s="321"/>
      <c r="X16" s="322"/>
      <c r="AC16" s="32"/>
      <c r="AD16" s="32"/>
      <c r="AE16" s="32"/>
      <c r="AF16" s="32"/>
      <c r="AG16" s="32"/>
    </row>
    <row r="17" spans="1:33" ht="19.5" customHeight="1" x14ac:dyDescent="0.15">
      <c r="A17" s="334"/>
      <c r="B17" s="131"/>
      <c r="C17" s="129"/>
      <c r="D17" s="129"/>
      <c r="E17" s="130">
        <v>1</v>
      </c>
      <c r="F17" s="498">
        <v>106</v>
      </c>
      <c r="G17" s="499"/>
      <c r="H17" s="498">
        <v>1</v>
      </c>
      <c r="I17" s="499"/>
      <c r="J17" s="498">
        <v>100</v>
      </c>
      <c r="K17" s="499"/>
      <c r="L17" s="574">
        <f>ROUND(E17*F17*H17*J17/100,0)</f>
        <v>106</v>
      </c>
      <c r="M17" s="575"/>
      <c r="N17" s="169"/>
      <c r="O17" s="319"/>
      <c r="P17" s="320"/>
      <c r="Q17" s="320"/>
      <c r="R17" s="324"/>
      <c r="S17" s="321"/>
      <c r="T17" s="321"/>
      <c r="U17" s="321"/>
      <c r="V17" s="321"/>
      <c r="W17" s="321"/>
      <c r="X17" s="322"/>
      <c r="AC17" s="32"/>
      <c r="AD17" s="32"/>
      <c r="AE17" s="32"/>
      <c r="AF17" s="32"/>
      <c r="AG17" s="32"/>
    </row>
    <row r="18" spans="1:33" ht="19.5" customHeight="1" x14ac:dyDescent="0.15">
      <c r="A18" s="334"/>
      <c r="B18" s="131"/>
      <c r="C18" s="129"/>
      <c r="D18" s="129"/>
      <c r="E18" s="130"/>
      <c r="F18" s="498"/>
      <c r="G18" s="499"/>
      <c r="H18" s="498"/>
      <c r="I18" s="499"/>
      <c r="J18" s="498"/>
      <c r="K18" s="499"/>
      <c r="L18" s="574">
        <f>ROUND(E18*F18*H18*J18/100,0)</f>
        <v>0</v>
      </c>
      <c r="M18" s="575"/>
      <c r="N18" s="169"/>
      <c r="O18" s="319"/>
      <c r="P18" s="320"/>
      <c r="Q18" s="320"/>
      <c r="R18" s="324"/>
      <c r="S18" s="321"/>
      <c r="T18" s="321"/>
      <c r="U18" s="321"/>
      <c r="V18" s="321"/>
      <c r="W18" s="321"/>
      <c r="X18" s="322"/>
      <c r="AC18" s="32"/>
      <c r="AD18" s="32"/>
      <c r="AE18" s="32"/>
      <c r="AF18" s="32"/>
      <c r="AG18" s="32"/>
    </row>
    <row r="19" spans="1:33" ht="19.5" customHeight="1" x14ac:dyDescent="0.15">
      <c r="A19" s="334"/>
      <c r="B19" s="131"/>
      <c r="C19" s="131"/>
      <c r="D19" s="131"/>
      <c r="E19" s="132"/>
      <c r="F19" s="498"/>
      <c r="G19" s="499"/>
      <c r="H19" s="498"/>
      <c r="I19" s="499"/>
      <c r="J19" s="498"/>
      <c r="K19" s="499"/>
      <c r="L19" s="574">
        <f t="shared" si="0"/>
        <v>0</v>
      </c>
      <c r="M19" s="575"/>
      <c r="N19" s="169"/>
      <c r="O19" s="319"/>
      <c r="P19" s="320"/>
      <c r="Q19" s="320"/>
      <c r="R19" s="324"/>
      <c r="S19" s="321"/>
      <c r="T19" s="321"/>
      <c r="U19" s="321"/>
      <c r="V19" s="321"/>
      <c r="W19" s="321"/>
      <c r="X19" s="322"/>
      <c r="AC19" s="32"/>
      <c r="AD19" s="32"/>
      <c r="AE19" s="32"/>
      <c r="AF19" s="32"/>
      <c r="AG19" s="32"/>
    </row>
    <row r="20" spans="1:33" ht="19.5" customHeight="1" x14ac:dyDescent="0.15">
      <c r="A20" s="335"/>
      <c r="B20" s="133"/>
      <c r="C20" s="133"/>
      <c r="D20" s="133"/>
      <c r="E20" s="134"/>
      <c r="F20" s="576"/>
      <c r="G20" s="577"/>
      <c r="H20" s="576"/>
      <c r="I20" s="577"/>
      <c r="J20" s="576"/>
      <c r="K20" s="577"/>
      <c r="L20" s="578">
        <f>ROUND(E20*F20*H20*J20/100,0)</f>
        <v>0</v>
      </c>
      <c r="M20" s="579"/>
      <c r="N20" s="169"/>
      <c r="O20" s="319"/>
      <c r="P20" s="320"/>
      <c r="Q20" s="320"/>
      <c r="R20" s="324"/>
      <c r="S20" s="321"/>
      <c r="T20" s="321"/>
      <c r="U20" s="321"/>
      <c r="V20" s="321"/>
      <c r="W20" s="321"/>
      <c r="X20" s="322"/>
      <c r="AC20" s="32"/>
      <c r="AD20" s="32"/>
      <c r="AE20" s="32"/>
      <c r="AF20" s="32"/>
      <c r="AG20" s="32"/>
    </row>
    <row r="21" spans="1:33" ht="19.5" customHeight="1" x14ac:dyDescent="0.15">
      <c r="A21" s="152"/>
      <c r="B21" s="152"/>
      <c r="C21" s="152"/>
      <c r="D21" s="152"/>
      <c r="E21" s="152"/>
      <c r="F21" s="152"/>
      <c r="G21" s="152"/>
      <c r="H21" s="492" t="s">
        <v>379</v>
      </c>
      <c r="I21" s="493"/>
      <c r="J21" s="494"/>
      <c r="K21" s="673">
        <f>SUM(L12:M20)</f>
        <v>810</v>
      </c>
      <c r="L21" s="674"/>
      <c r="M21" s="276" t="s">
        <v>547</v>
      </c>
      <c r="N21" s="151"/>
      <c r="O21" s="319"/>
      <c r="P21" s="320"/>
      <c r="Q21" s="320"/>
      <c r="R21" s="320"/>
      <c r="S21" s="321"/>
      <c r="T21" s="321"/>
      <c r="U21" s="321"/>
      <c r="V21" s="321"/>
      <c r="W21" s="321"/>
      <c r="X21" s="322"/>
      <c r="AC21" s="32"/>
      <c r="AD21" s="32"/>
      <c r="AE21" s="32"/>
      <c r="AF21" s="32"/>
      <c r="AG21" s="32"/>
    </row>
    <row r="22" spans="1:33" ht="19.5" customHeight="1" x14ac:dyDescent="0.15">
      <c r="A22" s="152"/>
      <c r="B22" s="152"/>
      <c r="C22" s="152"/>
      <c r="D22" s="152"/>
      <c r="E22" s="152"/>
      <c r="F22" s="152"/>
      <c r="G22" s="152"/>
      <c r="H22" s="495"/>
      <c r="I22" s="496"/>
      <c r="J22" s="497"/>
      <c r="K22" s="675">
        <f>ROUND(K21/60,0)</f>
        <v>14</v>
      </c>
      <c r="L22" s="676"/>
      <c r="M22" s="277" t="s">
        <v>265</v>
      </c>
      <c r="N22" s="273"/>
      <c r="O22" s="319"/>
      <c r="P22" s="320"/>
      <c r="Q22" s="320"/>
      <c r="R22" s="320"/>
      <c r="S22" s="321"/>
      <c r="T22" s="321"/>
      <c r="U22" s="321"/>
      <c r="V22" s="321"/>
      <c r="W22" s="321"/>
      <c r="X22" s="325"/>
      <c r="AC22" s="32"/>
      <c r="AD22" s="32"/>
      <c r="AE22" s="32"/>
      <c r="AF22" s="32"/>
      <c r="AG22" s="32"/>
    </row>
    <row r="23" spans="1:33" s="151" customFormat="1" ht="19.5" customHeight="1" x14ac:dyDescent="0.15">
      <c r="F23" s="150"/>
      <c r="G23" s="150"/>
      <c r="H23" s="284"/>
      <c r="I23" s="284"/>
      <c r="J23" s="284"/>
      <c r="K23" s="284"/>
      <c r="L23" s="284"/>
      <c r="M23" s="168"/>
      <c r="N23" s="150"/>
      <c r="O23" s="301"/>
      <c r="P23" s="302"/>
      <c r="Q23" s="302"/>
      <c r="R23" s="302"/>
      <c r="S23" s="326"/>
      <c r="T23" s="326"/>
      <c r="U23" s="326"/>
      <c r="V23" s="326"/>
      <c r="W23" s="326"/>
      <c r="X23" s="327"/>
      <c r="AC23" s="152"/>
      <c r="AD23" s="152"/>
      <c r="AE23" s="152"/>
      <c r="AF23" s="152"/>
      <c r="AG23" s="152"/>
    </row>
    <row r="24" spans="1:33" s="151" customFormat="1" ht="19.5" customHeight="1" x14ac:dyDescent="0.15">
      <c r="A24" s="255" t="s">
        <v>382</v>
      </c>
      <c r="Q24" s="150"/>
      <c r="R24" s="150"/>
      <c r="AC24" s="152"/>
      <c r="AD24" s="152"/>
      <c r="AE24" s="152"/>
      <c r="AF24" s="152"/>
      <c r="AG24" s="152"/>
    </row>
    <row r="25" spans="1:33" s="151" customFormat="1" ht="19.5" customHeight="1" x14ac:dyDescent="0.15">
      <c r="A25" s="671" t="s">
        <v>383</v>
      </c>
      <c r="B25" s="672"/>
      <c r="C25" s="491" t="s">
        <v>548</v>
      </c>
      <c r="D25" s="491"/>
      <c r="E25" s="491"/>
      <c r="F25" s="671" t="s">
        <v>549</v>
      </c>
      <c r="G25" s="672"/>
      <c r="H25" s="672"/>
      <c r="I25" s="119">
        <v>120</v>
      </c>
      <c r="J25" s="166" t="s">
        <v>41</v>
      </c>
      <c r="K25" s="671" t="s">
        <v>550</v>
      </c>
      <c r="L25" s="672"/>
      <c r="M25" s="119">
        <v>10</v>
      </c>
      <c r="N25" s="166" t="s">
        <v>551</v>
      </c>
      <c r="O25" s="671" t="s">
        <v>552</v>
      </c>
      <c r="P25" s="672"/>
      <c r="Q25" s="131">
        <v>30</v>
      </c>
      <c r="R25" s="150" t="s">
        <v>389</v>
      </c>
      <c r="AC25" s="152"/>
      <c r="AD25" s="152"/>
      <c r="AE25" s="152"/>
      <c r="AF25" s="152"/>
      <c r="AG25" s="152"/>
    </row>
    <row r="26" spans="1:33" s="151" customFormat="1" ht="19.5" customHeight="1" x14ac:dyDescent="0.15">
      <c r="B26" s="151" t="s">
        <v>553</v>
      </c>
      <c r="C26" s="151" t="s">
        <v>554</v>
      </c>
      <c r="D26" s="151" t="s">
        <v>590</v>
      </c>
      <c r="F26" s="171"/>
      <c r="G26" s="171" t="s">
        <v>555</v>
      </c>
      <c r="H26" s="171" t="s">
        <v>556</v>
      </c>
      <c r="K26" s="151" t="s">
        <v>390</v>
      </c>
      <c r="L26" s="151" t="s">
        <v>57</v>
      </c>
      <c r="M26" s="151" t="s">
        <v>392</v>
      </c>
      <c r="R26" s="171"/>
      <c r="AC26" s="152"/>
      <c r="AD26" s="152"/>
      <c r="AE26" s="152"/>
      <c r="AF26" s="152"/>
      <c r="AG26" s="152"/>
    </row>
    <row r="27" spans="1:33" s="151" customFormat="1" ht="19.5" customHeight="1" x14ac:dyDescent="0.15">
      <c r="C27" s="151" t="s">
        <v>48</v>
      </c>
      <c r="D27" s="489">
        <f>S28</f>
        <v>3600</v>
      </c>
      <c r="E27" s="489"/>
      <c r="F27" s="490">
        <f>M29</f>
        <v>10</v>
      </c>
      <c r="G27" s="490"/>
      <c r="H27" s="173">
        <f>M30</f>
        <v>2.5</v>
      </c>
      <c r="K27" s="151" t="s">
        <v>65</v>
      </c>
      <c r="L27" s="151" t="s">
        <v>55</v>
      </c>
      <c r="M27" s="151" t="s">
        <v>393</v>
      </c>
      <c r="AC27" s="152"/>
      <c r="AD27" s="152"/>
      <c r="AE27" s="152"/>
      <c r="AF27" s="152"/>
      <c r="AG27" s="152"/>
    </row>
    <row r="28" spans="1:33" s="151" customFormat="1" ht="19.5" customHeight="1" x14ac:dyDescent="0.15">
      <c r="C28" s="151" t="s">
        <v>55</v>
      </c>
      <c r="D28" s="278">
        <f>ROUND(S28/(M29*60)*H27,0)</f>
        <v>15</v>
      </c>
      <c r="E28" s="273" t="s">
        <v>58</v>
      </c>
      <c r="L28" s="151" t="s">
        <v>55</v>
      </c>
      <c r="M28" s="173">
        <f>ROUND(Q25,0)</f>
        <v>30</v>
      </c>
      <c r="N28" s="151" t="s">
        <v>557</v>
      </c>
      <c r="P28" s="166">
        <f>ROUND(I25,0)</f>
        <v>120</v>
      </c>
      <c r="Q28" s="151" t="s">
        <v>395</v>
      </c>
      <c r="R28" s="171" t="s">
        <v>48</v>
      </c>
      <c r="S28" s="663">
        <f>ROUND(M28*P28,0)</f>
        <v>3600</v>
      </c>
      <c r="T28" s="663"/>
      <c r="U28" s="151" t="s">
        <v>396</v>
      </c>
      <c r="AC28" s="152"/>
      <c r="AD28" s="152"/>
      <c r="AE28" s="152"/>
      <c r="AF28" s="152"/>
      <c r="AG28" s="152"/>
    </row>
    <row r="29" spans="1:33" s="151" customFormat="1" ht="19.5" customHeight="1" x14ac:dyDescent="0.15">
      <c r="D29" s="272"/>
      <c r="E29" s="273"/>
      <c r="F29" s="166"/>
      <c r="K29" s="151" t="s">
        <v>397</v>
      </c>
      <c r="L29" s="151" t="s">
        <v>55</v>
      </c>
      <c r="M29" s="173">
        <f>M25</f>
        <v>10</v>
      </c>
      <c r="N29" s="151" t="s">
        <v>398</v>
      </c>
      <c r="AC29" s="152"/>
      <c r="AD29" s="152"/>
      <c r="AE29" s="152"/>
      <c r="AF29" s="152"/>
      <c r="AG29" s="152"/>
    </row>
    <row r="30" spans="1:33" s="151" customFormat="1" ht="19.5" customHeight="1" x14ac:dyDescent="0.15">
      <c r="K30" s="151" t="s">
        <v>391</v>
      </c>
      <c r="L30" s="151" t="s">
        <v>55</v>
      </c>
      <c r="M30" s="283">
        <v>2.5</v>
      </c>
      <c r="N30" s="151" t="s">
        <v>399</v>
      </c>
      <c r="R30" s="171"/>
      <c r="AC30" s="152"/>
      <c r="AD30" s="152"/>
      <c r="AE30" s="152"/>
      <c r="AF30" s="152"/>
      <c r="AG30" s="152"/>
    </row>
    <row r="31" spans="1:33" s="151" customFormat="1" ht="19.5" customHeight="1" thickBot="1" x14ac:dyDescent="0.2">
      <c r="AC31" s="152"/>
      <c r="AD31" s="152"/>
      <c r="AE31" s="152"/>
      <c r="AF31" s="152"/>
      <c r="AG31" s="152"/>
    </row>
    <row r="32" spans="1:33" s="151" customFormat="1" ht="19.5" customHeight="1" x14ac:dyDescent="0.15">
      <c r="A32" s="664" t="s">
        <v>71</v>
      </c>
      <c r="B32" s="665"/>
      <c r="C32" s="665"/>
      <c r="D32" s="666"/>
      <c r="E32" s="667" t="s">
        <v>72</v>
      </c>
      <c r="F32" s="665"/>
      <c r="G32" s="665"/>
      <c r="H32" s="665"/>
      <c r="I32" s="665"/>
      <c r="J32" s="665"/>
      <c r="K32" s="665"/>
      <c r="L32" s="665"/>
      <c r="M32" s="665"/>
      <c r="N32" s="665"/>
      <c r="O32" s="665"/>
      <c r="P32" s="665"/>
      <c r="Q32" s="666"/>
      <c r="R32" s="667" t="s">
        <v>73</v>
      </c>
      <c r="S32" s="665"/>
      <c r="T32" s="665"/>
      <c r="U32" s="665"/>
      <c r="V32" s="666"/>
      <c r="W32" s="665" t="s">
        <v>74</v>
      </c>
      <c r="X32" s="665"/>
      <c r="Y32" s="669"/>
      <c r="AC32" s="152"/>
      <c r="AD32" s="152"/>
      <c r="AE32" s="152"/>
      <c r="AF32" s="152"/>
      <c r="AG32" s="152"/>
    </row>
    <row r="33" spans="1:33" s="151" customFormat="1" ht="19.5" customHeight="1" x14ac:dyDescent="0.15">
      <c r="A33" s="571"/>
      <c r="B33" s="572"/>
      <c r="C33" s="572"/>
      <c r="D33" s="573"/>
      <c r="E33" s="668"/>
      <c r="F33" s="572"/>
      <c r="G33" s="572"/>
      <c r="H33" s="572"/>
      <c r="I33" s="572"/>
      <c r="J33" s="572"/>
      <c r="K33" s="572"/>
      <c r="L33" s="572"/>
      <c r="M33" s="572"/>
      <c r="N33" s="572"/>
      <c r="O33" s="572"/>
      <c r="P33" s="572"/>
      <c r="Q33" s="573"/>
      <c r="R33" s="668"/>
      <c r="S33" s="572"/>
      <c r="T33" s="572"/>
      <c r="U33" s="572"/>
      <c r="V33" s="573"/>
      <c r="W33" s="572"/>
      <c r="X33" s="572"/>
      <c r="Y33" s="670"/>
      <c r="AC33" s="152"/>
      <c r="AD33" s="152"/>
      <c r="AE33" s="152"/>
      <c r="AF33" s="152"/>
      <c r="AG33" s="152"/>
    </row>
    <row r="34" spans="1:33" s="151" customFormat="1" ht="19.5" customHeight="1" x14ac:dyDescent="0.15">
      <c r="A34" s="565" t="s">
        <v>75</v>
      </c>
      <c r="B34" s="566"/>
      <c r="C34" s="566"/>
      <c r="D34" s="567"/>
      <c r="E34" s="120" t="s">
        <v>263</v>
      </c>
      <c r="F34" s="27"/>
      <c r="G34" s="27"/>
      <c r="H34" s="27"/>
      <c r="I34" s="28"/>
      <c r="J34" s="27"/>
      <c r="K34" s="28"/>
      <c r="L34" s="27"/>
      <c r="M34" s="29"/>
      <c r="N34" s="29"/>
      <c r="O34" s="29"/>
      <c r="P34" s="29"/>
      <c r="Q34" s="30"/>
      <c r="R34" s="584" t="s">
        <v>77</v>
      </c>
      <c r="S34" s="585"/>
      <c r="T34" s="585"/>
      <c r="U34" s="585"/>
      <c r="V34" s="586"/>
      <c r="W34" s="602" t="str">
        <f>IF(F36&gt;400,"×","○")</f>
        <v>○</v>
      </c>
      <c r="X34" s="603"/>
      <c r="Y34" s="604"/>
      <c r="AC34" s="152"/>
      <c r="AD34" s="152"/>
      <c r="AE34" s="152"/>
      <c r="AF34" s="152"/>
      <c r="AG34" s="152"/>
    </row>
    <row r="35" spans="1:33" s="151" customFormat="1" ht="19.5" customHeight="1" x14ac:dyDescent="0.15">
      <c r="A35" s="568"/>
      <c r="B35" s="569"/>
      <c r="C35" s="569"/>
      <c r="D35" s="570"/>
      <c r="E35" s="31" t="s">
        <v>55</v>
      </c>
      <c r="F35" s="611">
        <f>IF(E7="例①",ROUND(K22*3,0),IF(E7="例②",ROUND(D28*3,0)))</f>
        <v>42</v>
      </c>
      <c r="G35" s="611"/>
      <c r="H35" s="47" t="s">
        <v>86</v>
      </c>
      <c r="I35" s="612">
        <f>IF(E7="例①",ROUND(K22*10,0),IF(E7="例②",ROUND(D28*10,0)))</f>
        <v>140</v>
      </c>
      <c r="J35" s="612"/>
      <c r="K35" s="34" t="s">
        <v>558</v>
      </c>
      <c r="L35" s="36"/>
      <c r="M35" s="32"/>
      <c r="N35" s="32"/>
      <c r="O35" s="32"/>
      <c r="P35" s="32"/>
      <c r="Q35" s="37"/>
      <c r="R35" s="587"/>
      <c r="S35" s="588"/>
      <c r="T35" s="588"/>
      <c r="U35" s="588"/>
      <c r="V35" s="589"/>
      <c r="W35" s="605"/>
      <c r="X35" s="606"/>
      <c r="Y35" s="607"/>
      <c r="AC35" s="152"/>
      <c r="AD35" s="152"/>
      <c r="AE35" s="152"/>
      <c r="AF35" s="152"/>
      <c r="AG35" s="152"/>
    </row>
    <row r="36" spans="1:33" s="151" customFormat="1" ht="19.5" customHeight="1" x14ac:dyDescent="0.15">
      <c r="A36" s="571"/>
      <c r="B36" s="572"/>
      <c r="C36" s="572"/>
      <c r="D36" s="573"/>
      <c r="E36" s="38" t="s">
        <v>91</v>
      </c>
      <c r="F36" s="620">
        <v>120</v>
      </c>
      <c r="G36" s="620"/>
      <c r="H36" s="39" t="s">
        <v>81</v>
      </c>
      <c r="I36" s="39"/>
      <c r="J36" s="39"/>
      <c r="K36" s="40"/>
      <c r="L36" s="39"/>
      <c r="M36" s="41"/>
      <c r="N36" s="41"/>
      <c r="O36" s="41"/>
      <c r="P36" s="41"/>
      <c r="Q36" s="42"/>
      <c r="R36" s="590"/>
      <c r="S36" s="591"/>
      <c r="T36" s="591"/>
      <c r="U36" s="591"/>
      <c r="V36" s="592"/>
      <c r="W36" s="608"/>
      <c r="X36" s="609"/>
      <c r="Y36" s="610"/>
      <c r="AC36" s="152"/>
      <c r="AD36" s="152"/>
      <c r="AE36" s="152"/>
      <c r="AF36" s="152"/>
      <c r="AG36" s="152"/>
    </row>
    <row r="37" spans="1:33" s="151" customFormat="1" ht="19.5" customHeight="1" x14ac:dyDescent="0.15">
      <c r="A37" s="565" t="s">
        <v>82</v>
      </c>
      <c r="B37" s="566"/>
      <c r="C37" s="566"/>
      <c r="D37" s="567"/>
      <c r="E37" s="121" t="s">
        <v>400</v>
      </c>
      <c r="F37" s="27"/>
      <c r="G37" s="27"/>
      <c r="H37" s="122"/>
      <c r="I37" s="123"/>
      <c r="J37" s="29">
        <f>IF(E7="例①",K22,IF(E7="例②",D28))</f>
        <v>14</v>
      </c>
      <c r="K37" s="27" t="s">
        <v>50</v>
      </c>
      <c r="L37" s="102">
        <v>120</v>
      </c>
      <c r="M37" s="27" t="s">
        <v>87</v>
      </c>
      <c r="N37" s="29" t="s">
        <v>48</v>
      </c>
      <c r="O37" s="621">
        <f>IF(E7="例①",ROUND(K22*0.12,2),IF(E7="例②",ROUND(D28*0.12,2)))</f>
        <v>1.68</v>
      </c>
      <c r="P37" s="621"/>
      <c r="Q37" s="125" t="s">
        <v>610</v>
      </c>
      <c r="R37" s="502" t="s">
        <v>88</v>
      </c>
      <c r="S37" s="503"/>
      <c r="T37" s="503"/>
      <c r="U37" s="503"/>
      <c r="V37" s="504"/>
      <c r="W37" s="622" t="str">
        <f>IF(H38*1.5&gt;N40+T41,"×","○")</f>
        <v>○</v>
      </c>
      <c r="X37" s="623"/>
      <c r="Y37" s="624"/>
      <c r="AC37" s="152"/>
      <c r="AD37" s="152"/>
      <c r="AE37" s="152"/>
      <c r="AF37" s="152"/>
      <c r="AG37" s="152"/>
    </row>
    <row r="38" spans="1:33" s="151" customFormat="1" ht="19.5" customHeight="1" x14ac:dyDescent="0.15">
      <c r="A38" s="568"/>
      <c r="B38" s="569"/>
      <c r="C38" s="569"/>
      <c r="D38" s="570"/>
      <c r="E38" s="45" t="s">
        <v>542</v>
      </c>
      <c r="F38" s="46"/>
      <c r="G38" s="40"/>
      <c r="H38" s="501">
        <f>O37</f>
        <v>1.68</v>
      </c>
      <c r="I38" s="501"/>
      <c r="J38" s="56" t="s">
        <v>602</v>
      </c>
      <c r="K38" s="50" t="s">
        <v>92</v>
      </c>
      <c r="L38" s="54"/>
      <c r="M38" s="54"/>
      <c r="N38" s="41"/>
      <c r="O38" s="41"/>
      <c r="P38" s="41"/>
      <c r="Q38" s="42"/>
      <c r="R38" s="505"/>
      <c r="S38" s="506"/>
      <c r="T38" s="506"/>
      <c r="U38" s="506"/>
      <c r="V38" s="507"/>
      <c r="W38" s="625"/>
      <c r="X38" s="626"/>
      <c r="Y38" s="627"/>
      <c r="AC38" s="152"/>
      <c r="AD38" s="152"/>
      <c r="AE38" s="152"/>
      <c r="AF38" s="152"/>
      <c r="AG38" s="152"/>
    </row>
    <row r="39" spans="1:33" s="151" customFormat="1" ht="19.5" customHeight="1" x14ac:dyDescent="0.15">
      <c r="A39" s="568"/>
      <c r="B39" s="569"/>
      <c r="C39" s="569"/>
      <c r="D39" s="570"/>
      <c r="E39" s="52" t="s">
        <v>93</v>
      </c>
      <c r="F39" s="53"/>
      <c r="G39" s="53"/>
      <c r="H39" s="53"/>
      <c r="I39" s="34"/>
      <c r="J39" s="34"/>
      <c r="K39" s="34"/>
      <c r="L39" s="34"/>
      <c r="M39" s="34"/>
      <c r="N39" s="32"/>
      <c r="O39" s="32"/>
      <c r="P39" s="32"/>
      <c r="Q39" s="37"/>
      <c r="R39" s="508"/>
      <c r="S39" s="509"/>
      <c r="T39" s="509"/>
      <c r="U39" s="509"/>
      <c r="V39" s="510"/>
      <c r="W39" s="625"/>
      <c r="X39" s="626"/>
      <c r="Y39" s="627"/>
      <c r="AC39" s="152"/>
      <c r="AD39" s="152"/>
      <c r="AE39" s="152"/>
      <c r="AF39" s="152"/>
      <c r="AG39" s="152"/>
    </row>
    <row r="40" spans="1:33" s="151" customFormat="1" ht="19.5" customHeight="1" x14ac:dyDescent="0.15">
      <c r="A40" s="568"/>
      <c r="B40" s="569"/>
      <c r="C40" s="569"/>
      <c r="D40" s="570"/>
      <c r="E40" s="55" t="s">
        <v>142</v>
      </c>
      <c r="F40" s="631">
        <f>H41*K41</f>
        <v>12</v>
      </c>
      <c r="G40" s="631"/>
      <c r="H40" s="56" t="s">
        <v>601</v>
      </c>
      <c r="I40" s="40" t="s">
        <v>14</v>
      </c>
      <c r="J40" s="500">
        <f>N41</f>
        <v>1</v>
      </c>
      <c r="K40" s="500"/>
      <c r="L40" s="56" t="s">
        <v>146</v>
      </c>
      <c r="M40" s="351" t="s">
        <v>598</v>
      </c>
      <c r="N40" s="501">
        <f>ROUND(F40*J40,2)</f>
        <v>12</v>
      </c>
      <c r="O40" s="501"/>
      <c r="P40" s="56" t="s">
        <v>603</v>
      </c>
      <c r="Q40" s="42"/>
      <c r="R40" s="511" t="s">
        <v>606</v>
      </c>
      <c r="S40" s="512"/>
      <c r="T40" s="512"/>
      <c r="U40" s="512"/>
      <c r="V40" s="513"/>
      <c r="W40" s="625"/>
      <c r="X40" s="626"/>
      <c r="Y40" s="627"/>
      <c r="AC40" s="152"/>
      <c r="AD40" s="152"/>
      <c r="AE40" s="152"/>
      <c r="AF40" s="152"/>
      <c r="AG40" s="152"/>
    </row>
    <row r="41" spans="1:33" ht="19.5" customHeight="1" x14ac:dyDescent="0.15">
      <c r="A41" s="571"/>
      <c r="B41" s="572"/>
      <c r="C41" s="572"/>
      <c r="D41" s="573"/>
      <c r="E41" s="632" t="s">
        <v>94</v>
      </c>
      <c r="F41" s="633"/>
      <c r="G41" s="57"/>
      <c r="H41" s="634">
        <v>4</v>
      </c>
      <c r="I41" s="634"/>
      <c r="J41" s="141" t="s">
        <v>14</v>
      </c>
      <c r="K41" s="635">
        <v>3</v>
      </c>
      <c r="L41" s="635"/>
      <c r="M41" s="142" t="s">
        <v>85</v>
      </c>
      <c r="N41" s="613">
        <v>1</v>
      </c>
      <c r="O41" s="613"/>
      <c r="P41" s="143" t="s">
        <v>95</v>
      </c>
      <c r="Q41" s="58" t="s">
        <v>96</v>
      </c>
      <c r="R41" s="353" t="s">
        <v>605</v>
      </c>
      <c r="S41" s="352"/>
      <c r="T41" s="514"/>
      <c r="U41" s="514"/>
      <c r="V41" s="354" t="s">
        <v>604</v>
      </c>
      <c r="W41" s="628"/>
      <c r="X41" s="629"/>
      <c r="Y41" s="630"/>
      <c r="AC41" s="32"/>
      <c r="AD41" s="32"/>
      <c r="AE41" s="32"/>
      <c r="AF41" s="32"/>
      <c r="AG41" s="32"/>
    </row>
    <row r="42" spans="1:33" ht="19.5" customHeight="1" x14ac:dyDescent="0.15">
      <c r="A42" s="614" t="s">
        <v>97</v>
      </c>
      <c r="B42" s="603"/>
      <c r="C42" s="603"/>
      <c r="D42" s="615"/>
      <c r="E42" s="59" t="s">
        <v>98</v>
      </c>
      <c r="F42" s="60" t="s">
        <v>55</v>
      </c>
      <c r="G42" s="60">
        <v>146</v>
      </c>
      <c r="H42" s="61" t="s">
        <v>472</v>
      </c>
      <c r="I42" s="62" t="s">
        <v>100</v>
      </c>
      <c r="J42" s="60"/>
      <c r="K42" s="63"/>
      <c r="L42" s="60" t="s">
        <v>101</v>
      </c>
      <c r="M42" s="60" t="s">
        <v>102</v>
      </c>
      <c r="N42" s="63"/>
      <c r="O42" s="64"/>
      <c r="P42" s="63"/>
      <c r="Q42" s="65"/>
      <c r="R42" s="686" t="s">
        <v>406</v>
      </c>
      <c r="S42" s="687"/>
      <c r="T42" s="687"/>
      <c r="U42" s="687"/>
      <c r="V42" s="688"/>
      <c r="W42" s="636" t="str">
        <f>IF(H45&gt;=50,"○","×")</f>
        <v>○</v>
      </c>
      <c r="X42" s="534"/>
      <c r="Y42" s="637"/>
      <c r="AC42" s="32"/>
      <c r="AD42" s="32"/>
      <c r="AE42" s="32"/>
      <c r="AF42" s="32"/>
      <c r="AG42" s="32"/>
    </row>
    <row r="43" spans="1:33" ht="19.5" customHeight="1" x14ac:dyDescent="0.15">
      <c r="A43" s="616"/>
      <c r="B43" s="606"/>
      <c r="C43" s="606"/>
      <c r="D43" s="617"/>
      <c r="E43" s="59"/>
      <c r="F43" s="64"/>
      <c r="G43" s="60"/>
      <c r="H43" s="60"/>
      <c r="I43" s="60"/>
      <c r="J43" s="60"/>
      <c r="K43" s="60" t="s">
        <v>104</v>
      </c>
      <c r="L43" s="64"/>
      <c r="M43" s="60"/>
      <c r="N43" s="63"/>
      <c r="O43" s="63"/>
      <c r="P43" s="63"/>
      <c r="Q43" s="65"/>
      <c r="R43" s="689"/>
      <c r="S43" s="690"/>
      <c r="T43" s="690"/>
      <c r="U43" s="690"/>
      <c r="V43" s="691"/>
      <c r="W43" s="638"/>
      <c r="X43" s="537"/>
      <c r="Y43" s="639"/>
      <c r="Z43" s="32"/>
      <c r="AA43" s="32"/>
      <c r="AB43" s="32"/>
      <c r="AC43" s="32"/>
      <c r="AD43" s="32"/>
      <c r="AE43" s="32"/>
      <c r="AF43" s="32"/>
      <c r="AG43" s="32"/>
    </row>
    <row r="44" spans="1:33" ht="19.5" customHeight="1" x14ac:dyDescent="0.15">
      <c r="A44" s="616"/>
      <c r="B44" s="606"/>
      <c r="C44" s="606"/>
      <c r="D44" s="617"/>
      <c r="E44" s="66"/>
      <c r="F44" s="67" t="s">
        <v>89</v>
      </c>
      <c r="G44" s="695">
        <f>ROUNDUP(146*SQRT(F36/(1000*1.5)),1)</f>
        <v>41.300000000000004</v>
      </c>
      <c r="H44" s="695"/>
      <c r="I44" s="67" t="s">
        <v>559</v>
      </c>
      <c r="J44" s="68" t="s">
        <v>90</v>
      </c>
      <c r="K44" s="525">
        <f>ROUNDUP(146*SQRT(F36/(1000*1)),1)</f>
        <v>50.6</v>
      </c>
      <c r="L44" s="525"/>
      <c r="M44" s="67" t="s">
        <v>107</v>
      </c>
      <c r="N44" s="63"/>
      <c r="O44" s="63"/>
      <c r="P44" s="63"/>
      <c r="Q44" s="65"/>
      <c r="R44" s="689"/>
      <c r="S44" s="690"/>
      <c r="T44" s="690"/>
      <c r="U44" s="690"/>
      <c r="V44" s="691"/>
      <c r="W44" s="638"/>
      <c r="X44" s="537"/>
      <c r="Y44" s="639"/>
      <c r="Z44" s="32"/>
      <c r="AA44" s="32"/>
      <c r="AB44" s="32"/>
      <c r="AC44" s="32"/>
      <c r="AD44" s="32"/>
      <c r="AE44" s="32"/>
      <c r="AF44" s="32"/>
      <c r="AG44" s="32"/>
    </row>
    <row r="45" spans="1:33" ht="19.5" customHeight="1" x14ac:dyDescent="0.15">
      <c r="A45" s="618"/>
      <c r="B45" s="609"/>
      <c r="C45" s="609"/>
      <c r="D45" s="619"/>
      <c r="E45" s="69" t="s">
        <v>91</v>
      </c>
      <c r="F45" s="70" t="s">
        <v>97</v>
      </c>
      <c r="G45" s="70"/>
      <c r="H45" s="685">
        <v>50</v>
      </c>
      <c r="I45" s="685"/>
      <c r="J45" s="70" t="s">
        <v>108</v>
      </c>
      <c r="K45" s="70"/>
      <c r="L45" s="70"/>
      <c r="M45" s="70"/>
      <c r="N45" s="71"/>
      <c r="O45" s="71"/>
      <c r="P45" s="71"/>
      <c r="Q45" s="72"/>
      <c r="R45" s="692"/>
      <c r="S45" s="693"/>
      <c r="T45" s="693"/>
      <c r="U45" s="693"/>
      <c r="V45" s="694"/>
      <c r="W45" s="643"/>
      <c r="X45" s="644"/>
      <c r="Y45" s="645"/>
      <c r="Z45" s="32"/>
      <c r="AA45" s="32"/>
      <c r="AB45" s="32"/>
      <c r="AC45" s="32"/>
      <c r="AD45" s="32"/>
      <c r="AE45" s="32"/>
      <c r="AF45" s="32"/>
      <c r="AG45" s="32"/>
    </row>
    <row r="46" spans="1:33" ht="19.5" customHeight="1" x14ac:dyDescent="0.15">
      <c r="A46" s="515" t="s">
        <v>109</v>
      </c>
      <c r="B46" s="516"/>
      <c r="C46" s="516"/>
      <c r="D46" s="517"/>
      <c r="E46" s="73" t="s">
        <v>407</v>
      </c>
      <c r="F46" s="74" t="s">
        <v>55</v>
      </c>
      <c r="G46" s="74" t="s">
        <v>111</v>
      </c>
      <c r="H46" s="75"/>
      <c r="I46" s="74" t="s">
        <v>101</v>
      </c>
      <c r="J46" s="74" t="s">
        <v>113</v>
      </c>
      <c r="K46" s="75" t="s">
        <v>409</v>
      </c>
      <c r="L46" s="76">
        <v>50</v>
      </c>
      <c r="M46" s="74" t="s">
        <v>115</v>
      </c>
      <c r="N46" s="75"/>
      <c r="O46" s="75"/>
      <c r="P46" s="75"/>
      <c r="Q46" s="77"/>
      <c r="R46" s="686" t="s">
        <v>116</v>
      </c>
      <c r="S46" s="696"/>
      <c r="T46" s="696"/>
      <c r="U46" s="696"/>
      <c r="V46" s="697"/>
      <c r="W46" s="636" t="str">
        <f>IF(AND(G47&gt;= 0.6, G47&lt;=3),"○","×")</f>
        <v>○</v>
      </c>
      <c r="X46" s="534"/>
      <c r="Y46" s="637"/>
      <c r="Z46" s="32"/>
      <c r="AA46" s="32"/>
      <c r="AB46" s="32"/>
      <c r="AC46" s="32"/>
      <c r="AD46" s="32"/>
      <c r="AE46" s="32"/>
      <c r="AF46" s="32"/>
      <c r="AG46" s="32"/>
    </row>
    <row r="47" spans="1:33" ht="19.5" customHeight="1" x14ac:dyDescent="0.15">
      <c r="A47" s="518"/>
      <c r="B47" s="519"/>
      <c r="C47" s="519"/>
      <c r="D47" s="520"/>
      <c r="E47" s="66"/>
      <c r="F47" s="78" t="s">
        <v>89</v>
      </c>
      <c r="G47" s="646">
        <f>ROUND((F36/(1000*60))/(((L46/2)/1000)^2*PI()),2)</f>
        <v>1.02</v>
      </c>
      <c r="H47" s="646"/>
      <c r="I47" s="78" t="s">
        <v>560</v>
      </c>
      <c r="J47" s="67"/>
      <c r="K47" s="67"/>
      <c r="L47" s="67"/>
      <c r="M47" s="67"/>
      <c r="N47" s="79"/>
      <c r="O47" s="79"/>
      <c r="P47" s="79"/>
      <c r="Q47" s="80"/>
      <c r="R47" s="698"/>
      <c r="S47" s="699"/>
      <c r="T47" s="699"/>
      <c r="U47" s="699"/>
      <c r="V47" s="700"/>
      <c r="W47" s="638"/>
      <c r="X47" s="537"/>
      <c r="Y47" s="639"/>
      <c r="Z47" s="32"/>
      <c r="AA47" s="32"/>
      <c r="AB47" s="32"/>
      <c r="AC47" s="32"/>
      <c r="AD47" s="32"/>
      <c r="AE47" s="32"/>
      <c r="AF47" s="32"/>
      <c r="AG47" s="32"/>
    </row>
    <row r="48" spans="1:33" ht="19.5" customHeight="1" x14ac:dyDescent="0.15">
      <c r="A48" s="518"/>
      <c r="B48" s="519"/>
      <c r="C48" s="519"/>
      <c r="D48" s="520"/>
      <c r="E48" s="81" t="s">
        <v>110</v>
      </c>
      <c r="F48" s="82" t="s">
        <v>55</v>
      </c>
      <c r="G48" s="82" t="s">
        <v>408</v>
      </c>
      <c r="H48" s="83"/>
      <c r="I48" s="82" t="s">
        <v>101</v>
      </c>
      <c r="J48" s="82" t="s">
        <v>113</v>
      </c>
      <c r="K48" s="83" t="s">
        <v>409</v>
      </c>
      <c r="L48" s="84">
        <v>65</v>
      </c>
      <c r="M48" s="85" t="s">
        <v>115</v>
      </c>
      <c r="N48" s="83"/>
      <c r="O48" s="83"/>
      <c r="P48" s="83"/>
      <c r="Q48" s="86"/>
      <c r="R48" s="698"/>
      <c r="S48" s="699"/>
      <c r="T48" s="699"/>
      <c r="U48" s="699"/>
      <c r="V48" s="700"/>
      <c r="W48" s="677" t="str">
        <f>IF(ISNUMBER(L48),IF(G49&gt;=0.6,"○","×")," ")</f>
        <v>○</v>
      </c>
      <c r="X48" s="678"/>
      <c r="Y48" s="679"/>
      <c r="Z48" s="32"/>
      <c r="AA48" s="32"/>
      <c r="AB48" s="32"/>
      <c r="AC48" s="32"/>
      <c r="AD48" s="32"/>
      <c r="AE48" s="32"/>
      <c r="AF48" s="32"/>
      <c r="AG48" s="32"/>
    </row>
    <row r="49" spans="1:33" ht="19.5" customHeight="1" x14ac:dyDescent="0.15">
      <c r="A49" s="518"/>
      <c r="B49" s="519"/>
      <c r="C49" s="519"/>
      <c r="D49" s="520"/>
      <c r="E49" s="87"/>
      <c r="F49" s="88" t="s">
        <v>55</v>
      </c>
      <c r="G49" s="683">
        <f>IF(ISNUMBER(L48),ROUND((F36/(1000*60))/(((L48/2)/1000)^2*PI()),2),"　")</f>
        <v>0.6</v>
      </c>
      <c r="H49" s="683"/>
      <c r="I49" s="89" t="s">
        <v>410</v>
      </c>
      <c r="J49" s="90"/>
      <c r="K49" s="90"/>
      <c r="L49" s="90"/>
      <c r="M49" s="91"/>
      <c r="N49" s="92"/>
      <c r="O49" s="92"/>
      <c r="P49" s="92"/>
      <c r="Q49" s="93"/>
      <c r="R49" s="701"/>
      <c r="S49" s="702"/>
      <c r="T49" s="702"/>
      <c r="U49" s="702"/>
      <c r="V49" s="703"/>
      <c r="W49" s="680"/>
      <c r="X49" s="681"/>
      <c r="Y49" s="682"/>
      <c r="Z49" s="32"/>
      <c r="AA49" s="32"/>
      <c r="AB49" s="32"/>
      <c r="AC49" s="32"/>
      <c r="AD49" s="32"/>
      <c r="AE49" s="32"/>
      <c r="AF49" s="32"/>
      <c r="AG49" s="32"/>
    </row>
    <row r="50" spans="1:33" ht="19.5" customHeight="1" x14ac:dyDescent="0.15">
      <c r="A50" s="518"/>
      <c r="B50" s="519"/>
      <c r="C50" s="519"/>
      <c r="D50" s="520"/>
      <c r="E50" s="66" t="s">
        <v>122</v>
      </c>
      <c r="F50" s="78"/>
      <c r="G50" s="94"/>
      <c r="H50" s="94"/>
      <c r="I50" s="95"/>
      <c r="J50" s="67"/>
      <c r="K50" s="67"/>
      <c r="L50" s="67"/>
      <c r="M50" s="96"/>
      <c r="N50" s="79"/>
      <c r="O50" s="79"/>
      <c r="P50" s="79"/>
      <c r="Q50" s="79"/>
      <c r="R50" s="97"/>
      <c r="S50" s="97"/>
      <c r="T50" s="97"/>
      <c r="U50" s="97"/>
      <c r="V50" s="97"/>
      <c r="W50" s="98"/>
      <c r="X50" s="98"/>
      <c r="Y50" s="99"/>
      <c r="Z50" s="32"/>
      <c r="AA50" s="32"/>
      <c r="AB50" s="32"/>
      <c r="AC50" s="32"/>
      <c r="AD50" s="32"/>
      <c r="AE50" s="32"/>
      <c r="AF50" s="32"/>
      <c r="AG50" s="32"/>
    </row>
    <row r="51" spans="1:33" ht="19.5" customHeight="1" x14ac:dyDescent="0.15">
      <c r="A51" s="518"/>
      <c r="B51" s="519"/>
      <c r="C51" s="519"/>
      <c r="D51" s="520"/>
      <c r="E51" s="94"/>
      <c r="F51" s="144"/>
      <c r="G51" s="94"/>
      <c r="H51" s="94"/>
      <c r="I51" s="95"/>
      <c r="J51" s="67"/>
      <c r="K51" s="67"/>
      <c r="L51" s="67"/>
      <c r="M51" s="96"/>
      <c r="N51" s="79"/>
      <c r="O51" s="79"/>
      <c r="P51" s="79"/>
      <c r="Q51" s="79"/>
      <c r="R51" s="135"/>
      <c r="S51" s="135"/>
      <c r="T51" s="135"/>
      <c r="U51" s="135"/>
      <c r="V51" s="135"/>
      <c r="W51" s="98"/>
      <c r="X51" s="98"/>
      <c r="Y51" s="99"/>
      <c r="Z51" s="32"/>
      <c r="AA51" s="32"/>
      <c r="AB51" s="32"/>
      <c r="AC51" s="32"/>
      <c r="AD51" s="32"/>
      <c r="AE51" s="32"/>
      <c r="AF51" s="32"/>
      <c r="AG51" s="32"/>
    </row>
    <row r="52" spans="1:33" ht="19.5" customHeight="1" x14ac:dyDescent="0.15">
      <c r="A52" s="521"/>
      <c r="B52" s="522"/>
      <c r="C52" s="522"/>
      <c r="D52" s="523"/>
      <c r="E52" s="94"/>
      <c r="F52" s="684" t="s">
        <v>123</v>
      </c>
      <c r="G52" s="684"/>
      <c r="H52" s="684"/>
      <c r="I52" s="684"/>
      <c r="J52" s="684"/>
      <c r="K52" s="684"/>
      <c r="L52" s="67"/>
      <c r="M52" s="96"/>
      <c r="N52" s="79"/>
      <c r="O52" s="79"/>
      <c r="P52" s="79"/>
      <c r="Q52" s="79"/>
      <c r="R52" s="135"/>
      <c r="S52" s="135"/>
      <c r="T52" s="135"/>
      <c r="U52" s="135"/>
      <c r="V52" s="135"/>
      <c r="W52" s="98"/>
      <c r="X52" s="98"/>
      <c r="Y52" s="99"/>
    </row>
    <row r="53" spans="1:33" ht="19.5" customHeight="1" x14ac:dyDescent="0.15">
      <c r="A53" s="533" t="s">
        <v>124</v>
      </c>
      <c r="B53" s="534"/>
      <c r="C53" s="534"/>
      <c r="D53" s="535"/>
      <c r="E53" s="100" t="s">
        <v>125</v>
      </c>
      <c r="F53" s="101"/>
      <c r="G53" s="102" t="s">
        <v>561</v>
      </c>
      <c r="H53" s="102" t="s">
        <v>48</v>
      </c>
      <c r="I53" s="704" t="s">
        <v>413</v>
      </c>
      <c r="J53" s="704"/>
      <c r="K53" s="103" t="s">
        <v>414</v>
      </c>
      <c r="L53" s="704" t="s">
        <v>415</v>
      </c>
      <c r="M53" s="704"/>
      <c r="N53" s="103" t="s">
        <v>478</v>
      </c>
      <c r="O53" s="704" t="s">
        <v>417</v>
      </c>
      <c r="P53" s="704"/>
      <c r="Q53" s="103"/>
      <c r="R53" s="593" t="s">
        <v>643</v>
      </c>
      <c r="S53" s="594"/>
      <c r="T53" s="594"/>
      <c r="U53" s="594"/>
      <c r="V53" s="595"/>
      <c r="W53" s="636" t="str">
        <f>IF(G59&gt;=I58,"○","×")</f>
        <v>○</v>
      </c>
      <c r="X53" s="534"/>
      <c r="Y53" s="637"/>
    </row>
    <row r="54" spans="1:33" ht="19.5" customHeight="1" x14ac:dyDescent="0.15">
      <c r="A54" s="536"/>
      <c r="B54" s="537"/>
      <c r="C54" s="537"/>
      <c r="D54" s="538"/>
      <c r="E54" s="105"/>
      <c r="F54" s="63"/>
      <c r="G54" s="63"/>
      <c r="H54" s="63" t="s">
        <v>48</v>
      </c>
      <c r="I54" s="642">
        <f>J74</f>
        <v>4.6500000000000004</v>
      </c>
      <c r="J54" s="642"/>
      <c r="K54" s="63" t="s">
        <v>418</v>
      </c>
      <c r="L54" s="580">
        <f>IF(ISNUMBER(L48),J81+J98,J81)</f>
        <v>0.33099999999999996</v>
      </c>
      <c r="M54" s="580"/>
      <c r="N54" s="79" t="s">
        <v>478</v>
      </c>
      <c r="O54" s="525">
        <f>J77</f>
        <v>1.9E-2</v>
      </c>
      <c r="P54" s="525"/>
      <c r="Q54" s="63"/>
      <c r="R54" s="596"/>
      <c r="S54" s="597"/>
      <c r="T54" s="597"/>
      <c r="U54" s="597"/>
      <c r="V54" s="598"/>
      <c r="W54" s="638"/>
      <c r="X54" s="537"/>
      <c r="Y54" s="639"/>
      <c r="Z54" s="151"/>
    </row>
    <row r="55" spans="1:33" ht="19.5" customHeight="1" x14ac:dyDescent="0.15">
      <c r="A55" s="536"/>
      <c r="B55" s="537"/>
      <c r="C55" s="537"/>
      <c r="D55" s="538"/>
      <c r="E55" s="105"/>
      <c r="F55" s="63"/>
      <c r="G55" s="63"/>
      <c r="H55" s="63" t="s">
        <v>48</v>
      </c>
      <c r="I55" s="580">
        <f>I54+L54+O54</f>
        <v>5</v>
      </c>
      <c r="J55" s="525"/>
      <c r="K55" s="63" t="s">
        <v>403</v>
      </c>
      <c r="L55" s="63"/>
      <c r="M55" s="63"/>
      <c r="N55" s="63"/>
      <c r="O55" s="63"/>
      <c r="P55" s="63"/>
      <c r="Q55" s="65"/>
      <c r="R55" s="596"/>
      <c r="S55" s="597"/>
      <c r="T55" s="597"/>
      <c r="U55" s="597"/>
      <c r="V55" s="598"/>
      <c r="W55" s="638"/>
      <c r="X55" s="537"/>
      <c r="Y55" s="639"/>
    </row>
    <row r="56" spans="1:33" ht="19.5" customHeight="1" x14ac:dyDescent="0.15">
      <c r="A56" s="536"/>
      <c r="B56" s="537"/>
      <c r="C56" s="537"/>
      <c r="D56" s="538"/>
      <c r="E56" s="106"/>
      <c r="F56" s="63" t="s">
        <v>137</v>
      </c>
      <c r="G56" s="63"/>
      <c r="H56" s="63">
        <f>L57</f>
        <v>1.2</v>
      </c>
      <c r="I56" s="63" t="s">
        <v>480</v>
      </c>
      <c r="J56" s="63"/>
      <c r="K56" s="63" t="s">
        <v>139</v>
      </c>
      <c r="L56" s="63"/>
      <c r="M56" s="63"/>
      <c r="N56" s="63"/>
      <c r="O56" s="63"/>
      <c r="P56" s="63"/>
      <c r="Q56" s="65"/>
      <c r="R56" s="596"/>
      <c r="S56" s="597"/>
      <c r="T56" s="597"/>
      <c r="U56" s="597"/>
      <c r="V56" s="598"/>
      <c r="W56" s="638"/>
      <c r="X56" s="537"/>
      <c r="Y56" s="639"/>
    </row>
    <row r="57" spans="1:33" ht="19.5" customHeight="1" x14ac:dyDescent="0.15">
      <c r="A57" s="536"/>
      <c r="B57" s="537"/>
      <c r="C57" s="537"/>
      <c r="D57" s="538"/>
      <c r="E57" s="105"/>
      <c r="F57" s="63"/>
      <c r="G57" s="63" t="s">
        <v>481</v>
      </c>
      <c r="H57" s="63" t="s">
        <v>48</v>
      </c>
      <c r="I57" s="580">
        <f>I55</f>
        <v>5</v>
      </c>
      <c r="J57" s="580"/>
      <c r="K57" s="63" t="s">
        <v>287</v>
      </c>
      <c r="L57" s="145">
        <v>1.2</v>
      </c>
      <c r="M57" s="63"/>
      <c r="N57" s="63"/>
      <c r="O57" s="63"/>
      <c r="P57" s="63"/>
      <c r="Q57" s="65"/>
      <c r="R57" s="596"/>
      <c r="S57" s="597"/>
      <c r="T57" s="597"/>
      <c r="U57" s="597"/>
      <c r="V57" s="598"/>
      <c r="W57" s="638"/>
      <c r="X57" s="537"/>
      <c r="Y57" s="639"/>
    </row>
    <row r="58" spans="1:33" ht="19.5" customHeight="1" x14ac:dyDescent="0.15">
      <c r="A58" s="536"/>
      <c r="B58" s="537"/>
      <c r="C58" s="537"/>
      <c r="D58" s="538"/>
      <c r="E58" s="105"/>
      <c r="F58" s="63"/>
      <c r="G58" s="63"/>
      <c r="H58" s="63" t="s">
        <v>55</v>
      </c>
      <c r="I58" s="581">
        <f>ROUND(I57*L57,3)</f>
        <v>6</v>
      </c>
      <c r="J58" s="581"/>
      <c r="K58" s="63" t="s">
        <v>403</v>
      </c>
      <c r="L58" s="63"/>
      <c r="M58" s="63"/>
      <c r="N58" s="63"/>
      <c r="O58" s="63"/>
      <c r="P58" s="63"/>
      <c r="Q58" s="65"/>
      <c r="R58" s="596"/>
      <c r="S58" s="597"/>
      <c r="T58" s="597"/>
      <c r="U58" s="597"/>
      <c r="V58" s="598"/>
      <c r="W58" s="638"/>
      <c r="X58" s="537"/>
      <c r="Y58" s="639"/>
    </row>
    <row r="59" spans="1:33" ht="19.5" customHeight="1" thickBot="1" x14ac:dyDescent="0.2">
      <c r="A59" s="539"/>
      <c r="B59" s="540"/>
      <c r="C59" s="540"/>
      <c r="D59" s="541"/>
      <c r="E59" s="107" t="s">
        <v>80</v>
      </c>
      <c r="F59" s="108" t="s">
        <v>145</v>
      </c>
      <c r="G59" s="582">
        <f>ROUNDUP(I58,0)</f>
        <v>6</v>
      </c>
      <c r="H59" s="582"/>
      <c r="I59" s="108" t="s">
        <v>562</v>
      </c>
      <c r="J59" s="108" t="s">
        <v>420</v>
      </c>
      <c r="K59" s="108"/>
      <c r="L59" s="356"/>
      <c r="M59" s="108"/>
      <c r="N59" s="108"/>
      <c r="O59" s="108"/>
      <c r="P59" s="108"/>
      <c r="Q59" s="110"/>
      <c r="R59" s="599"/>
      <c r="S59" s="600"/>
      <c r="T59" s="600"/>
      <c r="U59" s="600"/>
      <c r="V59" s="601"/>
      <c r="W59" s="640"/>
      <c r="X59" s="540"/>
      <c r="Y59" s="641"/>
    </row>
    <row r="60" spans="1:33" ht="19.5" customHeight="1" x14ac:dyDescent="0.15">
      <c r="A60" s="64"/>
      <c r="B60" s="64"/>
      <c r="C60" s="64"/>
      <c r="D60" s="64"/>
      <c r="E60" s="64"/>
      <c r="F60" s="64"/>
      <c r="G60" s="64"/>
      <c r="H60" s="64"/>
      <c r="I60" s="64"/>
      <c r="J60" s="64"/>
      <c r="K60" s="64"/>
      <c r="L60" s="64"/>
      <c r="M60" s="64"/>
      <c r="N60" s="64"/>
      <c r="O60" s="64"/>
      <c r="P60" s="64"/>
      <c r="Q60" s="64"/>
      <c r="R60" s="64"/>
      <c r="S60" s="64"/>
      <c r="T60" s="64"/>
      <c r="U60" s="64"/>
      <c r="V60" s="64"/>
      <c r="W60" s="64"/>
      <c r="X60" s="64"/>
      <c r="Y60" s="64"/>
    </row>
    <row r="61" spans="1:33" ht="19.5" customHeight="1" x14ac:dyDescent="0.15">
      <c r="A61" s="64"/>
      <c r="B61" s="64"/>
      <c r="C61" s="64"/>
      <c r="D61" s="64"/>
      <c r="E61" s="64"/>
      <c r="F61" s="64"/>
      <c r="G61" s="64"/>
      <c r="H61" s="64"/>
      <c r="I61" s="64"/>
      <c r="J61" s="64"/>
      <c r="K61" s="64"/>
      <c r="L61" s="64"/>
      <c r="M61" s="64"/>
      <c r="N61" s="64"/>
      <c r="O61" s="64"/>
      <c r="P61" s="64"/>
      <c r="Q61" s="64"/>
      <c r="R61" s="64"/>
      <c r="S61" s="64"/>
      <c r="T61" s="64"/>
      <c r="U61" s="64"/>
      <c r="V61" s="64"/>
      <c r="W61" s="64"/>
      <c r="X61" s="64"/>
      <c r="Y61" s="64"/>
    </row>
    <row r="62" spans="1:33" ht="19.5" customHeight="1" x14ac:dyDescent="0.15">
      <c r="A62" s="60" t="s">
        <v>148</v>
      </c>
      <c r="B62" s="60"/>
      <c r="C62" s="60"/>
      <c r="D62" s="176" t="s">
        <v>32</v>
      </c>
      <c r="E62" s="177"/>
      <c r="F62" s="177"/>
      <c r="G62" s="177"/>
      <c r="H62" s="177"/>
      <c r="I62" s="178"/>
      <c r="J62" s="111"/>
      <c r="K62" s="64"/>
      <c r="R62" s="64"/>
      <c r="S62" s="64"/>
      <c r="T62" s="64"/>
      <c r="U62" s="64"/>
      <c r="V62" s="64"/>
      <c r="W62" s="64"/>
      <c r="X62" s="64"/>
      <c r="Y62" s="64"/>
    </row>
    <row r="63" spans="1:33" ht="19.5" customHeight="1" x14ac:dyDescent="0.15">
      <c r="A63" s="60"/>
      <c r="B63" s="60"/>
      <c r="C63" s="179"/>
      <c r="D63" s="176" t="s">
        <v>150</v>
      </c>
      <c r="E63" s="177"/>
      <c r="F63" s="177"/>
      <c r="G63" s="177"/>
      <c r="H63" s="177"/>
      <c r="I63" s="178"/>
      <c r="J63" s="112" t="s">
        <v>421</v>
      </c>
      <c r="K63" s="64"/>
      <c r="L63" s="180" t="s">
        <v>422</v>
      </c>
      <c r="M63" s="64"/>
      <c r="N63" s="64"/>
      <c r="O63" s="146">
        <v>1</v>
      </c>
      <c r="P63" s="64" t="s">
        <v>152</v>
      </c>
      <c r="Q63" s="64"/>
      <c r="R63" s="181" t="s">
        <v>153</v>
      </c>
      <c r="S63" s="64"/>
      <c r="T63" s="64"/>
      <c r="U63" s="64"/>
      <c r="V63" s="64"/>
      <c r="W63" s="64"/>
      <c r="X63" s="64"/>
      <c r="Y63" s="64"/>
    </row>
    <row r="64" spans="1:33" ht="19.5" customHeight="1" x14ac:dyDescent="0.15">
      <c r="A64" s="60"/>
      <c r="B64" s="60"/>
      <c r="C64" s="179"/>
      <c r="D64" s="176" t="s">
        <v>154</v>
      </c>
      <c r="E64" s="177"/>
      <c r="F64" s="177"/>
      <c r="G64" s="177"/>
      <c r="H64" s="177"/>
      <c r="I64" s="178"/>
      <c r="J64" s="112"/>
      <c r="K64" s="64"/>
      <c r="L64" s="64"/>
      <c r="M64" s="64"/>
      <c r="N64" s="64"/>
      <c r="O64" s="64"/>
      <c r="P64" s="64"/>
      <c r="Q64" s="64"/>
      <c r="R64" s="64"/>
      <c r="S64" s="64"/>
      <c r="T64" s="64"/>
      <c r="U64" s="64"/>
      <c r="V64" s="64"/>
      <c r="W64" s="64"/>
      <c r="X64" s="64"/>
      <c r="Y64" s="64"/>
    </row>
    <row r="65" spans="1:26" ht="19.5" customHeight="1" x14ac:dyDescent="0.15">
      <c r="A65" s="60"/>
      <c r="B65" s="60"/>
      <c r="C65" s="179"/>
      <c r="D65" s="486" t="s">
        <v>155</v>
      </c>
      <c r="E65" s="487"/>
      <c r="F65" s="487"/>
      <c r="G65" s="487"/>
      <c r="H65" s="487"/>
      <c r="I65" s="488"/>
      <c r="J65" s="112"/>
      <c r="K65" s="64"/>
      <c r="L65" s="64"/>
      <c r="M65" s="64"/>
      <c r="N65" s="64"/>
      <c r="O65" s="64"/>
      <c r="P65" s="64"/>
      <c r="Q65" s="64"/>
      <c r="R65" s="64"/>
      <c r="S65" s="64"/>
      <c r="T65" s="64"/>
      <c r="U65" s="64"/>
      <c r="V65" s="64"/>
      <c r="W65" s="64"/>
      <c r="X65" s="64"/>
      <c r="Y65" s="64"/>
    </row>
    <row r="66" spans="1:26" ht="19.5" customHeight="1" x14ac:dyDescent="0.15">
      <c r="A66" s="60"/>
      <c r="B66" s="60"/>
      <c r="C66" s="179"/>
      <c r="D66" s="60"/>
      <c r="E66" s="60"/>
      <c r="F66" s="60"/>
      <c r="G66" s="60"/>
      <c r="H66" s="60"/>
      <c r="I66" s="60"/>
      <c r="J66" s="64"/>
      <c r="K66" s="64"/>
      <c r="L66" s="64"/>
      <c r="M66" s="64"/>
      <c r="N66" s="64"/>
      <c r="O66" s="64"/>
      <c r="P66" s="64"/>
      <c r="Q66" s="64"/>
      <c r="R66" s="64"/>
      <c r="S66" s="64"/>
      <c r="T66" s="64"/>
      <c r="U66" s="64"/>
      <c r="V66" s="64"/>
      <c r="W66" s="64"/>
      <c r="X66" s="64"/>
      <c r="Y66" s="64"/>
    </row>
    <row r="67" spans="1:26" ht="19.5" customHeight="1" x14ac:dyDescent="0.15">
      <c r="A67" s="182" t="s">
        <v>156</v>
      </c>
      <c r="B67" s="64"/>
      <c r="C67" s="64"/>
      <c r="D67" s="64"/>
      <c r="E67" s="64"/>
      <c r="F67" s="64"/>
      <c r="G67" s="64"/>
      <c r="H67" s="64"/>
      <c r="I67" s="64"/>
      <c r="J67" s="64"/>
      <c r="K67" s="64"/>
      <c r="L67" s="64"/>
      <c r="M67" s="64"/>
      <c r="N67" s="64"/>
      <c r="O67" s="64"/>
      <c r="P67" s="64"/>
      <c r="Q67" s="64"/>
      <c r="R67" s="64"/>
      <c r="S67" s="64"/>
      <c r="T67" s="64"/>
      <c r="U67" s="64"/>
      <c r="V67" s="64"/>
      <c r="W67" s="64"/>
      <c r="X67" s="64"/>
      <c r="Y67" s="64"/>
    </row>
    <row r="68" spans="1:26" ht="19.5" customHeight="1" x14ac:dyDescent="0.15">
      <c r="A68" s="64"/>
      <c r="B68" s="183" t="s">
        <v>157</v>
      </c>
      <c r="C68" s="183"/>
      <c r="D68" s="183"/>
      <c r="E68" s="184"/>
      <c r="F68" s="542" t="s">
        <v>158</v>
      </c>
      <c r="G68" s="542"/>
      <c r="H68" s="542"/>
      <c r="I68" s="355"/>
      <c r="J68" s="184"/>
      <c r="K68" s="542" t="s">
        <v>145</v>
      </c>
      <c r="L68" s="542"/>
      <c r="M68" s="183"/>
      <c r="N68" s="183"/>
      <c r="O68" s="542" t="s">
        <v>159</v>
      </c>
      <c r="P68" s="542"/>
      <c r="Q68" s="282"/>
      <c r="R68" s="282"/>
      <c r="S68" s="282" t="s">
        <v>160</v>
      </c>
      <c r="T68" s="64"/>
      <c r="U68" s="64"/>
      <c r="V68" s="64"/>
      <c r="W68" s="64"/>
      <c r="X68" s="64"/>
      <c r="Y68" s="64"/>
      <c r="Z68" s="64"/>
    </row>
    <row r="69" spans="1:26" ht="19.5" customHeight="1" thickBot="1" x14ac:dyDescent="0.2">
      <c r="A69" s="108" t="s">
        <v>80</v>
      </c>
      <c r="B69" s="528">
        <f>F36</f>
        <v>120</v>
      </c>
      <c r="C69" s="529"/>
      <c r="D69" s="108" t="s">
        <v>58</v>
      </c>
      <c r="E69" s="108"/>
      <c r="F69" s="108" t="s">
        <v>50</v>
      </c>
      <c r="G69" s="108">
        <f>H45</f>
        <v>50</v>
      </c>
      <c r="H69" s="108" t="s">
        <v>483</v>
      </c>
      <c r="I69" s="108"/>
      <c r="J69" s="108" t="s">
        <v>287</v>
      </c>
      <c r="K69" s="532">
        <f>G59</f>
        <v>6</v>
      </c>
      <c r="L69" s="532"/>
      <c r="M69" s="108" t="s">
        <v>289</v>
      </c>
      <c r="N69" s="108" t="s">
        <v>14</v>
      </c>
      <c r="O69" s="531">
        <v>0.25</v>
      </c>
      <c r="P69" s="531"/>
      <c r="Q69" s="108" t="s">
        <v>584</v>
      </c>
      <c r="R69" s="108"/>
      <c r="S69" s="113">
        <v>2</v>
      </c>
      <c r="T69" s="108" t="s">
        <v>166</v>
      </c>
      <c r="U69" s="64"/>
      <c r="V69" s="64"/>
      <c r="W69" s="64"/>
      <c r="X69" s="64"/>
      <c r="Y69" s="64"/>
      <c r="Z69" s="64"/>
    </row>
    <row r="70" spans="1:26" ht="19.5" customHeight="1" x14ac:dyDescent="0.15">
      <c r="A70" s="64"/>
      <c r="B70" s="64"/>
      <c r="C70" s="64"/>
      <c r="D70" s="64"/>
      <c r="E70" s="64"/>
      <c r="F70" s="64"/>
      <c r="G70" s="64"/>
      <c r="H70" s="64"/>
      <c r="I70" s="64"/>
      <c r="J70" s="64"/>
      <c r="K70" s="64"/>
      <c r="L70" s="64"/>
      <c r="M70" s="64"/>
      <c r="N70" s="64"/>
      <c r="O70" s="64"/>
      <c r="P70" s="64"/>
      <c r="Q70" s="64"/>
      <c r="R70" s="64"/>
      <c r="S70" s="64"/>
      <c r="T70" s="64"/>
      <c r="U70" s="64"/>
      <c r="V70" s="64"/>
      <c r="W70" s="64"/>
      <c r="X70" s="64"/>
      <c r="Y70" s="64"/>
    </row>
    <row r="71" spans="1:26" ht="19.5" customHeight="1" x14ac:dyDescent="0.15">
      <c r="A71" s="64"/>
      <c r="B71" s="64"/>
      <c r="C71" s="64"/>
      <c r="D71" s="64"/>
      <c r="E71" s="64"/>
      <c r="F71" s="64"/>
      <c r="G71" s="64"/>
      <c r="H71" s="64"/>
      <c r="I71" s="64"/>
      <c r="J71" s="64"/>
      <c r="K71" s="64"/>
      <c r="L71" s="64"/>
      <c r="M71" s="64"/>
      <c r="N71" s="64"/>
      <c r="O71" s="64"/>
      <c r="P71" s="64"/>
      <c r="Q71" s="64"/>
      <c r="R71" s="64"/>
      <c r="S71" s="64"/>
      <c r="T71" s="64"/>
      <c r="U71" s="64"/>
      <c r="V71" s="64"/>
      <c r="W71" s="64"/>
      <c r="X71" s="64"/>
      <c r="Y71" s="64"/>
    </row>
    <row r="72" spans="1:26" ht="26.25" customHeight="1" x14ac:dyDescent="0.15">
      <c r="A72" s="186" t="s">
        <v>167</v>
      </c>
      <c r="B72" s="64"/>
      <c r="C72" s="64"/>
      <c r="D72" s="64"/>
      <c r="E72" s="64"/>
      <c r="F72" s="64"/>
      <c r="G72" s="64"/>
      <c r="H72" s="64"/>
      <c r="I72" s="64"/>
      <c r="J72" s="64"/>
      <c r="K72" s="64"/>
      <c r="L72" s="64"/>
      <c r="M72" s="64"/>
      <c r="N72" s="64"/>
      <c r="O72" s="64"/>
      <c r="P72" s="64"/>
      <c r="Q72" s="64"/>
      <c r="R72" s="64"/>
      <c r="S72" s="64"/>
      <c r="T72" s="64"/>
      <c r="U72" s="64"/>
      <c r="V72" s="64"/>
      <c r="W72" s="64"/>
      <c r="X72" s="64"/>
      <c r="Y72" s="64"/>
    </row>
    <row r="73" spans="1:26" ht="19.5" customHeight="1" x14ac:dyDescent="0.15">
      <c r="A73" s="187"/>
      <c r="B73" s="75"/>
      <c r="C73" s="75"/>
      <c r="D73" s="75"/>
      <c r="E73" s="77"/>
      <c r="F73" s="75"/>
      <c r="G73" s="75"/>
      <c r="H73" s="75"/>
      <c r="I73" s="75"/>
      <c r="J73" s="75"/>
      <c r="K73" s="75"/>
      <c r="L73" s="75"/>
      <c r="M73" s="75"/>
      <c r="N73" s="75"/>
      <c r="O73" s="75"/>
      <c r="P73" s="75"/>
      <c r="Q73" s="75"/>
      <c r="R73" s="77"/>
      <c r="S73" s="75"/>
      <c r="T73" s="75"/>
      <c r="U73" s="75"/>
      <c r="V73" s="75"/>
      <c r="W73" s="75"/>
      <c r="X73" s="77"/>
      <c r="Y73" s="64"/>
    </row>
    <row r="74" spans="1:26" ht="19.5" customHeight="1" x14ac:dyDescent="0.15">
      <c r="A74" s="188" t="s">
        <v>484</v>
      </c>
      <c r="B74" s="67"/>
      <c r="C74" s="189"/>
      <c r="D74" s="189"/>
      <c r="E74" s="65"/>
      <c r="F74" s="60"/>
      <c r="G74" s="63"/>
      <c r="H74" s="63" t="s">
        <v>485</v>
      </c>
      <c r="I74" s="63" t="s">
        <v>322</v>
      </c>
      <c r="J74" s="530">
        <v>4.6500000000000004</v>
      </c>
      <c r="K74" s="530"/>
      <c r="L74" s="63" t="s">
        <v>437</v>
      </c>
      <c r="M74" s="63"/>
      <c r="N74" s="63"/>
      <c r="O74" s="63"/>
      <c r="P74" s="63"/>
      <c r="Q74" s="63"/>
      <c r="R74" s="190"/>
      <c r="S74" s="191"/>
      <c r="T74" s="63"/>
      <c r="U74" s="192"/>
      <c r="V74" s="192"/>
      <c r="W74" s="192"/>
      <c r="X74" s="193"/>
    </row>
    <row r="75" spans="1:26" ht="19.5" customHeight="1" x14ac:dyDescent="0.15">
      <c r="A75" s="194"/>
      <c r="B75" s="189"/>
      <c r="C75" s="189"/>
      <c r="D75" s="189"/>
      <c r="E75" s="195"/>
      <c r="F75" s="63"/>
      <c r="G75" s="63"/>
      <c r="H75" s="63"/>
      <c r="I75" s="63"/>
      <c r="J75" s="63"/>
      <c r="K75" s="196"/>
      <c r="L75" s="63"/>
      <c r="M75" s="63"/>
      <c r="N75" s="63"/>
      <c r="O75" s="63"/>
      <c r="P75" s="63"/>
      <c r="Q75" s="63"/>
      <c r="R75" s="193"/>
      <c r="S75" s="191"/>
      <c r="T75" s="189"/>
      <c r="U75" s="192"/>
      <c r="V75" s="192"/>
      <c r="W75" s="192"/>
      <c r="X75" s="193"/>
    </row>
    <row r="76" spans="1:26" ht="19.5" customHeight="1" x14ac:dyDescent="0.15">
      <c r="A76" s="188" t="s">
        <v>486</v>
      </c>
      <c r="B76" s="197"/>
      <c r="C76" s="197"/>
      <c r="D76" s="197"/>
      <c r="E76" s="198"/>
      <c r="F76" s="63"/>
      <c r="G76" s="63"/>
      <c r="H76" s="63" t="s">
        <v>417</v>
      </c>
      <c r="I76" s="63" t="s">
        <v>48</v>
      </c>
      <c r="J76" s="60" t="s">
        <v>426</v>
      </c>
      <c r="K76" s="68" t="s">
        <v>50</v>
      </c>
      <c r="L76" s="60" t="s">
        <v>487</v>
      </c>
      <c r="M76" s="63"/>
      <c r="N76" s="63"/>
      <c r="O76" s="60" t="s">
        <v>426</v>
      </c>
      <c r="P76" s="63" t="s">
        <v>55</v>
      </c>
      <c r="Q76" s="63">
        <v>1</v>
      </c>
      <c r="R76" s="193"/>
      <c r="S76" s="191"/>
      <c r="T76" s="189"/>
      <c r="U76" s="192"/>
      <c r="V76" s="192"/>
      <c r="W76" s="192"/>
      <c r="X76" s="193"/>
    </row>
    <row r="77" spans="1:26" ht="19.5" customHeight="1" x14ac:dyDescent="0.15">
      <c r="A77" s="199" t="s">
        <v>563</v>
      </c>
      <c r="B77" s="200"/>
      <c r="C77" s="200"/>
      <c r="D77" s="200"/>
      <c r="E77" s="201"/>
      <c r="F77" s="202"/>
      <c r="G77" s="63"/>
      <c r="H77" s="63"/>
      <c r="I77" s="63" t="s">
        <v>48</v>
      </c>
      <c r="J77" s="705">
        <f>IF(O108&lt;O91,O108,O91)</f>
        <v>1.9E-2</v>
      </c>
      <c r="K77" s="705"/>
      <c r="L77" s="63" t="s">
        <v>437</v>
      </c>
      <c r="M77" s="63"/>
      <c r="N77" s="63"/>
      <c r="O77" s="63"/>
      <c r="P77" s="63"/>
      <c r="Q77" s="63"/>
      <c r="R77" s="65"/>
      <c r="S77" s="191"/>
      <c r="T77" s="203"/>
      <c r="U77" s="192"/>
      <c r="V77" s="192"/>
      <c r="W77" s="192"/>
      <c r="X77" s="193"/>
    </row>
    <row r="78" spans="1:26" ht="19.5" customHeight="1" x14ac:dyDescent="0.15">
      <c r="A78" s="204" t="s">
        <v>177</v>
      </c>
      <c r="B78" s="189"/>
      <c r="C78" s="189"/>
      <c r="D78" s="189"/>
      <c r="E78" s="65"/>
      <c r="F78" s="63"/>
      <c r="G78" s="75"/>
      <c r="H78" s="75"/>
      <c r="I78" s="75"/>
      <c r="J78" s="75"/>
      <c r="K78" s="75"/>
      <c r="L78" s="75"/>
      <c r="M78" s="75"/>
      <c r="N78" s="75"/>
      <c r="O78" s="74"/>
      <c r="P78" s="74"/>
      <c r="Q78" s="74"/>
      <c r="R78" s="205"/>
      <c r="S78" s="191"/>
      <c r="T78" s="63"/>
      <c r="U78" s="192"/>
      <c r="V78" s="192"/>
      <c r="W78" s="192"/>
      <c r="X78" s="193"/>
    </row>
    <row r="79" spans="1:26" ht="19.5" customHeight="1" x14ac:dyDescent="0.15">
      <c r="A79" s="194"/>
      <c r="B79" s="189"/>
      <c r="C79" s="189"/>
      <c r="D79" s="189"/>
      <c r="E79" s="65"/>
      <c r="G79" s="63"/>
      <c r="H79" s="63" t="s">
        <v>488</v>
      </c>
      <c r="I79" s="63" t="s">
        <v>48</v>
      </c>
      <c r="J79" s="63" t="s">
        <v>489</v>
      </c>
      <c r="K79" s="68" t="s">
        <v>414</v>
      </c>
      <c r="L79" s="63" t="s">
        <v>432</v>
      </c>
      <c r="M79" s="63"/>
      <c r="N79" s="60"/>
      <c r="O79" s="60"/>
      <c r="P79" s="60"/>
      <c r="Q79" s="60"/>
      <c r="R79" s="206"/>
      <c r="S79" s="191"/>
      <c r="T79" s="63"/>
      <c r="U79" s="192"/>
      <c r="V79" s="192"/>
      <c r="W79" s="192"/>
      <c r="X79" s="193"/>
    </row>
    <row r="80" spans="1:26" ht="19.5" customHeight="1" x14ac:dyDescent="0.15">
      <c r="A80" s="66" t="s">
        <v>183</v>
      </c>
      <c r="B80" s="184" t="s">
        <v>433</v>
      </c>
      <c r="C80" s="207">
        <f>L46</f>
        <v>50</v>
      </c>
      <c r="D80" s="208" t="s">
        <v>490</v>
      </c>
      <c r="E80" s="65"/>
      <c r="F80" s="63"/>
      <c r="G80" s="63"/>
      <c r="H80" s="63"/>
      <c r="I80" s="63" t="s">
        <v>48</v>
      </c>
      <c r="J80" s="209">
        <f>L85</f>
        <v>0.124</v>
      </c>
      <c r="K80" s="68" t="s">
        <v>414</v>
      </c>
      <c r="L80" s="209">
        <f>L92</f>
        <v>8.7999999999999995E-2</v>
      </c>
      <c r="M80" s="63"/>
      <c r="N80" s="60"/>
      <c r="O80" s="60"/>
      <c r="P80" s="60"/>
      <c r="Q80" s="60"/>
      <c r="R80" s="206"/>
      <c r="S80" s="191"/>
      <c r="T80" s="63"/>
      <c r="U80" s="192"/>
      <c r="V80" s="192"/>
      <c r="W80" s="192"/>
      <c r="X80" s="193"/>
    </row>
    <row r="81" spans="1:30" ht="19.5" customHeight="1" x14ac:dyDescent="0.15">
      <c r="A81" s="194"/>
      <c r="B81" s="64" t="s">
        <v>435</v>
      </c>
      <c r="C81" s="114">
        <v>3.45</v>
      </c>
      <c r="D81" s="189" t="s">
        <v>403</v>
      </c>
      <c r="E81" s="190"/>
      <c r="F81" s="63"/>
      <c r="G81" s="63"/>
      <c r="H81" s="63"/>
      <c r="I81" s="63" t="s">
        <v>48</v>
      </c>
      <c r="J81" s="581">
        <f>ROUNDUP(J80+L80,3)</f>
        <v>0.21199999999999999</v>
      </c>
      <c r="K81" s="525"/>
      <c r="L81" s="63" t="s">
        <v>437</v>
      </c>
      <c r="M81" s="63"/>
      <c r="N81" s="63"/>
      <c r="O81" s="63"/>
      <c r="P81" s="63"/>
      <c r="Q81" s="63"/>
      <c r="R81" s="206"/>
      <c r="S81" s="191"/>
      <c r="T81" s="60"/>
      <c r="U81" s="192"/>
      <c r="V81" s="192"/>
      <c r="W81" s="192"/>
      <c r="X81" s="193"/>
    </row>
    <row r="82" spans="1:30" ht="19.5" customHeight="1" x14ac:dyDescent="0.15">
      <c r="A82" s="194"/>
      <c r="B82" s="64" t="s">
        <v>564</v>
      </c>
      <c r="C82" s="210">
        <f>(F36/(1000*60))/(((C80/1000)^2*PI()/4))</f>
        <v>1.0185916357881302</v>
      </c>
      <c r="D82" s="189"/>
      <c r="E82" s="190"/>
      <c r="F82" s="63"/>
      <c r="G82" s="63"/>
      <c r="I82" s="63"/>
      <c r="J82" s="63"/>
      <c r="K82" s="63"/>
      <c r="L82" s="63"/>
      <c r="M82" s="63"/>
      <c r="N82" s="63"/>
      <c r="O82" s="63"/>
      <c r="P82" s="63"/>
      <c r="Q82" s="63"/>
      <c r="R82" s="65"/>
      <c r="S82" s="191"/>
      <c r="T82" s="60"/>
      <c r="U82" s="192"/>
      <c r="V82" s="192"/>
      <c r="W82" s="192"/>
      <c r="X82" s="193"/>
    </row>
    <row r="83" spans="1:30" ht="19.5" customHeight="1" x14ac:dyDescent="0.15">
      <c r="A83" s="211" t="s">
        <v>492</v>
      </c>
      <c r="B83" s="64" t="s">
        <v>493</v>
      </c>
      <c r="C83" s="115">
        <v>0.01</v>
      </c>
      <c r="D83" s="189"/>
      <c r="E83" s="65"/>
      <c r="F83" s="63"/>
      <c r="G83" s="63" t="s">
        <v>190</v>
      </c>
      <c r="I83" s="63"/>
      <c r="J83" s="63" t="s">
        <v>489</v>
      </c>
      <c r="K83" s="63" t="s">
        <v>48</v>
      </c>
      <c r="L83" s="63" t="s">
        <v>321</v>
      </c>
      <c r="M83" s="68" t="s">
        <v>287</v>
      </c>
      <c r="N83" s="525" t="s">
        <v>495</v>
      </c>
      <c r="O83" s="525"/>
      <c r="P83" s="68" t="s">
        <v>287</v>
      </c>
      <c r="Q83" s="60" t="s">
        <v>487</v>
      </c>
      <c r="R83" s="65"/>
      <c r="S83" s="191"/>
      <c r="T83" s="212"/>
      <c r="U83" s="192"/>
      <c r="V83" s="192"/>
      <c r="W83" s="192"/>
      <c r="X83" s="193"/>
    </row>
    <row r="84" spans="1:30" ht="19.5" customHeight="1" x14ac:dyDescent="0.15">
      <c r="A84" s="194"/>
      <c r="B84" s="213"/>
      <c r="C84" s="214"/>
      <c r="D84" s="189"/>
      <c r="E84" s="65"/>
      <c r="F84" s="60"/>
      <c r="G84" s="63"/>
      <c r="H84" s="63"/>
      <c r="I84" s="63"/>
      <c r="J84" s="63"/>
      <c r="K84" s="63" t="s">
        <v>48</v>
      </c>
      <c r="L84" s="209">
        <f>L88</f>
        <v>3.4000000000000002E-2</v>
      </c>
      <c r="M84" s="68" t="s">
        <v>287</v>
      </c>
      <c r="N84" s="719">
        <f>ROUND(C81/(C80/1000),3)</f>
        <v>69</v>
      </c>
      <c r="O84" s="719"/>
      <c r="P84" s="68" t="s">
        <v>50</v>
      </c>
      <c r="Q84" s="209">
        <f>ROUND(C82^2/(2*9.8),3)</f>
        <v>5.2999999999999999E-2</v>
      </c>
      <c r="R84" s="65"/>
      <c r="S84" s="191"/>
      <c r="T84" s="63"/>
      <c r="U84" s="192"/>
      <c r="V84" s="192"/>
      <c r="W84" s="192"/>
      <c r="X84" s="193"/>
    </row>
    <row r="85" spans="1:30" ht="19.5" customHeight="1" x14ac:dyDescent="0.15">
      <c r="A85" s="215" t="s">
        <v>316</v>
      </c>
      <c r="B85" s="216" t="s">
        <v>497</v>
      </c>
      <c r="C85" s="116">
        <v>1</v>
      </c>
      <c r="D85" s="189"/>
      <c r="E85" s="65"/>
      <c r="F85" s="60"/>
      <c r="G85" s="63"/>
      <c r="H85" s="63"/>
      <c r="I85" s="63"/>
      <c r="J85" s="63"/>
      <c r="K85" s="63" t="s">
        <v>322</v>
      </c>
      <c r="L85" s="524">
        <f>ROUND(L84*N84*Q84,3)</f>
        <v>0.124</v>
      </c>
      <c r="M85" s="524"/>
      <c r="N85" s="63"/>
      <c r="O85" s="63"/>
      <c r="P85" s="63"/>
      <c r="Q85" s="63"/>
      <c r="R85" s="65"/>
      <c r="S85" s="191"/>
      <c r="T85" s="202"/>
      <c r="U85" s="217"/>
      <c r="V85" s="192"/>
      <c r="W85" s="192"/>
      <c r="X85" s="193"/>
    </row>
    <row r="86" spans="1:30" ht="19.5" customHeight="1" x14ac:dyDescent="0.15">
      <c r="A86" s="218" t="s">
        <v>319</v>
      </c>
      <c r="B86" s="219" t="s">
        <v>499</v>
      </c>
      <c r="C86" s="116">
        <v>0</v>
      </c>
      <c r="D86" s="189"/>
      <c r="E86" s="65"/>
      <c r="F86" s="60"/>
      <c r="G86" s="63"/>
      <c r="H86" s="60"/>
      <c r="I86" s="60"/>
      <c r="J86" s="60" t="s">
        <v>494</v>
      </c>
      <c r="K86" s="60" t="s">
        <v>322</v>
      </c>
      <c r="L86" s="60" t="s">
        <v>565</v>
      </c>
      <c r="M86" s="60"/>
      <c r="N86" s="68" t="s">
        <v>50</v>
      </c>
      <c r="O86" s="525" t="s">
        <v>324</v>
      </c>
      <c r="P86" s="525"/>
      <c r="Q86" s="63"/>
      <c r="R86" s="65"/>
      <c r="S86" s="220" t="s">
        <v>200</v>
      </c>
      <c r="T86" s="221"/>
      <c r="U86" s="222"/>
      <c r="V86" s="221"/>
      <c r="W86" s="221"/>
      <c r="X86" s="223"/>
      <c r="Y86" s="191"/>
      <c r="Z86" s="63"/>
      <c r="AA86" s="192"/>
      <c r="AB86" s="192"/>
      <c r="AC86" s="192"/>
      <c r="AD86" s="192"/>
    </row>
    <row r="87" spans="1:30" ht="19.5" customHeight="1" x14ac:dyDescent="0.15">
      <c r="A87" s="215" t="s">
        <v>502</v>
      </c>
      <c r="B87" s="213"/>
      <c r="C87" s="116">
        <v>1</v>
      </c>
      <c r="D87" s="189"/>
      <c r="E87" s="65"/>
      <c r="F87" s="63"/>
      <c r="G87" s="63"/>
      <c r="H87" s="179"/>
      <c r="I87" s="60"/>
      <c r="J87" s="60"/>
      <c r="K87" s="60" t="s">
        <v>322</v>
      </c>
      <c r="L87" s="525">
        <f>124.6/((C80/1000)^(1/3))</f>
        <v>338.21643502772531</v>
      </c>
      <c r="M87" s="525"/>
      <c r="N87" s="68" t="s">
        <v>287</v>
      </c>
      <c r="O87" s="720">
        <f>C83^2</f>
        <v>1E-4</v>
      </c>
      <c r="P87" s="720"/>
      <c r="Q87" s="63"/>
      <c r="R87" s="65"/>
      <c r="S87" s="224" t="s">
        <v>202</v>
      </c>
      <c r="T87" s="75"/>
      <c r="U87" s="102">
        <v>50</v>
      </c>
      <c r="V87" s="225">
        <v>65</v>
      </c>
      <c r="W87" s="102">
        <v>80</v>
      </c>
      <c r="X87" s="226">
        <v>100</v>
      </c>
      <c r="Y87" s="191"/>
      <c r="Z87" s="63"/>
      <c r="AA87" s="192"/>
      <c r="AB87" s="192"/>
      <c r="AC87" s="192"/>
      <c r="AD87" s="192"/>
    </row>
    <row r="88" spans="1:30" ht="19.5" customHeight="1" x14ac:dyDescent="0.15">
      <c r="A88" s="215" t="s">
        <v>503</v>
      </c>
      <c r="B88" s="213" t="s">
        <v>504</v>
      </c>
      <c r="C88" s="117">
        <v>1</v>
      </c>
      <c r="D88" s="189"/>
      <c r="E88" s="65"/>
      <c r="F88" s="60"/>
      <c r="G88" s="63"/>
      <c r="H88" s="179"/>
      <c r="I88" s="60"/>
      <c r="J88" s="63"/>
      <c r="K88" s="60" t="s">
        <v>322</v>
      </c>
      <c r="L88" s="721">
        <f>ROUND(L87*O87,3)</f>
        <v>3.4000000000000002E-2</v>
      </c>
      <c r="M88" s="721"/>
      <c r="N88" s="68"/>
      <c r="O88" s="63"/>
      <c r="P88" s="63"/>
      <c r="Q88" s="63"/>
      <c r="R88" s="65"/>
      <c r="S88" s="227" t="s">
        <v>205</v>
      </c>
      <c r="T88" s="202"/>
      <c r="U88" s="228">
        <v>0.17</v>
      </c>
      <c r="V88" s="228">
        <v>0.17</v>
      </c>
      <c r="W88" s="228">
        <v>0.17</v>
      </c>
      <c r="X88" s="229">
        <v>0.14000000000000001</v>
      </c>
      <c r="Y88" s="191"/>
      <c r="Z88" s="63"/>
      <c r="AA88" s="192"/>
      <c r="AB88" s="192"/>
      <c r="AC88" s="192"/>
      <c r="AD88" s="192"/>
    </row>
    <row r="89" spans="1:30" ht="19.5" customHeight="1" x14ac:dyDescent="0.15">
      <c r="A89" s="218" t="s">
        <v>498</v>
      </c>
      <c r="B89" s="213" t="s">
        <v>566</v>
      </c>
      <c r="C89" s="117">
        <v>0</v>
      </c>
      <c r="D89" s="189"/>
      <c r="E89" s="65"/>
      <c r="F89" s="63"/>
      <c r="G89" s="63"/>
      <c r="I89" s="63"/>
      <c r="J89" s="63"/>
      <c r="K89" s="63"/>
      <c r="L89" s="63"/>
      <c r="M89" s="63"/>
      <c r="N89" s="63"/>
      <c r="O89" s="63"/>
      <c r="P89" s="63"/>
      <c r="Q89" s="63"/>
      <c r="R89" s="65"/>
      <c r="S89" s="220" t="s">
        <v>207</v>
      </c>
      <c r="T89" s="221"/>
      <c r="U89" s="222"/>
      <c r="V89" s="221"/>
      <c r="W89" s="221"/>
      <c r="X89" s="223"/>
      <c r="Y89" s="191"/>
      <c r="Z89" s="63"/>
      <c r="AA89" s="192"/>
      <c r="AB89" s="192"/>
      <c r="AC89" s="192"/>
      <c r="AD89" s="192"/>
    </row>
    <row r="90" spans="1:30" ht="19.5" customHeight="1" x14ac:dyDescent="0.15">
      <c r="A90" s="218" t="s">
        <v>319</v>
      </c>
      <c r="B90" s="213" t="s">
        <v>506</v>
      </c>
      <c r="C90" s="117">
        <v>0</v>
      </c>
      <c r="D90" s="189"/>
      <c r="E90" s="65"/>
      <c r="F90" s="60"/>
      <c r="G90" s="583" t="s">
        <v>567</v>
      </c>
      <c r="H90" s="583"/>
      <c r="I90" s="583"/>
      <c r="J90" s="63" t="s">
        <v>568</v>
      </c>
      <c r="K90" s="63" t="s">
        <v>48</v>
      </c>
      <c r="L90" s="525" t="s">
        <v>508</v>
      </c>
      <c r="M90" s="525"/>
      <c r="N90" s="68" t="s">
        <v>50</v>
      </c>
      <c r="O90" s="525" t="s">
        <v>295</v>
      </c>
      <c r="P90" s="525"/>
      <c r="Q90" s="63"/>
      <c r="R90" s="65"/>
      <c r="S90" s="224" t="s">
        <v>202</v>
      </c>
      <c r="T90" s="75"/>
      <c r="U90" s="102">
        <v>50</v>
      </c>
      <c r="V90" s="225">
        <v>65</v>
      </c>
      <c r="W90" s="102">
        <v>80</v>
      </c>
      <c r="X90" s="226">
        <v>100</v>
      </c>
      <c r="Y90" s="191"/>
      <c r="Z90" s="63"/>
      <c r="AA90" s="192"/>
      <c r="AB90" s="192"/>
      <c r="AC90" s="192"/>
      <c r="AD90" s="192"/>
    </row>
    <row r="91" spans="1:30" ht="19.5" customHeight="1" x14ac:dyDescent="0.15">
      <c r="A91" s="218" t="s">
        <v>498</v>
      </c>
      <c r="B91" s="213" t="s">
        <v>509</v>
      </c>
      <c r="C91" s="117">
        <v>0</v>
      </c>
      <c r="D91" s="189"/>
      <c r="E91" s="65"/>
      <c r="F91" s="63"/>
      <c r="G91" s="583"/>
      <c r="H91" s="583"/>
      <c r="I91" s="583"/>
      <c r="J91" s="63"/>
      <c r="K91" s="63" t="s">
        <v>322</v>
      </c>
      <c r="L91" s="722">
        <f>L94+O94</f>
        <v>1.66</v>
      </c>
      <c r="M91" s="525"/>
      <c r="N91" s="68" t="s">
        <v>50</v>
      </c>
      <c r="O91" s="581">
        <f>Q84</f>
        <v>5.2999999999999999E-2</v>
      </c>
      <c r="P91" s="525"/>
      <c r="Q91" s="63"/>
      <c r="R91" s="65"/>
      <c r="S91" s="227" t="s">
        <v>205</v>
      </c>
      <c r="T91" s="202"/>
      <c r="U91" s="71">
        <v>1.2</v>
      </c>
      <c r="V91" s="71">
        <v>1.2</v>
      </c>
      <c r="W91" s="71">
        <v>1.2</v>
      </c>
      <c r="X91" s="72">
        <v>1.2</v>
      </c>
      <c r="Y91" s="191"/>
      <c r="Z91" s="63"/>
      <c r="AA91" s="192"/>
      <c r="AB91" s="192"/>
      <c r="AC91" s="192"/>
      <c r="AD91" s="192"/>
    </row>
    <row r="92" spans="1:30" ht="19.5" customHeight="1" x14ac:dyDescent="0.15">
      <c r="A92" s="230"/>
      <c r="B92" s="231"/>
      <c r="C92" s="231"/>
      <c r="D92" s="231"/>
      <c r="E92" s="232"/>
      <c r="F92" s="63"/>
      <c r="G92" s="233"/>
      <c r="H92" s="63"/>
      <c r="I92" s="63"/>
      <c r="J92" s="63"/>
      <c r="K92" s="63" t="s">
        <v>48</v>
      </c>
      <c r="L92" s="524">
        <f>ROUND(L91*O91,3)</f>
        <v>8.7999999999999995E-2</v>
      </c>
      <c r="M92" s="524"/>
      <c r="N92" s="63"/>
      <c r="O92" s="63"/>
      <c r="P92" s="63"/>
      <c r="Q92" s="63"/>
      <c r="R92" s="65"/>
      <c r="S92" s="234" t="s">
        <v>213</v>
      </c>
      <c r="T92" s="221"/>
      <c r="U92" s="221"/>
      <c r="V92" s="221"/>
      <c r="W92" s="221"/>
      <c r="X92" s="235"/>
      <c r="Y92" s="191"/>
      <c r="Z92" s="236"/>
      <c r="AA92" s="192"/>
      <c r="AB92" s="192"/>
      <c r="AC92" s="192"/>
      <c r="AD92" s="192"/>
    </row>
    <row r="93" spans="1:30" ht="19.5" customHeight="1" x14ac:dyDescent="0.15">
      <c r="A93" s="543" t="s">
        <v>614</v>
      </c>
      <c r="B93" s="544"/>
      <c r="C93" s="544"/>
      <c r="D93" s="544"/>
      <c r="E93" s="545"/>
      <c r="F93" s="63"/>
      <c r="G93" s="63"/>
      <c r="H93" s="63"/>
      <c r="I93" s="63"/>
      <c r="J93" s="63" t="s">
        <v>508</v>
      </c>
      <c r="K93" s="60" t="s">
        <v>322</v>
      </c>
      <c r="L93" s="63" t="s">
        <v>214</v>
      </c>
      <c r="M93" s="63"/>
      <c r="N93" s="63"/>
      <c r="O93" s="63"/>
      <c r="P93" s="63"/>
      <c r="Q93" s="63"/>
      <c r="R93" s="65"/>
      <c r="S93" s="105" t="s">
        <v>215</v>
      </c>
      <c r="T93" s="63"/>
      <c r="U93" s="63">
        <v>90</v>
      </c>
      <c r="V93" s="63">
        <v>60</v>
      </c>
      <c r="W93" s="63">
        <v>45</v>
      </c>
      <c r="X93" s="65">
        <v>30</v>
      </c>
      <c r="Y93" s="191"/>
      <c r="Z93" s="236"/>
      <c r="AA93" s="192"/>
      <c r="AB93" s="192"/>
      <c r="AC93" s="192"/>
      <c r="AD93" s="192"/>
    </row>
    <row r="94" spans="1:30" ht="19.5" customHeight="1" x14ac:dyDescent="0.15">
      <c r="A94" s="546"/>
      <c r="B94" s="547"/>
      <c r="C94" s="547"/>
      <c r="D94" s="547"/>
      <c r="E94" s="548"/>
      <c r="F94" s="202"/>
      <c r="G94" s="202"/>
      <c r="H94" s="202"/>
      <c r="I94" s="202"/>
      <c r="J94" s="202"/>
      <c r="K94" s="202" t="s">
        <v>48</v>
      </c>
      <c r="L94" s="723">
        <f>C85*U88+C86*X88+C87*U91</f>
        <v>1.3699999999999999</v>
      </c>
      <c r="M94" s="723"/>
      <c r="N94" s="238" t="s">
        <v>414</v>
      </c>
      <c r="O94" s="724">
        <f>C88*U94+C89*V94+C90*W94+C91*X94</f>
        <v>0.28999999999999998</v>
      </c>
      <c r="P94" s="724"/>
      <c r="Q94" s="202"/>
      <c r="R94" s="237"/>
      <c r="S94" s="227" t="s">
        <v>205</v>
      </c>
      <c r="T94" s="202"/>
      <c r="U94" s="239">
        <v>0.28999999999999998</v>
      </c>
      <c r="V94" s="239">
        <v>0.24</v>
      </c>
      <c r="W94" s="239">
        <v>0.21</v>
      </c>
      <c r="X94" s="240">
        <v>0.17</v>
      </c>
      <c r="Y94" s="191"/>
      <c r="Z94" s="63"/>
      <c r="AA94" s="192"/>
      <c r="AB94" s="192"/>
      <c r="AC94" s="192"/>
      <c r="AD94" s="192"/>
    </row>
    <row r="95" spans="1:30" ht="19.5" customHeight="1" x14ac:dyDescent="0.15">
      <c r="A95" s="105" t="s">
        <v>177</v>
      </c>
      <c r="B95" s="241"/>
      <c r="C95" s="241"/>
      <c r="D95" s="189"/>
      <c r="E95" s="65"/>
      <c r="F95" s="75"/>
      <c r="G95" s="75"/>
      <c r="H95" s="75"/>
      <c r="I95" s="75"/>
      <c r="J95" s="75"/>
      <c r="K95" s="75"/>
      <c r="L95" s="75"/>
      <c r="M95" s="75"/>
      <c r="N95" s="75"/>
      <c r="O95" s="74"/>
      <c r="P95" s="74"/>
      <c r="Q95" s="74"/>
      <c r="R95" s="205"/>
      <c r="S95" s="242"/>
      <c r="T95" s="243"/>
      <c r="U95" s="243"/>
      <c r="V95" s="243"/>
      <c r="W95" s="243"/>
      <c r="X95" s="244"/>
      <c r="Y95" s="153"/>
      <c r="Z95" s="32"/>
      <c r="AA95" s="32"/>
      <c r="AB95" s="32"/>
      <c r="AC95" s="32"/>
      <c r="AD95" s="32"/>
    </row>
    <row r="96" spans="1:30" ht="19.5" customHeight="1" x14ac:dyDescent="0.15">
      <c r="A96" s="194"/>
      <c r="B96" s="189"/>
      <c r="C96" s="189"/>
      <c r="D96" s="189"/>
      <c r="E96" s="65"/>
      <c r="F96" s="63"/>
      <c r="G96" s="63"/>
      <c r="H96" s="63" t="s">
        <v>488</v>
      </c>
      <c r="I96" s="63" t="s">
        <v>322</v>
      </c>
      <c r="J96" s="63" t="s">
        <v>569</v>
      </c>
      <c r="K96" s="68" t="s">
        <v>414</v>
      </c>
      <c r="L96" s="63" t="s">
        <v>432</v>
      </c>
      <c r="M96" s="63"/>
      <c r="N96" s="60"/>
      <c r="O96" s="60"/>
      <c r="P96" s="60"/>
      <c r="Q96" s="60"/>
      <c r="R96" s="206"/>
      <c r="S96" s="245"/>
      <c r="T96" s="246"/>
      <c r="U96" s="246"/>
      <c r="V96" s="246"/>
      <c r="W96" s="246"/>
      <c r="X96" s="247"/>
    </row>
    <row r="97" spans="1:25" ht="19.5" customHeight="1" x14ac:dyDescent="0.15">
      <c r="A97" s="66" t="s">
        <v>183</v>
      </c>
      <c r="B97" s="184" t="s">
        <v>303</v>
      </c>
      <c r="C97" s="207">
        <f>L48</f>
        <v>65</v>
      </c>
      <c r="D97" s="208" t="s">
        <v>490</v>
      </c>
      <c r="E97" s="65"/>
      <c r="F97" s="63"/>
      <c r="G97" s="63"/>
      <c r="H97" s="63"/>
      <c r="I97" s="63" t="s">
        <v>48</v>
      </c>
      <c r="J97" s="209">
        <f>L102</f>
        <v>0.113</v>
      </c>
      <c r="K97" s="68" t="s">
        <v>414</v>
      </c>
      <c r="L97" s="209">
        <f>L109</f>
        <v>6.0000000000000001E-3</v>
      </c>
      <c r="M97" s="63"/>
      <c r="N97" s="60"/>
      <c r="O97" s="60"/>
      <c r="P97" s="60"/>
      <c r="Q97" s="60"/>
      <c r="R97" s="206"/>
      <c r="S97" s="191"/>
      <c r="T97" s="63"/>
      <c r="U97" s="192"/>
      <c r="V97" s="192"/>
      <c r="W97" s="192"/>
      <c r="X97" s="193"/>
    </row>
    <row r="98" spans="1:25" ht="19.5" customHeight="1" x14ac:dyDescent="0.15">
      <c r="A98" s="194"/>
      <c r="B98" s="64" t="s">
        <v>435</v>
      </c>
      <c r="C98" s="114">
        <v>12.5</v>
      </c>
      <c r="D98" s="189" t="s">
        <v>403</v>
      </c>
      <c r="E98" s="65"/>
      <c r="F98" s="63"/>
      <c r="G98" s="63"/>
      <c r="H98" s="63"/>
      <c r="I98" s="63" t="s">
        <v>48</v>
      </c>
      <c r="J98" s="581">
        <f>IF(ISNUMBER(L48),(ROUNDUP(J97+L97,3)),"")</f>
        <v>0.11899999999999999</v>
      </c>
      <c r="K98" s="525"/>
      <c r="L98" s="63" t="s">
        <v>437</v>
      </c>
      <c r="M98" s="63"/>
      <c r="N98" s="63"/>
      <c r="O98" s="63"/>
      <c r="P98" s="63"/>
      <c r="Q98" s="63"/>
      <c r="R98" s="206"/>
      <c r="S98" s="191"/>
      <c r="T98" s="63"/>
      <c r="U98" s="192"/>
      <c r="V98" s="192"/>
      <c r="W98" s="192"/>
      <c r="X98" s="193"/>
    </row>
    <row r="99" spans="1:25" ht="19.5" customHeight="1" x14ac:dyDescent="0.15">
      <c r="A99" s="194"/>
      <c r="B99" s="64" t="s">
        <v>491</v>
      </c>
      <c r="C99" s="210">
        <f>IF(ISNUMBER(L48),((F36/(1000*60))/(((C97/1000)^2*PI()/4))),"")</f>
        <v>0.60271694425333133</v>
      </c>
      <c r="D99" s="189"/>
      <c r="E99" s="190"/>
      <c r="F99" s="63"/>
      <c r="G99" s="63"/>
      <c r="H99" s="63"/>
      <c r="I99" s="63"/>
      <c r="J99" s="63"/>
      <c r="K99" s="63"/>
      <c r="L99" s="63"/>
      <c r="M99" s="63"/>
      <c r="N99" s="63"/>
      <c r="O99" s="63"/>
      <c r="P99" s="63"/>
      <c r="Q99" s="63"/>
      <c r="R99" s="65"/>
      <c r="S99" s="191"/>
      <c r="T99" s="60"/>
      <c r="U99" s="192"/>
      <c r="V99" s="192"/>
      <c r="W99" s="192"/>
      <c r="X99" s="193"/>
    </row>
    <row r="100" spans="1:25" ht="19.5" customHeight="1" x14ac:dyDescent="0.15">
      <c r="A100" s="211" t="s">
        <v>492</v>
      </c>
      <c r="B100" s="64" t="s">
        <v>493</v>
      </c>
      <c r="C100" s="118">
        <v>0.01</v>
      </c>
      <c r="D100" s="189"/>
      <c r="E100" s="190"/>
      <c r="F100" s="63"/>
      <c r="G100" s="63" t="s">
        <v>190</v>
      </c>
      <c r="I100" s="63"/>
      <c r="J100" s="63" t="s">
        <v>489</v>
      </c>
      <c r="K100" s="63" t="s">
        <v>48</v>
      </c>
      <c r="L100" s="63" t="s">
        <v>494</v>
      </c>
      <c r="M100" s="68" t="s">
        <v>50</v>
      </c>
      <c r="N100" s="525" t="s">
        <v>495</v>
      </c>
      <c r="O100" s="525"/>
      <c r="P100" s="68" t="s">
        <v>50</v>
      </c>
      <c r="Q100" s="60" t="s">
        <v>487</v>
      </c>
      <c r="R100" s="65"/>
      <c r="S100" s="191"/>
      <c r="T100" s="60"/>
      <c r="U100" s="192"/>
      <c r="V100" s="192"/>
      <c r="W100" s="192"/>
      <c r="X100" s="193"/>
    </row>
    <row r="101" spans="1:25" ht="19.5" customHeight="1" x14ac:dyDescent="0.15">
      <c r="A101" s="194"/>
      <c r="B101" s="213"/>
      <c r="C101" s="214"/>
      <c r="D101" s="189"/>
      <c r="E101" s="65"/>
      <c r="F101" s="60"/>
      <c r="G101" s="63"/>
      <c r="H101" s="63"/>
      <c r="I101" s="63"/>
      <c r="J101" s="63"/>
      <c r="K101" s="63" t="s">
        <v>48</v>
      </c>
      <c r="L101" s="209">
        <f>L105</f>
        <v>3.1E-2</v>
      </c>
      <c r="M101" s="68" t="s">
        <v>50</v>
      </c>
      <c r="N101" s="719">
        <f>IF(ISNUMBER(L48),(ROUND(C98/(C97/1000),3)),"")</f>
        <v>192.30799999999999</v>
      </c>
      <c r="O101" s="719"/>
      <c r="P101" s="68" t="s">
        <v>50</v>
      </c>
      <c r="Q101" s="209">
        <f>IF(ISNUMBER(L48),(ROUND(C99^2/(2*9.8),3)),"")</f>
        <v>1.9E-2</v>
      </c>
      <c r="R101" s="65"/>
      <c r="S101" s="191"/>
      <c r="T101" s="212"/>
      <c r="U101" s="192"/>
      <c r="V101" s="192"/>
      <c r="W101" s="192"/>
      <c r="X101" s="193"/>
    </row>
    <row r="102" spans="1:25" ht="19.5" customHeight="1" x14ac:dyDescent="0.15">
      <c r="A102" s="215" t="s">
        <v>496</v>
      </c>
      <c r="B102" s="216" t="s">
        <v>497</v>
      </c>
      <c r="C102" s="116">
        <v>0</v>
      </c>
      <c r="D102" s="189"/>
      <c r="E102" s="65"/>
      <c r="F102" s="60"/>
      <c r="G102" s="63"/>
      <c r="H102" s="63"/>
      <c r="I102" s="63"/>
      <c r="J102" s="63"/>
      <c r="K102" s="63" t="s">
        <v>48</v>
      </c>
      <c r="L102" s="524">
        <f>IF(ISNUMBER(L48),(ROUND(L101*N101*Q101,3)),"")</f>
        <v>0.113</v>
      </c>
      <c r="M102" s="524"/>
      <c r="N102" s="63"/>
      <c r="O102" s="63"/>
      <c r="P102" s="63"/>
      <c r="Q102" s="63"/>
      <c r="R102" s="65"/>
      <c r="S102" s="191"/>
      <c r="T102" s="63"/>
      <c r="U102" s="192"/>
      <c r="V102" s="192"/>
      <c r="W102" s="192"/>
      <c r="X102" s="193"/>
    </row>
    <row r="103" spans="1:25" ht="19.5" customHeight="1" x14ac:dyDescent="0.15">
      <c r="A103" s="218" t="s">
        <v>498</v>
      </c>
      <c r="B103" s="219" t="s">
        <v>499</v>
      </c>
      <c r="C103" s="116">
        <v>0</v>
      </c>
      <c r="D103" s="189"/>
      <c r="E103" s="65"/>
      <c r="F103" s="60"/>
      <c r="G103" s="63"/>
      <c r="H103" s="60"/>
      <c r="I103" s="60"/>
      <c r="J103" s="60" t="s">
        <v>494</v>
      </c>
      <c r="K103" s="60" t="s">
        <v>48</v>
      </c>
      <c r="L103" s="60" t="s">
        <v>500</v>
      </c>
      <c r="M103" s="60"/>
      <c r="N103" s="68" t="s">
        <v>50</v>
      </c>
      <c r="O103" s="525" t="s">
        <v>501</v>
      </c>
      <c r="P103" s="525"/>
      <c r="Q103" s="63"/>
      <c r="R103" s="65"/>
      <c r="S103" s="191"/>
      <c r="T103" s="63"/>
      <c r="U103" s="192"/>
      <c r="V103" s="192"/>
      <c r="W103" s="192"/>
      <c r="X103" s="193"/>
    </row>
    <row r="104" spans="1:25" ht="19.5" customHeight="1" x14ac:dyDescent="0.15">
      <c r="A104" s="215" t="s">
        <v>502</v>
      </c>
      <c r="B104" s="213"/>
      <c r="C104" s="116">
        <v>0</v>
      </c>
      <c r="D104" s="189"/>
      <c r="E104" s="65"/>
      <c r="F104" s="63"/>
      <c r="G104" s="63"/>
      <c r="H104" s="179"/>
      <c r="I104" s="60"/>
      <c r="J104" s="60"/>
      <c r="K104" s="60" t="s">
        <v>48</v>
      </c>
      <c r="L104" s="695">
        <f>IF(ISNUMBER(L48),(124.6/((C97/1000)^(1/3)))," ")</f>
        <v>309.89430138036641</v>
      </c>
      <c r="M104" s="695"/>
      <c r="N104" s="68" t="s">
        <v>50</v>
      </c>
      <c r="O104" s="720">
        <f>IF(ISNUMBER(L48),(C100^2)," ")</f>
        <v>1E-4</v>
      </c>
      <c r="P104" s="720"/>
      <c r="Q104" s="63"/>
      <c r="R104" s="65"/>
      <c r="S104" s="191"/>
      <c r="T104" s="63"/>
      <c r="U104" s="192"/>
      <c r="V104" s="192"/>
      <c r="W104" s="192"/>
      <c r="X104" s="193"/>
    </row>
    <row r="105" spans="1:25" ht="19.5" customHeight="1" x14ac:dyDescent="0.15">
      <c r="A105" s="215" t="s">
        <v>503</v>
      </c>
      <c r="B105" s="213" t="s">
        <v>504</v>
      </c>
      <c r="C105" s="117">
        <v>1</v>
      </c>
      <c r="D105" s="189"/>
      <c r="E105" s="65"/>
      <c r="F105" s="60"/>
      <c r="G105" s="63"/>
      <c r="H105" s="179"/>
      <c r="I105" s="60"/>
      <c r="J105" s="63"/>
      <c r="K105" s="60" t="s">
        <v>48</v>
      </c>
      <c r="L105" s="721">
        <f>IF(ISNUMBER(L48),ROUND(L104*O104,3)," ")</f>
        <v>3.1E-2</v>
      </c>
      <c r="M105" s="721"/>
      <c r="N105" s="68"/>
      <c r="O105" s="63"/>
      <c r="P105" s="63"/>
      <c r="Q105" s="63"/>
      <c r="R105" s="65"/>
      <c r="S105" s="191"/>
      <c r="T105" s="63"/>
      <c r="U105" s="192"/>
      <c r="V105" s="192"/>
      <c r="W105" s="192"/>
      <c r="X105" s="193"/>
    </row>
    <row r="106" spans="1:25" ht="19.5" customHeight="1" x14ac:dyDescent="0.15">
      <c r="A106" s="218" t="s">
        <v>498</v>
      </c>
      <c r="B106" s="213" t="s">
        <v>505</v>
      </c>
      <c r="C106" s="117">
        <v>0</v>
      </c>
      <c r="D106" s="189"/>
      <c r="E106" s="65"/>
      <c r="F106" s="63"/>
      <c r="G106" s="63"/>
      <c r="I106" s="63"/>
      <c r="J106" s="63"/>
      <c r="K106" s="63"/>
      <c r="L106" s="63"/>
      <c r="M106" s="63"/>
      <c r="N106" s="63"/>
      <c r="O106" s="63"/>
      <c r="P106" s="63"/>
      <c r="Q106" s="63"/>
      <c r="R106" s="65"/>
      <c r="S106" s="191"/>
      <c r="T106" s="63"/>
      <c r="U106" s="192"/>
      <c r="V106" s="192"/>
      <c r="W106" s="192"/>
      <c r="X106" s="193"/>
    </row>
    <row r="107" spans="1:25" ht="19.5" customHeight="1" x14ac:dyDescent="0.15">
      <c r="A107" s="218" t="s">
        <v>498</v>
      </c>
      <c r="B107" s="213" t="s">
        <v>506</v>
      </c>
      <c r="C107" s="117">
        <v>0</v>
      </c>
      <c r="D107" s="189"/>
      <c r="E107" s="65"/>
      <c r="F107" s="60"/>
      <c r="G107" s="583" t="s">
        <v>507</v>
      </c>
      <c r="H107" s="583"/>
      <c r="I107" s="583"/>
      <c r="J107" s="63" t="s">
        <v>432</v>
      </c>
      <c r="K107" s="63" t="s">
        <v>48</v>
      </c>
      <c r="L107" s="525" t="s">
        <v>508</v>
      </c>
      <c r="M107" s="525"/>
      <c r="N107" s="68" t="s">
        <v>50</v>
      </c>
      <c r="O107" s="525" t="s">
        <v>487</v>
      </c>
      <c r="P107" s="525"/>
      <c r="Q107" s="63"/>
      <c r="R107" s="65"/>
      <c r="S107" s="191"/>
      <c r="T107" s="63"/>
      <c r="U107" s="192"/>
      <c r="V107" s="192"/>
      <c r="W107" s="192"/>
      <c r="X107" s="193"/>
    </row>
    <row r="108" spans="1:25" ht="19.5" customHeight="1" x14ac:dyDescent="0.15">
      <c r="A108" s="218" t="s">
        <v>498</v>
      </c>
      <c r="B108" s="213" t="s">
        <v>509</v>
      </c>
      <c r="C108" s="117">
        <v>0</v>
      </c>
      <c r="D108" s="189"/>
      <c r="E108" s="65"/>
      <c r="F108" s="63"/>
      <c r="G108" s="583"/>
      <c r="H108" s="583"/>
      <c r="I108" s="583"/>
      <c r="J108" s="63"/>
      <c r="K108" s="63" t="s">
        <v>48</v>
      </c>
      <c r="L108" s="525">
        <f>IF(ISNUMBER(L48),L111+O111,"")</f>
        <v>0.28999999999999998</v>
      </c>
      <c r="M108" s="525"/>
      <c r="N108" s="68" t="s">
        <v>50</v>
      </c>
      <c r="O108" s="581">
        <f>Q101</f>
        <v>1.9E-2</v>
      </c>
      <c r="P108" s="525"/>
      <c r="Q108" s="63"/>
      <c r="R108" s="65"/>
      <c r="S108" s="191"/>
      <c r="T108" s="63"/>
      <c r="U108" s="192"/>
      <c r="V108" s="192"/>
      <c r="W108" s="192"/>
      <c r="X108" s="193"/>
    </row>
    <row r="109" spans="1:25" ht="19.5" customHeight="1" x14ac:dyDescent="0.15">
      <c r="A109" s="194"/>
      <c r="B109" s="189"/>
      <c r="C109" s="214"/>
      <c r="D109" s="189"/>
      <c r="E109" s="65"/>
      <c r="F109" s="63"/>
      <c r="G109" s="233"/>
      <c r="H109" s="63"/>
      <c r="I109" s="63"/>
      <c r="J109" s="63"/>
      <c r="K109" s="63" t="s">
        <v>48</v>
      </c>
      <c r="L109" s="524">
        <f>IF(ISNUMBER(L48),(ROUND(L108*O108,3)),"")</f>
        <v>6.0000000000000001E-3</v>
      </c>
      <c r="M109" s="524"/>
      <c r="N109" s="63"/>
      <c r="O109" s="63"/>
      <c r="P109" s="63"/>
      <c r="Q109" s="63"/>
      <c r="R109" s="65"/>
      <c r="S109" s="191"/>
      <c r="T109" s="63"/>
      <c r="U109" s="192"/>
      <c r="V109" s="192"/>
      <c r="W109" s="192"/>
      <c r="X109" s="193"/>
    </row>
    <row r="110" spans="1:25" ht="19.5" customHeight="1" x14ac:dyDescent="0.15">
      <c r="A110" s="549" t="s">
        <v>614</v>
      </c>
      <c r="B110" s="550"/>
      <c r="C110" s="550"/>
      <c r="D110" s="550"/>
      <c r="E110" s="551"/>
      <c r="F110" s="63"/>
      <c r="G110" s="63"/>
      <c r="H110" s="63"/>
      <c r="I110" s="63"/>
      <c r="J110" s="63" t="s">
        <v>508</v>
      </c>
      <c r="K110" s="60" t="s">
        <v>48</v>
      </c>
      <c r="L110" s="63" t="s">
        <v>214</v>
      </c>
      <c r="M110" s="63"/>
      <c r="N110" s="63"/>
      <c r="O110" s="63"/>
      <c r="P110" s="63"/>
      <c r="Q110" s="63"/>
      <c r="R110" s="65"/>
      <c r="S110" s="191"/>
      <c r="T110" s="236"/>
      <c r="U110" s="192"/>
      <c r="V110" s="192"/>
      <c r="W110" s="192"/>
      <c r="X110" s="193"/>
    </row>
    <row r="111" spans="1:25" ht="19.5" customHeight="1" x14ac:dyDescent="0.15">
      <c r="A111" s="552"/>
      <c r="B111" s="553"/>
      <c r="C111" s="553"/>
      <c r="D111" s="553"/>
      <c r="E111" s="554"/>
      <c r="F111" s="202"/>
      <c r="G111" s="202"/>
      <c r="H111" s="202"/>
      <c r="I111" s="202"/>
      <c r="J111" s="202"/>
      <c r="K111" s="202" t="s">
        <v>48</v>
      </c>
      <c r="L111" s="723">
        <f>IF(ISNUMBER(L48),C102*U88+C103*X88+C104*U91,"")</f>
        <v>0</v>
      </c>
      <c r="M111" s="723"/>
      <c r="N111" s="238" t="s">
        <v>414</v>
      </c>
      <c r="O111" s="724">
        <f>IF(ISNUMBER(L48),C105*U94+C106*V94+C107*W94+C108*X94,"")</f>
        <v>0.28999999999999998</v>
      </c>
      <c r="P111" s="724"/>
      <c r="Q111" s="202"/>
      <c r="R111" s="237"/>
      <c r="S111" s="248"/>
      <c r="T111" s="249"/>
      <c r="U111" s="217"/>
      <c r="V111" s="217"/>
      <c r="W111" s="217"/>
      <c r="X111" s="250"/>
    </row>
    <row r="112" spans="1:25" ht="19.5" customHeight="1" x14ac:dyDescent="0.15">
      <c r="A112" s="241"/>
      <c r="B112" s="241"/>
      <c r="C112" s="251"/>
      <c r="D112" s="241"/>
      <c r="K112" s="252"/>
      <c r="L112" s="63"/>
      <c r="M112" s="63"/>
      <c r="N112" s="63"/>
      <c r="O112" s="63"/>
      <c r="P112" s="63"/>
      <c r="Q112" s="63"/>
      <c r="R112" s="64"/>
      <c r="S112" s="64"/>
      <c r="T112" s="64"/>
      <c r="U112" s="64"/>
      <c r="V112" s="64"/>
      <c r="W112" s="64"/>
      <c r="X112" s="64"/>
      <c r="Y112" s="64"/>
    </row>
    <row r="113" spans="1:36" ht="19.5" customHeight="1" x14ac:dyDescent="0.15">
      <c r="A113" s="189"/>
      <c r="B113" s="189"/>
      <c r="C113" s="214"/>
      <c r="D113" s="189"/>
      <c r="K113" s="63"/>
      <c r="L113" s="63"/>
      <c r="M113" s="63"/>
      <c r="N113" s="63"/>
      <c r="O113" s="63"/>
      <c r="P113" s="63"/>
      <c r="Q113" s="63"/>
      <c r="R113" s="64"/>
      <c r="S113" s="64"/>
      <c r="T113" s="64"/>
      <c r="U113" s="64"/>
      <c r="V113" s="64"/>
      <c r="W113" s="64"/>
      <c r="X113" s="64"/>
      <c r="Y113" s="64"/>
    </row>
    <row r="114" spans="1:36" ht="24.75" x14ac:dyDescent="0.15">
      <c r="A114" s="253" t="s">
        <v>646</v>
      </c>
      <c r="X114" s="41"/>
      <c r="Y114" s="41"/>
    </row>
    <row r="115" spans="1:36" x14ac:dyDescent="0.15">
      <c r="W115" s="254"/>
      <c r="X115" s="41"/>
      <c r="Y115" s="41"/>
    </row>
    <row r="116" spans="1:36" x14ac:dyDescent="0.15">
      <c r="B116" s="149" t="s">
        <v>226</v>
      </c>
      <c r="W116" s="254"/>
      <c r="X116" s="41"/>
      <c r="Y116" s="41"/>
    </row>
    <row r="117" spans="1:36" x14ac:dyDescent="0.15">
      <c r="C117" s="255" t="s">
        <v>227</v>
      </c>
      <c r="D117" s="255"/>
      <c r="E117" s="255"/>
      <c r="F117" s="255"/>
      <c r="G117" s="255"/>
      <c r="H117" s="733">
        <v>0.16</v>
      </c>
      <c r="I117" s="733"/>
      <c r="J117" s="255" t="s">
        <v>403</v>
      </c>
      <c r="K117" s="255" t="s">
        <v>228</v>
      </c>
      <c r="L117" s="255"/>
      <c r="M117" s="255"/>
      <c r="W117" s="254"/>
      <c r="X117" s="41"/>
      <c r="Y117" s="41"/>
    </row>
    <row r="118" spans="1:36" x14ac:dyDescent="0.15">
      <c r="W118" s="254"/>
      <c r="X118" s="41"/>
      <c r="Y118" s="41"/>
    </row>
    <row r="119" spans="1:36" x14ac:dyDescent="0.15">
      <c r="B119" s="149" t="s">
        <v>229</v>
      </c>
      <c r="E119" s="376" t="s">
        <v>613</v>
      </c>
      <c r="W119" s="254"/>
      <c r="X119" s="41"/>
      <c r="Y119" s="41"/>
    </row>
    <row r="120" spans="1:36" x14ac:dyDescent="0.15">
      <c r="B120" s="256"/>
      <c r="C120" s="257"/>
      <c r="D120" s="258" t="s">
        <v>230</v>
      </c>
      <c r="E120" s="257">
        <f>F36</f>
        <v>120</v>
      </c>
      <c r="F120" s="256" t="s">
        <v>510</v>
      </c>
      <c r="G120" s="256"/>
      <c r="H120" s="256" t="s">
        <v>232</v>
      </c>
      <c r="I120" s="256" t="s">
        <v>48</v>
      </c>
      <c r="J120" s="708">
        <f>F36*3</f>
        <v>360</v>
      </c>
      <c r="K120" s="708"/>
      <c r="L120" s="256" t="s">
        <v>511</v>
      </c>
      <c r="M120" s="259" t="s">
        <v>48</v>
      </c>
      <c r="N120" s="710">
        <f>J120/1000</f>
        <v>0.36</v>
      </c>
      <c r="O120" s="710"/>
      <c r="P120" s="260" t="s">
        <v>603</v>
      </c>
      <c r="Q120" s="256" t="s">
        <v>512</v>
      </c>
      <c r="R120" s="256"/>
      <c r="S120" s="256"/>
      <c r="T120" s="256"/>
      <c r="U120" s="256"/>
      <c r="V120" s="256"/>
      <c r="W120" s="256"/>
      <c r="X120" s="256"/>
      <c r="Y120" s="256"/>
      <c r="AH120" s="41"/>
      <c r="AI120" s="41"/>
      <c r="AJ120" s="41"/>
    </row>
    <row r="121" spans="1:36" x14ac:dyDescent="0.15">
      <c r="B121" s="256" t="s">
        <v>235</v>
      </c>
      <c r="C121" s="257"/>
      <c r="D121" s="258"/>
      <c r="E121" s="257"/>
      <c r="F121" s="256"/>
      <c r="G121" s="256"/>
      <c r="H121" s="256"/>
      <c r="I121" s="256"/>
      <c r="J121" s="256"/>
      <c r="K121" s="256"/>
      <c r="L121" s="256"/>
      <c r="M121" s="261"/>
      <c r="N121" s="261"/>
      <c r="O121" s="260"/>
      <c r="P121" s="256"/>
      <c r="Q121" s="256"/>
      <c r="R121" s="256"/>
      <c r="S121" s="256"/>
      <c r="T121" s="256"/>
      <c r="U121" s="256"/>
      <c r="V121" s="256"/>
      <c r="W121" s="256"/>
      <c r="X121" s="256"/>
      <c r="AG121" s="41"/>
      <c r="AH121" s="41"/>
      <c r="AI121" s="41"/>
    </row>
    <row r="122" spans="1:36" x14ac:dyDescent="0.15">
      <c r="B122" s="256"/>
      <c r="C122" s="527" t="s">
        <v>592</v>
      </c>
      <c r="D122" s="527"/>
      <c r="E122" s="527"/>
      <c r="F122" s="526">
        <v>0</v>
      </c>
      <c r="G122" s="526"/>
      <c r="H122" s="259" t="s">
        <v>50</v>
      </c>
      <c r="I122" s="526">
        <v>0</v>
      </c>
      <c r="J122" s="526"/>
      <c r="K122" s="259" t="s">
        <v>641</v>
      </c>
      <c r="L122" s="526">
        <v>0</v>
      </c>
      <c r="M122" s="526"/>
      <c r="N122" s="259" t="s">
        <v>236</v>
      </c>
      <c r="O122" s="709">
        <f>IF(F122=0,0,H117)</f>
        <v>0</v>
      </c>
      <c r="P122" s="708"/>
      <c r="Q122" s="367" t="s">
        <v>642</v>
      </c>
      <c r="R122" s="706">
        <f>ROUND(F122*I122*(L122-O122),2)</f>
        <v>0</v>
      </c>
      <c r="S122" s="706"/>
      <c r="T122" s="260" t="s">
        <v>609</v>
      </c>
      <c r="U122" s="256"/>
      <c r="V122" s="256"/>
      <c r="W122" s="256"/>
      <c r="X122" s="256"/>
      <c r="AH122" s="41"/>
      <c r="AI122" s="41"/>
    </row>
    <row r="123" spans="1:36" ht="21.75" x14ac:dyDescent="0.15">
      <c r="B123" s="256"/>
      <c r="C123" s="527" t="s">
        <v>593</v>
      </c>
      <c r="D123" s="527"/>
      <c r="E123" s="527"/>
      <c r="F123" s="265"/>
      <c r="G123" s="265"/>
      <c r="H123" s="265"/>
      <c r="I123" s="711">
        <f>IF(ISNUMBER(V123),L123,F40)</f>
        <v>12</v>
      </c>
      <c r="J123" s="711"/>
      <c r="K123" s="259" t="s">
        <v>48</v>
      </c>
      <c r="L123" s="706">
        <f>IF(ISNUMBER(V123),ROUND(V123*V123*PI()/4,2),ROUND(I123,2))</f>
        <v>12</v>
      </c>
      <c r="M123" s="706"/>
      <c r="N123" s="260" t="s">
        <v>513</v>
      </c>
      <c r="O123" s="260"/>
      <c r="P123" s="256"/>
      <c r="Q123" s="260"/>
      <c r="R123" s="256" t="s">
        <v>596</v>
      </c>
      <c r="S123" s="256"/>
      <c r="T123" s="256"/>
      <c r="U123" s="259" t="s">
        <v>594</v>
      </c>
      <c r="V123" s="526"/>
      <c r="W123" s="526"/>
      <c r="X123" s="256" t="s">
        <v>595</v>
      </c>
      <c r="AH123" s="41"/>
      <c r="AI123" s="41"/>
    </row>
    <row r="124" spans="1:36" x14ac:dyDescent="0.15">
      <c r="B124" s="256"/>
      <c r="C124" s="256"/>
      <c r="D124" s="256"/>
      <c r="E124" s="712">
        <f>N120</f>
        <v>0.36</v>
      </c>
      <c r="F124" s="712"/>
      <c r="G124" s="259" t="s">
        <v>514</v>
      </c>
      <c r="H124" s="713">
        <f>R122</f>
        <v>0</v>
      </c>
      <c r="I124" s="713"/>
      <c r="J124" s="259" t="s">
        <v>515</v>
      </c>
      <c r="K124" s="710">
        <f>L123</f>
        <v>12</v>
      </c>
      <c r="L124" s="710"/>
      <c r="M124" s="259" t="s">
        <v>48</v>
      </c>
      <c r="N124" s="707">
        <f>ROUND((E124-H124)/K124,3)</f>
        <v>0.03</v>
      </c>
      <c r="O124" s="707"/>
      <c r="P124" s="260" t="s">
        <v>403</v>
      </c>
      <c r="Q124" s="256"/>
      <c r="R124" s="256"/>
      <c r="S124" s="256"/>
      <c r="T124" s="256"/>
      <c r="U124" s="256"/>
      <c r="V124" s="256"/>
      <c r="W124" s="256"/>
      <c r="X124" s="256"/>
      <c r="AH124" s="41"/>
      <c r="AI124" s="41"/>
    </row>
    <row r="125" spans="1:36" x14ac:dyDescent="0.15">
      <c r="B125" s="263"/>
      <c r="C125" s="264" t="str">
        <f>IF(N124&lt;0,"→　計算結果がマイナスとなり 「ｂ」の条件で算出","")</f>
        <v/>
      </c>
      <c r="D125" s="263"/>
      <c r="E125" s="263"/>
      <c r="F125" s="263"/>
      <c r="G125" s="263"/>
      <c r="H125" s="265"/>
      <c r="I125" s="265"/>
      <c r="J125" s="263"/>
      <c r="K125" s="263"/>
      <c r="L125" s="263"/>
      <c r="M125" s="256"/>
      <c r="N125" s="256"/>
      <c r="O125" s="256"/>
      <c r="P125" s="256"/>
      <c r="Q125" s="256"/>
      <c r="R125" s="256"/>
      <c r="S125" s="256"/>
      <c r="T125" s="256"/>
      <c r="U125" s="256"/>
      <c r="V125" s="256"/>
      <c r="W125" s="266"/>
      <c r="X125" s="267"/>
      <c r="Y125" s="41"/>
    </row>
    <row r="126" spans="1:36" x14ac:dyDescent="0.15">
      <c r="B126" s="256" t="str">
        <f>IF(N124&lt;0,"　　ｂ. 起動水位が釜場の有効容量内で起動","")</f>
        <v/>
      </c>
      <c r="C126" s="257"/>
      <c r="D126" s="258"/>
      <c r="E126" s="257"/>
      <c r="F126" s="256"/>
      <c r="G126" s="256"/>
      <c r="H126" s="256"/>
      <c r="I126" s="256"/>
      <c r="J126" s="256"/>
      <c r="K126" s="256"/>
      <c r="L126" s="256"/>
      <c r="M126" s="261"/>
      <c r="N126" s="261"/>
      <c r="O126" s="260"/>
      <c r="P126" s="256"/>
      <c r="Q126" s="256"/>
      <c r="R126" s="256"/>
      <c r="S126" s="256"/>
      <c r="T126" s="256"/>
      <c r="U126" s="256"/>
      <c r="V126" s="256"/>
      <c r="W126" s="256"/>
      <c r="X126" s="256"/>
      <c r="AG126" s="41"/>
      <c r="AH126" s="41"/>
      <c r="AI126" s="41"/>
    </row>
    <row r="127" spans="1:36" x14ac:dyDescent="0.15">
      <c r="B127" s="256"/>
      <c r="C127" s="257"/>
      <c r="D127" s="262" t="str">
        <f>IF(N124&lt;0,"釜場の面積","")</f>
        <v/>
      </c>
      <c r="E127" s="707" t="str">
        <f>IF(N124&lt;0,F122,"")</f>
        <v/>
      </c>
      <c r="F127" s="707"/>
      <c r="G127" s="268" t="str">
        <f>IF(N124&lt;0,"×","")</f>
        <v/>
      </c>
      <c r="H127" s="707" t="str">
        <f>IF(N124&lt;0,I122,"")</f>
        <v/>
      </c>
      <c r="I127" s="707"/>
      <c r="J127" s="259" t="str">
        <f>IF(N124&lt;0,"＝","")</f>
        <v/>
      </c>
      <c r="K127" s="706" t="str">
        <f>IF(N124&lt;0,E127*H127,"")</f>
        <v/>
      </c>
      <c r="L127" s="706"/>
      <c r="M127" s="260" t="str">
        <f>IF(N124&lt;0,"ｍ2","")</f>
        <v/>
      </c>
      <c r="N127" s="706"/>
      <c r="O127" s="706"/>
      <c r="P127" s="260"/>
      <c r="Q127" s="256"/>
      <c r="R127" s="256"/>
      <c r="S127" s="256"/>
      <c r="T127" s="256"/>
      <c r="U127" s="256"/>
      <c r="V127" s="256"/>
      <c r="W127" s="256"/>
      <c r="X127" s="256"/>
      <c r="AH127" s="41"/>
      <c r="AI127" s="41"/>
    </row>
    <row r="128" spans="1:36" x14ac:dyDescent="0.15">
      <c r="B128" s="256"/>
      <c r="C128" s="256"/>
      <c r="D128" s="256"/>
      <c r="E128" s="710" t="str">
        <f>IF(N124&lt;0,N120,"")</f>
        <v/>
      </c>
      <c r="F128" s="710"/>
      <c r="G128" s="259" t="str">
        <f>IF(N124&lt;0,"÷","")</f>
        <v/>
      </c>
      <c r="H128" s="710" t="str">
        <f>IF(N124&lt;0,K127,"")</f>
        <v/>
      </c>
      <c r="I128" s="710"/>
      <c r="J128" s="259" t="str">
        <f>IF(N124&lt;0,"＝","")</f>
        <v/>
      </c>
      <c r="K128" s="707" t="str">
        <f>IF(N124&lt;0,ROUND(E128/H128,3),"")</f>
        <v/>
      </c>
      <c r="L128" s="707"/>
      <c r="M128" s="260" t="str">
        <f>IF(N124&lt;0,"ｍ","")</f>
        <v/>
      </c>
      <c r="N128" s="707"/>
      <c r="O128" s="707"/>
      <c r="P128" s="260"/>
      <c r="Q128" s="256" t="str">
        <f>IF(N124&lt;0,"","")</f>
        <v/>
      </c>
      <c r="R128" s="256"/>
      <c r="S128" s="256"/>
      <c r="T128" s="256"/>
      <c r="U128" s="256"/>
      <c r="V128" s="256"/>
      <c r="W128" s="256"/>
      <c r="X128" s="256"/>
      <c r="AH128" s="41"/>
      <c r="AI128" s="41"/>
    </row>
    <row r="129" spans="2:19" x14ac:dyDescent="0.15">
      <c r="D129" s="255"/>
      <c r="E129" s="285" t="str">
        <f>IF(N124&gt;=0,"釜場からの高さ","")</f>
        <v>釜場からの高さ</v>
      </c>
      <c r="F129" s="255"/>
      <c r="G129" s="255"/>
      <c r="H129" s="485">
        <f>IF(N124&gt;=0,N124,"")</f>
        <v>0.03</v>
      </c>
      <c r="I129" s="485"/>
      <c r="J129" s="286" t="str">
        <f>IF(N124&gt;=0,"+ 釜場の有効容量高さ","")</f>
        <v>+ 釜場の有効容量高さ</v>
      </c>
      <c r="K129" s="285"/>
      <c r="N129" s="485">
        <f>IF(N124&gt;=0,(L122-O122),"")</f>
        <v>0</v>
      </c>
      <c r="O129" s="485"/>
      <c r="P129" s="260"/>
    </row>
    <row r="130" spans="2:19" x14ac:dyDescent="0.15">
      <c r="C130" s="255" t="s">
        <v>238</v>
      </c>
      <c r="D130" s="255"/>
      <c r="E130" s="255"/>
      <c r="F130" s="255"/>
      <c r="G130" s="255"/>
      <c r="H130" s="727">
        <f>IF(N124&gt;=0,ROUNDUP(H129+N129,2),ROUNDUP(K128,2))</f>
        <v>0.03</v>
      </c>
      <c r="I130" s="727"/>
      <c r="J130" s="350" t="str">
        <f>IF(E119="　（ 釜場及び排水槽の形状から算出。（勾配の計算は省略））","ｍ 上方に設定する。",IF(E119="　（ 基準である３分以内の設定でポンプメーカー仕様等による）","ｍ となるが，ポンプ仕様等により"))</f>
        <v>ｍ となるが，ポンプ仕様等により</v>
      </c>
      <c r="K130" s="255"/>
      <c r="L130" s="255"/>
      <c r="M130" s="255"/>
      <c r="N130" s="348"/>
      <c r="O130" s="348"/>
      <c r="P130" s="714"/>
      <c r="Q130" s="714"/>
      <c r="R130" s="349" t="str">
        <f>IF(E119="　（ 釜場及び排水槽の形状から算出。（勾配の計算は省略））","　",IF(E119="　（ 基準である３分以内の設定でポンプメーカー仕様等による）","ｍ 上方に設定する。"))</f>
        <v>ｍ 上方に設定する。</v>
      </c>
      <c r="S130" s="348"/>
    </row>
    <row r="131" spans="2:19" x14ac:dyDescent="0.15">
      <c r="B131" s="149" t="s">
        <v>240</v>
      </c>
    </row>
    <row r="132" spans="2:19" x14ac:dyDescent="0.15">
      <c r="C132" s="255" t="s">
        <v>516</v>
      </c>
      <c r="D132" s="255"/>
      <c r="E132" s="255"/>
      <c r="F132" s="728">
        <v>0.1</v>
      </c>
      <c r="G132" s="728"/>
      <c r="H132" s="255" t="s">
        <v>239</v>
      </c>
      <c r="I132" s="255"/>
      <c r="J132" s="255"/>
    </row>
    <row r="133" spans="2:19" x14ac:dyDescent="0.15">
      <c r="B133" s="149" t="s">
        <v>640</v>
      </c>
    </row>
    <row r="134" spans="2:19" x14ac:dyDescent="0.15">
      <c r="C134" s="255" t="s">
        <v>517</v>
      </c>
      <c r="D134" s="255"/>
      <c r="E134" s="255"/>
      <c r="F134" s="728">
        <v>0.1</v>
      </c>
      <c r="G134" s="728"/>
      <c r="H134" s="255" t="s">
        <v>239</v>
      </c>
      <c r="I134" s="255"/>
      <c r="J134" s="255"/>
      <c r="K134" s="255"/>
    </row>
    <row r="135" spans="2:19" x14ac:dyDescent="0.15">
      <c r="B135" s="149" t="s">
        <v>649</v>
      </c>
    </row>
    <row r="136" spans="2:19" x14ac:dyDescent="0.15">
      <c r="C136" s="149" t="s">
        <v>243</v>
      </c>
      <c r="G136" s="729">
        <f>H38</f>
        <v>1.68</v>
      </c>
      <c r="H136" s="729"/>
      <c r="I136" s="149" t="s">
        <v>244</v>
      </c>
    </row>
    <row r="137" spans="2:19" x14ac:dyDescent="0.15">
      <c r="C137" s="256"/>
      <c r="D137" s="256"/>
      <c r="E137" s="730">
        <f>IF(G136-R122&gt;0,G136,"")</f>
        <v>1.68</v>
      </c>
      <c r="F137" s="730"/>
      <c r="G137" s="258" t="str">
        <f>IF(G136-R122&gt;0,"－","")</f>
        <v>－</v>
      </c>
      <c r="H137" s="710">
        <f>IF(G136-R122&gt;0,R122,IF(G136-R122=0,"",G136))</f>
        <v>0</v>
      </c>
      <c r="I137" s="710"/>
      <c r="J137" s="259" t="str">
        <f>IF(G136-R122&gt;0,"）÷",IF(G136-R122=0,"","÷"))</f>
        <v>）÷</v>
      </c>
      <c r="K137" s="710">
        <f>IF(G136-R122&gt;0,L123,IF(G136-R122=0,"",F122*I122))</f>
        <v>12</v>
      </c>
      <c r="L137" s="710"/>
      <c r="M137" s="259" t="str">
        <f>IF(G136-R122=0,"","=")</f>
        <v>=</v>
      </c>
      <c r="N137" s="707">
        <f>IF(G136-R122&gt;0,ROUND((E137-H137)/K137,3),IF(G136-R122=0,"",ROUND(H137/K137,3)))</f>
        <v>0.14000000000000001</v>
      </c>
      <c r="O137" s="707"/>
      <c r="P137" s="259" t="str">
        <f>IF(G136-R122=0,"","m")</f>
        <v>m</v>
      </c>
    </row>
    <row r="138" spans="2:19" x14ac:dyDescent="0.15">
      <c r="D138" s="255"/>
      <c r="E138" s="285" t="str">
        <f>IF(G136-R122&gt;0,"釜場からの高さ","")</f>
        <v>釜場からの高さ</v>
      </c>
      <c r="F138" s="255"/>
      <c r="G138" s="255"/>
      <c r="H138" s="485">
        <f>IF(G136-R122&gt;0,N137,"")</f>
        <v>0.14000000000000001</v>
      </c>
      <c r="I138" s="485"/>
      <c r="J138" s="286" t="str">
        <f>IF(G136-R122&gt;0,"+ 釜場の有効容量高さ","")</f>
        <v>+ 釜場の有効容量高さ</v>
      </c>
      <c r="K138" s="285"/>
      <c r="N138" s="485">
        <f>IF(G136-R122&gt;0,(L122-O122),"")</f>
        <v>0</v>
      </c>
      <c r="O138" s="485"/>
      <c r="P138" s="260"/>
    </row>
    <row r="139" spans="2:19" x14ac:dyDescent="0.15">
      <c r="C139" s="255" t="s">
        <v>238</v>
      </c>
      <c r="H139" s="727">
        <f>IF(G136-R122&gt;0,ROUNDUP(H138+N138,2),IF(G136-R122=0,(L122-O122),ROUNDUP(N137,2)))</f>
        <v>0.14000000000000001</v>
      </c>
      <c r="I139" s="727"/>
      <c r="J139" s="255" t="s">
        <v>518</v>
      </c>
      <c r="K139" s="255"/>
      <c r="L139" s="255"/>
    </row>
  </sheetData>
  <sheetProtection algorithmName="SHA-512" hashValue="z/YyQwwMc6aWVPfHGFN2dhGNBuzEJ9IKpfgr7cWv4i2+5JOtz6hHXzlJocpsKIUeKLt08+BkgWI+6VmWq5H7Lg==" saltValue="z8kUVzC3lixzAhzGtErheg==" spinCount="100000" sheet="1" objects="1" scenarios="1" formatCells="0"/>
  <mergeCells count="191">
    <mergeCell ref="W1:X1"/>
    <mergeCell ref="K128:L128"/>
    <mergeCell ref="H139:I139"/>
    <mergeCell ref="H130:I130"/>
    <mergeCell ref="F132:G132"/>
    <mergeCell ref="F134:G134"/>
    <mergeCell ref="G136:H136"/>
    <mergeCell ref="E137:F137"/>
    <mergeCell ref="H137:I137"/>
    <mergeCell ref="J81:K81"/>
    <mergeCell ref="G107:I108"/>
    <mergeCell ref="J98:K98"/>
    <mergeCell ref="J12:K12"/>
    <mergeCell ref="L12:M12"/>
    <mergeCell ref="J13:K13"/>
    <mergeCell ref="L13:M13"/>
    <mergeCell ref="J14:K14"/>
    <mergeCell ref="L14:M14"/>
    <mergeCell ref="L111:M111"/>
    <mergeCell ref="O111:P111"/>
    <mergeCell ref="H117:I117"/>
    <mergeCell ref="L87:M87"/>
    <mergeCell ref="O87:P87"/>
    <mergeCell ref="L88:M88"/>
    <mergeCell ref="J15:K15"/>
    <mergeCell ref="L15:M15"/>
    <mergeCell ref="J16:K16"/>
    <mergeCell ref="L16:M16"/>
    <mergeCell ref="N83:O83"/>
    <mergeCell ref="N84:O84"/>
    <mergeCell ref="L109:M109"/>
    <mergeCell ref="N101:O101"/>
    <mergeCell ref="L102:M102"/>
    <mergeCell ref="O103:P103"/>
    <mergeCell ref="L104:M104"/>
    <mergeCell ref="O104:P104"/>
    <mergeCell ref="L105:M105"/>
    <mergeCell ref="L90:M90"/>
    <mergeCell ref="O90:P90"/>
    <mergeCell ref="L91:M91"/>
    <mergeCell ref="O91:P91"/>
    <mergeCell ref="L107:M107"/>
    <mergeCell ref="O107:P107"/>
    <mergeCell ref="L108:M108"/>
    <mergeCell ref="O108:P108"/>
    <mergeCell ref="L92:M92"/>
    <mergeCell ref="L94:M94"/>
    <mergeCell ref="O94:P94"/>
    <mergeCell ref="F12:G12"/>
    <mergeCell ref="F13:G13"/>
    <mergeCell ref="F14:G14"/>
    <mergeCell ref="F15:G15"/>
    <mergeCell ref="F16:G16"/>
    <mergeCell ref="H12:I12"/>
    <mergeCell ref="H13:I13"/>
    <mergeCell ref="H14:I14"/>
    <mergeCell ref="H15:I15"/>
    <mergeCell ref="H16:I16"/>
    <mergeCell ref="R122:S122"/>
    <mergeCell ref="E127:F127"/>
    <mergeCell ref="H127:I127"/>
    <mergeCell ref="K127:L127"/>
    <mergeCell ref="N127:O127"/>
    <mergeCell ref="J120:K120"/>
    <mergeCell ref="C123:E123"/>
    <mergeCell ref="O122:P122"/>
    <mergeCell ref="K137:L137"/>
    <mergeCell ref="N137:O137"/>
    <mergeCell ref="N128:O128"/>
    <mergeCell ref="I123:J123"/>
    <mergeCell ref="L123:M123"/>
    <mergeCell ref="E124:F124"/>
    <mergeCell ref="H124:I124"/>
    <mergeCell ref="K124:L124"/>
    <mergeCell ref="N124:O124"/>
    <mergeCell ref="N120:O120"/>
    <mergeCell ref="F122:G122"/>
    <mergeCell ref="I122:J122"/>
    <mergeCell ref="L122:M122"/>
    <mergeCell ref="P130:Q130"/>
    <mergeCell ref="E128:F128"/>
    <mergeCell ref="H128:I128"/>
    <mergeCell ref="N100:O100"/>
    <mergeCell ref="W48:Y49"/>
    <mergeCell ref="G49:H49"/>
    <mergeCell ref="F52:K52"/>
    <mergeCell ref="H45:I45"/>
    <mergeCell ref="R42:V45"/>
    <mergeCell ref="G44:H44"/>
    <mergeCell ref="K44:L44"/>
    <mergeCell ref="R46:V49"/>
    <mergeCell ref="I53:J53"/>
    <mergeCell ref="L53:M53"/>
    <mergeCell ref="O53:P53"/>
    <mergeCell ref="J77:K77"/>
    <mergeCell ref="A1:D3"/>
    <mergeCell ref="E1:F3"/>
    <mergeCell ref="A4:D5"/>
    <mergeCell ref="E4:O5"/>
    <mergeCell ref="S28:T28"/>
    <mergeCell ref="A32:D33"/>
    <mergeCell ref="E32:Q33"/>
    <mergeCell ref="R32:V33"/>
    <mergeCell ref="W32:Y33"/>
    <mergeCell ref="A25:B25"/>
    <mergeCell ref="F25:H25"/>
    <mergeCell ref="K25:L25"/>
    <mergeCell ref="O25:P25"/>
    <mergeCell ref="K21:L21"/>
    <mergeCell ref="K22:L22"/>
    <mergeCell ref="F17:G17"/>
    <mergeCell ref="H17:I17"/>
    <mergeCell ref="J17:K17"/>
    <mergeCell ref="L17:M17"/>
    <mergeCell ref="F18:G18"/>
    <mergeCell ref="H18:I18"/>
    <mergeCell ref="J18:K18"/>
    <mergeCell ref="L18:M18"/>
    <mergeCell ref="F19:G19"/>
    <mergeCell ref="R34:V36"/>
    <mergeCell ref="R53:V59"/>
    <mergeCell ref="W34:Y36"/>
    <mergeCell ref="F35:G35"/>
    <mergeCell ref="I35:J35"/>
    <mergeCell ref="N41:O41"/>
    <mergeCell ref="A42:D45"/>
    <mergeCell ref="F36:G36"/>
    <mergeCell ref="A37:D41"/>
    <mergeCell ref="O37:P37"/>
    <mergeCell ref="W37:Y41"/>
    <mergeCell ref="H38:I38"/>
    <mergeCell ref="F40:G40"/>
    <mergeCell ref="E41:F41"/>
    <mergeCell ref="H41:I41"/>
    <mergeCell ref="K41:L41"/>
    <mergeCell ref="W53:Y59"/>
    <mergeCell ref="I54:J54"/>
    <mergeCell ref="L54:M54"/>
    <mergeCell ref="O54:P54"/>
    <mergeCell ref="I55:J55"/>
    <mergeCell ref="W42:Y45"/>
    <mergeCell ref="W46:Y47"/>
    <mergeCell ref="G47:H47"/>
    <mergeCell ref="A53:D59"/>
    <mergeCell ref="F68:H68"/>
    <mergeCell ref="O68:P68"/>
    <mergeCell ref="H129:I129"/>
    <mergeCell ref="N129:O129"/>
    <mergeCell ref="A93:E94"/>
    <mergeCell ref="A110:E111"/>
    <mergeCell ref="A10:D11"/>
    <mergeCell ref="E10:E11"/>
    <mergeCell ref="F10:G11"/>
    <mergeCell ref="H10:I11"/>
    <mergeCell ref="J10:K11"/>
    <mergeCell ref="L10:M11"/>
    <mergeCell ref="A34:D36"/>
    <mergeCell ref="L19:M19"/>
    <mergeCell ref="F20:G20"/>
    <mergeCell ref="H20:I20"/>
    <mergeCell ref="J20:K20"/>
    <mergeCell ref="L20:M20"/>
    <mergeCell ref="I57:J57"/>
    <mergeCell ref="I58:J58"/>
    <mergeCell ref="G59:H59"/>
    <mergeCell ref="K68:L68"/>
    <mergeCell ref="G90:I91"/>
    <mergeCell ref="P4:U5"/>
    <mergeCell ref="H138:I138"/>
    <mergeCell ref="N138:O138"/>
    <mergeCell ref="D65:I65"/>
    <mergeCell ref="D27:E27"/>
    <mergeCell ref="F27:G27"/>
    <mergeCell ref="C25:E25"/>
    <mergeCell ref="H21:J22"/>
    <mergeCell ref="H19:I19"/>
    <mergeCell ref="J19:K19"/>
    <mergeCell ref="J40:K40"/>
    <mergeCell ref="N40:O40"/>
    <mergeCell ref="R37:V39"/>
    <mergeCell ref="R40:V40"/>
    <mergeCell ref="T41:U41"/>
    <mergeCell ref="A46:D52"/>
    <mergeCell ref="L85:M85"/>
    <mergeCell ref="O86:P86"/>
    <mergeCell ref="V123:W123"/>
    <mergeCell ref="C122:E122"/>
    <mergeCell ref="B69:C69"/>
    <mergeCell ref="J74:K74"/>
    <mergeCell ref="O69:P69"/>
    <mergeCell ref="K69:L69"/>
  </mergeCells>
  <phoneticPr fontId="3"/>
  <conditionalFormatting sqref="P130:Q130">
    <cfRule type="cellIs" dxfId="29" priority="3" operator="greaterThan">
      <formula>$H$130</formula>
    </cfRule>
    <cfRule type="expression" dxfId="28" priority="7">
      <formula>$R$130</formula>
    </cfRule>
  </conditionalFormatting>
  <conditionalFormatting sqref="F40:G40">
    <cfRule type="cellIs" dxfId="27" priority="2" operator="between">
      <formula>H41*K41</formula>
      <formula>H41*K41</formula>
    </cfRule>
  </conditionalFormatting>
  <conditionalFormatting sqref="H38:I38">
    <cfRule type="expression" dxfId="26" priority="1">
      <formula>$H$38&lt;$O$37</formula>
    </cfRule>
  </conditionalFormatting>
  <dataValidations count="5">
    <dataValidation type="whole" operator="greaterThanOrEqual" allowBlank="1" showInputMessage="1" showErrorMessage="1" sqref="C88:C91 C105:C108">
      <formula1>0</formula1>
    </dataValidation>
    <dataValidation type="list" allowBlank="1" showErrorMessage="1" promptTitle="ｄ，ｓ，あ" sqref="C85:C87 C102:C104">
      <formula1>"0,１"</formula1>
    </dataValidation>
    <dataValidation type="list" allowBlank="1" showInputMessage="1" showErrorMessage="1" sqref="E7">
      <formula1>"例①,例②"</formula1>
    </dataValidation>
    <dataValidation type="list" allowBlank="1" showInputMessage="1" showErrorMessage="1" sqref="F52">
      <formula1>"　,（本件について施主了承済み）"</formula1>
    </dataValidation>
    <dataValidation type="list" allowBlank="1" showInputMessage="1" showErrorMessage="1" sqref="E119">
      <formula1>"　（ 釜場及び排水槽の形状から算出。（勾配の計算は省略））,　（ 基準である３分以内の設定でポンプメーカー仕様等による）"</formula1>
    </dataValidation>
  </dataValidations>
  <pageMargins left="0.7" right="0.7" top="0.75" bottom="0.75" header="0.3" footer="0.3"/>
  <pageSetup paperSize="9" scale="58" fitToHeight="2"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F3684F1C-F1E8-49FC-AB16-035C6787CF99}">
            <xm:f>NOT(ISERROR(SEARCH($P$130,P130)))</xm:f>
            <xm:f>$P$130</xm:f>
            <x14:dxf>
              <fill>
                <patternFill>
                  <bgColor rgb="FF66FFFF"/>
                </patternFill>
              </fill>
            </x14:dxf>
          </x14:cfRule>
          <x14:cfRule type="containsText" priority="5" operator="containsText" id="{50415029-F1F6-412B-BF36-158249C36063}">
            <xm:f>NOT(ISERROR(SEARCH($E$119,P130)))</xm:f>
            <xm:f>$E$119</xm:f>
            <x14:dxf>
              <font>
                <color rgb="FF9C0006"/>
              </font>
              <fill>
                <patternFill>
                  <bgColor rgb="FFFFC7CE"/>
                </patternFill>
              </fill>
            </x14:dxf>
          </x14:cfRule>
          <x14:cfRule type="containsText" priority="6" operator="containsText" id="{14C663B3-6D76-415C-810F-ED4E5AFE912F}">
            <xm:f>NOT(ISERROR(SEARCH($R$130,P130)))</xm:f>
            <xm:f>$R$130</xm:f>
            <x14:dxf>
              <fill>
                <patternFill>
                  <bgColor rgb="FF66FFFF"/>
                </patternFill>
              </fill>
            </x14:dxf>
          </x14:cfRule>
          <xm:sqref>P130:Q130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39"/>
  <sheetViews>
    <sheetView view="pageBreakPreview" zoomScale="85" zoomScaleNormal="85" zoomScaleSheetLayoutView="85" workbookViewId="0">
      <selection activeCell="W2" sqref="W2"/>
    </sheetView>
  </sheetViews>
  <sheetFormatPr defaultRowHeight="19.5" x14ac:dyDescent="0.15"/>
  <cols>
    <col min="1" max="1" width="8.25" style="149" customWidth="1"/>
    <col min="2" max="2" width="7.625" style="149" customWidth="1"/>
    <col min="3" max="22" width="5.625" style="149" customWidth="1"/>
    <col min="23" max="24" width="5.125" style="149" customWidth="1"/>
    <col min="25" max="25" width="1.875" style="149" customWidth="1"/>
    <col min="26" max="35" width="5.625" style="149" customWidth="1"/>
    <col min="36" max="16384" width="9" style="149"/>
  </cols>
  <sheetData>
    <row r="1" spans="1:33" ht="20.100000000000001" customHeight="1" x14ac:dyDescent="0.15">
      <c r="A1" s="647" t="s">
        <v>16</v>
      </c>
      <c r="B1" s="647"/>
      <c r="C1" s="647"/>
      <c r="D1" s="647"/>
      <c r="E1" s="649" t="s">
        <v>571</v>
      </c>
      <c r="F1" s="649"/>
      <c r="G1" s="147"/>
      <c r="H1" s="147"/>
      <c r="I1" s="147"/>
      <c r="J1" s="147"/>
      <c r="K1" s="147"/>
      <c r="L1" s="147"/>
      <c r="M1" s="147"/>
      <c r="N1" s="147"/>
      <c r="O1" s="147"/>
      <c r="P1" s="147"/>
      <c r="Q1" s="147"/>
      <c r="R1" s="147"/>
      <c r="S1" s="147"/>
      <c r="T1" s="147"/>
      <c r="U1" s="64"/>
      <c r="V1" s="369" t="s">
        <v>647</v>
      </c>
      <c r="W1" s="725">
        <f>汚水槽!W1</f>
        <v>250131</v>
      </c>
      <c r="X1" s="726"/>
      <c r="Y1" s="148"/>
      <c r="Z1" s="148"/>
      <c r="AA1" s="148"/>
      <c r="AB1" s="148"/>
    </row>
    <row r="2" spans="1:33" ht="19.5" customHeight="1" x14ac:dyDescent="0.15">
      <c r="A2" s="647"/>
      <c r="B2" s="647"/>
      <c r="C2" s="647"/>
      <c r="D2" s="647"/>
      <c r="E2" s="649"/>
      <c r="F2" s="649"/>
      <c r="G2" s="147"/>
      <c r="H2" s="147"/>
      <c r="I2" s="147"/>
      <c r="J2" s="147"/>
      <c r="K2" s="147"/>
      <c r="L2" s="147"/>
      <c r="M2" s="147"/>
      <c r="N2" s="147"/>
      <c r="O2" s="147"/>
      <c r="P2" s="147"/>
      <c r="Q2" s="147"/>
      <c r="R2" s="147"/>
      <c r="S2" s="147"/>
      <c r="T2" s="147"/>
      <c r="U2" s="147"/>
      <c r="V2" s="147"/>
      <c r="W2" s="147"/>
      <c r="X2" s="147"/>
      <c r="Y2" s="148"/>
      <c r="Z2" s="148"/>
      <c r="AA2" s="148"/>
      <c r="AB2" s="148"/>
    </row>
    <row r="3" spans="1:33" ht="19.5" customHeight="1" thickBot="1" x14ac:dyDescent="0.2">
      <c r="A3" s="648"/>
      <c r="B3" s="648"/>
      <c r="C3" s="648"/>
      <c r="D3" s="648"/>
      <c r="E3" s="650"/>
      <c r="F3" s="650"/>
      <c r="G3" s="147"/>
      <c r="H3" s="147"/>
      <c r="I3" s="147"/>
      <c r="J3" s="147"/>
      <c r="K3" s="147"/>
      <c r="L3" s="147"/>
      <c r="M3" s="147"/>
      <c r="N3" s="147"/>
      <c r="O3" s="147"/>
      <c r="P3" s="147"/>
      <c r="Q3" s="147"/>
      <c r="R3" s="147"/>
      <c r="S3" s="147"/>
      <c r="T3" s="147"/>
      <c r="U3" s="147"/>
      <c r="V3" s="147"/>
      <c r="W3" s="147"/>
      <c r="X3" s="147"/>
      <c r="Y3" s="148"/>
      <c r="Z3" s="148"/>
      <c r="AA3" s="148"/>
      <c r="AB3" s="148"/>
    </row>
    <row r="4" spans="1:33" ht="19.5" customHeight="1" x14ac:dyDescent="0.15">
      <c r="A4" s="651" t="s">
        <v>362</v>
      </c>
      <c r="B4" s="652"/>
      <c r="C4" s="652"/>
      <c r="D4" s="653"/>
      <c r="E4" s="657" t="s">
        <v>519</v>
      </c>
      <c r="F4" s="658"/>
      <c r="G4" s="658"/>
      <c r="H4" s="658"/>
      <c r="I4" s="658"/>
      <c r="J4" s="658"/>
      <c r="K4" s="658"/>
      <c r="L4" s="658"/>
      <c r="M4" s="658"/>
      <c r="N4" s="658"/>
      <c r="O4" s="659"/>
      <c r="P4" s="483" t="s">
        <v>458</v>
      </c>
      <c r="Q4" s="484"/>
      <c r="R4" s="484"/>
      <c r="S4" s="484"/>
      <c r="T4" s="484"/>
      <c r="U4" s="484"/>
      <c r="V4" s="148"/>
      <c r="W4" s="148"/>
      <c r="X4" s="148"/>
      <c r="Y4" s="148"/>
      <c r="Z4" s="148"/>
      <c r="AA4" s="32"/>
      <c r="AB4" s="32"/>
    </row>
    <row r="5" spans="1:33" ht="19.5" customHeight="1" thickBot="1" x14ac:dyDescent="0.2">
      <c r="A5" s="654"/>
      <c r="B5" s="655"/>
      <c r="C5" s="655"/>
      <c r="D5" s="656"/>
      <c r="E5" s="660"/>
      <c r="F5" s="661"/>
      <c r="G5" s="661"/>
      <c r="H5" s="661"/>
      <c r="I5" s="661"/>
      <c r="J5" s="661"/>
      <c r="K5" s="661"/>
      <c r="L5" s="661"/>
      <c r="M5" s="661"/>
      <c r="N5" s="661"/>
      <c r="O5" s="662"/>
      <c r="P5" s="483"/>
      <c r="Q5" s="484"/>
      <c r="R5" s="484"/>
      <c r="S5" s="484"/>
      <c r="T5" s="484"/>
      <c r="U5" s="484"/>
      <c r="V5" s="148"/>
      <c r="W5" s="148"/>
      <c r="AA5" s="32"/>
      <c r="AB5" s="32"/>
    </row>
    <row r="6" spans="1:33" ht="19.5" customHeight="1" x14ac:dyDescent="0.15">
      <c r="C6" s="162"/>
      <c r="D6" s="36"/>
      <c r="E6" s="36"/>
      <c r="F6" s="36"/>
      <c r="G6" s="36"/>
      <c r="H6" s="36"/>
      <c r="Q6" s="32"/>
      <c r="R6" s="32"/>
      <c r="S6" s="32"/>
      <c r="T6" s="32"/>
      <c r="U6" s="32"/>
      <c r="V6" s="32"/>
      <c r="W6" s="32"/>
      <c r="AA6" s="32"/>
      <c r="AB6" s="32"/>
    </row>
    <row r="7" spans="1:33" ht="19.5" customHeight="1" x14ac:dyDescent="0.15">
      <c r="A7" s="163" t="s">
        <v>365</v>
      </c>
      <c r="B7" s="163"/>
      <c r="C7" s="163"/>
      <c r="D7" s="163"/>
      <c r="E7" s="126" t="s">
        <v>520</v>
      </c>
      <c r="F7" s="274" t="s">
        <v>367</v>
      </c>
      <c r="H7" s="164" t="s">
        <v>250</v>
      </c>
      <c r="Y7" s="163"/>
      <c r="Z7" s="148"/>
      <c r="AA7" s="32"/>
      <c r="AB7" s="32"/>
      <c r="AC7" s="32"/>
      <c r="AD7" s="32"/>
      <c r="AE7" s="32"/>
      <c r="AF7" s="32"/>
      <c r="AG7" s="32"/>
    </row>
    <row r="8" spans="1:33" ht="19.5" customHeight="1" x14ac:dyDescent="0.15">
      <c r="C8" s="32"/>
      <c r="O8" s="368" t="s">
        <v>589</v>
      </c>
      <c r="P8" s="317"/>
      <c r="Q8" s="317"/>
      <c r="R8" s="317"/>
      <c r="S8" s="317"/>
      <c r="T8" s="317"/>
      <c r="U8" s="317"/>
      <c r="V8" s="317"/>
      <c r="W8" s="317"/>
      <c r="X8" s="318"/>
      <c r="Y8" s="32"/>
      <c r="Z8" s="32"/>
      <c r="AA8" s="32"/>
      <c r="AB8" s="32"/>
      <c r="AC8" s="32"/>
      <c r="AD8" s="32"/>
      <c r="AE8" s="32"/>
      <c r="AF8" s="32"/>
      <c r="AG8" s="32"/>
    </row>
    <row r="9" spans="1:33" ht="19.5" customHeight="1" x14ac:dyDescent="0.15">
      <c r="A9" s="275" t="s">
        <v>521</v>
      </c>
      <c r="B9" s="151"/>
      <c r="C9" s="151"/>
      <c r="D9" s="151"/>
      <c r="E9" s="151"/>
      <c r="F9" s="151"/>
      <c r="G9" s="151"/>
      <c r="H9" s="151"/>
      <c r="I9" s="151"/>
      <c r="J9" s="151"/>
      <c r="K9" s="151"/>
      <c r="L9" s="151"/>
      <c r="M9" s="151"/>
      <c r="N9" s="151"/>
      <c r="O9" s="319"/>
      <c r="P9" s="320"/>
      <c r="Q9" s="320"/>
      <c r="R9" s="321"/>
      <c r="S9" s="321"/>
      <c r="T9" s="321"/>
      <c r="U9" s="321"/>
      <c r="V9" s="321"/>
      <c r="W9" s="321"/>
      <c r="X9" s="322"/>
      <c r="AC9" s="32"/>
      <c r="AD9" s="32"/>
      <c r="AE9" s="32"/>
      <c r="AF9" s="32"/>
      <c r="AG9" s="32"/>
    </row>
    <row r="10" spans="1:33" ht="19.5" customHeight="1" x14ac:dyDescent="0.15">
      <c r="A10" s="492" t="s">
        <v>369</v>
      </c>
      <c r="B10" s="493"/>
      <c r="C10" s="493"/>
      <c r="D10" s="494"/>
      <c r="E10" s="555" t="s">
        <v>370</v>
      </c>
      <c r="F10" s="557" t="s">
        <v>371</v>
      </c>
      <c r="G10" s="494"/>
      <c r="H10" s="557" t="s">
        <v>372</v>
      </c>
      <c r="I10" s="558"/>
      <c r="J10" s="557" t="s">
        <v>373</v>
      </c>
      <c r="K10" s="494"/>
      <c r="L10" s="561" t="s">
        <v>374</v>
      </c>
      <c r="M10" s="562"/>
      <c r="N10" s="152"/>
      <c r="O10" s="323"/>
      <c r="P10" s="324"/>
      <c r="Q10" s="320"/>
      <c r="R10" s="320"/>
      <c r="S10" s="321"/>
      <c r="T10" s="321"/>
      <c r="U10" s="321"/>
      <c r="V10" s="321"/>
      <c r="W10" s="321"/>
      <c r="X10" s="322"/>
      <c r="Y10" s="163"/>
      <c r="AC10" s="32"/>
      <c r="AD10" s="32"/>
      <c r="AE10" s="32"/>
      <c r="AF10" s="32"/>
      <c r="AG10" s="32"/>
    </row>
    <row r="11" spans="1:33" ht="19.5" customHeight="1" x14ac:dyDescent="0.15">
      <c r="A11" s="495"/>
      <c r="B11" s="496"/>
      <c r="C11" s="496"/>
      <c r="D11" s="497"/>
      <c r="E11" s="556"/>
      <c r="F11" s="495"/>
      <c r="G11" s="497"/>
      <c r="H11" s="559"/>
      <c r="I11" s="560"/>
      <c r="J11" s="495"/>
      <c r="K11" s="497"/>
      <c r="L11" s="563"/>
      <c r="M11" s="564"/>
      <c r="N11" s="169"/>
      <c r="O11" s="323"/>
      <c r="P11" s="324"/>
      <c r="Q11" s="320"/>
      <c r="R11" s="321"/>
      <c r="S11" s="321"/>
      <c r="T11" s="321"/>
      <c r="U11" s="321"/>
      <c r="V11" s="321"/>
      <c r="W11" s="321"/>
      <c r="X11" s="322"/>
      <c r="Y11" s="163"/>
      <c r="AC11" s="32"/>
      <c r="AD11" s="32"/>
      <c r="AE11" s="32"/>
      <c r="AF11" s="32"/>
      <c r="AG11" s="32"/>
    </row>
    <row r="12" spans="1:33" ht="19.5" customHeight="1" x14ac:dyDescent="0.15">
      <c r="A12" s="336" t="s">
        <v>522</v>
      </c>
      <c r="B12" s="127"/>
      <c r="C12" s="127"/>
      <c r="D12" s="127"/>
      <c r="E12" s="128">
        <v>1</v>
      </c>
      <c r="F12" s="717">
        <v>25</v>
      </c>
      <c r="G12" s="718"/>
      <c r="H12" s="717">
        <v>6</v>
      </c>
      <c r="I12" s="718"/>
      <c r="J12" s="717">
        <v>100</v>
      </c>
      <c r="K12" s="718"/>
      <c r="L12" s="731">
        <f>ROUND(E12*F12*H12*J12/100,0)</f>
        <v>150</v>
      </c>
      <c r="M12" s="732"/>
      <c r="N12" s="152"/>
      <c r="O12" s="319"/>
      <c r="P12" s="320"/>
      <c r="Q12" s="320"/>
      <c r="R12" s="321"/>
      <c r="S12" s="321"/>
      <c r="T12" s="321"/>
      <c r="U12" s="321"/>
      <c r="V12" s="321"/>
      <c r="W12" s="321"/>
      <c r="X12" s="322"/>
      <c r="AC12" s="32"/>
      <c r="AD12" s="32"/>
      <c r="AE12" s="32"/>
      <c r="AF12" s="32"/>
      <c r="AG12" s="32"/>
    </row>
    <row r="13" spans="1:33" ht="19.5" customHeight="1" x14ac:dyDescent="0.15">
      <c r="A13" s="334" t="s">
        <v>523</v>
      </c>
      <c r="B13" s="129"/>
      <c r="C13" s="129"/>
      <c r="D13" s="129"/>
      <c r="E13" s="130">
        <v>2</v>
      </c>
      <c r="F13" s="498">
        <v>60</v>
      </c>
      <c r="G13" s="499"/>
      <c r="H13" s="498">
        <v>3</v>
      </c>
      <c r="I13" s="499"/>
      <c r="J13" s="498">
        <v>100</v>
      </c>
      <c r="K13" s="499"/>
      <c r="L13" s="574">
        <f>ROUND(E13*F13*H13*J13/100,0)</f>
        <v>360</v>
      </c>
      <c r="M13" s="575"/>
      <c r="N13" s="169"/>
      <c r="O13" s="319"/>
      <c r="P13" s="320"/>
      <c r="Q13" s="320"/>
      <c r="R13" s="324"/>
      <c r="S13" s="321"/>
      <c r="T13" s="321"/>
      <c r="U13" s="321"/>
      <c r="V13" s="321"/>
      <c r="W13" s="321"/>
      <c r="X13" s="322"/>
      <c r="AC13" s="32"/>
      <c r="AD13" s="32"/>
      <c r="AE13" s="32"/>
      <c r="AF13" s="32"/>
      <c r="AG13" s="32"/>
    </row>
    <row r="14" spans="1:33" ht="19.5" customHeight="1" x14ac:dyDescent="0.15">
      <c r="A14" s="140" t="s">
        <v>583</v>
      </c>
      <c r="B14" s="131"/>
      <c r="C14" s="129"/>
      <c r="D14" s="129"/>
      <c r="E14" s="130">
        <v>2</v>
      </c>
      <c r="F14" s="498">
        <v>10</v>
      </c>
      <c r="G14" s="499"/>
      <c r="H14" s="498">
        <v>12</v>
      </c>
      <c r="I14" s="499"/>
      <c r="J14" s="498">
        <v>100</v>
      </c>
      <c r="K14" s="499"/>
      <c r="L14" s="574">
        <f>ROUND(E14*F14*H14*J14/100,0)</f>
        <v>240</v>
      </c>
      <c r="M14" s="575"/>
      <c r="N14" s="169"/>
      <c r="O14" s="319"/>
      <c r="P14" s="320"/>
      <c r="Q14" s="320"/>
      <c r="R14" s="324"/>
      <c r="S14" s="321"/>
      <c r="T14" s="321"/>
      <c r="U14" s="321"/>
      <c r="V14" s="321"/>
      <c r="W14" s="321"/>
      <c r="X14" s="322"/>
      <c r="AC14" s="32"/>
      <c r="AD14" s="32"/>
      <c r="AE14" s="32"/>
      <c r="AF14" s="32"/>
      <c r="AG14" s="32"/>
    </row>
    <row r="15" spans="1:33" ht="19.5" customHeight="1" x14ac:dyDescent="0.15">
      <c r="A15" s="140"/>
      <c r="B15" s="131"/>
      <c r="C15" s="129"/>
      <c r="D15" s="129"/>
      <c r="E15" s="130"/>
      <c r="F15" s="498"/>
      <c r="G15" s="499"/>
      <c r="H15" s="498"/>
      <c r="I15" s="499"/>
      <c r="J15" s="498"/>
      <c r="K15" s="499"/>
      <c r="L15" s="574">
        <f>ROUND(E15*F15*H15*J15/100,0)</f>
        <v>0</v>
      </c>
      <c r="M15" s="575"/>
      <c r="N15" s="169"/>
      <c r="O15" s="319"/>
      <c r="P15" s="320"/>
      <c r="Q15" s="320"/>
      <c r="R15" s="324"/>
      <c r="S15" s="321"/>
      <c r="T15" s="321"/>
      <c r="U15" s="321"/>
      <c r="V15" s="321"/>
      <c r="W15" s="321"/>
      <c r="X15" s="322"/>
      <c r="AC15" s="32"/>
      <c r="AD15" s="32"/>
      <c r="AE15" s="32"/>
      <c r="AF15" s="32"/>
      <c r="AG15" s="32"/>
    </row>
    <row r="16" spans="1:33" ht="19.5" customHeight="1" x14ac:dyDescent="0.15">
      <c r="A16" s="334"/>
      <c r="B16" s="131"/>
      <c r="C16" s="131"/>
      <c r="D16" s="131"/>
      <c r="E16" s="132"/>
      <c r="F16" s="498"/>
      <c r="G16" s="499"/>
      <c r="H16" s="498"/>
      <c r="I16" s="499"/>
      <c r="J16" s="498"/>
      <c r="K16" s="499"/>
      <c r="L16" s="574">
        <f t="shared" ref="L16:L18" si="0">ROUND(E16*F16*H16*J16/100,0)</f>
        <v>0</v>
      </c>
      <c r="M16" s="575"/>
      <c r="N16" s="169"/>
      <c r="O16" s="319"/>
      <c r="P16" s="320"/>
      <c r="Q16" s="320"/>
      <c r="R16" s="324"/>
      <c r="S16" s="321"/>
      <c r="T16" s="321"/>
      <c r="U16" s="321"/>
      <c r="V16" s="321"/>
      <c r="W16" s="321"/>
      <c r="X16" s="322"/>
      <c r="AC16" s="32"/>
      <c r="AD16" s="32"/>
      <c r="AE16" s="32"/>
      <c r="AF16" s="32"/>
      <c r="AG16" s="32"/>
    </row>
    <row r="17" spans="1:33" ht="19.5" customHeight="1" x14ac:dyDescent="0.15">
      <c r="A17" s="334"/>
      <c r="B17" s="131"/>
      <c r="C17" s="129"/>
      <c r="D17" s="129"/>
      <c r="E17" s="130"/>
      <c r="F17" s="498"/>
      <c r="G17" s="499"/>
      <c r="H17" s="498"/>
      <c r="I17" s="499"/>
      <c r="J17" s="498"/>
      <c r="K17" s="499"/>
      <c r="L17" s="574">
        <f t="shared" si="0"/>
        <v>0</v>
      </c>
      <c r="M17" s="575"/>
      <c r="N17" s="169"/>
      <c r="O17" s="319"/>
      <c r="P17" s="320"/>
      <c r="Q17" s="320"/>
      <c r="R17" s="324"/>
      <c r="S17" s="321"/>
      <c r="T17" s="321"/>
      <c r="U17" s="321"/>
      <c r="V17" s="321"/>
      <c r="W17" s="321"/>
      <c r="X17" s="322"/>
      <c r="AC17" s="32"/>
      <c r="AD17" s="32"/>
      <c r="AE17" s="32"/>
      <c r="AF17" s="32"/>
      <c r="AG17" s="32"/>
    </row>
    <row r="18" spans="1:33" ht="19.5" customHeight="1" x14ac:dyDescent="0.15">
      <c r="A18" s="334"/>
      <c r="B18" s="131"/>
      <c r="C18" s="129"/>
      <c r="D18" s="129"/>
      <c r="E18" s="130"/>
      <c r="F18" s="498"/>
      <c r="G18" s="499"/>
      <c r="H18" s="498"/>
      <c r="I18" s="499"/>
      <c r="J18" s="498"/>
      <c r="K18" s="499"/>
      <c r="L18" s="574">
        <f t="shared" si="0"/>
        <v>0</v>
      </c>
      <c r="M18" s="575"/>
      <c r="N18" s="169"/>
      <c r="O18" s="319"/>
      <c r="P18" s="320"/>
      <c r="Q18" s="320"/>
      <c r="R18" s="324"/>
      <c r="S18" s="321"/>
      <c r="T18" s="321"/>
      <c r="U18" s="321"/>
      <c r="V18" s="321"/>
      <c r="W18" s="321"/>
      <c r="X18" s="322"/>
      <c r="AC18" s="32"/>
      <c r="AD18" s="32"/>
      <c r="AE18" s="32"/>
      <c r="AF18" s="32"/>
      <c r="AG18" s="32"/>
    </row>
    <row r="19" spans="1:33" ht="19.5" customHeight="1" x14ac:dyDescent="0.15">
      <c r="A19" s="334"/>
      <c r="B19" s="131"/>
      <c r="C19" s="131"/>
      <c r="D19" s="131"/>
      <c r="E19" s="132"/>
      <c r="F19" s="498"/>
      <c r="G19" s="499"/>
      <c r="H19" s="498"/>
      <c r="I19" s="499"/>
      <c r="J19" s="498"/>
      <c r="K19" s="499"/>
      <c r="L19" s="574">
        <f>ROUND(E19*F19*H19*J19/100,0)</f>
        <v>0</v>
      </c>
      <c r="M19" s="575"/>
      <c r="N19" s="169"/>
      <c r="O19" s="319"/>
      <c r="P19" s="320"/>
      <c r="Q19" s="320"/>
      <c r="R19" s="324"/>
      <c r="S19" s="321"/>
      <c r="T19" s="321"/>
      <c r="U19" s="321"/>
      <c r="V19" s="321"/>
      <c r="W19" s="321"/>
      <c r="X19" s="322"/>
      <c r="AC19" s="32"/>
      <c r="AD19" s="32"/>
      <c r="AE19" s="32"/>
      <c r="AF19" s="32"/>
      <c r="AG19" s="32"/>
    </row>
    <row r="20" spans="1:33" ht="19.5" customHeight="1" x14ac:dyDescent="0.15">
      <c r="A20" s="335"/>
      <c r="B20" s="133"/>
      <c r="C20" s="133"/>
      <c r="D20" s="133"/>
      <c r="E20" s="134"/>
      <c r="F20" s="576"/>
      <c r="G20" s="577"/>
      <c r="H20" s="576"/>
      <c r="I20" s="577"/>
      <c r="J20" s="576"/>
      <c r="K20" s="577"/>
      <c r="L20" s="578">
        <f>ROUND(E20*F20*H20*J20/100,0)</f>
        <v>0</v>
      </c>
      <c r="M20" s="579"/>
      <c r="N20" s="169"/>
      <c r="O20" s="319"/>
      <c r="P20" s="320"/>
      <c r="Q20" s="320"/>
      <c r="R20" s="324"/>
      <c r="S20" s="321"/>
      <c r="T20" s="321"/>
      <c r="U20" s="321"/>
      <c r="V20" s="321"/>
      <c r="W20" s="321"/>
      <c r="X20" s="322"/>
      <c r="AC20" s="32"/>
      <c r="AD20" s="32"/>
      <c r="AE20" s="32"/>
      <c r="AF20" s="32"/>
      <c r="AG20" s="32"/>
    </row>
    <row r="21" spans="1:33" ht="19.5" customHeight="1" x14ac:dyDescent="0.15">
      <c r="A21" s="152"/>
      <c r="B21" s="152"/>
      <c r="C21" s="152"/>
      <c r="D21" s="152"/>
      <c r="E21" s="152"/>
      <c r="F21" s="152"/>
      <c r="G21" s="152"/>
      <c r="H21" s="492" t="s">
        <v>379</v>
      </c>
      <c r="I21" s="493"/>
      <c r="J21" s="494"/>
      <c r="K21" s="673">
        <f>SUM(L12:M20)</f>
        <v>750</v>
      </c>
      <c r="L21" s="735"/>
      <c r="M21" s="276" t="s">
        <v>524</v>
      </c>
      <c r="N21" s="151"/>
      <c r="O21" s="319"/>
      <c r="P21" s="320"/>
      <c r="Q21" s="320"/>
      <c r="R21" s="320"/>
      <c r="S21" s="321"/>
      <c r="T21" s="321"/>
      <c r="U21" s="321"/>
      <c r="V21" s="321"/>
      <c r="W21" s="321"/>
      <c r="X21" s="322"/>
      <c r="AC21" s="32"/>
      <c r="AD21" s="32"/>
      <c r="AE21" s="32"/>
      <c r="AF21" s="32"/>
      <c r="AG21" s="32"/>
    </row>
    <row r="22" spans="1:33" ht="19.5" customHeight="1" x14ac:dyDescent="0.15">
      <c r="A22" s="152"/>
      <c r="B22" s="152"/>
      <c r="C22" s="152"/>
      <c r="D22" s="152"/>
      <c r="E22" s="152"/>
      <c r="F22" s="152"/>
      <c r="G22" s="152"/>
      <c r="H22" s="495"/>
      <c r="I22" s="496"/>
      <c r="J22" s="497"/>
      <c r="K22" s="675">
        <f>ROUND(K21/60,0)</f>
        <v>13</v>
      </c>
      <c r="L22" s="734"/>
      <c r="M22" s="277" t="s">
        <v>381</v>
      </c>
      <c r="N22" s="273"/>
      <c r="O22" s="319"/>
      <c r="P22" s="320"/>
      <c r="Q22" s="320"/>
      <c r="R22" s="320"/>
      <c r="S22" s="321"/>
      <c r="T22" s="321"/>
      <c r="U22" s="321"/>
      <c r="V22" s="321"/>
      <c r="W22" s="321"/>
      <c r="X22" s="325"/>
      <c r="AC22" s="32"/>
      <c r="AD22" s="32"/>
      <c r="AE22" s="32"/>
      <c r="AF22" s="32"/>
      <c r="AG22" s="32"/>
    </row>
    <row r="23" spans="1:33" s="151" customFormat="1" ht="19.5" customHeight="1" x14ac:dyDescent="0.15">
      <c r="F23" s="150"/>
      <c r="G23" s="150"/>
      <c r="H23" s="284"/>
      <c r="I23" s="284"/>
      <c r="J23" s="284"/>
      <c r="K23" s="284"/>
      <c r="L23" s="284"/>
      <c r="M23" s="168"/>
      <c r="N23" s="150"/>
      <c r="O23" s="301"/>
      <c r="P23" s="302"/>
      <c r="Q23" s="302"/>
      <c r="R23" s="302"/>
      <c r="S23" s="326"/>
      <c r="T23" s="326"/>
      <c r="U23" s="326"/>
      <c r="V23" s="326"/>
      <c r="W23" s="326"/>
      <c r="X23" s="327"/>
      <c r="AC23" s="152"/>
      <c r="AD23" s="152"/>
      <c r="AE23" s="152"/>
      <c r="AF23" s="152"/>
      <c r="AG23" s="152"/>
    </row>
    <row r="24" spans="1:33" s="151" customFormat="1" ht="19.5" customHeight="1" x14ac:dyDescent="0.15">
      <c r="A24" s="255" t="s">
        <v>382</v>
      </c>
      <c r="Q24" s="150"/>
      <c r="R24" s="150"/>
      <c r="AC24" s="152"/>
      <c r="AD24" s="152"/>
      <c r="AE24" s="152"/>
      <c r="AF24" s="152"/>
      <c r="AG24" s="152"/>
    </row>
    <row r="25" spans="1:33" s="151" customFormat="1" ht="19.5" customHeight="1" x14ac:dyDescent="0.15">
      <c r="A25" s="671" t="s">
        <v>383</v>
      </c>
      <c r="B25" s="671"/>
      <c r="C25" s="491" t="s">
        <v>525</v>
      </c>
      <c r="D25" s="491"/>
      <c r="E25" s="491"/>
      <c r="F25" s="671" t="s">
        <v>526</v>
      </c>
      <c r="G25" s="671"/>
      <c r="H25" s="671"/>
      <c r="I25" s="119">
        <v>120</v>
      </c>
      <c r="J25" s="166" t="s">
        <v>527</v>
      </c>
      <c r="K25" s="671" t="s">
        <v>528</v>
      </c>
      <c r="L25" s="671"/>
      <c r="M25" s="119">
        <v>10</v>
      </c>
      <c r="N25" s="166" t="s">
        <v>529</v>
      </c>
      <c r="O25" s="671" t="s">
        <v>530</v>
      </c>
      <c r="P25" s="671"/>
      <c r="Q25" s="131">
        <v>30</v>
      </c>
      <c r="R25" s="150" t="s">
        <v>531</v>
      </c>
      <c r="AC25" s="152"/>
      <c r="AD25" s="152"/>
      <c r="AE25" s="152"/>
      <c r="AF25" s="152"/>
      <c r="AG25" s="152"/>
    </row>
    <row r="26" spans="1:33" s="151" customFormat="1" ht="19.5" customHeight="1" x14ac:dyDescent="0.15">
      <c r="B26" s="151" t="s">
        <v>532</v>
      </c>
      <c r="C26" s="151" t="s">
        <v>533</v>
      </c>
      <c r="D26" s="151" t="s">
        <v>590</v>
      </c>
      <c r="F26" s="171"/>
      <c r="G26" s="171" t="s">
        <v>534</v>
      </c>
      <c r="H26" s="171" t="s">
        <v>535</v>
      </c>
      <c r="K26" s="151" t="s">
        <v>536</v>
      </c>
      <c r="L26" s="151" t="s">
        <v>537</v>
      </c>
      <c r="M26" s="151" t="s">
        <v>392</v>
      </c>
      <c r="R26" s="171"/>
      <c r="AC26" s="152"/>
      <c r="AD26" s="152"/>
      <c r="AE26" s="152"/>
      <c r="AF26" s="152"/>
      <c r="AG26" s="152"/>
    </row>
    <row r="27" spans="1:33" s="151" customFormat="1" ht="19.5" customHeight="1" x14ac:dyDescent="0.15">
      <c r="C27" s="151" t="s">
        <v>533</v>
      </c>
      <c r="D27" s="489">
        <f>S28</f>
        <v>3600</v>
      </c>
      <c r="E27" s="489"/>
      <c r="F27" s="490">
        <f>M29</f>
        <v>10</v>
      </c>
      <c r="G27" s="490"/>
      <c r="H27" s="173">
        <f>M30</f>
        <v>2.5</v>
      </c>
      <c r="K27" s="151" t="s">
        <v>538</v>
      </c>
      <c r="L27" s="151" t="s">
        <v>539</v>
      </c>
      <c r="M27" s="151" t="s">
        <v>393</v>
      </c>
      <c r="AC27" s="152"/>
      <c r="AD27" s="152"/>
      <c r="AE27" s="152"/>
      <c r="AF27" s="152"/>
      <c r="AG27" s="152"/>
    </row>
    <row r="28" spans="1:33" s="151" customFormat="1" ht="19.5" customHeight="1" x14ac:dyDescent="0.15">
      <c r="C28" s="151" t="s">
        <v>539</v>
      </c>
      <c r="D28" s="278">
        <f>ROUND(S28/(M29*60)*H27,0)</f>
        <v>15</v>
      </c>
      <c r="E28" s="273" t="s">
        <v>540</v>
      </c>
      <c r="L28" s="151" t="s">
        <v>539</v>
      </c>
      <c r="M28" s="173">
        <f>ROUND(Q25,0)</f>
        <v>30</v>
      </c>
      <c r="N28" s="151" t="s">
        <v>541</v>
      </c>
      <c r="P28" s="166">
        <f>ROUND(I25,0)</f>
        <v>120</v>
      </c>
      <c r="Q28" s="151" t="s">
        <v>395</v>
      </c>
      <c r="R28" s="171" t="s">
        <v>48</v>
      </c>
      <c r="S28" s="663">
        <f>ROUND(M28*P28,0)</f>
        <v>3600</v>
      </c>
      <c r="T28" s="663"/>
      <c r="U28" s="151" t="s">
        <v>396</v>
      </c>
      <c r="AC28" s="152"/>
      <c r="AD28" s="152"/>
      <c r="AE28" s="152"/>
      <c r="AF28" s="152"/>
      <c r="AG28" s="152"/>
    </row>
    <row r="29" spans="1:33" s="151" customFormat="1" ht="19.5" customHeight="1" x14ac:dyDescent="0.15">
      <c r="D29" s="272"/>
      <c r="E29" s="273"/>
      <c r="F29" s="166"/>
      <c r="K29" s="151" t="s">
        <v>397</v>
      </c>
      <c r="L29" s="151" t="s">
        <v>55</v>
      </c>
      <c r="M29" s="173">
        <f>M25</f>
        <v>10</v>
      </c>
      <c r="N29" s="151" t="s">
        <v>398</v>
      </c>
      <c r="AC29" s="152"/>
      <c r="AD29" s="152"/>
      <c r="AE29" s="152"/>
      <c r="AF29" s="152"/>
      <c r="AG29" s="152"/>
    </row>
    <row r="30" spans="1:33" s="151" customFormat="1" ht="19.5" customHeight="1" x14ac:dyDescent="0.15">
      <c r="K30" s="151" t="s">
        <v>391</v>
      </c>
      <c r="L30" s="151" t="s">
        <v>55</v>
      </c>
      <c r="M30" s="283">
        <v>2.5</v>
      </c>
      <c r="N30" s="151" t="s">
        <v>399</v>
      </c>
      <c r="R30" s="171"/>
      <c r="AC30" s="152"/>
      <c r="AD30" s="152"/>
      <c r="AE30" s="152"/>
      <c r="AF30" s="152"/>
      <c r="AG30" s="152"/>
    </row>
    <row r="31" spans="1:33" s="151" customFormat="1" ht="19.5" customHeight="1" thickBot="1" x14ac:dyDescent="0.2">
      <c r="AC31" s="152"/>
      <c r="AD31" s="152"/>
      <c r="AE31" s="152"/>
      <c r="AF31" s="152"/>
      <c r="AG31" s="152"/>
    </row>
    <row r="32" spans="1:33" s="151" customFormat="1" ht="19.5" customHeight="1" x14ac:dyDescent="0.15">
      <c r="A32" s="664" t="s">
        <v>71</v>
      </c>
      <c r="B32" s="665"/>
      <c r="C32" s="665"/>
      <c r="D32" s="666"/>
      <c r="E32" s="667" t="s">
        <v>72</v>
      </c>
      <c r="F32" s="665"/>
      <c r="G32" s="665"/>
      <c r="H32" s="665"/>
      <c r="I32" s="665"/>
      <c r="J32" s="665"/>
      <c r="K32" s="665"/>
      <c r="L32" s="665"/>
      <c r="M32" s="665"/>
      <c r="N32" s="665"/>
      <c r="O32" s="665"/>
      <c r="P32" s="665"/>
      <c r="Q32" s="666"/>
      <c r="R32" s="667" t="s">
        <v>73</v>
      </c>
      <c r="S32" s="665"/>
      <c r="T32" s="665"/>
      <c r="U32" s="665"/>
      <c r="V32" s="666"/>
      <c r="W32" s="665" t="s">
        <v>74</v>
      </c>
      <c r="X32" s="665"/>
      <c r="Y32" s="669"/>
      <c r="AC32" s="152"/>
      <c r="AD32" s="152"/>
      <c r="AE32" s="152"/>
      <c r="AF32" s="152"/>
      <c r="AG32" s="152"/>
    </row>
    <row r="33" spans="1:33" s="151" customFormat="1" ht="19.5" customHeight="1" x14ac:dyDescent="0.15">
      <c r="A33" s="571"/>
      <c r="B33" s="572"/>
      <c r="C33" s="572"/>
      <c r="D33" s="573"/>
      <c r="E33" s="668"/>
      <c r="F33" s="572"/>
      <c r="G33" s="572"/>
      <c r="H33" s="572"/>
      <c r="I33" s="572"/>
      <c r="J33" s="572"/>
      <c r="K33" s="572"/>
      <c r="L33" s="572"/>
      <c r="M33" s="572"/>
      <c r="N33" s="572"/>
      <c r="O33" s="572"/>
      <c r="P33" s="572"/>
      <c r="Q33" s="573"/>
      <c r="R33" s="668"/>
      <c r="S33" s="572"/>
      <c r="T33" s="572"/>
      <c r="U33" s="572"/>
      <c r="V33" s="573"/>
      <c r="W33" s="572"/>
      <c r="X33" s="572"/>
      <c r="Y33" s="670"/>
      <c r="AC33" s="152"/>
      <c r="AD33" s="152"/>
      <c r="AE33" s="152"/>
      <c r="AF33" s="152"/>
      <c r="AG33" s="152"/>
    </row>
    <row r="34" spans="1:33" s="151" customFormat="1" ht="19.5" customHeight="1" x14ac:dyDescent="0.15">
      <c r="A34" s="565" t="s">
        <v>75</v>
      </c>
      <c r="B34" s="566"/>
      <c r="C34" s="566"/>
      <c r="D34" s="567"/>
      <c r="E34" s="120" t="s">
        <v>263</v>
      </c>
      <c r="F34" s="27"/>
      <c r="G34" s="27"/>
      <c r="H34" s="27"/>
      <c r="I34" s="28"/>
      <c r="J34" s="27"/>
      <c r="K34" s="28"/>
      <c r="L34" s="27"/>
      <c r="M34" s="29"/>
      <c r="N34" s="29"/>
      <c r="O34" s="29"/>
      <c r="P34" s="29"/>
      <c r="Q34" s="30"/>
      <c r="R34" s="584" t="s">
        <v>77</v>
      </c>
      <c r="S34" s="585"/>
      <c r="T34" s="585"/>
      <c r="U34" s="585"/>
      <c r="V34" s="586"/>
      <c r="W34" s="602" t="str">
        <f>IF(F36&gt;400,"×","○")</f>
        <v>○</v>
      </c>
      <c r="X34" s="603"/>
      <c r="Y34" s="604"/>
      <c r="AC34" s="152"/>
      <c r="AD34" s="152"/>
      <c r="AE34" s="152"/>
      <c r="AF34" s="152"/>
      <c r="AG34" s="152"/>
    </row>
    <row r="35" spans="1:33" s="151" customFormat="1" ht="19.5" customHeight="1" x14ac:dyDescent="0.15">
      <c r="A35" s="568"/>
      <c r="B35" s="569"/>
      <c r="C35" s="569"/>
      <c r="D35" s="570"/>
      <c r="E35" s="31" t="s">
        <v>55</v>
      </c>
      <c r="F35" s="611">
        <f>IF(E7="例①",ROUND(K22*3,0),IF(E7="例②",ROUND(D28*3,0)))</f>
        <v>39</v>
      </c>
      <c r="G35" s="611"/>
      <c r="H35" s="47" t="s">
        <v>86</v>
      </c>
      <c r="I35" s="612">
        <f>IF(E7="例①",ROUND(K22*10,0),IF(E7="例②",ROUND(D28*10,0)))</f>
        <v>130</v>
      </c>
      <c r="J35" s="612"/>
      <c r="K35" s="34" t="s">
        <v>381</v>
      </c>
      <c r="L35" s="36"/>
      <c r="M35" s="32"/>
      <c r="N35" s="32"/>
      <c r="O35" s="32"/>
      <c r="P35" s="32"/>
      <c r="Q35" s="37"/>
      <c r="R35" s="587"/>
      <c r="S35" s="588"/>
      <c r="T35" s="588"/>
      <c r="U35" s="588"/>
      <c r="V35" s="589"/>
      <c r="W35" s="605"/>
      <c r="X35" s="606"/>
      <c r="Y35" s="607"/>
      <c r="AC35" s="152"/>
      <c r="AD35" s="152"/>
      <c r="AE35" s="152"/>
      <c r="AF35" s="152"/>
      <c r="AG35" s="152"/>
    </row>
    <row r="36" spans="1:33" s="151" customFormat="1" ht="19.5" customHeight="1" x14ac:dyDescent="0.15">
      <c r="A36" s="571"/>
      <c r="B36" s="572"/>
      <c r="C36" s="572"/>
      <c r="D36" s="573"/>
      <c r="E36" s="38" t="s">
        <v>91</v>
      </c>
      <c r="F36" s="620">
        <v>100</v>
      </c>
      <c r="G36" s="620"/>
      <c r="H36" s="39" t="s">
        <v>81</v>
      </c>
      <c r="I36" s="39"/>
      <c r="J36" s="39"/>
      <c r="K36" s="40"/>
      <c r="L36" s="39"/>
      <c r="M36" s="41"/>
      <c r="N36" s="41"/>
      <c r="O36" s="41"/>
      <c r="P36" s="41"/>
      <c r="Q36" s="42"/>
      <c r="R36" s="590"/>
      <c r="S36" s="591"/>
      <c r="T36" s="591"/>
      <c r="U36" s="591"/>
      <c r="V36" s="592"/>
      <c r="W36" s="608"/>
      <c r="X36" s="609"/>
      <c r="Y36" s="610"/>
      <c r="AC36" s="152"/>
      <c r="AD36" s="152"/>
      <c r="AE36" s="152"/>
      <c r="AF36" s="152"/>
      <c r="AG36" s="152"/>
    </row>
    <row r="37" spans="1:33" s="151" customFormat="1" ht="19.5" customHeight="1" x14ac:dyDescent="0.15">
      <c r="A37" s="565" t="s">
        <v>82</v>
      </c>
      <c r="B37" s="566"/>
      <c r="C37" s="566"/>
      <c r="D37" s="567"/>
      <c r="E37" s="121" t="s">
        <v>400</v>
      </c>
      <c r="F37" s="27"/>
      <c r="G37" s="27"/>
      <c r="H37" s="122"/>
      <c r="I37" s="123"/>
      <c r="J37" s="29">
        <f>IF(E7="例①",K22,IF(E7="例②",D28))</f>
        <v>13</v>
      </c>
      <c r="K37" s="27" t="s">
        <v>50</v>
      </c>
      <c r="L37" s="102">
        <v>120</v>
      </c>
      <c r="M37" s="27" t="s">
        <v>87</v>
      </c>
      <c r="N37" s="29" t="s">
        <v>48</v>
      </c>
      <c r="O37" s="621">
        <f>IF(E7="例①",ROUND(K22*0.12,2),IF(E7="例②",ROUND(D28*0.12,2)))</f>
        <v>1.56</v>
      </c>
      <c r="P37" s="621"/>
      <c r="Q37" s="125" t="s">
        <v>603</v>
      </c>
      <c r="R37" s="502" t="s">
        <v>88</v>
      </c>
      <c r="S37" s="503"/>
      <c r="T37" s="503"/>
      <c r="U37" s="503"/>
      <c r="V37" s="504"/>
      <c r="W37" s="622" t="str">
        <f>IF(H38*1.5&gt;N40+T41,"×","○")</f>
        <v>○</v>
      </c>
      <c r="X37" s="623"/>
      <c r="Y37" s="624"/>
      <c r="AC37" s="152"/>
      <c r="AD37" s="152"/>
      <c r="AE37" s="152"/>
      <c r="AF37" s="152"/>
      <c r="AG37" s="152"/>
    </row>
    <row r="38" spans="1:33" s="151" customFormat="1" ht="19.5" customHeight="1" x14ac:dyDescent="0.15">
      <c r="A38" s="568"/>
      <c r="B38" s="569"/>
      <c r="C38" s="569"/>
      <c r="D38" s="570"/>
      <c r="E38" s="45" t="s">
        <v>542</v>
      </c>
      <c r="F38" s="46"/>
      <c r="G38" s="40"/>
      <c r="H38" s="501">
        <f>O37</f>
        <v>1.56</v>
      </c>
      <c r="I38" s="501"/>
      <c r="J38" s="56" t="s">
        <v>602</v>
      </c>
      <c r="K38" s="50" t="s">
        <v>92</v>
      </c>
      <c r="L38" s="54"/>
      <c r="M38" s="54"/>
      <c r="N38" s="41"/>
      <c r="O38" s="41"/>
      <c r="P38" s="41"/>
      <c r="Q38" s="42"/>
      <c r="R38" s="505"/>
      <c r="S38" s="506"/>
      <c r="T38" s="506"/>
      <c r="U38" s="506"/>
      <c r="V38" s="507"/>
      <c r="W38" s="625"/>
      <c r="X38" s="626"/>
      <c r="Y38" s="627"/>
      <c r="AC38" s="152"/>
      <c r="AD38" s="152"/>
      <c r="AE38" s="152"/>
      <c r="AF38" s="152"/>
      <c r="AG38" s="152"/>
    </row>
    <row r="39" spans="1:33" s="151" customFormat="1" ht="19.5" customHeight="1" x14ac:dyDescent="0.15">
      <c r="A39" s="568"/>
      <c r="B39" s="569"/>
      <c r="C39" s="569"/>
      <c r="D39" s="570"/>
      <c r="E39" s="52" t="s">
        <v>93</v>
      </c>
      <c r="F39" s="53"/>
      <c r="G39" s="53"/>
      <c r="H39" s="53"/>
      <c r="I39" s="34"/>
      <c r="J39" s="34"/>
      <c r="K39" s="34"/>
      <c r="L39" s="34"/>
      <c r="M39" s="34"/>
      <c r="N39" s="32"/>
      <c r="O39" s="32"/>
      <c r="P39" s="32"/>
      <c r="Q39" s="37"/>
      <c r="R39" s="508"/>
      <c r="S39" s="509"/>
      <c r="T39" s="509"/>
      <c r="U39" s="509"/>
      <c r="V39" s="510"/>
      <c r="W39" s="625"/>
      <c r="X39" s="626"/>
      <c r="Y39" s="627"/>
      <c r="AC39" s="152"/>
      <c r="AD39" s="152"/>
      <c r="AE39" s="152"/>
      <c r="AF39" s="152"/>
      <c r="AG39" s="152"/>
    </row>
    <row r="40" spans="1:33" s="151" customFormat="1" ht="19.5" customHeight="1" x14ac:dyDescent="0.15">
      <c r="A40" s="568"/>
      <c r="B40" s="569"/>
      <c r="C40" s="569"/>
      <c r="D40" s="570"/>
      <c r="E40" s="55" t="s">
        <v>142</v>
      </c>
      <c r="F40" s="501">
        <f>H41*K41</f>
        <v>12</v>
      </c>
      <c r="G40" s="501"/>
      <c r="H40" s="56" t="s">
        <v>601</v>
      </c>
      <c r="I40" s="40" t="s">
        <v>14</v>
      </c>
      <c r="J40" s="500">
        <f>N41</f>
        <v>1</v>
      </c>
      <c r="K40" s="500"/>
      <c r="L40" s="56" t="s">
        <v>146</v>
      </c>
      <c r="M40" s="351" t="s">
        <v>598</v>
      </c>
      <c r="N40" s="501">
        <f>ROUND(F40*J40,2)</f>
        <v>12</v>
      </c>
      <c r="O40" s="501"/>
      <c r="P40" s="56" t="s">
        <v>603</v>
      </c>
      <c r="Q40" s="42"/>
      <c r="R40" s="511" t="s">
        <v>606</v>
      </c>
      <c r="S40" s="512"/>
      <c r="T40" s="512"/>
      <c r="U40" s="512"/>
      <c r="V40" s="513"/>
      <c r="W40" s="625"/>
      <c r="X40" s="626"/>
      <c r="Y40" s="627"/>
      <c r="AC40" s="152"/>
      <c r="AD40" s="152"/>
      <c r="AE40" s="152"/>
      <c r="AF40" s="152"/>
      <c r="AG40" s="152"/>
    </row>
    <row r="41" spans="1:33" ht="19.5" customHeight="1" x14ac:dyDescent="0.15">
      <c r="A41" s="571"/>
      <c r="B41" s="572"/>
      <c r="C41" s="572"/>
      <c r="D41" s="573"/>
      <c r="E41" s="632" t="s">
        <v>94</v>
      </c>
      <c r="F41" s="633"/>
      <c r="G41" s="57"/>
      <c r="H41" s="634">
        <v>4</v>
      </c>
      <c r="I41" s="634"/>
      <c r="J41" s="141" t="s">
        <v>14</v>
      </c>
      <c r="K41" s="635">
        <v>3</v>
      </c>
      <c r="L41" s="635"/>
      <c r="M41" s="142" t="s">
        <v>85</v>
      </c>
      <c r="N41" s="613">
        <v>1</v>
      </c>
      <c r="O41" s="613"/>
      <c r="P41" s="143" t="s">
        <v>95</v>
      </c>
      <c r="Q41" s="58" t="s">
        <v>96</v>
      </c>
      <c r="R41" s="353" t="s">
        <v>605</v>
      </c>
      <c r="S41" s="352"/>
      <c r="T41" s="514"/>
      <c r="U41" s="514"/>
      <c r="V41" s="354" t="s">
        <v>604</v>
      </c>
      <c r="W41" s="628"/>
      <c r="X41" s="629"/>
      <c r="Y41" s="630"/>
      <c r="AC41" s="32"/>
      <c r="AD41" s="32"/>
      <c r="AE41" s="32"/>
      <c r="AF41" s="32"/>
      <c r="AG41" s="32"/>
    </row>
    <row r="42" spans="1:33" ht="19.5" customHeight="1" x14ac:dyDescent="0.15">
      <c r="A42" s="614" t="s">
        <v>97</v>
      </c>
      <c r="B42" s="603"/>
      <c r="C42" s="603"/>
      <c r="D42" s="615"/>
      <c r="E42" s="59" t="s">
        <v>98</v>
      </c>
      <c r="F42" s="60" t="s">
        <v>55</v>
      </c>
      <c r="G42" s="60">
        <v>146</v>
      </c>
      <c r="H42" s="61" t="s">
        <v>472</v>
      </c>
      <c r="I42" s="62" t="s">
        <v>100</v>
      </c>
      <c r="J42" s="60"/>
      <c r="K42" s="63"/>
      <c r="L42" s="60" t="s">
        <v>101</v>
      </c>
      <c r="M42" s="60" t="s">
        <v>102</v>
      </c>
      <c r="N42" s="63"/>
      <c r="O42" s="64"/>
      <c r="P42" s="63"/>
      <c r="Q42" s="65"/>
      <c r="R42" s="686" t="s">
        <v>406</v>
      </c>
      <c r="S42" s="687"/>
      <c r="T42" s="687"/>
      <c r="U42" s="687"/>
      <c r="V42" s="688"/>
      <c r="W42" s="636" t="str">
        <f>IF(H45&gt;=50,"○","×")</f>
        <v>○</v>
      </c>
      <c r="X42" s="534"/>
      <c r="Y42" s="637"/>
      <c r="AC42" s="32"/>
      <c r="AD42" s="32"/>
      <c r="AE42" s="32"/>
      <c r="AF42" s="32"/>
      <c r="AG42" s="32"/>
    </row>
    <row r="43" spans="1:33" ht="19.5" customHeight="1" x14ac:dyDescent="0.15">
      <c r="A43" s="616"/>
      <c r="B43" s="606"/>
      <c r="C43" s="606"/>
      <c r="D43" s="617"/>
      <c r="E43" s="59"/>
      <c r="F43" s="64"/>
      <c r="G43" s="60"/>
      <c r="H43" s="60"/>
      <c r="I43" s="60"/>
      <c r="J43" s="60"/>
      <c r="K43" s="60" t="s">
        <v>104</v>
      </c>
      <c r="L43" s="64"/>
      <c r="M43" s="60"/>
      <c r="N43" s="63"/>
      <c r="O43" s="63"/>
      <c r="P43" s="63"/>
      <c r="Q43" s="65"/>
      <c r="R43" s="689"/>
      <c r="S43" s="690"/>
      <c r="T43" s="690"/>
      <c r="U43" s="690"/>
      <c r="V43" s="691"/>
      <c r="W43" s="638"/>
      <c r="X43" s="537"/>
      <c r="Y43" s="639"/>
      <c r="Z43" s="32"/>
      <c r="AA43" s="32"/>
      <c r="AB43" s="32"/>
      <c r="AC43" s="32"/>
      <c r="AD43" s="32"/>
      <c r="AE43" s="32"/>
      <c r="AF43" s="32"/>
      <c r="AG43" s="32"/>
    </row>
    <row r="44" spans="1:33" ht="19.5" customHeight="1" x14ac:dyDescent="0.15">
      <c r="A44" s="616"/>
      <c r="B44" s="606"/>
      <c r="C44" s="606"/>
      <c r="D44" s="617"/>
      <c r="E44" s="66"/>
      <c r="F44" s="67" t="s">
        <v>55</v>
      </c>
      <c r="G44" s="695">
        <f>ROUNDUP(146*SQRT(F36/(1000*1.5)),1)</f>
        <v>37.700000000000003</v>
      </c>
      <c r="H44" s="695"/>
      <c r="I44" s="67" t="s">
        <v>107</v>
      </c>
      <c r="J44" s="68" t="s">
        <v>86</v>
      </c>
      <c r="K44" s="525">
        <f>ROUNDUP(146*SQRT(F36/(1000*1)),1)</f>
        <v>46.2</v>
      </c>
      <c r="L44" s="525"/>
      <c r="M44" s="67" t="s">
        <v>107</v>
      </c>
      <c r="N44" s="63"/>
      <c r="O44" s="63"/>
      <c r="P44" s="63"/>
      <c r="Q44" s="65"/>
      <c r="R44" s="689"/>
      <c r="S44" s="690"/>
      <c r="T44" s="690"/>
      <c r="U44" s="690"/>
      <c r="V44" s="691"/>
      <c r="W44" s="638"/>
      <c r="X44" s="537"/>
      <c r="Y44" s="639"/>
      <c r="Z44" s="32"/>
      <c r="AA44" s="32"/>
      <c r="AB44" s="32"/>
      <c r="AC44" s="32"/>
      <c r="AD44" s="32"/>
      <c r="AE44" s="32"/>
      <c r="AF44" s="32"/>
      <c r="AG44" s="32"/>
    </row>
    <row r="45" spans="1:33" ht="19.5" customHeight="1" x14ac:dyDescent="0.15">
      <c r="A45" s="618"/>
      <c r="B45" s="609"/>
      <c r="C45" s="609"/>
      <c r="D45" s="619"/>
      <c r="E45" s="69" t="s">
        <v>91</v>
      </c>
      <c r="F45" s="70" t="s">
        <v>97</v>
      </c>
      <c r="G45" s="70"/>
      <c r="H45" s="685">
        <v>50</v>
      </c>
      <c r="I45" s="685"/>
      <c r="J45" s="70" t="s">
        <v>108</v>
      </c>
      <c r="K45" s="70"/>
      <c r="L45" s="70"/>
      <c r="M45" s="70"/>
      <c r="N45" s="71"/>
      <c r="O45" s="71"/>
      <c r="P45" s="71"/>
      <c r="Q45" s="72"/>
      <c r="R45" s="692"/>
      <c r="S45" s="693"/>
      <c r="T45" s="693"/>
      <c r="U45" s="693"/>
      <c r="V45" s="694"/>
      <c r="W45" s="643"/>
      <c r="X45" s="644"/>
      <c r="Y45" s="645"/>
      <c r="Z45" s="32"/>
      <c r="AA45" s="32"/>
      <c r="AB45" s="32"/>
      <c r="AC45" s="32"/>
      <c r="AD45" s="32"/>
      <c r="AE45" s="32"/>
      <c r="AF45" s="32"/>
      <c r="AG45" s="32"/>
    </row>
    <row r="46" spans="1:33" ht="19.5" customHeight="1" x14ac:dyDescent="0.15">
      <c r="A46" s="515" t="s">
        <v>109</v>
      </c>
      <c r="B46" s="516"/>
      <c r="C46" s="516"/>
      <c r="D46" s="517"/>
      <c r="E46" s="73" t="s">
        <v>407</v>
      </c>
      <c r="F46" s="74" t="s">
        <v>55</v>
      </c>
      <c r="G46" s="74" t="s">
        <v>111</v>
      </c>
      <c r="H46" s="75"/>
      <c r="I46" s="74" t="s">
        <v>101</v>
      </c>
      <c r="J46" s="74" t="s">
        <v>113</v>
      </c>
      <c r="K46" s="75" t="s">
        <v>409</v>
      </c>
      <c r="L46" s="76">
        <v>50</v>
      </c>
      <c r="M46" s="74" t="s">
        <v>115</v>
      </c>
      <c r="N46" s="75"/>
      <c r="O46" s="75"/>
      <c r="P46" s="75"/>
      <c r="Q46" s="77"/>
      <c r="R46" s="686" t="s">
        <v>116</v>
      </c>
      <c r="S46" s="696"/>
      <c r="T46" s="696"/>
      <c r="U46" s="696"/>
      <c r="V46" s="697"/>
      <c r="W46" s="636" t="str">
        <f>IF(AND(G47&gt;= 0.6, G47&lt;=3),"○","×")</f>
        <v>○</v>
      </c>
      <c r="X46" s="534"/>
      <c r="Y46" s="637"/>
      <c r="Z46" s="32"/>
      <c r="AA46" s="32"/>
      <c r="AB46" s="32"/>
      <c r="AC46" s="32"/>
      <c r="AD46" s="32"/>
      <c r="AE46" s="32"/>
      <c r="AF46" s="32"/>
      <c r="AG46" s="32"/>
    </row>
    <row r="47" spans="1:33" ht="19.5" customHeight="1" x14ac:dyDescent="0.15">
      <c r="A47" s="518"/>
      <c r="B47" s="519"/>
      <c r="C47" s="519"/>
      <c r="D47" s="520"/>
      <c r="E47" s="66"/>
      <c r="F47" s="78" t="s">
        <v>55</v>
      </c>
      <c r="G47" s="646">
        <f>ROUND((F36/(1000*60))/(((L46/2)/1000)^2*PI()),2)</f>
        <v>0.85</v>
      </c>
      <c r="H47" s="646"/>
      <c r="I47" s="78" t="s">
        <v>410</v>
      </c>
      <c r="J47" s="67"/>
      <c r="K47" s="67"/>
      <c r="L47" s="67"/>
      <c r="M47" s="67"/>
      <c r="N47" s="79"/>
      <c r="O47" s="79"/>
      <c r="P47" s="79"/>
      <c r="Q47" s="80"/>
      <c r="R47" s="698"/>
      <c r="S47" s="699"/>
      <c r="T47" s="699"/>
      <c r="U47" s="699"/>
      <c r="V47" s="700"/>
      <c r="W47" s="638"/>
      <c r="X47" s="537"/>
      <c r="Y47" s="639"/>
      <c r="Z47" s="32"/>
      <c r="AA47" s="32"/>
      <c r="AB47" s="32"/>
      <c r="AC47" s="32"/>
      <c r="AD47" s="32"/>
      <c r="AE47" s="32"/>
      <c r="AF47" s="32"/>
      <c r="AG47" s="32"/>
    </row>
    <row r="48" spans="1:33" ht="19.5" customHeight="1" x14ac:dyDescent="0.15">
      <c r="A48" s="518"/>
      <c r="B48" s="519"/>
      <c r="C48" s="519"/>
      <c r="D48" s="520"/>
      <c r="E48" s="81" t="s">
        <v>407</v>
      </c>
      <c r="F48" s="82" t="s">
        <v>55</v>
      </c>
      <c r="G48" s="82" t="s">
        <v>408</v>
      </c>
      <c r="H48" s="83"/>
      <c r="I48" s="82" t="s">
        <v>101</v>
      </c>
      <c r="J48" s="82" t="s">
        <v>113</v>
      </c>
      <c r="K48" s="83" t="s">
        <v>409</v>
      </c>
      <c r="L48" s="84">
        <v>65</v>
      </c>
      <c r="M48" s="85" t="s">
        <v>115</v>
      </c>
      <c r="N48" s="83"/>
      <c r="O48" s="83"/>
      <c r="P48" s="83"/>
      <c r="Q48" s="86"/>
      <c r="R48" s="698"/>
      <c r="S48" s="699"/>
      <c r="T48" s="699"/>
      <c r="U48" s="699"/>
      <c r="V48" s="700"/>
      <c r="W48" s="677" t="str">
        <f>IF(ISNUMBER(L48),IF(G49&gt;=0.6,"○","×")," ")</f>
        <v>×</v>
      </c>
      <c r="X48" s="678"/>
      <c r="Y48" s="679"/>
      <c r="Z48" s="32"/>
      <c r="AA48" s="32"/>
      <c r="AB48" s="32"/>
      <c r="AC48" s="32"/>
      <c r="AD48" s="32"/>
      <c r="AE48" s="32"/>
      <c r="AF48" s="32"/>
      <c r="AG48" s="32"/>
    </row>
    <row r="49" spans="1:33" ht="19.5" customHeight="1" x14ac:dyDescent="0.15">
      <c r="A49" s="518"/>
      <c r="B49" s="519"/>
      <c r="C49" s="519"/>
      <c r="D49" s="520"/>
      <c r="E49" s="87"/>
      <c r="F49" s="88" t="s">
        <v>55</v>
      </c>
      <c r="G49" s="683">
        <f>IF(ISNUMBER(L48),ROUND((F36/(1000*60))/(((L48/2)/1000)^2*PI()),2),"　")</f>
        <v>0.5</v>
      </c>
      <c r="H49" s="683"/>
      <c r="I49" s="89" t="s">
        <v>410</v>
      </c>
      <c r="J49" s="90"/>
      <c r="K49" s="90"/>
      <c r="L49" s="90"/>
      <c r="M49" s="91"/>
      <c r="N49" s="92"/>
      <c r="O49" s="92"/>
      <c r="P49" s="92"/>
      <c r="Q49" s="93"/>
      <c r="R49" s="701"/>
      <c r="S49" s="702"/>
      <c r="T49" s="702"/>
      <c r="U49" s="702"/>
      <c r="V49" s="703"/>
      <c r="W49" s="680"/>
      <c r="X49" s="681"/>
      <c r="Y49" s="682"/>
      <c r="Z49" s="32"/>
      <c r="AA49" s="32"/>
      <c r="AB49" s="32"/>
      <c r="AC49" s="32"/>
      <c r="AD49" s="32"/>
      <c r="AE49" s="32"/>
      <c r="AF49" s="32"/>
      <c r="AG49" s="32"/>
    </row>
    <row r="50" spans="1:33" ht="19.5" customHeight="1" x14ac:dyDescent="0.15">
      <c r="A50" s="518"/>
      <c r="B50" s="519"/>
      <c r="C50" s="519"/>
      <c r="D50" s="520"/>
      <c r="E50" s="66" t="s">
        <v>122</v>
      </c>
      <c r="F50" s="78"/>
      <c r="G50" s="94"/>
      <c r="H50" s="94"/>
      <c r="I50" s="95"/>
      <c r="J50" s="67"/>
      <c r="K50" s="67"/>
      <c r="L50" s="67"/>
      <c r="M50" s="96"/>
      <c r="N50" s="79"/>
      <c r="O50" s="79"/>
      <c r="P50" s="79"/>
      <c r="Q50" s="79"/>
      <c r="R50" s="97"/>
      <c r="S50" s="97"/>
      <c r="T50" s="97"/>
      <c r="U50" s="97"/>
      <c r="V50" s="97"/>
      <c r="W50" s="98"/>
      <c r="X50" s="98"/>
      <c r="Y50" s="99"/>
      <c r="Z50" s="32"/>
      <c r="AA50" s="32"/>
      <c r="AB50" s="32"/>
      <c r="AC50" s="32"/>
      <c r="AD50" s="32"/>
      <c r="AE50" s="32"/>
      <c r="AF50" s="32"/>
      <c r="AG50" s="32"/>
    </row>
    <row r="51" spans="1:33" ht="19.5" customHeight="1" x14ac:dyDescent="0.15">
      <c r="A51" s="518"/>
      <c r="B51" s="519"/>
      <c r="C51" s="519"/>
      <c r="D51" s="520"/>
      <c r="E51" s="94"/>
      <c r="F51" s="144" t="s">
        <v>666</v>
      </c>
      <c r="G51" s="94"/>
      <c r="H51" s="94"/>
      <c r="I51" s="95"/>
      <c r="J51" s="67"/>
      <c r="K51" s="67"/>
      <c r="L51" s="67"/>
      <c r="M51" s="96"/>
      <c r="N51" s="79"/>
      <c r="O51" s="79"/>
      <c r="P51" s="79"/>
      <c r="Q51" s="79"/>
      <c r="R51" s="135"/>
      <c r="S51" s="135"/>
      <c r="T51" s="135"/>
      <c r="U51" s="135"/>
      <c r="V51" s="135"/>
      <c r="W51" s="98"/>
      <c r="X51" s="98"/>
      <c r="Y51" s="99"/>
      <c r="Z51" s="32"/>
      <c r="AA51" s="32"/>
      <c r="AB51" s="32"/>
      <c r="AC51" s="32"/>
      <c r="AD51" s="32"/>
      <c r="AE51" s="32"/>
      <c r="AF51" s="32"/>
      <c r="AG51" s="32"/>
    </row>
    <row r="52" spans="1:33" ht="19.5" customHeight="1" x14ac:dyDescent="0.15">
      <c r="A52" s="521"/>
      <c r="B52" s="522"/>
      <c r="C52" s="522"/>
      <c r="D52" s="523"/>
      <c r="E52" s="94"/>
      <c r="F52" s="684" t="s">
        <v>411</v>
      </c>
      <c r="G52" s="684"/>
      <c r="H52" s="684"/>
      <c r="I52" s="684"/>
      <c r="J52" s="684"/>
      <c r="K52" s="684"/>
      <c r="L52" s="67"/>
      <c r="M52" s="96"/>
      <c r="N52" s="79"/>
      <c r="O52" s="79"/>
      <c r="P52" s="79"/>
      <c r="Q52" s="79"/>
      <c r="R52" s="135"/>
      <c r="S52" s="135"/>
      <c r="T52" s="135"/>
      <c r="U52" s="135"/>
      <c r="V52" s="135"/>
      <c r="W52" s="98"/>
      <c r="X52" s="98"/>
      <c r="Y52" s="99"/>
    </row>
    <row r="53" spans="1:33" ht="19.5" customHeight="1" x14ac:dyDescent="0.15">
      <c r="A53" s="533" t="s">
        <v>124</v>
      </c>
      <c r="B53" s="534"/>
      <c r="C53" s="534"/>
      <c r="D53" s="535"/>
      <c r="E53" s="100" t="s">
        <v>125</v>
      </c>
      <c r="F53" s="101"/>
      <c r="G53" s="102" t="s">
        <v>412</v>
      </c>
      <c r="H53" s="102" t="s">
        <v>48</v>
      </c>
      <c r="I53" s="704" t="s">
        <v>413</v>
      </c>
      <c r="J53" s="704"/>
      <c r="K53" s="103" t="s">
        <v>414</v>
      </c>
      <c r="L53" s="704" t="s">
        <v>415</v>
      </c>
      <c r="M53" s="704"/>
      <c r="N53" s="103" t="s">
        <v>478</v>
      </c>
      <c r="O53" s="704" t="s">
        <v>417</v>
      </c>
      <c r="P53" s="704"/>
      <c r="Q53" s="103"/>
      <c r="R53" s="593" t="s">
        <v>643</v>
      </c>
      <c r="S53" s="594"/>
      <c r="T53" s="594"/>
      <c r="U53" s="594"/>
      <c r="V53" s="595"/>
      <c r="W53" s="636" t="str">
        <f>IF(G59&gt;=I58,"○","×")</f>
        <v>○</v>
      </c>
      <c r="X53" s="534"/>
      <c r="Y53" s="637"/>
    </row>
    <row r="54" spans="1:33" ht="19.5" customHeight="1" x14ac:dyDescent="0.15">
      <c r="A54" s="536"/>
      <c r="B54" s="537"/>
      <c r="C54" s="537"/>
      <c r="D54" s="538"/>
      <c r="E54" s="105"/>
      <c r="F54" s="63"/>
      <c r="G54" s="63"/>
      <c r="H54" s="63" t="s">
        <v>48</v>
      </c>
      <c r="I54" s="642">
        <f>J74</f>
        <v>4.6500000000000004</v>
      </c>
      <c r="J54" s="642"/>
      <c r="K54" s="63" t="s">
        <v>414</v>
      </c>
      <c r="L54" s="580">
        <f>IF(ISNUMBER(L48),J81+J98,J81)</f>
        <v>0.22999999999999998</v>
      </c>
      <c r="M54" s="580"/>
      <c r="N54" s="79" t="s">
        <v>478</v>
      </c>
      <c r="O54" s="525">
        <f>J77</f>
        <v>1.2999999999999999E-2</v>
      </c>
      <c r="P54" s="525"/>
      <c r="Q54" s="63"/>
      <c r="R54" s="596"/>
      <c r="S54" s="597"/>
      <c r="T54" s="597"/>
      <c r="U54" s="597"/>
      <c r="V54" s="598"/>
      <c r="W54" s="638"/>
      <c r="X54" s="537"/>
      <c r="Y54" s="639"/>
      <c r="Z54" s="151"/>
    </row>
    <row r="55" spans="1:33" ht="19.5" customHeight="1" x14ac:dyDescent="0.15">
      <c r="A55" s="536"/>
      <c r="B55" s="537"/>
      <c r="C55" s="537"/>
      <c r="D55" s="538"/>
      <c r="E55" s="105"/>
      <c r="F55" s="63"/>
      <c r="G55" s="63"/>
      <c r="H55" s="63" t="s">
        <v>48</v>
      </c>
      <c r="I55" s="580">
        <f>I54+L54+O54</f>
        <v>4.8930000000000007</v>
      </c>
      <c r="J55" s="525"/>
      <c r="K55" s="63" t="s">
        <v>403</v>
      </c>
      <c r="L55" s="63"/>
      <c r="M55" s="63"/>
      <c r="N55" s="63"/>
      <c r="O55" s="63"/>
      <c r="P55" s="63"/>
      <c r="Q55" s="65"/>
      <c r="R55" s="596"/>
      <c r="S55" s="597"/>
      <c r="T55" s="597"/>
      <c r="U55" s="597"/>
      <c r="V55" s="598"/>
      <c r="W55" s="638"/>
      <c r="X55" s="537"/>
      <c r="Y55" s="639"/>
    </row>
    <row r="56" spans="1:33" ht="19.5" customHeight="1" x14ac:dyDescent="0.15">
      <c r="A56" s="536"/>
      <c r="B56" s="537"/>
      <c r="C56" s="537"/>
      <c r="D56" s="538"/>
      <c r="E56" s="106"/>
      <c r="F56" s="63" t="s">
        <v>137</v>
      </c>
      <c r="G56" s="63"/>
      <c r="H56" s="63">
        <f>L57</f>
        <v>1.2</v>
      </c>
      <c r="I56" s="63" t="s">
        <v>480</v>
      </c>
      <c r="J56" s="63"/>
      <c r="K56" s="63" t="s">
        <v>139</v>
      </c>
      <c r="L56" s="63"/>
      <c r="M56" s="63"/>
      <c r="N56" s="63"/>
      <c r="O56" s="63"/>
      <c r="P56" s="63"/>
      <c r="Q56" s="65"/>
      <c r="R56" s="596"/>
      <c r="S56" s="597"/>
      <c r="T56" s="597"/>
      <c r="U56" s="597"/>
      <c r="V56" s="598"/>
      <c r="W56" s="638"/>
      <c r="X56" s="537"/>
      <c r="Y56" s="639"/>
    </row>
    <row r="57" spans="1:33" ht="19.5" customHeight="1" x14ac:dyDescent="0.15">
      <c r="A57" s="536"/>
      <c r="B57" s="537"/>
      <c r="C57" s="537"/>
      <c r="D57" s="538"/>
      <c r="E57" s="105"/>
      <c r="F57" s="63"/>
      <c r="G57" s="63" t="s">
        <v>481</v>
      </c>
      <c r="H57" s="63" t="s">
        <v>48</v>
      </c>
      <c r="I57" s="580">
        <f>I55</f>
        <v>4.8930000000000007</v>
      </c>
      <c r="J57" s="580"/>
      <c r="K57" s="63" t="s">
        <v>50</v>
      </c>
      <c r="L57" s="145">
        <v>1.2</v>
      </c>
      <c r="M57" s="63"/>
      <c r="N57" s="63"/>
      <c r="O57" s="63"/>
      <c r="P57" s="63"/>
      <c r="Q57" s="65"/>
      <c r="R57" s="596"/>
      <c r="S57" s="597"/>
      <c r="T57" s="597"/>
      <c r="U57" s="597"/>
      <c r="V57" s="598"/>
      <c r="W57" s="638"/>
      <c r="X57" s="537"/>
      <c r="Y57" s="639"/>
    </row>
    <row r="58" spans="1:33" ht="19.5" customHeight="1" x14ac:dyDescent="0.15">
      <c r="A58" s="536"/>
      <c r="B58" s="537"/>
      <c r="C58" s="537"/>
      <c r="D58" s="538"/>
      <c r="E58" s="105"/>
      <c r="F58" s="63"/>
      <c r="G58" s="63"/>
      <c r="H58" s="63" t="s">
        <v>55</v>
      </c>
      <c r="I58" s="581">
        <f>ROUND(I57*L57,3)</f>
        <v>5.8719999999999999</v>
      </c>
      <c r="J58" s="581"/>
      <c r="K58" s="63" t="s">
        <v>543</v>
      </c>
      <c r="L58" s="63"/>
      <c r="M58" s="63"/>
      <c r="N58" s="63"/>
      <c r="O58" s="63"/>
      <c r="P58" s="63"/>
      <c r="Q58" s="65"/>
      <c r="R58" s="596"/>
      <c r="S58" s="597"/>
      <c r="T58" s="597"/>
      <c r="U58" s="597"/>
      <c r="V58" s="598"/>
      <c r="W58" s="638"/>
      <c r="X58" s="537"/>
      <c r="Y58" s="639"/>
    </row>
    <row r="59" spans="1:33" ht="19.5" customHeight="1" thickBot="1" x14ac:dyDescent="0.2">
      <c r="A59" s="539"/>
      <c r="B59" s="540"/>
      <c r="C59" s="540"/>
      <c r="D59" s="541"/>
      <c r="E59" s="107" t="s">
        <v>91</v>
      </c>
      <c r="F59" s="108" t="s">
        <v>145</v>
      </c>
      <c r="G59" s="582">
        <f>ROUNDUP(I58,0)</f>
        <v>6</v>
      </c>
      <c r="H59" s="582"/>
      <c r="I59" s="108" t="s">
        <v>419</v>
      </c>
      <c r="J59" s="108" t="s">
        <v>420</v>
      </c>
      <c r="K59" s="108"/>
      <c r="L59" s="109"/>
      <c r="M59" s="108"/>
      <c r="N59" s="108"/>
      <c r="O59" s="108"/>
      <c r="P59" s="108"/>
      <c r="Q59" s="110"/>
      <c r="R59" s="599"/>
      <c r="S59" s="600"/>
      <c r="T59" s="600"/>
      <c r="U59" s="600"/>
      <c r="V59" s="601"/>
      <c r="W59" s="640"/>
      <c r="X59" s="540"/>
      <c r="Y59" s="641"/>
    </row>
    <row r="60" spans="1:33" ht="19.5" customHeight="1" x14ac:dyDescent="0.15">
      <c r="A60" s="64"/>
      <c r="B60" s="64"/>
      <c r="C60" s="64"/>
      <c r="D60" s="64"/>
      <c r="E60" s="64"/>
      <c r="F60" s="64"/>
      <c r="G60" s="64"/>
      <c r="H60" s="64"/>
      <c r="I60" s="64"/>
      <c r="J60" s="64"/>
      <c r="K60" s="64"/>
      <c r="L60" s="64"/>
      <c r="M60" s="64"/>
      <c r="N60" s="64"/>
      <c r="O60" s="64"/>
      <c r="P60" s="64"/>
      <c r="Q60" s="64"/>
      <c r="R60" s="64"/>
      <c r="S60" s="64"/>
      <c r="T60" s="64"/>
      <c r="U60" s="64"/>
      <c r="V60" s="64"/>
      <c r="W60" s="64"/>
      <c r="X60" s="64"/>
      <c r="Y60" s="64"/>
    </row>
    <row r="61" spans="1:33" ht="19.5" customHeight="1" x14ac:dyDescent="0.15">
      <c r="A61" s="64"/>
      <c r="B61" s="64"/>
      <c r="C61" s="64"/>
      <c r="D61" s="64"/>
      <c r="E61" s="64"/>
      <c r="F61" s="64"/>
      <c r="G61" s="64"/>
      <c r="H61" s="64"/>
      <c r="I61" s="64"/>
      <c r="J61" s="64"/>
      <c r="K61" s="64"/>
      <c r="L61" s="64"/>
      <c r="M61" s="64"/>
      <c r="N61" s="64"/>
      <c r="O61" s="64"/>
      <c r="P61" s="64"/>
      <c r="Q61" s="64"/>
      <c r="R61" s="64"/>
      <c r="S61" s="64"/>
      <c r="T61" s="64"/>
      <c r="U61" s="64"/>
      <c r="V61" s="64"/>
      <c r="W61" s="64"/>
      <c r="X61" s="64"/>
      <c r="Y61" s="64"/>
    </row>
    <row r="62" spans="1:33" ht="19.5" customHeight="1" x14ac:dyDescent="0.15">
      <c r="A62" s="60" t="s">
        <v>148</v>
      </c>
      <c r="B62" s="60"/>
      <c r="C62" s="60"/>
      <c r="D62" s="176" t="s">
        <v>32</v>
      </c>
      <c r="E62" s="177"/>
      <c r="F62" s="177"/>
      <c r="G62" s="177"/>
      <c r="H62" s="177"/>
      <c r="I62" s="178"/>
      <c r="J62" s="111"/>
      <c r="K62" s="64"/>
      <c r="R62" s="64"/>
      <c r="S62" s="64"/>
      <c r="T62" s="64"/>
      <c r="U62" s="64"/>
      <c r="V62" s="64"/>
      <c r="W62" s="64"/>
      <c r="X62" s="64"/>
      <c r="Y62" s="64"/>
    </row>
    <row r="63" spans="1:33" ht="19.5" customHeight="1" x14ac:dyDescent="0.15">
      <c r="A63" s="60"/>
      <c r="B63" s="60"/>
      <c r="C63" s="179"/>
      <c r="D63" s="176" t="s">
        <v>150</v>
      </c>
      <c r="E63" s="177"/>
      <c r="F63" s="177"/>
      <c r="G63" s="177"/>
      <c r="H63" s="177"/>
      <c r="I63" s="178"/>
      <c r="J63" s="112" t="s">
        <v>421</v>
      </c>
      <c r="K63" s="64"/>
      <c r="L63" s="180" t="s">
        <v>422</v>
      </c>
      <c r="M63" s="64"/>
      <c r="N63" s="64"/>
      <c r="O63" s="146">
        <v>1</v>
      </c>
      <c r="P63" s="64" t="s">
        <v>152</v>
      </c>
      <c r="Q63" s="64"/>
      <c r="R63" s="181" t="s">
        <v>153</v>
      </c>
      <c r="S63" s="64"/>
      <c r="T63" s="64"/>
      <c r="U63" s="64"/>
      <c r="V63" s="64"/>
      <c r="W63" s="64"/>
      <c r="X63" s="64"/>
      <c r="Y63" s="64"/>
    </row>
    <row r="64" spans="1:33" ht="19.5" customHeight="1" x14ac:dyDescent="0.15">
      <c r="A64" s="60"/>
      <c r="B64" s="60"/>
      <c r="C64" s="179"/>
      <c r="D64" s="176" t="s">
        <v>154</v>
      </c>
      <c r="E64" s="177"/>
      <c r="F64" s="177"/>
      <c r="G64" s="177"/>
      <c r="H64" s="177"/>
      <c r="I64" s="178"/>
      <c r="J64" s="112"/>
      <c r="K64" s="64"/>
      <c r="L64" s="64"/>
      <c r="M64" s="64"/>
      <c r="N64" s="64"/>
      <c r="O64" s="64"/>
      <c r="P64" s="64"/>
      <c r="Q64" s="64"/>
      <c r="R64" s="64"/>
      <c r="S64" s="64"/>
      <c r="T64" s="64"/>
      <c r="U64" s="64"/>
      <c r="V64" s="64"/>
      <c r="W64" s="64"/>
      <c r="X64" s="64"/>
      <c r="Y64" s="64"/>
    </row>
    <row r="65" spans="1:26" ht="19.5" customHeight="1" x14ac:dyDescent="0.15">
      <c r="A65" s="60"/>
      <c r="B65" s="60"/>
      <c r="C65" s="179"/>
      <c r="D65" s="486" t="s">
        <v>155</v>
      </c>
      <c r="E65" s="487"/>
      <c r="F65" s="487"/>
      <c r="G65" s="487"/>
      <c r="H65" s="487"/>
      <c r="I65" s="488"/>
      <c r="J65" s="112"/>
      <c r="K65" s="64"/>
      <c r="L65" s="64"/>
      <c r="M65" s="64"/>
      <c r="N65" s="64"/>
      <c r="O65" s="64"/>
      <c r="P65" s="64"/>
      <c r="Q65" s="64"/>
      <c r="R65" s="64"/>
      <c r="S65" s="64"/>
      <c r="T65" s="64"/>
      <c r="U65" s="64"/>
      <c r="V65" s="64"/>
      <c r="W65" s="64"/>
      <c r="X65" s="64"/>
      <c r="Y65" s="64"/>
    </row>
    <row r="66" spans="1:26" ht="19.5" customHeight="1" x14ac:dyDescent="0.15">
      <c r="A66" s="60"/>
      <c r="B66" s="60"/>
      <c r="C66" s="179"/>
      <c r="D66" s="60"/>
      <c r="E66" s="60"/>
      <c r="F66" s="60"/>
      <c r="G66" s="60"/>
      <c r="H66" s="60"/>
      <c r="I66" s="60"/>
      <c r="J66" s="64"/>
      <c r="K66" s="64"/>
      <c r="L66" s="64"/>
      <c r="M66" s="64"/>
      <c r="N66" s="64"/>
      <c r="O66" s="64"/>
      <c r="P66" s="64"/>
      <c r="Q66" s="64"/>
      <c r="R66" s="64"/>
      <c r="S66" s="64"/>
      <c r="T66" s="64"/>
      <c r="U66" s="64"/>
      <c r="V66" s="64"/>
      <c r="W66" s="64"/>
      <c r="X66" s="64"/>
      <c r="Y66" s="64"/>
    </row>
    <row r="67" spans="1:26" ht="19.5" customHeight="1" x14ac:dyDescent="0.15">
      <c r="A67" s="182" t="s">
        <v>156</v>
      </c>
      <c r="B67" s="64"/>
      <c r="C67" s="64"/>
      <c r="D67" s="64"/>
      <c r="E67" s="64"/>
      <c r="F67" s="64"/>
      <c r="G67" s="64"/>
      <c r="H67" s="64"/>
      <c r="I67" s="64"/>
      <c r="J67" s="64"/>
      <c r="K67" s="64"/>
      <c r="L67" s="64"/>
      <c r="M67" s="64"/>
      <c r="N67" s="64"/>
      <c r="O67" s="64"/>
      <c r="P67" s="64"/>
      <c r="Q67" s="64"/>
      <c r="R67" s="64"/>
      <c r="S67" s="64"/>
      <c r="T67" s="64"/>
      <c r="U67" s="64"/>
      <c r="V67" s="64"/>
      <c r="W67" s="64"/>
      <c r="X67" s="64"/>
      <c r="Y67" s="64"/>
    </row>
    <row r="68" spans="1:26" ht="19.5" customHeight="1" x14ac:dyDescent="0.15">
      <c r="A68" s="64"/>
      <c r="B68" s="183" t="s">
        <v>157</v>
      </c>
      <c r="C68" s="183"/>
      <c r="D68" s="183"/>
      <c r="E68" s="184"/>
      <c r="F68" s="542" t="s">
        <v>158</v>
      </c>
      <c r="G68" s="542"/>
      <c r="H68" s="542"/>
      <c r="I68" s="355"/>
      <c r="J68" s="184"/>
      <c r="K68" s="542" t="s">
        <v>145</v>
      </c>
      <c r="L68" s="542"/>
      <c r="M68" s="183"/>
      <c r="N68" s="183"/>
      <c r="O68" s="542" t="s">
        <v>159</v>
      </c>
      <c r="P68" s="542"/>
      <c r="Q68" s="282"/>
      <c r="R68" s="282"/>
      <c r="S68" s="282" t="s">
        <v>160</v>
      </c>
      <c r="T68" s="64"/>
      <c r="U68" s="64"/>
      <c r="V68" s="64"/>
      <c r="W68" s="64"/>
      <c r="X68" s="64"/>
      <c r="Y68" s="64"/>
      <c r="Z68" s="64"/>
    </row>
    <row r="69" spans="1:26" ht="19.5" customHeight="1" thickBot="1" x14ac:dyDescent="0.2">
      <c r="A69" s="108" t="s">
        <v>91</v>
      </c>
      <c r="B69" s="528">
        <f>F36</f>
        <v>100</v>
      </c>
      <c r="C69" s="529"/>
      <c r="D69" s="108" t="s">
        <v>58</v>
      </c>
      <c r="E69" s="108"/>
      <c r="F69" s="108" t="s">
        <v>50</v>
      </c>
      <c r="G69" s="108">
        <f>H45</f>
        <v>50</v>
      </c>
      <c r="H69" s="108" t="s">
        <v>483</v>
      </c>
      <c r="I69" s="108"/>
      <c r="J69" s="108" t="s">
        <v>50</v>
      </c>
      <c r="K69" s="532">
        <f>G59</f>
        <v>6</v>
      </c>
      <c r="L69" s="532"/>
      <c r="M69" s="108" t="s">
        <v>424</v>
      </c>
      <c r="N69" s="108" t="s">
        <v>14</v>
      </c>
      <c r="O69" s="531">
        <v>0.25</v>
      </c>
      <c r="P69" s="531"/>
      <c r="Q69" s="108" t="s">
        <v>584</v>
      </c>
      <c r="R69" s="108"/>
      <c r="S69" s="373">
        <v>2</v>
      </c>
      <c r="T69" s="108" t="s">
        <v>166</v>
      </c>
      <c r="U69" s="64"/>
      <c r="V69" s="64"/>
      <c r="W69" s="64"/>
      <c r="X69" s="64"/>
      <c r="Y69" s="64"/>
      <c r="Z69" s="64"/>
    </row>
    <row r="70" spans="1:26" ht="19.5" customHeight="1" x14ac:dyDescent="0.15">
      <c r="A70" s="64"/>
      <c r="B70" s="64"/>
      <c r="C70" s="64"/>
      <c r="D70" s="64"/>
      <c r="E70" s="64"/>
      <c r="F70" s="64"/>
      <c r="G70" s="64"/>
      <c r="H70" s="64"/>
      <c r="I70" s="64"/>
      <c r="J70" s="64"/>
      <c r="K70" s="64"/>
      <c r="L70" s="64"/>
      <c r="M70" s="64"/>
      <c r="N70" s="64"/>
      <c r="O70" s="64"/>
      <c r="P70" s="64"/>
      <c r="Q70" s="64"/>
      <c r="R70" s="64"/>
      <c r="S70" s="64"/>
      <c r="T70" s="64"/>
      <c r="U70" s="64"/>
      <c r="V70" s="64"/>
      <c r="W70" s="64"/>
      <c r="X70" s="64"/>
      <c r="Y70" s="64"/>
    </row>
    <row r="71" spans="1:26" ht="19.5" customHeight="1" x14ac:dyDescent="0.15">
      <c r="A71" s="64"/>
      <c r="B71" s="64"/>
      <c r="C71" s="64"/>
      <c r="D71" s="64"/>
      <c r="E71" s="64"/>
      <c r="F71" s="64"/>
      <c r="G71" s="64"/>
      <c r="H71" s="64"/>
      <c r="I71" s="64"/>
      <c r="J71" s="64"/>
      <c r="K71" s="64"/>
      <c r="L71" s="64"/>
      <c r="M71" s="64"/>
      <c r="N71" s="64"/>
      <c r="O71" s="64"/>
      <c r="P71" s="64"/>
      <c r="Q71" s="64"/>
      <c r="R71" s="64"/>
      <c r="S71" s="64"/>
      <c r="T71" s="64"/>
      <c r="U71" s="64"/>
      <c r="V71" s="64"/>
      <c r="W71" s="64"/>
      <c r="X71" s="64"/>
      <c r="Y71" s="64"/>
    </row>
    <row r="72" spans="1:26" ht="26.25" customHeight="1" x14ac:dyDescent="0.15">
      <c r="A72" s="186" t="s">
        <v>167</v>
      </c>
      <c r="B72" s="64"/>
      <c r="C72" s="64"/>
      <c r="D72" s="64"/>
      <c r="E72" s="64"/>
      <c r="F72" s="64"/>
      <c r="G72" s="64"/>
      <c r="H72" s="64"/>
      <c r="I72" s="64"/>
      <c r="J72" s="64"/>
      <c r="K72" s="64"/>
      <c r="L72" s="64"/>
      <c r="M72" s="64"/>
      <c r="N72" s="64"/>
      <c r="O72" s="64"/>
      <c r="P72" s="64"/>
      <c r="Q72" s="64"/>
      <c r="R72" s="64"/>
      <c r="S72" s="64"/>
      <c r="T72" s="64"/>
      <c r="U72" s="64"/>
      <c r="V72" s="64"/>
      <c r="W72" s="64"/>
      <c r="X72" s="64"/>
      <c r="Y72" s="64"/>
    </row>
    <row r="73" spans="1:26" ht="19.5" customHeight="1" x14ac:dyDescent="0.15">
      <c r="A73" s="187"/>
      <c r="B73" s="75"/>
      <c r="C73" s="75"/>
      <c r="D73" s="75"/>
      <c r="E73" s="77"/>
      <c r="F73" s="75"/>
      <c r="G73" s="75"/>
      <c r="H73" s="75"/>
      <c r="I73" s="75"/>
      <c r="J73" s="75"/>
      <c r="K73" s="75"/>
      <c r="L73" s="75"/>
      <c r="M73" s="75"/>
      <c r="N73" s="75"/>
      <c r="O73" s="75"/>
      <c r="P73" s="75"/>
      <c r="Q73" s="75"/>
      <c r="R73" s="77"/>
      <c r="S73" s="75"/>
      <c r="T73" s="75"/>
      <c r="U73" s="75"/>
      <c r="V73" s="75"/>
      <c r="W73" s="75"/>
      <c r="X73" s="77"/>
      <c r="Y73" s="64"/>
    </row>
    <row r="74" spans="1:26" ht="19.5" customHeight="1" x14ac:dyDescent="0.15">
      <c r="A74" s="188" t="s">
        <v>484</v>
      </c>
      <c r="B74" s="67"/>
      <c r="C74" s="189"/>
      <c r="D74" s="189"/>
      <c r="E74" s="65"/>
      <c r="F74" s="60"/>
      <c r="G74" s="63"/>
      <c r="H74" s="63" t="s">
        <v>485</v>
      </c>
      <c r="I74" s="63" t="s">
        <v>48</v>
      </c>
      <c r="J74" s="530">
        <v>4.6500000000000004</v>
      </c>
      <c r="K74" s="530"/>
      <c r="L74" s="63" t="s">
        <v>437</v>
      </c>
      <c r="M74" s="63"/>
      <c r="N74" s="63"/>
      <c r="O74" s="63"/>
      <c r="P74" s="63"/>
      <c r="Q74" s="63"/>
      <c r="R74" s="190"/>
      <c r="S74" s="191"/>
      <c r="T74" s="63"/>
      <c r="U74" s="192"/>
      <c r="V74" s="192"/>
      <c r="W74" s="192"/>
      <c r="X74" s="193"/>
    </row>
    <row r="75" spans="1:26" ht="19.5" customHeight="1" x14ac:dyDescent="0.15">
      <c r="A75" s="194"/>
      <c r="B75" s="189"/>
      <c r="C75" s="189"/>
      <c r="D75" s="189"/>
      <c r="E75" s="195"/>
      <c r="F75" s="63"/>
      <c r="G75" s="63"/>
      <c r="H75" s="63"/>
      <c r="I75" s="63"/>
      <c r="J75" s="63"/>
      <c r="K75" s="196"/>
      <c r="L75" s="63"/>
      <c r="M75" s="63"/>
      <c r="N75" s="63"/>
      <c r="O75" s="63"/>
      <c r="P75" s="63"/>
      <c r="Q75" s="63"/>
      <c r="R75" s="193"/>
      <c r="S75" s="191"/>
      <c r="T75" s="189"/>
      <c r="U75" s="192"/>
      <c r="V75" s="192"/>
      <c r="W75" s="192"/>
      <c r="X75" s="193"/>
    </row>
    <row r="76" spans="1:26" ht="19.5" customHeight="1" x14ac:dyDescent="0.15">
      <c r="A76" s="188" t="s">
        <v>486</v>
      </c>
      <c r="B76" s="197"/>
      <c r="C76" s="197"/>
      <c r="D76" s="197"/>
      <c r="E76" s="198"/>
      <c r="F76" s="63"/>
      <c r="G76" s="63"/>
      <c r="H76" s="63" t="s">
        <v>417</v>
      </c>
      <c r="I76" s="63" t="s">
        <v>48</v>
      </c>
      <c r="J76" s="60" t="s">
        <v>426</v>
      </c>
      <c r="K76" s="68" t="s">
        <v>50</v>
      </c>
      <c r="L76" s="60" t="s">
        <v>487</v>
      </c>
      <c r="M76" s="63"/>
      <c r="N76" s="63"/>
      <c r="O76" s="60" t="s">
        <v>426</v>
      </c>
      <c r="P76" s="63" t="s">
        <v>55</v>
      </c>
      <c r="Q76" s="63">
        <v>1</v>
      </c>
      <c r="R76" s="193"/>
      <c r="S76" s="191"/>
      <c r="T76" s="189"/>
      <c r="U76" s="192"/>
      <c r="V76" s="192"/>
      <c r="W76" s="192"/>
      <c r="X76" s="193"/>
    </row>
    <row r="77" spans="1:26" ht="19.5" customHeight="1" x14ac:dyDescent="0.15">
      <c r="A77" s="199" t="s">
        <v>428</v>
      </c>
      <c r="B77" s="200"/>
      <c r="C77" s="200"/>
      <c r="D77" s="200"/>
      <c r="E77" s="201"/>
      <c r="F77" s="202"/>
      <c r="G77" s="63"/>
      <c r="H77" s="63"/>
      <c r="I77" s="63" t="s">
        <v>48</v>
      </c>
      <c r="J77" s="705">
        <f>IF(O108&lt;O91,O108,O91)</f>
        <v>1.2999999999999999E-2</v>
      </c>
      <c r="K77" s="705"/>
      <c r="L77" s="63" t="s">
        <v>437</v>
      </c>
      <c r="M77" s="63"/>
      <c r="N77" s="63"/>
      <c r="O77" s="63"/>
      <c r="P77" s="63"/>
      <c r="Q77" s="63"/>
      <c r="R77" s="65"/>
      <c r="S77" s="191"/>
      <c r="T77" s="203"/>
      <c r="U77" s="192"/>
      <c r="V77" s="192"/>
      <c r="W77" s="192"/>
      <c r="X77" s="193"/>
    </row>
    <row r="78" spans="1:26" ht="19.5" customHeight="1" x14ac:dyDescent="0.15">
      <c r="A78" s="204" t="s">
        <v>177</v>
      </c>
      <c r="B78" s="189"/>
      <c r="C78" s="189"/>
      <c r="D78" s="189"/>
      <c r="E78" s="65"/>
      <c r="F78" s="63"/>
      <c r="G78" s="75"/>
      <c r="H78" s="75"/>
      <c r="I78" s="75"/>
      <c r="J78" s="75"/>
      <c r="K78" s="75"/>
      <c r="L78" s="75"/>
      <c r="M78" s="75"/>
      <c r="N78" s="75"/>
      <c r="O78" s="74"/>
      <c r="P78" s="74"/>
      <c r="Q78" s="74"/>
      <c r="R78" s="205"/>
      <c r="S78" s="191"/>
      <c r="T78" s="63"/>
      <c r="U78" s="192"/>
      <c r="V78" s="192"/>
      <c r="W78" s="192"/>
      <c r="X78" s="193"/>
    </row>
    <row r="79" spans="1:26" ht="19.5" customHeight="1" x14ac:dyDescent="0.15">
      <c r="A79" s="194"/>
      <c r="B79" s="189"/>
      <c r="C79" s="189"/>
      <c r="D79" s="189"/>
      <c r="E79" s="65"/>
      <c r="G79" s="63"/>
      <c r="H79" s="63" t="s">
        <v>488</v>
      </c>
      <c r="I79" s="63" t="s">
        <v>48</v>
      </c>
      <c r="J79" s="63" t="s">
        <v>489</v>
      </c>
      <c r="K79" s="68" t="s">
        <v>414</v>
      </c>
      <c r="L79" s="63" t="s">
        <v>432</v>
      </c>
      <c r="M79" s="63"/>
      <c r="N79" s="60"/>
      <c r="O79" s="60"/>
      <c r="P79" s="60"/>
      <c r="Q79" s="60"/>
      <c r="R79" s="206"/>
      <c r="S79" s="191"/>
      <c r="T79" s="63"/>
      <c r="U79" s="192"/>
      <c r="V79" s="192"/>
      <c r="W79" s="192"/>
      <c r="X79" s="193"/>
    </row>
    <row r="80" spans="1:26" ht="19.5" customHeight="1" x14ac:dyDescent="0.15">
      <c r="A80" s="66" t="s">
        <v>183</v>
      </c>
      <c r="B80" s="184" t="s">
        <v>303</v>
      </c>
      <c r="C80" s="207">
        <f>L46</f>
        <v>50</v>
      </c>
      <c r="D80" s="208" t="s">
        <v>490</v>
      </c>
      <c r="E80" s="65"/>
      <c r="F80" s="63"/>
      <c r="G80" s="63"/>
      <c r="H80" s="63"/>
      <c r="I80" s="63" t="s">
        <v>48</v>
      </c>
      <c r="J80" s="209">
        <f>L85</f>
        <v>8.6999999999999994E-2</v>
      </c>
      <c r="K80" s="68" t="s">
        <v>414</v>
      </c>
      <c r="L80" s="209">
        <f>L92</f>
        <v>6.0999999999999999E-2</v>
      </c>
      <c r="M80" s="63"/>
      <c r="N80" s="60"/>
      <c r="O80" s="60"/>
      <c r="P80" s="60"/>
      <c r="Q80" s="60"/>
      <c r="R80" s="206"/>
      <c r="S80" s="191"/>
      <c r="T80" s="63"/>
      <c r="U80" s="192"/>
      <c r="V80" s="192"/>
      <c r="W80" s="192"/>
      <c r="X80" s="193"/>
    </row>
    <row r="81" spans="1:30" ht="19.5" customHeight="1" x14ac:dyDescent="0.15">
      <c r="A81" s="194"/>
      <c r="B81" s="64" t="s">
        <v>435</v>
      </c>
      <c r="C81" s="114">
        <v>3.45</v>
      </c>
      <c r="D81" s="189" t="s">
        <v>403</v>
      </c>
      <c r="E81" s="190"/>
      <c r="F81" s="63"/>
      <c r="G81" s="63"/>
      <c r="H81" s="63"/>
      <c r="I81" s="63" t="s">
        <v>48</v>
      </c>
      <c r="J81" s="581">
        <f>ROUNDUP(J80+L80,3)</f>
        <v>0.14799999999999999</v>
      </c>
      <c r="K81" s="525"/>
      <c r="L81" s="63" t="s">
        <v>437</v>
      </c>
      <c r="M81" s="63"/>
      <c r="N81" s="63"/>
      <c r="O81" s="63"/>
      <c r="P81" s="63"/>
      <c r="Q81" s="63"/>
      <c r="R81" s="206"/>
      <c r="S81" s="191"/>
      <c r="T81" s="60"/>
      <c r="U81" s="192"/>
      <c r="V81" s="192"/>
      <c r="W81" s="192"/>
      <c r="X81" s="193"/>
    </row>
    <row r="82" spans="1:30" ht="19.5" customHeight="1" x14ac:dyDescent="0.15">
      <c r="A82" s="194"/>
      <c r="B82" s="64" t="s">
        <v>491</v>
      </c>
      <c r="C82" s="210">
        <f>(F36/(1000*60))/(((C80/1000)^2*PI()/4))</f>
        <v>0.84882636315677518</v>
      </c>
      <c r="D82" s="189"/>
      <c r="E82" s="190"/>
      <c r="F82" s="63"/>
      <c r="G82" s="63"/>
      <c r="I82" s="63"/>
      <c r="J82" s="63"/>
      <c r="K82" s="63"/>
      <c r="L82" s="63"/>
      <c r="M82" s="63"/>
      <c r="N82" s="63"/>
      <c r="O82" s="63"/>
      <c r="P82" s="63"/>
      <c r="Q82" s="63"/>
      <c r="R82" s="65"/>
      <c r="S82" s="191"/>
      <c r="T82" s="60"/>
      <c r="U82" s="192"/>
      <c r="V82" s="192"/>
      <c r="W82" s="192"/>
      <c r="X82" s="193"/>
    </row>
    <row r="83" spans="1:30" ht="19.5" customHeight="1" x14ac:dyDescent="0.15">
      <c r="A83" s="211" t="s">
        <v>492</v>
      </c>
      <c r="B83" s="64" t="s">
        <v>493</v>
      </c>
      <c r="C83" s="115">
        <v>0.01</v>
      </c>
      <c r="D83" s="189"/>
      <c r="E83" s="65"/>
      <c r="F83" s="63"/>
      <c r="G83" s="63" t="s">
        <v>190</v>
      </c>
      <c r="I83" s="63"/>
      <c r="J83" s="63" t="s">
        <v>489</v>
      </c>
      <c r="K83" s="63" t="s">
        <v>48</v>
      </c>
      <c r="L83" s="63" t="s">
        <v>494</v>
      </c>
      <c r="M83" s="68" t="s">
        <v>50</v>
      </c>
      <c r="N83" s="525" t="s">
        <v>495</v>
      </c>
      <c r="O83" s="525"/>
      <c r="P83" s="68" t="s">
        <v>50</v>
      </c>
      <c r="Q83" s="60" t="s">
        <v>487</v>
      </c>
      <c r="R83" s="65"/>
      <c r="S83" s="191"/>
      <c r="T83" s="212"/>
      <c r="U83" s="192"/>
      <c r="V83" s="192"/>
      <c r="W83" s="192"/>
      <c r="X83" s="193"/>
    </row>
    <row r="84" spans="1:30" ht="19.5" customHeight="1" x14ac:dyDescent="0.15">
      <c r="A84" s="194"/>
      <c r="B84" s="213"/>
      <c r="C84" s="214"/>
      <c r="D84" s="189"/>
      <c r="E84" s="65"/>
      <c r="F84" s="60"/>
      <c r="G84" s="63"/>
      <c r="H84" s="63"/>
      <c r="I84" s="63"/>
      <c r="J84" s="63"/>
      <c r="K84" s="63" t="s">
        <v>48</v>
      </c>
      <c r="L84" s="209">
        <f>L88</f>
        <v>3.4000000000000002E-2</v>
      </c>
      <c r="M84" s="68" t="s">
        <v>50</v>
      </c>
      <c r="N84" s="719">
        <f>ROUND(C81/(C80/1000),3)</f>
        <v>69</v>
      </c>
      <c r="O84" s="719"/>
      <c r="P84" s="68" t="s">
        <v>50</v>
      </c>
      <c r="Q84" s="209">
        <f>ROUND(C82^2/(2*9.8),3)</f>
        <v>3.6999999999999998E-2</v>
      </c>
      <c r="R84" s="65"/>
      <c r="S84" s="191"/>
      <c r="T84" s="63"/>
      <c r="U84" s="192"/>
      <c r="V84" s="192"/>
      <c r="W84" s="192"/>
      <c r="X84" s="193"/>
    </row>
    <row r="85" spans="1:30" ht="19.5" customHeight="1" x14ac:dyDescent="0.15">
      <c r="A85" s="215" t="s">
        <v>496</v>
      </c>
      <c r="B85" s="216" t="s">
        <v>497</v>
      </c>
      <c r="C85" s="116">
        <v>1</v>
      </c>
      <c r="D85" s="189"/>
      <c r="E85" s="65"/>
      <c r="F85" s="60"/>
      <c r="G85" s="63"/>
      <c r="H85" s="63"/>
      <c r="I85" s="63"/>
      <c r="J85" s="63"/>
      <c r="K85" s="63" t="s">
        <v>48</v>
      </c>
      <c r="L85" s="524">
        <f>ROUND(L84*N84*Q84,3)</f>
        <v>8.6999999999999994E-2</v>
      </c>
      <c r="M85" s="524"/>
      <c r="N85" s="63"/>
      <c r="O85" s="63"/>
      <c r="P85" s="63"/>
      <c r="Q85" s="63"/>
      <c r="R85" s="65"/>
      <c r="S85" s="191"/>
      <c r="T85" s="202"/>
      <c r="U85" s="217"/>
      <c r="V85" s="192"/>
      <c r="W85" s="192"/>
      <c r="X85" s="193"/>
    </row>
    <row r="86" spans="1:30" ht="19.5" customHeight="1" x14ac:dyDescent="0.15">
      <c r="A86" s="218" t="s">
        <v>498</v>
      </c>
      <c r="B86" s="219" t="s">
        <v>499</v>
      </c>
      <c r="C86" s="116">
        <v>0</v>
      </c>
      <c r="D86" s="189"/>
      <c r="E86" s="65"/>
      <c r="F86" s="60"/>
      <c r="G86" s="63"/>
      <c r="H86" s="60"/>
      <c r="I86" s="60"/>
      <c r="J86" s="60" t="s">
        <v>494</v>
      </c>
      <c r="K86" s="60" t="s">
        <v>48</v>
      </c>
      <c r="L86" s="60" t="s">
        <v>500</v>
      </c>
      <c r="M86" s="60"/>
      <c r="N86" s="68" t="s">
        <v>50</v>
      </c>
      <c r="O86" s="525" t="s">
        <v>501</v>
      </c>
      <c r="P86" s="525"/>
      <c r="Q86" s="63"/>
      <c r="R86" s="65"/>
      <c r="S86" s="220" t="s">
        <v>200</v>
      </c>
      <c r="T86" s="221"/>
      <c r="U86" s="222"/>
      <c r="V86" s="221"/>
      <c r="W86" s="221"/>
      <c r="X86" s="223"/>
      <c r="Y86" s="191"/>
      <c r="Z86" s="63"/>
      <c r="AA86" s="192"/>
      <c r="AB86" s="192"/>
      <c r="AC86" s="192"/>
      <c r="AD86" s="192"/>
    </row>
    <row r="87" spans="1:30" ht="19.5" customHeight="1" x14ac:dyDescent="0.15">
      <c r="A87" s="215" t="s">
        <v>502</v>
      </c>
      <c r="B87" s="213"/>
      <c r="C87" s="116">
        <v>1</v>
      </c>
      <c r="D87" s="189"/>
      <c r="E87" s="65"/>
      <c r="F87" s="63"/>
      <c r="G87" s="63"/>
      <c r="H87" s="179"/>
      <c r="I87" s="60"/>
      <c r="J87" s="60"/>
      <c r="K87" s="60" t="s">
        <v>48</v>
      </c>
      <c r="L87" s="525">
        <f>124.6/((C80/1000)^(1/3))</f>
        <v>338.21643502772531</v>
      </c>
      <c r="M87" s="525"/>
      <c r="N87" s="68" t="s">
        <v>50</v>
      </c>
      <c r="O87" s="720">
        <f>C83^2</f>
        <v>1E-4</v>
      </c>
      <c r="P87" s="720"/>
      <c r="Q87" s="63"/>
      <c r="R87" s="65"/>
      <c r="S87" s="224" t="s">
        <v>202</v>
      </c>
      <c r="T87" s="75"/>
      <c r="U87" s="102">
        <v>50</v>
      </c>
      <c r="V87" s="225">
        <v>65</v>
      </c>
      <c r="W87" s="102">
        <v>80</v>
      </c>
      <c r="X87" s="226">
        <v>100</v>
      </c>
      <c r="Y87" s="191"/>
      <c r="Z87" s="63"/>
      <c r="AA87" s="192"/>
      <c r="AB87" s="192"/>
      <c r="AC87" s="192"/>
      <c r="AD87" s="192"/>
    </row>
    <row r="88" spans="1:30" ht="19.5" customHeight="1" x14ac:dyDescent="0.15">
      <c r="A88" s="215" t="s">
        <v>503</v>
      </c>
      <c r="B88" s="213" t="s">
        <v>504</v>
      </c>
      <c r="C88" s="117">
        <v>1</v>
      </c>
      <c r="D88" s="189"/>
      <c r="E88" s="65"/>
      <c r="F88" s="60"/>
      <c r="G88" s="63"/>
      <c r="H88" s="179"/>
      <c r="I88" s="60"/>
      <c r="J88" s="63"/>
      <c r="K88" s="60" t="s">
        <v>48</v>
      </c>
      <c r="L88" s="721">
        <f>ROUND(L87*O87,3)</f>
        <v>3.4000000000000002E-2</v>
      </c>
      <c r="M88" s="721"/>
      <c r="N88" s="68"/>
      <c r="O88" s="63"/>
      <c r="P88" s="63"/>
      <c r="Q88" s="63"/>
      <c r="R88" s="65"/>
      <c r="S88" s="227" t="s">
        <v>205</v>
      </c>
      <c r="T88" s="202"/>
      <c r="U88" s="228">
        <v>0.17</v>
      </c>
      <c r="V88" s="228">
        <v>0.17</v>
      </c>
      <c r="W88" s="228">
        <v>0.17</v>
      </c>
      <c r="X88" s="229">
        <v>0.14000000000000001</v>
      </c>
      <c r="Y88" s="191"/>
      <c r="Z88" s="63"/>
      <c r="AA88" s="192"/>
      <c r="AB88" s="192"/>
      <c r="AC88" s="192"/>
      <c r="AD88" s="192"/>
    </row>
    <row r="89" spans="1:30" ht="19.5" customHeight="1" x14ac:dyDescent="0.15">
      <c r="A89" s="218" t="s">
        <v>498</v>
      </c>
      <c r="B89" s="213" t="s">
        <v>505</v>
      </c>
      <c r="C89" s="117">
        <v>0</v>
      </c>
      <c r="D89" s="189"/>
      <c r="E89" s="65"/>
      <c r="F89" s="63"/>
      <c r="G89" s="63"/>
      <c r="I89" s="63"/>
      <c r="J89" s="63"/>
      <c r="K89" s="63"/>
      <c r="L89" s="63"/>
      <c r="M89" s="63"/>
      <c r="N89" s="63"/>
      <c r="O89" s="63"/>
      <c r="P89" s="63"/>
      <c r="Q89" s="63"/>
      <c r="R89" s="65"/>
      <c r="S89" s="220" t="s">
        <v>207</v>
      </c>
      <c r="T89" s="221"/>
      <c r="U89" s="222"/>
      <c r="V89" s="221"/>
      <c r="W89" s="221"/>
      <c r="X89" s="223"/>
      <c r="Y89" s="191"/>
      <c r="Z89" s="63"/>
      <c r="AA89" s="192"/>
      <c r="AB89" s="192"/>
      <c r="AC89" s="192"/>
      <c r="AD89" s="192"/>
    </row>
    <row r="90" spans="1:30" ht="19.5" customHeight="1" x14ac:dyDescent="0.15">
      <c r="A90" s="218" t="s">
        <v>498</v>
      </c>
      <c r="B90" s="213" t="s">
        <v>506</v>
      </c>
      <c r="C90" s="117">
        <v>0</v>
      </c>
      <c r="D90" s="189"/>
      <c r="E90" s="65"/>
      <c r="F90" s="60"/>
      <c r="G90" s="583" t="s">
        <v>507</v>
      </c>
      <c r="H90" s="583"/>
      <c r="I90" s="583"/>
      <c r="J90" s="63" t="s">
        <v>432</v>
      </c>
      <c r="K90" s="63" t="s">
        <v>48</v>
      </c>
      <c r="L90" s="525" t="s">
        <v>508</v>
      </c>
      <c r="M90" s="525"/>
      <c r="N90" s="68" t="s">
        <v>50</v>
      </c>
      <c r="O90" s="525" t="s">
        <v>487</v>
      </c>
      <c r="P90" s="525"/>
      <c r="Q90" s="63"/>
      <c r="R90" s="65"/>
      <c r="S90" s="224" t="s">
        <v>202</v>
      </c>
      <c r="T90" s="75"/>
      <c r="U90" s="102">
        <v>50</v>
      </c>
      <c r="V90" s="225">
        <v>65</v>
      </c>
      <c r="W90" s="102">
        <v>80</v>
      </c>
      <c r="X90" s="226">
        <v>100</v>
      </c>
      <c r="Y90" s="191"/>
      <c r="Z90" s="63"/>
      <c r="AA90" s="192"/>
      <c r="AB90" s="192"/>
      <c r="AC90" s="192"/>
      <c r="AD90" s="192"/>
    </row>
    <row r="91" spans="1:30" ht="19.5" customHeight="1" x14ac:dyDescent="0.15">
      <c r="A91" s="218" t="s">
        <v>498</v>
      </c>
      <c r="B91" s="213" t="s">
        <v>509</v>
      </c>
      <c r="C91" s="117">
        <v>0</v>
      </c>
      <c r="D91" s="189"/>
      <c r="E91" s="65"/>
      <c r="F91" s="63"/>
      <c r="G91" s="583"/>
      <c r="H91" s="583"/>
      <c r="I91" s="583"/>
      <c r="J91" s="63"/>
      <c r="K91" s="63" t="s">
        <v>48</v>
      </c>
      <c r="L91" s="722">
        <f>L94+O94</f>
        <v>1.66</v>
      </c>
      <c r="M91" s="525"/>
      <c r="N91" s="68" t="s">
        <v>50</v>
      </c>
      <c r="O91" s="581">
        <f>Q84</f>
        <v>3.6999999999999998E-2</v>
      </c>
      <c r="P91" s="525"/>
      <c r="Q91" s="63"/>
      <c r="R91" s="65"/>
      <c r="S91" s="227" t="s">
        <v>205</v>
      </c>
      <c r="T91" s="202"/>
      <c r="U91" s="71">
        <v>1.2</v>
      </c>
      <c r="V91" s="71">
        <v>1.2</v>
      </c>
      <c r="W91" s="71">
        <v>1.2</v>
      </c>
      <c r="X91" s="72">
        <v>1.2</v>
      </c>
      <c r="Y91" s="191"/>
      <c r="Z91" s="63"/>
      <c r="AA91" s="192"/>
      <c r="AB91" s="192"/>
      <c r="AC91" s="192"/>
      <c r="AD91" s="192"/>
    </row>
    <row r="92" spans="1:30" ht="19.5" customHeight="1" x14ac:dyDescent="0.15">
      <c r="A92" s="230"/>
      <c r="B92" s="231"/>
      <c r="C92" s="231"/>
      <c r="D92" s="231"/>
      <c r="E92" s="232"/>
      <c r="F92" s="63"/>
      <c r="G92" s="233"/>
      <c r="H92" s="63"/>
      <c r="I92" s="63"/>
      <c r="J92" s="63"/>
      <c r="K92" s="63" t="s">
        <v>48</v>
      </c>
      <c r="L92" s="524">
        <f>ROUND(L91*O91,3)</f>
        <v>6.0999999999999999E-2</v>
      </c>
      <c r="M92" s="524"/>
      <c r="N92" s="63"/>
      <c r="O92" s="63"/>
      <c r="P92" s="63"/>
      <c r="Q92" s="63"/>
      <c r="R92" s="65"/>
      <c r="S92" s="234" t="s">
        <v>213</v>
      </c>
      <c r="T92" s="221"/>
      <c r="U92" s="221"/>
      <c r="V92" s="221"/>
      <c r="W92" s="221"/>
      <c r="X92" s="235"/>
      <c r="Y92" s="191"/>
      <c r="Z92" s="236"/>
      <c r="AA92" s="192"/>
      <c r="AB92" s="192"/>
      <c r="AC92" s="192"/>
      <c r="AD92" s="192"/>
    </row>
    <row r="93" spans="1:30" ht="19.5" customHeight="1" x14ac:dyDescent="0.15">
      <c r="A93" s="543" t="s">
        <v>614</v>
      </c>
      <c r="B93" s="544"/>
      <c r="C93" s="544"/>
      <c r="D93" s="544"/>
      <c r="E93" s="545"/>
      <c r="F93" s="63"/>
      <c r="G93" s="63"/>
      <c r="H93" s="63"/>
      <c r="I93" s="63"/>
      <c r="J93" s="63" t="s">
        <v>508</v>
      </c>
      <c r="K93" s="60" t="s">
        <v>48</v>
      </c>
      <c r="L93" s="63" t="s">
        <v>214</v>
      </c>
      <c r="M93" s="63"/>
      <c r="N93" s="63"/>
      <c r="O93" s="63"/>
      <c r="P93" s="63"/>
      <c r="Q93" s="63"/>
      <c r="R93" s="65"/>
      <c r="S93" s="105" t="s">
        <v>215</v>
      </c>
      <c r="T93" s="63"/>
      <c r="U93" s="63">
        <v>90</v>
      </c>
      <c r="V93" s="63">
        <v>60</v>
      </c>
      <c r="W93" s="63">
        <v>45</v>
      </c>
      <c r="X93" s="65">
        <v>30</v>
      </c>
      <c r="Y93" s="191"/>
      <c r="Z93" s="236"/>
      <c r="AA93" s="192"/>
      <c r="AB93" s="192"/>
      <c r="AC93" s="192"/>
      <c r="AD93" s="192"/>
    </row>
    <row r="94" spans="1:30" ht="19.5" customHeight="1" x14ac:dyDescent="0.15">
      <c r="A94" s="546"/>
      <c r="B94" s="547"/>
      <c r="C94" s="547"/>
      <c r="D94" s="547"/>
      <c r="E94" s="548"/>
      <c r="F94" s="202"/>
      <c r="G94" s="202"/>
      <c r="H94" s="202"/>
      <c r="I94" s="202"/>
      <c r="J94" s="202"/>
      <c r="K94" s="202" t="s">
        <v>48</v>
      </c>
      <c r="L94" s="723">
        <f>C85*U88+C86*X88+C87*U91</f>
        <v>1.3699999999999999</v>
      </c>
      <c r="M94" s="723"/>
      <c r="N94" s="238" t="s">
        <v>414</v>
      </c>
      <c r="O94" s="724">
        <f>C88*U94+C89*V94+C90*W94+C91*X94</f>
        <v>0.28999999999999998</v>
      </c>
      <c r="P94" s="724"/>
      <c r="Q94" s="202"/>
      <c r="R94" s="237"/>
      <c r="S94" s="227" t="s">
        <v>205</v>
      </c>
      <c r="T94" s="202"/>
      <c r="U94" s="239">
        <v>0.28999999999999998</v>
      </c>
      <c r="V94" s="239">
        <v>0.24</v>
      </c>
      <c r="W94" s="239">
        <v>0.21</v>
      </c>
      <c r="X94" s="240">
        <v>0.17</v>
      </c>
      <c r="Y94" s="191"/>
      <c r="Z94" s="63"/>
      <c r="AA94" s="192"/>
      <c r="AB94" s="192"/>
      <c r="AC94" s="192"/>
      <c r="AD94" s="192"/>
    </row>
    <row r="95" spans="1:30" ht="19.5" customHeight="1" x14ac:dyDescent="0.15">
      <c r="A95" s="105" t="s">
        <v>177</v>
      </c>
      <c r="B95" s="241"/>
      <c r="C95" s="241"/>
      <c r="D95" s="189"/>
      <c r="E95" s="65"/>
      <c r="F95" s="75"/>
      <c r="G95" s="75"/>
      <c r="H95" s="75"/>
      <c r="I95" s="75"/>
      <c r="J95" s="75"/>
      <c r="K95" s="75"/>
      <c r="L95" s="75"/>
      <c r="M95" s="75"/>
      <c r="N95" s="75"/>
      <c r="O95" s="74"/>
      <c r="P95" s="74"/>
      <c r="Q95" s="74"/>
      <c r="R95" s="205"/>
      <c r="S95" s="242"/>
      <c r="T95" s="243"/>
      <c r="U95" s="243"/>
      <c r="V95" s="243"/>
      <c r="W95" s="243"/>
      <c r="X95" s="244"/>
      <c r="Y95" s="153"/>
      <c r="Z95" s="32"/>
      <c r="AA95" s="32"/>
      <c r="AB95" s="32"/>
      <c r="AC95" s="32"/>
      <c r="AD95" s="32"/>
    </row>
    <row r="96" spans="1:30" ht="19.5" customHeight="1" x14ac:dyDescent="0.15">
      <c r="A96" s="194"/>
      <c r="B96" s="189"/>
      <c r="C96" s="189"/>
      <c r="D96" s="189"/>
      <c r="E96" s="65"/>
      <c r="F96" s="63"/>
      <c r="G96" s="63"/>
      <c r="H96" s="63" t="s">
        <v>488</v>
      </c>
      <c r="I96" s="63" t="s">
        <v>48</v>
      </c>
      <c r="J96" s="63" t="s">
        <v>489</v>
      </c>
      <c r="K96" s="68" t="s">
        <v>414</v>
      </c>
      <c r="L96" s="63" t="s">
        <v>432</v>
      </c>
      <c r="M96" s="63"/>
      <c r="N96" s="60"/>
      <c r="O96" s="60"/>
      <c r="P96" s="60"/>
      <c r="Q96" s="60"/>
      <c r="R96" s="206"/>
      <c r="S96" s="245"/>
      <c r="T96" s="246"/>
      <c r="U96" s="246"/>
      <c r="V96" s="246"/>
      <c r="W96" s="246"/>
      <c r="X96" s="247"/>
    </row>
    <row r="97" spans="1:25" ht="19.5" customHeight="1" x14ac:dyDescent="0.15">
      <c r="A97" s="66" t="s">
        <v>183</v>
      </c>
      <c r="B97" s="184" t="s">
        <v>433</v>
      </c>
      <c r="C97" s="207">
        <f>L48</f>
        <v>65</v>
      </c>
      <c r="D97" s="208" t="s">
        <v>490</v>
      </c>
      <c r="E97" s="65"/>
      <c r="F97" s="63"/>
      <c r="G97" s="63"/>
      <c r="H97" s="63"/>
      <c r="I97" s="63" t="s">
        <v>48</v>
      </c>
      <c r="J97" s="209">
        <f>L102</f>
        <v>7.8E-2</v>
      </c>
      <c r="K97" s="68" t="s">
        <v>414</v>
      </c>
      <c r="L97" s="209">
        <f>L109</f>
        <v>4.0000000000000001E-3</v>
      </c>
      <c r="M97" s="63"/>
      <c r="N97" s="60"/>
      <c r="O97" s="60"/>
      <c r="P97" s="60"/>
      <c r="Q97" s="60"/>
      <c r="R97" s="206"/>
      <c r="S97" s="191"/>
      <c r="T97" s="63"/>
      <c r="U97" s="192"/>
      <c r="V97" s="192"/>
      <c r="W97" s="192"/>
      <c r="X97" s="193"/>
    </row>
    <row r="98" spans="1:25" ht="19.5" customHeight="1" x14ac:dyDescent="0.15">
      <c r="A98" s="194"/>
      <c r="B98" s="64" t="s">
        <v>435</v>
      </c>
      <c r="C98" s="114">
        <v>12.5</v>
      </c>
      <c r="D98" s="189" t="s">
        <v>403</v>
      </c>
      <c r="E98" s="65"/>
      <c r="F98" s="63"/>
      <c r="G98" s="63"/>
      <c r="H98" s="63"/>
      <c r="I98" s="63" t="s">
        <v>48</v>
      </c>
      <c r="J98" s="581">
        <f>IF(ISNUMBER(L48),(ROUNDUP(J97+L97,3)),"")</f>
        <v>8.2000000000000003E-2</v>
      </c>
      <c r="K98" s="525"/>
      <c r="L98" s="63" t="s">
        <v>437</v>
      </c>
      <c r="M98" s="63"/>
      <c r="N98" s="63"/>
      <c r="O98" s="63"/>
      <c r="P98" s="63"/>
      <c r="Q98" s="63"/>
      <c r="R98" s="206"/>
      <c r="S98" s="191"/>
      <c r="T98" s="63"/>
      <c r="U98" s="192"/>
      <c r="V98" s="192"/>
      <c r="W98" s="192"/>
      <c r="X98" s="193"/>
    </row>
    <row r="99" spans="1:25" ht="19.5" customHeight="1" x14ac:dyDescent="0.15">
      <c r="A99" s="194"/>
      <c r="B99" s="64" t="s">
        <v>491</v>
      </c>
      <c r="C99" s="210">
        <f>IF(ISNUMBER(L48),((F36/(1000*60))/(((C97/1000)^2*PI()/4))),"")</f>
        <v>0.50226412021110955</v>
      </c>
      <c r="D99" s="189"/>
      <c r="E99" s="190"/>
      <c r="F99" s="63"/>
      <c r="G99" s="63"/>
      <c r="H99" s="63"/>
      <c r="I99" s="63"/>
      <c r="J99" s="63"/>
      <c r="K99" s="63"/>
      <c r="L99" s="63"/>
      <c r="M99" s="63"/>
      <c r="N99" s="63"/>
      <c r="O99" s="63"/>
      <c r="P99" s="63"/>
      <c r="Q99" s="63"/>
      <c r="R99" s="65"/>
      <c r="S99" s="191"/>
      <c r="T99" s="60"/>
      <c r="U99" s="192"/>
      <c r="V99" s="192"/>
      <c r="W99" s="192"/>
      <c r="X99" s="193"/>
    </row>
    <row r="100" spans="1:25" ht="19.5" customHeight="1" x14ac:dyDescent="0.15">
      <c r="A100" s="211" t="s">
        <v>492</v>
      </c>
      <c r="B100" s="64" t="s">
        <v>493</v>
      </c>
      <c r="C100" s="118">
        <v>0.01</v>
      </c>
      <c r="D100" s="189"/>
      <c r="E100" s="190"/>
      <c r="F100" s="63"/>
      <c r="G100" s="63" t="s">
        <v>190</v>
      </c>
      <c r="I100" s="63"/>
      <c r="J100" s="63" t="s">
        <v>489</v>
      </c>
      <c r="K100" s="63" t="s">
        <v>48</v>
      </c>
      <c r="L100" s="63" t="s">
        <v>494</v>
      </c>
      <c r="M100" s="68" t="s">
        <v>50</v>
      </c>
      <c r="N100" s="525" t="s">
        <v>495</v>
      </c>
      <c r="O100" s="525"/>
      <c r="P100" s="68" t="s">
        <v>50</v>
      </c>
      <c r="Q100" s="60" t="s">
        <v>487</v>
      </c>
      <c r="R100" s="65"/>
      <c r="S100" s="191"/>
      <c r="T100" s="60"/>
      <c r="U100" s="192"/>
      <c r="V100" s="192"/>
      <c r="W100" s="192"/>
      <c r="X100" s="193"/>
    </row>
    <row r="101" spans="1:25" ht="19.5" customHeight="1" x14ac:dyDescent="0.15">
      <c r="A101" s="194"/>
      <c r="B101" s="213"/>
      <c r="C101" s="214"/>
      <c r="D101" s="189"/>
      <c r="E101" s="65"/>
      <c r="F101" s="60"/>
      <c r="G101" s="63"/>
      <c r="H101" s="63"/>
      <c r="I101" s="63"/>
      <c r="J101" s="63"/>
      <c r="K101" s="63" t="s">
        <v>48</v>
      </c>
      <c r="L101" s="209">
        <f>L105</f>
        <v>3.1E-2</v>
      </c>
      <c r="M101" s="68" t="s">
        <v>50</v>
      </c>
      <c r="N101" s="719">
        <f>IF(ISNUMBER(L48),(ROUND(C98/(C97/1000),3)),"")</f>
        <v>192.30799999999999</v>
      </c>
      <c r="O101" s="719"/>
      <c r="P101" s="68" t="s">
        <v>50</v>
      </c>
      <c r="Q101" s="209">
        <f>IF(ISNUMBER(L48),(ROUND(C99^2/(2*9.8),3)),"")</f>
        <v>1.2999999999999999E-2</v>
      </c>
      <c r="R101" s="65"/>
      <c r="S101" s="191"/>
      <c r="T101" s="212"/>
      <c r="U101" s="192"/>
      <c r="V101" s="192"/>
      <c r="W101" s="192"/>
      <c r="X101" s="193"/>
    </row>
    <row r="102" spans="1:25" ht="19.5" customHeight="1" x14ac:dyDescent="0.15">
      <c r="A102" s="215" t="s">
        <v>496</v>
      </c>
      <c r="B102" s="216" t="s">
        <v>497</v>
      </c>
      <c r="C102" s="116">
        <v>0</v>
      </c>
      <c r="D102" s="189"/>
      <c r="E102" s="65"/>
      <c r="F102" s="60"/>
      <c r="G102" s="63"/>
      <c r="H102" s="63"/>
      <c r="I102" s="63"/>
      <c r="J102" s="63"/>
      <c r="K102" s="63" t="s">
        <v>48</v>
      </c>
      <c r="L102" s="524">
        <f>IF(ISNUMBER(L48),(ROUND(L101*N101*Q101,3)),"")</f>
        <v>7.8E-2</v>
      </c>
      <c r="M102" s="524"/>
      <c r="N102" s="63"/>
      <c r="O102" s="63"/>
      <c r="P102" s="63"/>
      <c r="Q102" s="63"/>
      <c r="R102" s="65"/>
      <c r="S102" s="191"/>
      <c r="T102" s="63"/>
      <c r="U102" s="192"/>
      <c r="V102" s="192"/>
      <c r="W102" s="192"/>
      <c r="X102" s="193"/>
    </row>
    <row r="103" spans="1:25" ht="19.5" customHeight="1" x14ac:dyDescent="0.15">
      <c r="A103" s="218" t="s">
        <v>498</v>
      </c>
      <c r="B103" s="219" t="s">
        <v>499</v>
      </c>
      <c r="C103" s="116">
        <v>0</v>
      </c>
      <c r="D103" s="189"/>
      <c r="E103" s="65"/>
      <c r="F103" s="60"/>
      <c r="G103" s="63"/>
      <c r="H103" s="60"/>
      <c r="I103" s="60"/>
      <c r="J103" s="60" t="s">
        <v>494</v>
      </c>
      <c r="K103" s="60" t="s">
        <v>48</v>
      </c>
      <c r="L103" s="60" t="s">
        <v>500</v>
      </c>
      <c r="M103" s="60"/>
      <c r="N103" s="68" t="s">
        <v>50</v>
      </c>
      <c r="O103" s="525" t="s">
        <v>501</v>
      </c>
      <c r="P103" s="525"/>
      <c r="Q103" s="63"/>
      <c r="R103" s="65"/>
      <c r="S103" s="191"/>
      <c r="T103" s="63"/>
      <c r="U103" s="192"/>
      <c r="V103" s="192"/>
      <c r="W103" s="192"/>
      <c r="X103" s="193"/>
    </row>
    <row r="104" spans="1:25" ht="19.5" customHeight="1" x14ac:dyDescent="0.15">
      <c r="A104" s="215" t="s">
        <v>502</v>
      </c>
      <c r="B104" s="213"/>
      <c r="C104" s="116">
        <v>0</v>
      </c>
      <c r="D104" s="189"/>
      <c r="E104" s="65"/>
      <c r="F104" s="63"/>
      <c r="G104" s="63"/>
      <c r="H104" s="179"/>
      <c r="I104" s="60"/>
      <c r="J104" s="60"/>
      <c r="K104" s="60" t="s">
        <v>48</v>
      </c>
      <c r="L104" s="695">
        <f>IF(ISNUMBER(L48),(124.6/((C97/1000)^(1/3)))," ")</f>
        <v>309.89430138036641</v>
      </c>
      <c r="M104" s="695"/>
      <c r="N104" s="68" t="s">
        <v>50</v>
      </c>
      <c r="O104" s="720">
        <f>IF(ISNUMBER(L48),(C100^2)," ")</f>
        <v>1E-4</v>
      </c>
      <c r="P104" s="720"/>
      <c r="Q104" s="63"/>
      <c r="R104" s="65"/>
      <c r="S104" s="191"/>
      <c r="T104" s="63"/>
      <c r="U104" s="192"/>
      <c r="V104" s="192"/>
      <c r="W104" s="192"/>
      <c r="X104" s="193"/>
    </row>
    <row r="105" spans="1:25" ht="19.5" customHeight="1" x14ac:dyDescent="0.15">
      <c r="A105" s="215" t="s">
        <v>503</v>
      </c>
      <c r="B105" s="213" t="s">
        <v>504</v>
      </c>
      <c r="C105" s="117">
        <v>1</v>
      </c>
      <c r="D105" s="189"/>
      <c r="E105" s="65"/>
      <c r="F105" s="60"/>
      <c r="G105" s="63"/>
      <c r="H105" s="179"/>
      <c r="I105" s="60"/>
      <c r="J105" s="63"/>
      <c r="K105" s="60" t="s">
        <v>48</v>
      </c>
      <c r="L105" s="721">
        <f>IF(ISNUMBER(L48),ROUND(L104*O104,3)," ")</f>
        <v>3.1E-2</v>
      </c>
      <c r="M105" s="721"/>
      <c r="N105" s="68"/>
      <c r="O105" s="63"/>
      <c r="P105" s="63"/>
      <c r="Q105" s="63"/>
      <c r="R105" s="65"/>
      <c r="S105" s="191"/>
      <c r="T105" s="63"/>
      <c r="U105" s="192"/>
      <c r="V105" s="192"/>
      <c r="W105" s="192"/>
      <c r="X105" s="193"/>
    </row>
    <row r="106" spans="1:25" ht="19.5" customHeight="1" x14ac:dyDescent="0.15">
      <c r="A106" s="218" t="s">
        <v>498</v>
      </c>
      <c r="B106" s="213" t="s">
        <v>505</v>
      </c>
      <c r="C106" s="117">
        <v>0</v>
      </c>
      <c r="D106" s="189"/>
      <c r="E106" s="65"/>
      <c r="F106" s="63"/>
      <c r="G106" s="63"/>
      <c r="I106" s="63"/>
      <c r="J106" s="63"/>
      <c r="K106" s="63"/>
      <c r="L106" s="63"/>
      <c r="M106" s="63"/>
      <c r="N106" s="63"/>
      <c r="O106" s="63"/>
      <c r="P106" s="63"/>
      <c r="Q106" s="63"/>
      <c r="R106" s="65"/>
      <c r="S106" s="191"/>
      <c r="T106" s="63"/>
      <c r="U106" s="192"/>
      <c r="V106" s="192"/>
      <c r="W106" s="192"/>
      <c r="X106" s="193"/>
    </row>
    <row r="107" spans="1:25" ht="19.5" customHeight="1" x14ac:dyDescent="0.15">
      <c r="A107" s="218" t="s">
        <v>498</v>
      </c>
      <c r="B107" s="213" t="s">
        <v>506</v>
      </c>
      <c r="C107" s="117">
        <v>0</v>
      </c>
      <c r="D107" s="189"/>
      <c r="E107" s="65"/>
      <c r="F107" s="60"/>
      <c r="G107" s="583" t="s">
        <v>507</v>
      </c>
      <c r="H107" s="583"/>
      <c r="I107" s="583"/>
      <c r="J107" s="63" t="s">
        <v>432</v>
      </c>
      <c r="K107" s="63" t="s">
        <v>48</v>
      </c>
      <c r="L107" s="525" t="s">
        <v>508</v>
      </c>
      <c r="M107" s="525"/>
      <c r="N107" s="68" t="s">
        <v>50</v>
      </c>
      <c r="O107" s="525" t="s">
        <v>487</v>
      </c>
      <c r="P107" s="525"/>
      <c r="Q107" s="63"/>
      <c r="R107" s="65"/>
      <c r="S107" s="191"/>
      <c r="T107" s="63"/>
      <c r="U107" s="192"/>
      <c r="V107" s="192"/>
      <c r="W107" s="192"/>
      <c r="X107" s="193"/>
    </row>
    <row r="108" spans="1:25" ht="19.5" customHeight="1" x14ac:dyDescent="0.15">
      <c r="A108" s="218" t="s">
        <v>498</v>
      </c>
      <c r="B108" s="213" t="s">
        <v>509</v>
      </c>
      <c r="C108" s="117">
        <v>0</v>
      </c>
      <c r="D108" s="189"/>
      <c r="E108" s="65"/>
      <c r="F108" s="63"/>
      <c r="G108" s="583"/>
      <c r="H108" s="583"/>
      <c r="I108" s="583"/>
      <c r="J108" s="63"/>
      <c r="K108" s="63" t="s">
        <v>48</v>
      </c>
      <c r="L108" s="525">
        <f>IF(ISNUMBER(L48),L111+O111,"")</f>
        <v>0.28999999999999998</v>
      </c>
      <c r="M108" s="525"/>
      <c r="N108" s="68" t="s">
        <v>50</v>
      </c>
      <c r="O108" s="581">
        <f>Q101</f>
        <v>1.2999999999999999E-2</v>
      </c>
      <c r="P108" s="525"/>
      <c r="Q108" s="63"/>
      <c r="R108" s="65"/>
      <c r="S108" s="191"/>
      <c r="T108" s="63"/>
      <c r="U108" s="192"/>
      <c r="V108" s="192"/>
      <c r="W108" s="192"/>
      <c r="X108" s="193"/>
    </row>
    <row r="109" spans="1:25" ht="19.5" customHeight="1" x14ac:dyDescent="0.15">
      <c r="A109" s="194"/>
      <c r="B109" s="189"/>
      <c r="C109" s="214"/>
      <c r="D109" s="189"/>
      <c r="E109" s="65"/>
      <c r="F109" s="63"/>
      <c r="G109" s="233"/>
      <c r="H109" s="63"/>
      <c r="I109" s="63"/>
      <c r="J109" s="63"/>
      <c r="K109" s="63" t="s">
        <v>48</v>
      </c>
      <c r="L109" s="524">
        <f>IF(ISNUMBER(L48),(ROUND(L108*O108,3)),"")</f>
        <v>4.0000000000000001E-3</v>
      </c>
      <c r="M109" s="524"/>
      <c r="N109" s="63"/>
      <c r="O109" s="63"/>
      <c r="P109" s="63"/>
      <c r="Q109" s="63"/>
      <c r="R109" s="65"/>
      <c r="S109" s="191"/>
      <c r="T109" s="63"/>
      <c r="U109" s="192"/>
      <c r="V109" s="192"/>
      <c r="W109" s="192"/>
      <c r="X109" s="193"/>
    </row>
    <row r="110" spans="1:25" ht="19.5" customHeight="1" x14ac:dyDescent="0.15">
      <c r="A110" s="543" t="s">
        <v>614</v>
      </c>
      <c r="B110" s="544"/>
      <c r="C110" s="544"/>
      <c r="D110" s="544"/>
      <c r="E110" s="545"/>
      <c r="F110" s="63"/>
      <c r="G110" s="63"/>
      <c r="H110" s="63"/>
      <c r="I110" s="63"/>
      <c r="J110" s="63" t="s">
        <v>508</v>
      </c>
      <c r="K110" s="60" t="s">
        <v>48</v>
      </c>
      <c r="L110" s="63" t="s">
        <v>214</v>
      </c>
      <c r="M110" s="63"/>
      <c r="N110" s="63"/>
      <c r="O110" s="63"/>
      <c r="P110" s="63"/>
      <c r="Q110" s="63"/>
      <c r="R110" s="65"/>
      <c r="S110" s="191"/>
      <c r="T110" s="236"/>
      <c r="U110" s="192"/>
      <c r="V110" s="192"/>
      <c r="W110" s="192"/>
      <c r="X110" s="193"/>
    </row>
    <row r="111" spans="1:25" ht="19.5" customHeight="1" x14ac:dyDescent="0.15">
      <c r="A111" s="546"/>
      <c r="B111" s="547"/>
      <c r="C111" s="547"/>
      <c r="D111" s="547"/>
      <c r="E111" s="548"/>
      <c r="F111" s="202"/>
      <c r="G111" s="202"/>
      <c r="H111" s="202"/>
      <c r="I111" s="202"/>
      <c r="J111" s="202"/>
      <c r="K111" s="202" t="s">
        <v>48</v>
      </c>
      <c r="L111" s="723">
        <f>IF(ISNUMBER(L48),C102*U88+C103*X88+C104*U91,"")</f>
        <v>0</v>
      </c>
      <c r="M111" s="723"/>
      <c r="N111" s="238" t="s">
        <v>414</v>
      </c>
      <c r="O111" s="724">
        <f>IF(ISNUMBER(L48),C105*U94+C106*V94+C107*W94+C108*X94,"")</f>
        <v>0.28999999999999998</v>
      </c>
      <c r="P111" s="724"/>
      <c r="Q111" s="202"/>
      <c r="R111" s="237"/>
      <c r="S111" s="248"/>
      <c r="T111" s="249"/>
      <c r="U111" s="217"/>
      <c r="V111" s="217"/>
      <c r="W111" s="217"/>
      <c r="X111" s="250"/>
    </row>
    <row r="112" spans="1:25" ht="19.5" customHeight="1" x14ac:dyDescent="0.15">
      <c r="A112" s="241"/>
      <c r="B112" s="241"/>
      <c r="C112" s="251"/>
      <c r="D112" s="241"/>
      <c r="K112" s="252"/>
      <c r="L112" s="63"/>
      <c r="M112" s="63"/>
      <c r="N112" s="63"/>
      <c r="O112" s="63"/>
      <c r="P112" s="63"/>
      <c r="Q112" s="63"/>
      <c r="R112" s="64"/>
      <c r="S112" s="64"/>
      <c r="T112" s="64"/>
      <c r="U112" s="64"/>
      <c r="V112" s="64"/>
      <c r="W112" s="64"/>
      <c r="X112" s="64"/>
      <c r="Y112" s="64"/>
    </row>
    <row r="113" spans="1:36" ht="19.5" customHeight="1" x14ac:dyDescent="0.15">
      <c r="A113" s="189"/>
      <c r="B113" s="189"/>
      <c r="C113" s="214"/>
      <c r="D113" s="189"/>
      <c r="K113" s="63"/>
      <c r="L113" s="63"/>
      <c r="M113" s="63"/>
      <c r="N113" s="63"/>
      <c r="O113" s="63"/>
      <c r="P113" s="63"/>
      <c r="Q113" s="63"/>
      <c r="R113" s="64"/>
      <c r="S113" s="64"/>
      <c r="T113" s="64"/>
      <c r="U113" s="64"/>
      <c r="V113" s="64"/>
      <c r="W113" s="64"/>
      <c r="X113" s="64"/>
      <c r="Y113" s="64"/>
    </row>
    <row r="114" spans="1:36" ht="24.75" x14ac:dyDescent="0.15">
      <c r="A114" s="253" t="s">
        <v>646</v>
      </c>
      <c r="X114" s="41"/>
      <c r="Y114" s="41"/>
    </row>
    <row r="115" spans="1:36" x14ac:dyDescent="0.15">
      <c r="W115" s="254"/>
      <c r="X115" s="41"/>
      <c r="Y115" s="41"/>
    </row>
    <row r="116" spans="1:36" x14ac:dyDescent="0.15">
      <c r="B116" s="149" t="s">
        <v>226</v>
      </c>
      <c r="W116" s="254"/>
      <c r="X116" s="41"/>
      <c r="Y116" s="41"/>
    </row>
    <row r="117" spans="1:36" x14ac:dyDescent="0.15">
      <c r="C117" s="255" t="s">
        <v>227</v>
      </c>
      <c r="D117" s="255"/>
      <c r="E117" s="255"/>
      <c r="F117" s="255"/>
      <c r="G117" s="255"/>
      <c r="H117" s="733">
        <v>0.15</v>
      </c>
      <c r="I117" s="733"/>
      <c r="J117" s="255" t="s">
        <v>403</v>
      </c>
      <c r="K117" s="255" t="s">
        <v>228</v>
      </c>
      <c r="L117" s="255"/>
      <c r="M117" s="255"/>
      <c r="W117" s="254"/>
      <c r="X117" s="41"/>
      <c r="Y117" s="41"/>
    </row>
    <row r="118" spans="1:36" x14ac:dyDescent="0.15">
      <c r="W118" s="254"/>
      <c r="X118" s="41"/>
      <c r="Y118" s="41"/>
    </row>
    <row r="119" spans="1:36" x14ac:dyDescent="0.15">
      <c r="B119" s="149" t="s">
        <v>229</v>
      </c>
      <c r="E119" s="376" t="s">
        <v>600</v>
      </c>
      <c r="W119" s="254"/>
      <c r="X119" s="41"/>
      <c r="Y119" s="41"/>
    </row>
    <row r="120" spans="1:36" x14ac:dyDescent="0.15">
      <c r="B120" s="256"/>
      <c r="C120" s="257"/>
      <c r="D120" s="258" t="s">
        <v>230</v>
      </c>
      <c r="E120" s="257">
        <f>F36</f>
        <v>100</v>
      </c>
      <c r="F120" s="256" t="s">
        <v>510</v>
      </c>
      <c r="G120" s="256"/>
      <c r="H120" s="256" t="s">
        <v>232</v>
      </c>
      <c r="I120" s="256" t="s">
        <v>48</v>
      </c>
      <c r="J120" s="708">
        <f>F36*3</f>
        <v>300</v>
      </c>
      <c r="K120" s="708"/>
      <c r="L120" s="256" t="s">
        <v>511</v>
      </c>
      <c r="M120" s="259" t="s">
        <v>48</v>
      </c>
      <c r="N120" s="710">
        <f>J120/1000</f>
        <v>0.3</v>
      </c>
      <c r="O120" s="710"/>
      <c r="P120" s="260" t="s">
        <v>608</v>
      </c>
      <c r="Q120" s="256" t="s">
        <v>512</v>
      </c>
      <c r="R120" s="256"/>
      <c r="S120" s="256"/>
      <c r="T120" s="256"/>
      <c r="U120" s="256"/>
      <c r="V120" s="256"/>
      <c r="W120" s="256"/>
      <c r="X120" s="256"/>
      <c r="Y120" s="256"/>
      <c r="AH120" s="41"/>
      <c r="AI120" s="41"/>
      <c r="AJ120" s="41"/>
    </row>
    <row r="121" spans="1:36" x14ac:dyDescent="0.15">
      <c r="B121" s="256" t="s">
        <v>235</v>
      </c>
      <c r="C121" s="257"/>
      <c r="D121" s="258"/>
      <c r="E121" s="257"/>
      <c r="F121" s="256"/>
      <c r="G121" s="256"/>
      <c r="H121" s="256"/>
      <c r="I121" s="256"/>
      <c r="J121" s="256"/>
      <c r="K121" s="256"/>
      <c r="L121" s="256"/>
      <c r="M121" s="261"/>
      <c r="N121" s="261"/>
      <c r="O121" s="260"/>
      <c r="P121" s="256"/>
      <c r="Q121" s="256"/>
      <c r="R121" s="256"/>
      <c r="S121" s="256"/>
      <c r="T121" s="256"/>
      <c r="U121" s="256"/>
      <c r="V121" s="256"/>
      <c r="W121" s="256"/>
      <c r="X121" s="256"/>
      <c r="AG121" s="41"/>
      <c r="AH121" s="41"/>
      <c r="AI121" s="41"/>
    </row>
    <row r="122" spans="1:36" x14ac:dyDescent="0.15">
      <c r="B122" s="256"/>
      <c r="C122" s="527" t="s">
        <v>592</v>
      </c>
      <c r="D122" s="527"/>
      <c r="E122" s="527"/>
      <c r="F122" s="526"/>
      <c r="G122" s="526"/>
      <c r="H122" s="259" t="s">
        <v>50</v>
      </c>
      <c r="I122" s="526">
        <v>1</v>
      </c>
      <c r="J122" s="526"/>
      <c r="K122" s="367" t="s">
        <v>641</v>
      </c>
      <c r="L122" s="526">
        <v>0.8</v>
      </c>
      <c r="M122" s="526"/>
      <c r="N122" s="367" t="s">
        <v>236</v>
      </c>
      <c r="O122" s="709">
        <f>IF(F122=0,0,H117)</f>
        <v>0</v>
      </c>
      <c r="P122" s="709"/>
      <c r="Q122" s="367" t="s">
        <v>642</v>
      </c>
      <c r="R122" s="706">
        <f>ROUND(F122*I122*(L122-O122),2)</f>
        <v>0</v>
      </c>
      <c r="S122" s="706"/>
      <c r="T122" s="260" t="s">
        <v>603</v>
      </c>
      <c r="U122" s="256"/>
      <c r="V122" s="256"/>
      <c r="W122" s="256"/>
      <c r="X122" s="256"/>
      <c r="AH122" s="41"/>
      <c r="AI122" s="41"/>
    </row>
    <row r="123" spans="1:36" ht="21.75" x14ac:dyDescent="0.15">
      <c r="B123" s="256"/>
      <c r="C123" s="527" t="s">
        <v>593</v>
      </c>
      <c r="D123" s="527"/>
      <c r="E123" s="527"/>
      <c r="F123" s="265"/>
      <c r="G123" s="265"/>
      <c r="H123" s="265"/>
      <c r="I123" s="711">
        <f>IF(ISNUMBER(V123),L123,F40)</f>
        <v>12</v>
      </c>
      <c r="J123" s="711"/>
      <c r="K123" s="259" t="s">
        <v>48</v>
      </c>
      <c r="L123" s="706">
        <f>IF(ISNUMBER(V123),ROUND(V123*V123*PI()/4,2),ROUND(I123,2))</f>
        <v>12</v>
      </c>
      <c r="M123" s="706"/>
      <c r="N123" s="260" t="s">
        <v>513</v>
      </c>
      <c r="O123" s="260"/>
      <c r="P123" s="256"/>
      <c r="Q123" s="260"/>
      <c r="R123" s="256" t="s">
        <v>596</v>
      </c>
      <c r="S123" s="256"/>
      <c r="T123" s="256"/>
      <c r="U123" s="259" t="s">
        <v>594</v>
      </c>
      <c r="V123" s="526"/>
      <c r="W123" s="526"/>
      <c r="X123" s="256" t="s">
        <v>595</v>
      </c>
      <c r="AH123" s="41"/>
      <c r="AI123" s="41"/>
    </row>
    <row r="124" spans="1:36" x14ac:dyDescent="0.15">
      <c r="B124" s="256"/>
      <c r="C124" s="256"/>
      <c r="D124" s="256"/>
      <c r="E124" s="712">
        <f>N120</f>
        <v>0.3</v>
      </c>
      <c r="F124" s="712"/>
      <c r="G124" s="259" t="s">
        <v>514</v>
      </c>
      <c r="H124" s="713">
        <f>R122</f>
        <v>0</v>
      </c>
      <c r="I124" s="713"/>
      <c r="J124" s="259" t="s">
        <v>515</v>
      </c>
      <c r="K124" s="710">
        <f>L123</f>
        <v>12</v>
      </c>
      <c r="L124" s="710"/>
      <c r="M124" s="259" t="s">
        <v>48</v>
      </c>
      <c r="N124" s="707">
        <f>ROUND((E124-H124)/K124,3)</f>
        <v>2.5000000000000001E-2</v>
      </c>
      <c r="O124" s="707"/>
      <c r="P124" s="260" t="s">
        <v>403</v>
      </c>
      <c r="Q124" s="256"/>
      <c r="R124" s="256"/>
      <c r="S124" s="256"/>
      <c r="T124" s="256"/>
      <c r="U124" s="256"/>
      <c r="V124" s="256"/>
      <c r="W124" s="256"/>
      <c r="X124" s="256"/>
      <c r="AH124" s="41"/>
      <c r="AI124" s="41"/>
    </row>
    <row r="125" spans="1:36" x14ac:dyDescent="0.15">
      <c r="B125" s="263"/>
      <c r="C125" s="264" t="str">
        <f>IF(N124&lt;0,"→　計算結果がマイナスとなり 「ｂ」の条件で算出","")</f>
        <v/>
      </c>
      <c r="D125" s="263"/>
      <c r="E125" s="263"/>
      <c r="F125" s="263"/>
      <c r="G125" s="263"/>
      <c r="H125" s="265"/>
      <c r="I125" s="265"/>
      <c r="J125" s="263"/>
      <c r="K125" s="263"/>
      <c r="L125" s="263"/>
      <c r="M125" s="256"/>
      <c r="N125" s="256"/>
      <c r="O125" s="256"/>
      <c r="P125" s="256"/>
      <c r="Q125" s="256"/>
      <c r="R125" s="256"/>
      <c r="S125" s="256"/>
      <c r="T125" s="256"/>
      <c r="U125" s="256"/>
      <c r="V125" s="256"/>
      <c r="W125" s="266"/>
      <c r="X125" s="267"/>
      <c r="Y125" s="41"/>
    </row>
    <row r="126" spans="1:36" x14ac:dyDescent="0.15">
      <c r="B126" s="256" t="str">
        <f>IF(N124&lt;0,"　　ｂ. 起動水位が釜場の有効容量内で起動","")</f>
        <v/>
      </c>
      <c r="C126" s="257"/>
      <c r="D126" s="258"/>
      <c r="E126" s="257"/>
      <c r="F126" s="256"/>
      <c r="G126" s="256"/>
      <c r="H126" s="256"/>
      <c r="I126" s="256"/>
      <c r="J126" s="256"/>
      <c r="K126" s="256"/>
      <c r="L126" s="256"/>
      <c r="M126" s="261"/>
      <c r="N126" s="261"/>
      <c r="O126" s="260"/>
      <c r="P126" s="256"/>
      <c r="Q126" s="256"/>
      <c r="R126" s="256"/>
      <c r="S126" s="256"/>
      <c r="T126" s="256"/>
      <c r="U126" s="256"/>
      <c r="V126" s="256"/>
      <c r="W126" s="256"/>
      <c r="X126" s="256"/>
      <c r="AG126" s="41"/>
      <c r="AH126" s="41"/>
      <c r="AI126" s="41"/>
    </row>
    <row r="127" spans="1:36" x14ac:dyDescent="0.15">
      <c r="B127" s="256"/>
      <c r="C127" s="257"/>
      <c r="D127" s="262" t="str">
        <f>IF(N124&lt;0,"釜場の面積","")</f>
        <v/>
      </c>
      <c r="E127" s="707" t="str">
        <f>IF(N124&lt;0,F122,"")</f>
        <v/>
      </c>
      <c r="F127" s="707"/>
      <c r="G127" s="268" t="str">
        <f>IF(N124&lt;0,"×","")</f>
        <v/>
      </c>
      <c r="H127" s="707" t="str">
        <f>IF(N124&lt;0,I122,"")</f>
        <v/>
      </c>
      <c r="I127" s="707"/>
      <c r="J127" s="259" t="str">
        <f>IF(N124&lt;0,"＝","")</f>
        <v/>
      </c>
      <c r="K127" s="706" t="str">
        <f>IF(N124&lt;0,E127*H127,"")</f>
        <v/>
      </c>
      <c r="L127" s="706"/>
      <c r="M127" s="260" t="str">
        <f>IF(N124&lt;0,"ｍ2","")</f>
        <v/>
      </c>
      <c r="N127" s="706"/>
      <c r="O127" s="706"/>
      <c r="P127" s="260"/>
      <c r="Q127" s="256"/>
      <c r="R127" s="256"/>
      <c r="S127" s="256"/>
      <c r="T127" s="256"/>
      <c r="U127" s="256"/>
      <c r="V127" s="256"/>
      <c r="W127" s="256"/>
      <c r="X127" s="256"/>
      <c r="AH127" s="41"/>
      <c r="AI127" s="41"/>
    </row>
    <row r="128" spans="1:36" x14ac:dyDescent="0.15">
      <c r="B128" s="256"/>
      <c r="C128" s="256"/>
      <c r="D128" s="256"/>
      <c r="E128" s="710" t="str">
        <f>IF(N124&lt;0,N120,"")</f>
        <v/>
      </c>
      <c r="F128" s="710"/>
      <c r="G128" s="259" t="str">
        <f>IF(N124&lt;0,"÷","")</f>
        <v/>
      </c>
      <c r="H128" s="710" t="str">
        <f>IF(N124&lt;0,K127,"")</f>
        <v/>
      </c>
      <c r="I128" s="710"/>
      <c r="J128" s="259" t="str">
        <f>IF(N124&lt;0,"＝","")</f>
        <v/>
      </c>
      <c r="K128" s="707" t="str">
        <f>IF(N124&lt;0,ROUND(E128/H128,3),"")</f>
        <v/>
      </c>
      <c r="L128" s="707"/>
      <c r="M128" s="260" t="str">
        <f>IF(N124&lt;0,"ｍ","")</f>
        <v/>
      </c>
      <c r="N128" s="707"/>
      <c r="O128" s="707"/>
      <c r="P128" s="260"/>
      <c r="Q128" s="256" t="str">
        <f>IF(N124&lt;0,"","")</f>
        <v/>
      </c>
      <c r="R128" s="256"/>
      <c r="S128" s="256"/>
      <c r="T128" s="256"/>
      <c r="U128" s="256"/>
      <c r="V128" s="256"/>
      <c r="W128" s="256"/>
      <c r="X128" s="256"/>
      <c r="AH128" s="41"/>
      <c r="AI128" s="41"/>
    </row>
    <row r="129" spans="2:19" x14ac:dyDescent="0.15">
      <c r="D129" s="255"/>
      <c r="E129" s="285" t="str">
        <f>IF(N124&gt;=0,"釜場からの高さ","")</f>
        <v>釜場からの高さ</v>
      </c>
      <c r="F129" s="255"/>
      <c r="G129" s="255"/>
      <c r="H129" s="485">
        <f>IF(N124&gt;=0,N124,"")</f>
        <v>2.5000000000000001E-2</v>
      </c>
      <c r="I129" s="485"/>
      <c r="J129" s="286" t="str">
        <f>IF(N124&gt;=0,"+ 釜場の有効容量高さ","")</f>
        <v>+ 釜場の有効容量高さ</v>
      </c>
      <c r="K129" s="285"/>
      <c r="N129" s="485">
        <f>IF(N124&gt;=0,(L122-O122),"")</f>
        <v>0.8</v>
      </c>
      <c r="O129" s="485"/>
      <c r="P129" s="260"/>
    </row>
    <row r="130" spans="2:19" x14ac:dyDescent="0.15">
      <c r="C130" s="255" t="s">
        <v>238</v>
      </c>
      <c r="D130" s="255"/>
      <c r="E130" s="255"/>
      <c r="F130" s="255"/>
      <c r="G130" s="255"/>
      <c r="H130" s="727">
        <f>IF(N124&gt;=0,ROUNDUP(H129+N129,2),ROUNDUP(K128,2))</f>
        <v>0.83</v>
      </c>
      <c r="I130" s="727"/>
      <c r="J130" s="350" t="str">
        <f>IF(E119="　（ 釜場及び排水槽の形状から算出。（勾配の計算は省略））","ｍ 上方に設定する。",IF(E119="　（ 基準である３分以内の設定でポンプメーカー仕様等による）","ｍ となるが，ポンプ仕様等により"))</f>
        <v>ｍ 上方に設定する。</v>
      </c>
      <c r="K130" s="255"/>
      <c r="L130" s="255"/>
      <c r="M130" s="255"/>
      <c r="N130" s="348"/>
      <c r="O130" s="348"/>
      <c r="P130" s="714"/>
      <c r="Q130" s="714"/>
      <c r="R130" s="349" t="str">
        <f>IF(E119="　（ 釜場及び排水槽の形状から算出。（勾配の計算は省略））","　",IF(E119="　（ 基準である３分以内の設定でポンプメーカー仕様等による）","ｍ 上方に設定する。"))</f>
        <v>　</v>
      </c>
      <c r="S130" s="348"/>
    </row>
    <row r="131" spans="2:19" x14ac:dyDescent="0.15">
      <c r="B131" s="149" t="s">
        <v>240</v>
      </c>
    </row>
    <row r="132" spans="2:19" x14ac:dyDescent="0.15">
      <c r="C132" s="255" t="s">
        <v>516</v>
      </c>
      <c r="D132" s="255"/>
      <c r="E132" s="255"/>
      <c r="F132" s="728">
        <v>0.1</v>
      </c>
      <c r="G132" s="728"/>
      <c r="H132" s="255" t="s">
        <v>239</v>
      </c>
      <c r="I132" s="255"/>
      <c r="J132" s="255"/>
    </row>
    <row r="133" spans="2:19" x14ac:dyDescent="0.15">
      <c r="B133" s="149" t="s">
        <v>640</v>
      </c>
    </row>
    <row r="134" spans="2:19" x14ac:dyDescent="0.15">
      <c r="C134" s="255" t="s">
        <v>517</v>
      </c>
      <c r="D134" s="255"/>
      <c r="E134" s="255"/>
      <c r="F134" s="728">
        <v>0.1</v>
      </c>
      <c r="G134" s="728"/>
      <c r="H134" s="255" t="s">
        <v>239</v>
      </c>
      <c r="I134" s="255"/>
      <c r="J134" s="255"/>
      <c r="K134" s="255"/>
    </row>
    <row r="135" spans="2:19" x14ac:dyDescent="0.15">
      <c r="B135" s="149" t="s">
        <v>649</v>
      </c>
    </row>
    <row r="136" spans="2:19" x14ac:dyDescent="0.15">
      <c r="C136" s="149" t="s">
        <v>243</v>
      </c>
      <c r="G136" s="729">
        <f>H38</f>
        <v>1.56</v>
      </c>
      <c r="H136" s="729"/>
      <c r="I136" s="149" t="s">
        <v>244</v>
      </c>
    </row>
    <row r="137" spans="2:19" x14ac:dyDescent="0.15">
      <c r="C137" s="256"/>
      <c r="D137" s="256"/>
      <c r="E137" s="730">
        <f>IF(G136-R122&gt;0,G136,"")</f>
        <v>1.56</v>
      </c>
      <c r="F137" s="730"/>
      <c r="G137" s="258" t="str">
        <f>IF(G136-R122&gt;0,"－","")</f>
        <v>－</v>
      </c>
      <c r="H137" s="710">
        <f>IF(G136-R122&gt;0,R122,IF(G136-R122=0,"",G136))</f>
        <v>0</v>
      </c>
      <c r="I137" s="710"/>
      <c r="J137" s="259" t="str">
        <f>IF(G136-R122&gt;0,"）÷",IF(G136-R122=0,"","÷"))</f>
        <v>）÷</v>
      </c>
      <c r="K137" s="710">
        <f>IF(G136-R122&gt;0,L123,IF(G136-R122=0,"",F122*I122))</f>
        <v>12</v>
      </c>
      <c r="L137" s="710"/>
      <c r="M137" s="259" t="str">
        <f>IF(G136-R122=0,"","=")</f>
        <v>=</v>
      </c>
      <c r="N137" s="707">
        <f>IF(G136-R122&gt;0,ROUND((E137-H137)/K137,3),IF(G136-R122=0,"",ROUND(H137/K137,3)))</f>
        <v>0.13</v>
      </c>
      <c r="O137" s="707"/>
      <c r="P137" s="259" t="str">
        <f>IF(G136-R122=0,"","m")</f>
        <v>m</v>
      </c>
    </row>
    <row r="138" spans="2:19" x14ac:dyDescent="0.15">
      <c r="D138" s="255"/>
      <c r="E138" s="285" t="str">
        <f>IF(G136-R122&gt;0,"釜場からの高さ","")</f>
        <v>釜場からの高さ</v>
      </c>
      <c r="F138" s="255"/>
      <c r="G138" s="255"/>
      <c r="H138" s="485">
        <f>IF(G136-R122&gt;0,N137,"")</f>
        <v>0.13</v>
      </c>
      <c r="I138" s="485"/>
      <c r="J138" s="286" t="str">
        <f>IF(G136-R122&gt;0,"+ 釜場の有効容量高さ","")</f>
        <v>+ 釜場の有効容量高さ</v>
      </c>
      <c r="K138" s="285"/>
      <c r="L138" s="285"/>
      <c r="M138" s="285"/>
      <c r="N138" s="485">
        <f>IF(G136-R122&gt;0,(L122-O122),"")</f>
        <v>0.8</v>
      </c>
      <c r="O138" s="485"/>
      <c r="P138" s="260"/>
    </row>
    <row r="139" spans="2:19" x14ac:dyDescent="0.15">
      <c r="C139" s="255" t="s">
        <v>238</v>
      </c>
      <c r="H139" s="727">
        <f>IF(G136-R122&gt;0,ROUNDUP(H138+N138,2),IF(G136-R122=0,(L122-O122),ROUNDUP(N137,2)))</f>
        <v>0.93</v>
      </c>
      <c r="I139" s="727"/>
      <c r="J139" s="255" t="s">
        <v>518</v>
      </c>
      <c r="K139" s="255"/>
      <c r="L139" s="255"/>
    </row>
  </sheetData>
  <sheetProtection algorithmName="SHA-512" hashValue="jDen9U/N+jv4TKZkOC/5eO6gsMtfkmh7xe1/T/7Pp4BhQJaYKvckCIcZeOcSY41lHV7xcvTmS35H+G3R1n2fKA==" saltValue="aEKLbU4myvOgiyOp/cVSDw==" spinCount="100000" sheet="1" objects="1" scenarios="1" formatCells="0"/>
  <mergeCells count="191">
    <mergeCell ref="W1:X1"/>
    <mergeCell ref="H15:I15"/>
    <mergeCell ref="H16:I16"/>
    <mergeCell ref="H17:I17"/>
    <mergeCell ref="H18:I18"/>
    <mergeCell ref="H19:I19"/>
    <mergeCell ref="J15:K15"/>
    <mergeCell ref="J16:K16"/>
    <mergeCell ref="J17:K17"/>
    <mergeCell ref="J18:K18"/>
    <mergeCell ref="J19:K19"/>
    <mergeCell ref="H12:I12"/>
    <mergeCell ref="H13:I13"/>
    <mergeCell ref="H14:I14"/>
    <mergeCell ref="J12:K12"/>
    <mergeCell ref="J13:K13"/>
    <mergeCell ref="J14:K14"/>
    <mergeCell ref="N137:O137"/>
    <mergeCell ref="K127:L127"/>
    <mergeCell ref="N127:O127"/>
    <mergeCell ref="K128:L128"/>
    <mergeCell ref="N128:O128"/>
    <mergeCell ref="I123:J123"/>
    <mergeCell ref="L123:M123"/>
    <mergeCell ref="H124:I124"/>
    <mergeCell ref="K124:L124"/>
    <mergeCell ref="N124:O124"/>
    <mergeCell ref="G107:I108"/>
    <mergeCell ref="L107:M107"/>
    <mergeCell ref="O107:P107"/>
    <mergeCell ref="L108:M108"/>
    <mergeCell ref="L12:M12"/>
    <mergeCell ref="L13:M13"/>
    <mergeCell ref="L14:M14"/>
    <mergeCell ref="L111:M111"/>
    <mergeCell ref="O111:P111"/>
    <mergeCell ref="G90:I91"/>
    <mergeCell ref="L90:M90"/>
    <mergeCell ref="O90:P90"/>
    <mergeCell ref="L91:M91"/>
    <mergeCell ref="O91:P91"/>
    <mergeCell ref="O108:P108"/>
    <mergeCell ref="L109:M109"/>
    <mergeCell ref="N101:O101"/>
    <mergeCell ref="L102:M102"/>
    <mergeCell ref="O103:P103"/>
    <mergeCell ref="L104:M104"/>
    <mergeCell ref="O104:P104"/>
    <mergeCell ref="L105:M105"/>
    <mergeCell ref="L92:M92"/>
    <mergeCell ref="L94:M94"/>
    <mergeCell ref="H117:I117"/>
    <mergeCell ref="N120:O120"/>
    <mergeCell ref="F122:G122"/>
    <mergeCell ref="I122:J122"/>
    <mergeCell ref="L122:M122"/>
    <mergeCell ref="R122:S122"/>
    <mergeCell ref="H138:I138"/>
    <mergeCell ref="H130:I130"/>
    <mergeCell ref="F132:G132"/>
    <mergeCell ref="F134:G134"/>
    <mergeCell ref="G136:H136"/>
    <mergeCell ref="E137:F137"/>
    <mergeCell ref="H137:I137"/>
    <mergeCell ref="E127:F127"/>
    <mergeCell ref="H127:I127"/>
    <mergeCell ref="E128:F128"/>
    <mergeCell ref="H128:I128"/>
    <mergeCell ref="H129:I129"/>
    <mergeCell ref="E124:F124"/>
    <mergeCell ref="N129:O129"/>
    <mergeCell ref="P130:Q130"/>
    <mergeCell ref="J120:K120"/>
    <mergeCell ref="O122:P122"/>
    <mergeCell ref="K137:L137"/>
    <mergeCell ref="B69:C69"/>
    <mergeCell ref="J74:K74"/>
    <mergeCell ref="J77:K77"/>
    <mergeCell ref="J81:K81"/>
    <mergeCell ref="N83:O83"/>
    <mergeCell ref="N84:O84"/>
    <mergeCell ref="O69:P69"/>
    <mergeCell ref="K69:L69"/>
    <mergeCell ref="A93:E94"/>
    <mergeCell ref="W46:Y47"/>
    <mergeCell ref="G47:H47"/>
    <mergeCell ref="N40:O40"/>
    <mergeCell ref="O94:P94"/>
    <mergeCell ref="J98:K98"/>
    <mergeCell ref="N100:O100"/>
    <mergeCell ref="L85:M85"/>
    <mergeCell ref="O86:P86"/>
    <mergeCell ref="L87:M87"/>
    <mergeCell ref="O87:P87"/>
    <mergeCell ref="L88:M88"/>
    <mergeCell ref="W53:Y59"/>
    <mergeCell ref="I54:J54"/>
    <mergeCell ref="L54:M54"/>
    <mergeCell ref="O54:P54"/>
    <mergeCell ref="I55:J55"/>
    <mergeCell ref="I58:J58"/>
    <mergeCell ref="G59:H59"/>
    <mergeCell ref="K68:L68"/>
    <mergeCell ref="I57:J57"/>
    <mergeCell ref="S28:T28"/>
    <mergeCell ref="R32:V33"/>
    <mergeCell ref="K21:L21"/>
    <mergeCell ref="F36:G36"/>
    <mergeCell ref="F68:H68"/>
    <mergeCell ref="A53:D59"/>
    <mergeCell ref="I53:J53"/>
    <mergeCell ref="L53:M53"/>
    <mergeCell ref="O53:P53"/>
    <mergeCell ref="O68:P68"/>
    <mergeCell ref="R53:V59"/>
    <mergeCell ref="A37:D41"/>
    <mergeCell ref="H38:I38"/>
    <mergeCell ref="A46:D52"/>
    <mergeCell ref="R46:V49"/>
    <mergeCell ref="A1:D3"/>
    <mergeCell ref="E1:F3"/>
    <mergeCell ref="A4:D5"/>
    <mergeCell ref="E4:O5"/>
    <mergeCell ref="A32:D33"/>
    <mergeCell ref="E32:Q33"/>
    <mergeCell ref="F12:G12"/>
    <mergeCell ref="F13:G13"/>
    <mergeCell ref="F14:G14"/>
    <mergeCell ref="F15:G15"/>
    <mergeCell ref="F16:G16"/>
    <mergeCell ref="F19:G19"/>
    <mergeCell ref="L15:M15"/>
    <mergeCell ref="L20:M20"/>
    <mergeCell ref="J20:K20"/>
    <mergeCell ref="H20:I20"/>
    <mergeCell ref="F20:G20"/>
    <mergeCell ref="L16:M16"/>
    <mergeCell ref="L18:M18"/>
    <mergeCell ref="L19:M19"/>
    <mergeCell ref="F17:G17"/>
    <mergeCell ref="F18:G18"/>
    <mergeCell ref="D27:E27"/>
    <mergeCell ref="K22:L22"/>
    <mergeCell ref="A110:E111"/>
    <mergeCell ref="P4:U5"/>
    <mergeCell ref="N138:O138"/>
    <mergeCell ref="H139:I139"/>
    <mergeCell ref="D65:I65"/>
    <mergeCell ref="W48:Y49"/>
    <mergeCell ref="F40:G40"/>
    <mergeCell ref="E41:F41"/>
    <mergeCell ref="H41:I41"/>
    <mergeCell ref="K41:L41"/>
    <mergeCell ref="T41:U41"/>
    <mergeCell ref="R42:V45"/>
    <mergeCell ref="G44:H44"/>
    <mergeCell ref="K44:L44"/>
    <mergeCell ref="W42:Y45"/>
    <mergeCell ref="R37:V39"/>
    <mergeCell ref="R40:V40"/>
    <mergeCell ref="H45:I45"/>
    <mergeCell ref="O37:P37"/>
    <mergeCell ref="W37:Y41"/>
    <mergeCell ref="W32:Y33"/>
    <mergeCell ref="H21:J22"/>
    <mergeCell ref="O25:P25"/>
    <mergeCell ref="F27:G27"/>
    <mergeCell ref="V123:W123"/>
    <mergeCell ref="C122:E122"/>
    <mergeCell ref="C123:E123"/>
    <mergeCell ref="A10:D11"/>
    <mergeCell ref="E10:E11"/>
    <mergeCell ref="F10:G11"/>
    <mergeCell ref="H10:I11"/>
    <mergeCell ref="J10:K11"/>
    <mergeCell ref="L10:M11"/>
    <mergeCell ref="A34:D36"/>
    <mergeCell ref="R34:V36"/>
    <mergeCell ref="W34:Y36"/>
    <mergeCell ref="F35:G35"/>
    <mergeCell ref="I35:J35"/>
    <mergeCell ref="N41:O41"/>
    <mergeCell ref="A42:D45"/>
    <mergeCell ref="J40:K40"/>
    <mergeCell ref="G49:H49"/>
    <mergeCell ref="F52:K52"/>
    <mergeCell ref="A25:B25"/>
    <mergeCell ref="C25:E25"/>
    <mergeCell ref="F25:H25"/>
    <mergeCell ref="K25:L25"/>
    <mergeCell ref="L17:M17"/>
  </mergeCells>
  <phoneticPr fontId="3"/>
  <conditionalFormatting sqref="P130:Q130">
    <cfRule type="cellIs" dxfId="22" priority="2" operator="greaterThan">
      <formula>$H$130</formula>
    </cfRule>
    <cfRule type="expression" dxfId="21" priority="6">
      <formula>$R$130</formula>
    </cfRule>
  </conditionalFormatting>
  <conditionalFormatting sqref="H38:I38">
    <cfRule type="expression" dxfId="20" priority="1">
      <formula>$H$38&lt;$O$37</formula>
    </cfRule>
  </conditionalFormatting>
  <dataValidations count="5">
    <dataValidation type="list" allowBlank="1" showInputMessage="1" showErrorMessage="1" sqref="F52">
      <formula1>"　,（本件について施主了承済み）"</formula1>
    </dataValidation>
    <dataValidation type="list" allowBlank="1" showInputMessage="1" showErrorMessage="1" sqref="E7">
      <formula1>"例①,例②"</formula1>
    </dataValidation>
    <dataValidation type="list" allowBlank="1" showErrorMessage="1" promptTitle="ｄ，ｓ，あ" sqref="C85:C87 C102:C104">
      <formula1>"0,１"</formula1>
    </dataValidation>
    <dataValidation type="whole" operator="greaterThanOrEqual" allowBlank="1" showInputMessage="1" showErrorMessage="1" sqref="C88:C91 C105:C108">
      <formula1>0</formula1>
    </dataValidation>
    <dataValidation type="list" allowBlank="1" showInputMessage="1" showErrorMessage="1" sqref="E119">
      <formula1>"　（ 釜場及び排水槽の形状から算出。（勾配の計算は省略））,　（ 基準である３分以内の設定でポンプメーカー仕様等による）"</formula1>
    </dataValidation>
  </dataValidations>
  <pageMargins left="0.7" right="0.7" top="0.75" bottom="0.75" header="0.3" footer="0.3"/>
  <pageSetup paperSize="9" scale="58" fitToHeight="2"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185B972C-BEAD-477E-BA42-5244197980FD}">
            <xm:f>NOT(ISERROR(SEARCH($P$130,P130)))</xm:f>
            <xm:f>$P$130</xm:f>
            <x14:dxf>
              <fill>
                <patternFill>
                  <bgColor rgb="FF66FFFF"/>
                </patternFill>
              </fill>
            </x14:dxf>
          </x14:cfRule>
          <x14:cfRule type="containsText" priority="4" operator="containsText" id="{4B3957EB-4074-4547-A19D-80AF1F66F248}">
            <xm:f>NOT(ISERROR(SEARCH($E$119,P130)))</xm:f>
            <xm:f>$E$119</xm:f>
            <x14:dxf>
              <font>
                <color rgb="FF9C0006"/>
              </font>
              <fill>
                <patternFill>
                  <bgColor rgb="FFFFC7CE"/>
                </patternFill>
              </fill>
            </x14:dxf>
          </x14:cfRule>
          <x14:cfRule type="containsText" priority="5" operator="containsText" id="{7AB14253-E9A0-4092-8B71-C3A2E63522AB}">
            <xm:f>NOT(ISERROR(SEARCH($R$130,P130)))</xm:f>
            <xm:f>$R$130</xm:f>
            <x14:dxf>
              <fill>
                <patternFill>
                  <bgColor rgb="FF66FFFF"/>
                </patternFill>
              </fill>
            </x14:dxf>
          </x14:cfRule>
          <xm:sqref>P130:Q130</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36"/>
  <sheetViews>
    <sheetView view="pageBreakPreview" zoomScale="85" zoomScaleNormal="85" zoomScaleSheetLayoutView="85" workbookViewId="0">
      <selection activeCell="W2" sqref="W2"/>
    </sheetView>
  </sheetViews>
  <sheetFormatPr defaultRowHeight="19.5" x14ac:dyDescent="0.15"/>
  <cols>
    <col min="1" max="1" width="8.25" style="149" customWidth="1"/>
    <col min="2" max="2" width="7.625" style="149" customWidth="1"/>
    <col min="3" max="22" width="5.625" style="149" customWidth="1"/>
    <col min="23" max="24" width="5.125" style="149" customWidth="1"/>
    <col min="25" max="25" width="1.875" style="149" customWidth="1"/>
    <col min="26" max="35" width="5.625" style="149" customWidth="1"/>
    <col min="36" max="16384" width="9" style="149"/>
  </cols>
  <sheetData>
    <row r="1" spans="1:33" ht="20.100000000000001" customHeight="1" x14ac:dyDescent="0.15">
      <c r="A1" s="647" t="s">
        <v>456</v>
      </c>
      <c r="B1" s="647"/>
      <c r="C1" s="647"/>
      <c r="D1" s="647"/>
      <c r="E1" s="647"/>
      <c r="F1" s="647"/>
      <c r="G1" s="647"/>
      <c r="H1" s="647"/>
      <c r="I1" s="647"/>
      <c r="J1" s="649" t="s">
        <v>34</v>
      </c>
      <c r="K1" s="649"/>
      <c r="L1" s="147"/>
      <c r="M1" s="147"/>
      <c r="N1" s="147"/>
      <c r="O1" s="147"/>
      <c r="P1" s="147"/>
      <c r="Q1" s="147"/>
      <c r="R1" s="147"/>
      <c r="S1" s="147"/>
      <c r="T1" s="147"/>
      <c r="U1" s="64"/>
      <c r="V1" s="369" t="s">
        <v>647</v>
      </c>
      <c r="W1" s="725">
        <f>雑排水槽!W1</f>
        <v>250131</v>
      </c>
      <c r="X1" s="726"/>
      <c r="Y1" s="148"/>
      <c r="Z1" s="148"/>
      <c r="AA1" s="148"/>
      <c r="AB1" s="148"/>
    </row>
    <row r="2" spans="1:33" ht="19.5" customHeight="1" x14ac:dyDescent="0.15">
      <c r="A2" s="647"/>
      <c r="B2" s="647"/>
      <c r="C2" s="647"/>
      <c r="D2" s="647"/>
      <c r="E2" s="647"/>
      <c r="F2" s="647"/>
      <c r="G2" s="647"/>
      <c r="H2" s="647"/>
      <c r="I2" s="647"/>
      <c r="J2" s="649"/>
      <c r="K2" s="649"/>
      <c r="L2" s="147"/>
      <c r="M2" s="147"/>
      <c r="N2" s="147"/>
      <c r="O2" s="147"/>
      <c r="P2" s="147"/>
      <c r="Q2" s="147"/>
      <c r="R2" s="147"/>
      <c r="S2" s="147"/>
      <c r="T2" s="147"/>
      <c r="U2" s="147"/>
      <c r="V2" s="147"/>
      <c r="W2" s="147"/>
      <c r="X2" s="147"/>
      <c r="Y2" s="148"/>
      <c r="Z2" s="148"/>
      <c r="AA2" s="148"/>
      <c r="AB2" s="148"/>
    </row>
    <row r="3" spans="1:33" ht="19.5" customHeight="1" thickBot="1" x14ac:dyDescent="0.2">
      <c r="A3" s="648"/>
      <c r="B3" s="648"/>
      <c r="C3" s="648"/>
      <c r="D3" s="648"/>
      <c r="E3" s="648"/>
      <c r="F3" s="648"/>
      <c r="G3" s="648"/>
      <c r="H3" s="648"/>
      <c r="I3" s="648"/>
      <c r="J3" s="650"/>
      <c r="K3" s="650"/>
      <c r="L3" s="147"/>
      <c r="M3" s="147"/>
      <c r="N3" s="147"/>
      <c r="O3" s="147"/>
      <c r="P3" s="147"/>
      <c r="Q3" s="147"/>
      <c r="R3" s="147"/>
      <c r="S3" s="147"/>
      <c r="T3" s="147"/>
      <c r="U3" s="147"/>
      <c r="V3" s="147"/>
      <c r="W3" s="147"/>
      <c r="X3" s="147"/>
      <c r="Y3" s="148"/>
      <c r="Z3" s="148"/>
      <c r="AA3" s="148"/>
      <c r="AB3" s="148"/>
    </row>
    <row r="4" spans="1:33" ht="19.5" customHeight="1" x14ac:dyDescent="0.15">
      <c r="A4" s="651" t="s">
        <v>362</v>
      </c>
      <c r="B4" s="652"/>
      <c r="C4" s="652"/>
      <c r="D4" s="653"/>
      <c r="E4" s="657" t="s">
        <v>457</v>
      </c>
      <c r="F4" s="658"/>
      <c r="G4" s="658"/>
      <c r="H4" s="658"/>
      <c r="I4" s="658"/>
      <c r="J4" s="658"/>
      <c r="K4" s="658"/>
      <c r="L4" s="658"/>
      <c r="M4" s="658"/>
      <c r="N4" s="658"/>
      <c r="O4" s="659"/>
      <c r="P4" s="483" t="s">
        <v>458</v>
      </c>
      <c r="Q4" s="484"/>
      <c r="R4" s="484"/>
      <c r="S4" s="484"/>
      <c r="T4" s="484"/>
      <c r="U4" s="484"/>
      <c r="V4" s="148"/>
      <c r="W4" s="148"/>
      <c r="X4" s="148"/>
      <c r="Y4" s="148"/>
      <c r="Z4" s="148"/>
      <c r="AA4" s="32"/>
      <c r="AB4" s="32"/>
    </row>
    <row r="5" spans="1:33" ht="19.5" customHeight="1" thickBot="1" x14ac:dyDescent="0.2">
      <c r="A5" s="654"/>
      <c r="B5" s="655"/>
      <c r="C5" s="655"/>
      <c r="D5" s="656"/>
      <c r="E5" s="660"/>
      <c r="F5" s="661"/>
      <c r="G5" s="661"/>
      <c r="H5" s="661"/>
      <c r="I5" s="661"/>
      <c r="J5" s="661"/>
      <c r="K5" s="661"/>
      <c r="L5" s="661"/>
      <c r="M5" s="661"/>
      <c r="N5" s="661"/>
      <c r="O5" s="662"/>
      <c r="P5" s="483"/>
      <c r="Q5" s="484"/>
      <c r="R5" s="484"/>
      <c r="S5" s="484"/>
      <c r="T5" s="484"/>
      <c r="U5" s="484"/>
      <c r="V5" s="148"/>
      <c r="W5" s="148"/>
      <c r="AA5" s="32"/>
      <c r="AB5" s="32"/>
    </row>
    <row r="6" spans="1:33" ht="19.5" customHeight="1" x14ac:dyDescent="0.15">
      <c r="C6" s="162"/>
      <c r="D6" s="36"/>
      <c r="E6" s="36"/>
      <c r="F6" s="36"/>
      <c r="G6" s="36"/>
      <c r="H6" s="36"/>
      <c r="Q6" s="32"/>
      <c r="R6" s="32"/>
      <c r="S6" s="32"/>
      <c r="T6" s="32"/>
      <c r="U6" s="32"/>
      <c r="V6" s="32"/>
      <c r="W6" s="32"/>
      <c r="AA6" s="32"/>
      <c r="AB6" s="32"/>
    </row>
    <row r="7" spans="1:33" ht="19.5" customHeight="1" x14ac:dyDescent="0.15">
      <c r="A7" s="163" t="s">
        <v>365</v>
      </c>
      <c r="B7" s="163"/>
      <c r="C7" s="163"/>
      <c r="D7" s="163"/>
      <c r="E7" s="164" t="s">
        <v>250</v>
      </c>
      <c r="Y7" s="163"/>
      <c r="Z7" s="148"/>
      <c r="AA7" s="32"/>
      <c r="AB7" s="32"/>
      <c r="AC7" s="32"/>
      <c r="AD7" s="32"/>
      <c r="AE7" s="32"/>
      <c r="AF7" s="32"/>
      <c r="AG7" s="32"/>
    </row>
    <row r="8" spans="1:33" ht="19.5" customHeight="1" x14ac:dyDescent="0.15">
      <c r="A8" s="151"/>
      <c r="B8" s="151"/>
      <c r="C8" s="151"/>
      <c r="D8" s="151"/>
      <c r="E8" s="151"/>
      <c r="F8" s="151"/>
      <c r="G8" s="151"/>
      <c r="H8" s="151"/>
      <c r="I8" s="151"/>
      <c r="J8" s="151"/>
      <c r="K8" s="151"/>
      <c r="L8" s="151"/>
      <c r="M8" s="151"/>
      <c r="N8" s="151"/>
      <c r="O8" s="151"/>
      <c r="P8" s="151"/>
      <c r="Q8" s="151"/>
      <c r="W8" s="151"/>
      <c r="X8" s="32"/>
      <c r="Y8" s="32"/>
      <c r="Z8" s="32"/>
      <c r="AA8" s="32"/>
      <c r="AB8" s="32"/>
      <c r="AC8" s="32"/>
      <c r="AD8" s="32"/>
      <c r="AE8" s="32"/>
      <c r="AF8" s="32"/>
      <c r="AG8" s="32"/>
    </row>
    <row r="9" spans="1:33" ht="19.5" customHeight="1" x14ac:dyDescent="0.15">
      <c r="B9" s="306" t="s">
        <v>591</v>
      </c>
      <c r="C9" s="307"/>
      <c r="D9" s="287"/>
      <c r="E9" s="287"/>
      <c r="F9" s="287"/>
      <c r="G9" s="287"/>
      <c r="H9" s="287"/>
      <c r="I9" s="287"/>
      <c r="J9" s="287"/>
      <c r="K9" s="287"/>
      <c r="L9" s="288"/>
      <c r="M9" s="288"/>
      <c r="N9" s="287"/>
      <c r="O9" s="287"/>
      <c r="P9" s="287"/>
      <c r="Q9" s="287"/>
      <c r="R9" s="289"/>
      <c r="S9" s="307"/>
      <c r="T9" s="307"/>
      <c r="U9" s="307"/>
      <c r="V9" s="307"/>
      <c r="W9" s="308"/>
      <c r="X9" s="309"/>
      <c r="AC9" s="32"/>
      <c r="AD9" s="32"/>
      <c r="AE9" s="32"/>
      <c r="AF9" s="32"/>
      <c r="AG9" s="32"/>
    </row>
    <row r="10" spans="1:33" ht="19.5" customHeight="1" x14ac:dyDescent="0.15">
      <c r="B10" s="290" t="s">
        <v>459</v>
      </c>
      <c r="C10" s="291"/>
      <c r="D10" s="291"/>
      <c r="E10" s="291"/>
      <c r="F10" s="291"/>
      <c r="G10" s="291"/>
      <c r="H10" s="291"/>
      <c r="I10" s="291"/>
      <c r="J10" s="291"/>
      <c r="K10" s="291"/>
      <c r="L10" s="292"/>
      <c r="M10" s="292"/>
      <c r="N10" s="291"/>
      <c r="O10" s="291"/>
      <c r="P10" s="291"/>
      <c r="Q10" s="291"/>
      <c r="R10" s="293"/>
      <c r="S10" s="293"/>
      <c r="T10" s="293"/>
      <c r="U10" s="293"/>
      <c r="V10" s="293"/>
      <c r="W10" s="310"/>
      <c r="X10" s="311"/>
      <c r="Y10" s="163"/>
      <c r="AC10" s="32"/>
      <c r="AD10" s="32"/>
      <c r="AE10" s="32"/>
      <c r="AF10" s="32"/>
      <c r="AG10" s="32"/>
    </row>
    <row r="11" spans="1:33" s="151" customFormat="1" ht="19.5" customHeight="1" x14ac:dyDescent="0.15">
      <c r="A11" s="168"/>
      <c r="B11" s="294"/>
      <c r="C11" s="291" t="s">
        <v>460</v>
      </c>
      <c r="D11" s="291"/>
      <c r="E11" s="291"/>
      <c r="F11" s="291"/>
      <c r="G11" s="291"/>
      <c r="H11" s="291"/>
      <c r="I11" s="291"/>
      <c r="J11" s="291"/>
      <c r="K11" s="291"/>
      <c r="L11" s="291"/>
      <c r="M11" s="291"/>
      <c r="N11" s="291"/>
      <c r="O11" s="291"/>
      <c r="P11" s="291"/>
      <c r="Q11" s="291"/>
      <c r="R11" s="295"/>
      <c r="S11" s="295"/>
      <c r="T11" s="295"/>
      <c r="U11" s="295"/>
      <c r="V11" s="295"/>
      <c r="W11" s="295"/>
      <c r="X11" s="312"/>
      <c r="Y11" s="169"/>
      <c r="AC11" s="152"/>
      <c r="AD11" s="152"/>
      <c r="AE11" s="152"/>
      <c r="AF11" s="152"/>
      <c r="AG11" s="152"/>
    </row>
    <row r="12" spans="1:33" s="151" customFormat="1" ht="19.5" customHeight="1" x14ac:dyDescent="0.15">
      <c r="A12" s="291"/>
      <c r="B12" s="294"/>
      <c r="C12" s="291" t="s">
        <v>461</v>
      </c>
      <c r="D12" s="295"/>
      <c r="E12" s="295"/>
      <c r="F12" s="295"/>
      <c r="G12" s="295"/>
      <c r="H12" s="295"/>
      <c r="I12" s="295"/>
      <c r="J12" s="291"/>
      <c r="K12" s="291"/>
      <c r="L12" s="291"/>
      <c r="M12" s="291"/>
      <c r="N12" s="291"/>
      <c r="O12" s="295"/>
      <c r="P12" s="295"/>
      <c r="Q12" s="295"/>
      <c r="R12" s="291"/>
      <c r="S12" s="295"/>
      <c r="T12" s="295"/>
      <c r="U12" s="295"/>
      <c r="V12" s="295"/>
      <c r="W12" s="295"/>
      <c r="X12" s="313"/>
      <c r="AC12" s="152"/>
      <c r="AD12" s="152"/>
      <c r="AE12" s="152"/>
      <c r="AF12" s="152"/>
      <c r="AG12" s="152"/>
    </row>
    <row r="13" spans="1:33" s="151" customFormat="1" ht="19.5" customHeight="1" x14ac:dyDescent="0.15">
      <c r="A13" s="291"/>
      <c r="B13" s="296"/>
      <c r="C13" s="291" t="s">
        <v>462</v>
      </c>
      <c r="D13" s="295"/>
      <c r="E13" s="295"/>
      <c r="F13" s="295"/>
      <c r="G13" s="295"/>
      <c r="H13" s="295"/>
      <c r="I13" s="295"/>
      <c r="J13" s="295"/>
      <c r="K13" s="295"/>
      <c r="L13" s="295"/>
      <c r="M13" s="291"/>
      <c r="N13" s="291"/>
      <c r="O13" s="295"/>
      <c r="P13" s="295"/>
      <c r="Q13" s="295"/>
      <c r="R13" s="291"/>
      <c r="S13" s="295"/>
      <c r="T13" s="295"/>
      <c r="U13" s="295"/>
      <c r="V13" s="295"/>
      <c r="W13" s="295"/>
      <c r="X13" s="313"/>
      <c r="AC13" s="152"/>
      <c r="AD13" s="152"/>
      <c r="AE13" s="152"/>
      <c r="AF13" s="152"/>
      <c r="AG13" s="152"/>
    </row>
    <row r="14" spans="1:33" ht="19.5" customHeight="1" x14ac:dyDescent="0.15">
      <c r="A14" s="295"/>
      <c r="B14" s="296"/>
      <c r="C14" s="295" t="s">
        <v>672</v>
      </c>
      <c r="D14" s="295"/>
      <c r="E14" s="295"/>
      <c r="F14" s="295"/>
      <c r="G14" s="295"/>
      <c r="H14" s="293"/>
      <c r="I14" s="293"/>
      <c r="J14" s="295"/>
      <c r="K14" s="295"/>
      <c r="L14" s="295"/>
      <c r="M14" s="291"/>
      <c r="N14" s="295"/>
      <c r="O14" s="295"/>
      <c r="P14" s="295"/>
      <c r="Q14" s="295"/>
      <c r="R14" s="295"/>
      <c r="S14" s="293"/>
      <c r="T14" s="293"/>
      <c r="U14" s="293"/>
      <c r="V14" s="293"/>
      <c r="W14" s="293"/>
      <c r="X14" s="314"/>
      <c r="AC14" s="32"/>
      <c r="AD14" s="32"/>
      <c r="AE14" s="32"/>
      <c r="AF14" s="32"/>
      <c r="AG14" s="32"/>
    </row>
    <row r="15" spans="1:33" ht="19.5" customHeight="1" x14ac:dyDescent="0.15">
      <c r="A15" s="295"/>
      <c r="B15" s="297"/>
      <c r="C15" s="295" t="s">
        <v>673</v>
      </c>
      <c r="D15" s="293"/>
      <c r="E15" s="293"/>
      <c r="F15" s="293"/>
      <c r="G15" s="293"/>
      <c r="H15" s="293"/>
      <c r="I15" s="293"/>
      <c r="J15" s="295"/>
      <c r="K15" s="295"/>
      <c r="L15" s="295"/>
      <c r="M15" s="298"/>
      <c r="N15" s="298"/>
      <c r="O15" s="295"/>
      <c r="P15" s="295"/>
      <c r="Q15" s="295"/>
      <c r="R15" s="295"/>
      <c r="S15" s="293"/>
      <c r="T15" s="293"/>
      <c r="U15" s="293"/>
      <c r="V15" s="293"/>
      <c r="W15" s="293"/>
      <c r="X15" s="314"/>
      <c r="AC15" s="32"/>
      <c r="AD15" s="32"/>
      <c r="AE15" s="32"/>
      <c r="AF15" s="32"/>
      <c r="AG15" s="32"/>
    </row>
    <row r="16" spans="1:33" ht="19.5" customHeight="1" x14ac:dyDescent="0.15">
      <c r="A16" s="295"/>
      <c r="B16" s="297" t="s">
        <v>463</v>
      </c>
      <c r="C16" s="293"/>
      <c r="D16" s="295"/>
      <c r="E16" s="295"/>
      <c r="F16" s="295"/>
      <c r="G16" s="295"/>
      <c r="H16" s="293"/>
      <c r="I16" s="293"/>
      <c r="J16" s="293"/>
      <c r="K16" s="293"/>
      <c r="L16" s="293"/>
      <c r="M16" s="293"/>
      <c r="N16" s="293"/>
      <c r="O16" s="293"/>
      <c r="P16" s="295"/>
      <c r="Q16" s="295"/>
      <c r="R16" s="295"/>
      <c r="S16" s="293"/>
      <c r="T16" s="293"/>
      <c r="U16" s="293"/>
      <c r="V16" s="293"/>
      <c r="W16" s="293"/>
      <c r="X16" s="314"/>
      <c r="AC16" s="32"/>
      <c r="AD16" s="32"/>
      <c r="AE16" s="32"/>
      <c r="AF16" s="32"/>
      <c r="AG16" s="32"/>
    </row>
    <row r="17" spans="1:33" ht="19.5" customHeight="1" x14ac:dyDescent="0.15">
      <c r="A17" s="320"/>
      <c r="B17" s="296"/>
      <c r="C17" s="295" t="s">
        <v>674</v>
      </c>
      <c r="D17" s="295"/>
      <c r="E17" s="295"/>
      <c r="F17" s="295"/>
      <c r="G17" s="295"/>
      <c r="H17" s="293"/>
      <c r="I17" s="293"/>
      <c r="J17" s="293"/>
      <c r="K17" s="293"/>
      <c r="L17" s="293"/>
      <c r="M17" s="293"/>
      <c r="N17" s="293"/>
      <c r="O17" s="293"/>
      <c r="P17" s="295"/>
      <c r="Q17" s="295"/>
      <c r="R17" s="295"/>
      <c r="S17" s="295"/>
      <c r="T17" s="295"/>
      <c r="U17" s="295"/>
      <c r="V17" s="295"/>
      <c r="W17" s="293"/>
      <c r="X17" s="314"/>
      <c r="AC17" s="32"/>
      <c r="AD17" s="32"/>
      <c r="AE17" s="32"/>
      <c r="AF17" s="32"/>
      <c r="AG17" s="32"/>
    </row>
    <row r="18" spans="1:33" ht="19.5" customHeight="1" x14ac:dyDescent="0.15">
      <c r="A18" s="339"/>
      <c r="B18" s="296"/>
      <c r="C18" s="295"/>
      <c r="D18" s="295"/>
      <c r="E18" s="295"/>
      <c r="F18" s="295"/>
      <c r="G18" s="295"/>
      <c r="H18" s="295"/>
      <c r="I18" s="295"/>
      <c r="J18" s="295"/>
      <c r="K18" s="293"/>
      <c r="L18" s="293"/>
      <c r="M18" s="291"/>
      <c r="N18" s="295"/>
      <c r="O18" s="295"/>
      <c r="P18" s="295"/>
      <c r="Q18" s="295"/>
      <c r="R18" s="295"/>
      <c r="S18" s="295"/>
      <c r="T18" s="295"/>
      <c r="U18" s="295"/>
      <c r="V18" s="295"/>
      <c r="W18" s="293"/>
      <c r="X18" s="314"/>
      <c r="AC18" s="32"/>
      <c r="AD18" s="32"/>
      <c r="AE18" s="32"/>
      <c r="AF18" s="32"/>
      <c r="AG18" s="32"/>
    </row>
    <row r="19" spans="1:33" s="151" customFormat="1" ht="19.5" customHeight="1" x14ac:dyDescent="0.15">
      <c r="A19" s="295"/>
      <c r="B19" s="299" t="s">
        <v>464</v>
      </c>
      <c r="C19" s="295"/>
      <c r="D19" s="295"/>
      <c r="E19" s="295"/>
      <c r="F19" s="295"/>
      <c r="G19" s="295"/>
      <c r="H19" s="295"/>
      <c r="I19" s="295"/>
      <c r="J19" s="295"/>
      <c r="K19" s="295"/>
      <c r="L19" s="295"/>
      <c r="M19" s="295"/>
      <c r="N19" s="295"/>
      <c r="O19" s="295"/>
      <c r="P19" s="295"/>
      <c r="Q19" s="295"/>
      <c r="R19" s="295"/>
      <c r="S19" s="295"/>
      <c r="T19" s="295"/>
      <c r="U19" s="295"/>
      <c r="V19" s="295"/>
      <c r="W19" s="295"/>
      <c r="X19" s="313"/>
      <c r="AC19" s="152"/>
      <c r="AD19" s="152"/>
      <c r="AE19" s="152"/>
      <c r="AF19" s="152"/>
      <c r="AG19" s="152"/>
    </row>
    <row r="20" spans="1:33" s="151" customFormat="1" ht="19.5" customHeight="1" x14ac:dyDescent="0.15">
      <c r="A20" s="295"/>
      <c r="B20" s="296"/>
      <c r="C20" s="291" t="s">
        <v>465</v>
      </c>
      <c r="D20" s="295"/>
      <c r="E20" s="295"/>
      <c r="F20" s="295"/>
      <c r="G20" s="295"/>
      <c r="H20" s="295"/>
      <c r="I20" s="295"/>
      <c r="J20" s="295"/>
      <c r="K20" s="295"/>
      <c r="L20" s="295"/>
      <c r="M20" s="295"/>
      <c r="N20" s="295"/>
      <c r="O20" s="295"/>
      <c r="P20" s="295"/>
      <c r="Q20" s="295"/>
      <c r="R20" s="295"/>
      <c r="S20" s="295"/>
      <c r="T20" s="295"/>
      <c r="U20" s="295"/>
      <c r="V20" s="295"/>
      <c r="W20" s="295"/>
      <c r="X20" s="313"/>
      <c r="AC20" s="152"/>
      <c r="AD20" s="152"/>
      <c r="AE20" s="152"/>
      <c r="AF20" s="152"/>
      <c r="AG20" s="152"/>
    </row>
    <row r="21" spans="1:33" s="151" customFormat="1" ht="19.5" customHeight="1" x14ac:dyDescent="0.15">
      <c r="A21" s="150"/>
      <c r="B21" s="297"/>
      <c r="C21" s="293"/>
      <c r="D21" s="295"/>
      <c r="E21" s="295"/>
      <c r="F21" s="295"/>
      <c r="G21" s="295"/>
      <c r="H21" s="295"/>
      <c r="I21" s="295"/>
      <c r="J21" s="295"/>
      <c r="K21" s="295"/>
      <c r="L21" s="295"/>
      <c r="M21" s="295"/>
      <c r="N21" s="295"/>
      <c r="O21" s="295"/>
      <c r="P21" s="295"/>
      <c r="Q21" s="300"/>
      <c r="R21" s="295"/>
      <c r="S21" s="295"/>
      <c r="T21" s="295"/>
      <c r="U21" s="295"/>
      <c r="V21" s="295"/>
      <c r="W21" s="295"/>
      <c r="X21" s="313"/>
      <c r="AC21" s="152"/>
      <c r="AD21" s="152"/>
      <c r="AE21" s="152"/>
      <c r="AF21" s="152"/>
      <c r="AG21" s="152"/>
    </row>
    <row r="22" spans="1:33" s="151" customFormat="1" ht="19.5" customHeight="1" x14ac:dyDescent="0.15">
      <c r="A22" s="150"/>
      <c r="B22" s="296"/>
      <c r="C22" s="295"/>
      <c r="D22" s="295"/>
      <c r="E22" s="295"/>
      <c r="F22" s="295"/>
      <c r="G22" s="295"/>
      <c r="H22" s="295"/>
      <c r="I22" s="295"/>
      <c r="J22" s="295"/>
      <c r="K22" s="295"/>
      <c r="L22" s="295"/>
      <c r="M22" s="295"/>
      <c r="N22" s="295"/>
      <c r="O22" s="295"/>
      <c r="P22" s="300"/>
      <c r="Q22" s="295"/>
      <c r="R22" s="295"/>
      <c r="S22" s="295"/>
      <c r="T22" s="295"/>
      <c r="U22" s="295"/>
      <c r="V22" s="295"/>
      <c r="W22" s="295"/>
      <c r="X22" s="313"/>
      <c r="AC22" s="152"/>
      <c r="AD22" s="152"/>
      <c r="AE22" s="152"/>
      <c r="AF22" s="152"/>
      <c r="AG22" s="152"/>
    </row>
    <row r="23" spans="1:33" s="151" customFormat="1" ht="19.5" customHeight="1" x14ac:dyDescent="0.15">
      <c r="A23" s="166"/>
      <c r="B23" s="301"/>
      <c r="C23" s="302"/>
      <c r="D23" s="302"/>
      <c r="E23" s="302"/>
      <c r="F23" s="302"/>
      <c r="G23" s="303"/>
      <c r="H23" s="304"/>
      <c r="I23" s="302"/>
      <c r="J23" s="302"/>
      <c r="K23" s="302"/>
      <c r="L23" s="302"/>
      <c r="M23" s="302"/>
      <c r="N23" s="302"/>
      <c r="O23" s="305"/>
      <c r="P23" s="302"/>
      <c r="Q23" s="302"/>
      <c r="R23" s="302"/>
      <c r="S23" s="302"/>
      <c r="T23" s="302"/>
      <c r="U23" s="302"/>
      <c r="V23" s="302"/>
      <c r="W23" s="302"/>
      <c r="X23" s="315"/>
      <c r="AC23" s="152"/>
      <c r="AD23" s="152"/>
      <c r="AE23" s="152"/>
      <c r="AF23" s="152"/>
      <c r="AG23" s="152"/>
    </row>
    <row r="24" spans="1:33" s="151" customFormat="1" ht="19.5" customHeight="1" x14ac:dyDescent="0.15">
      <c r="A24" s="166"/>
      <c r="B24" s="166"/>
      <c r="C24" s="166"/>
      <c r="D24" s="166"/>
      <c r="E24" s="166"/>
      <c r="F24" s="166"/>
      <c r="G24" s="166"/>
      <c r="H24" s="166"/>
      <c r="I24" s="166"/>
      <c r="J24" s="166"/>
      <c r="K24" s="166"/>
      <c r="L24" s="166"/>
      <c r="M24" s="166"/>
      <c r="N24" s="166"/>
      <c r="O24" s="173"/>
      <c r="P24" s="166"/>
      <c r="Q24" s="166"/>
      <c r="R24" s="166"/>
      <c r="S24" s="166"/>
      <c r="T24" s="173"/>
      <c r="U24" s="166"/>
      <c r="V24" s="166"/>
      <c r="W24" s="166"/>
      <c r="X24" s="166"/>
      <c r="AC24" s="152"/>
      <c r="AD24" s="152"/>
      <c r="AE24" s="152"/>
      <c r="AF24" s="152"/>
      <c r="AG24" s="152"/>
    </row>
    <row r="25" spans="1:33" s="151" customFormat="1" ht="19.5" customHeight="1" x14ac:dyDescent="0.15">
      <c r="A25" s="150"/>
      <c r="B25" s="167" t="s">
        <v>466</v>
      </c>
      <c r="C25" s="168"/>
      <c r="D25" s="168"/>
      <c r="E25" s="166"/>
      <c r="F25" s="136">
        <v>200</v>
      </c>
      <c r="G25" s="39" t="s">
        <v>265</v>
      </c>
      <c r="H25" s="166"/>
      <c r="I25" s="167" t="s">
        <v>467</v>
      </c>
      <c r="J25" s="150"/>
      <c r="K25" s="150"/>
      <c r="L25" s="150"/>
      <c r="M25" s="150"/>
      <c r="N25" s="150"/>
      <c r="O25" s="150"/>
      <c r="P25" s="150"/>
      <c r="Q25" s="150"/>
      <c r="R25" s="150"/>
      <c r="S25" s="150"/>
      <c r="AC25" s="152"/>
      <c r="AD25" s="152"/>
      <c r="AE25" s="152"/>
      <c r="AF25" s="152"/>
      <c r="AG25" s="152"/>
    </row>
    <row r="26" spans="1:33" s="151" customFormat="1" ht="19.5" customHeight="1" x14ac:dyDescent="0.15">
      <c r="A26" s="166"/>
      <c r="B26" s="46" t="s">
        <v>468</v>
      </c>
      <c r="C26" s="167"/>
      <c r="D26" s="167"/>
      <c r="F26" s="137">
        <f>F25</f>
        <v>200</v>
      </c>
      <c r="G26" s="280" t="s">
        <v>265</v>
      </c>
      <c r="H26" s="46"/>
      <c r="I26" s="46" t="s">
        <v>469</v>
      </c>
      <c r="J26" s="166"/>
      <c r="K26" s="166"/>
      <c r="L26" s="166"/>
      <c r="M26" s="166"/>
      <c r="N26" s="166"/>
      <c r="O26" s="166"/>
      <c r="P26" s="166"/>
      <c r="Q26" s="166"/>
      <c r="R26" s="166"/>
      <c r="S26" s="166"/>
      <c r="T26" s="173"/>
      <c r="U26" s="737"/>
      <c r="V26" s="737"/>
      <c r="W26" s="166"/>
      <c r="X26" s="166"/>
      <c r="AC26" s="152"/>
      <c r="AD26" s="152"/>
      <c r="AE26" s="152"/>
      <c r="AF26" s="152"/>
      <c r="AG26" s="152"/>
    </row>
    <row r="27" spans="1:33" s="151" customFormat="1" ht="19.5" customHeight="1" thickBot="1" x14ac:dyDescent="0.2">
      <c r="AC27" s="152"/>
      <c r="AD27" s="152"/>
      <c r="AE27" s="152"/>
      <c r="AF27" s="152"/>
      <c r="AG27" s="152"/>
    </row>
    <row r="28" spans="1:33" s="151" customFormat="1" ht="19.5" customHeight="1" x14ac:dyDescent="0.15">
      <c r="A28" s="664" t="s">
        <v>71</v>
      </c>
      <c r="B28" s="665"/>
      <c r="C28" s="665"/>
      <c r="D28" s="666"/>
      <c r="E28" s="667" t="s">
        <v>72</v>
      </c>
      <c r="F28" s="665"/>
      <c r="G28" s="665"/>
      <c r="H28" s="665"/>
      <c r="I28" s="665"/>
      <c r="J28" s="665"/>
      <c r="K28" s="665"/>
      <c r="L28" s="665"/>
      <c r="M28" s="665"/>
      <c r="N28" s="665"/>
      <c r="O28" s="665"/>
      <c r="P28" s="665"/>
      <c r="Q28" s="666"/>
      <c r="R28" s="667" t="s">
        <v>73</v>
      </c>
      <c r="S28" s="665"/>
      <c r="T28" s="665"/>
      <c r="U28" s="665"/>
      <c r="V28" s="666"/>
      <c r="W28" s="665" t="s">
        <v>74</v>
      </c>
      <c r="X28" s="665"/>
      <c r="Y28" s="669"/>
      <c r="AC28" s="152"/>
      <c r="AD28" s="152"/>
      <c r="AE28" s="152"/>
      <c r="AF28" s="152"/>
      <c r="AG28" s="152"/>
    </row>
    <row r="29" spans="1:33" s="151" customFormat="1" ht="19.5" customHeight="1" x14ac:dyDescent="0.15">
      <c r="A29" s="571"/>
      <c r="B29" s="572"/>
      <c r="C29" s="572"/>
      <c r="D29" s="573"/>
      <c r="E29" s="668"/>
      <c r="F29" s="572"/>
      <c r="G29" s="572"/>
      <c r="H29" s="572"/>
      <c r="I29" s="572"/>
      <c r="J29" s="572"/>
      <c r="K29" s="572"/>
      <c r="L29" s="572"/>
      <c r="M29" s="572"/>
      <c r="N29" s="572"/>
      <c r="O29" s="572"/>
      <c r="P29" s="572"/>
      <c r="Q29" s="573"/>
      <c r="R29" s="668"/>
      <c r="S29" s="572"/>
      <c r="T29" s="572"/>
      <c r="U29" s="572"/>
      <c r="V29" s="573"/>
      <c r="W29" s="572"/>
      <c r="X29" s="572"/>
      <c r="Y29" s="670"/>
      <c r="AC29" s="152"/>
      <c r="AD29" s="152"/>
      <c r="AE29" s="152"/>
      <c r="AF29" s="152"/>
      <c r="AG29" s="152"/>
    </row>
    <row r="30" spans="1:33" s="151" customFormat="1" ht="19.5" customHeight="1" x14ac:dyDescent="0.15">
      <c r="A30" s="565" t="s">
        <v>75</v>
      </c>
      <c r="B30" s="566"/>
      <c r="C30" s="566"/>
      <c r="D30" s="567"/>
      <c r="E30" s="120" t="s">
        <v>678</v>
      </c>
      <c r="F30" s="27"/>
      <c r="G30" s="27"/>
      <c r="H30" s="27"/>
      <c r="I30" s="28"/>
      <c r="J30" s="27"/>
      <c r="K30" s="28"/>
      <c r="L30" s="27"/>
      <c r="M30" s="29"/>
      <c r="N30" s="29"/>
      <c r="O30" s="29"/>
      <c r="P30" s="29"/>
      <c r="Q30" s="30"/>
      <c r="R30" s="584" t="s">
        <v>77</v>
      </c>
      <c r="S30" s="585"/>
      <c r="T30" s="585"/>
      <c r="U30" s="585"/>
      <c r="V30" s="586"/>
      <c r="W30" s="602" t="str">
        <f>IF(F32&gt;400,"×","○")</f>
        <v>○</v>
      </c>
      <c r="X30" s="603"/>
      <c r="Y30" s="604"/>
      <c r="AC30" s="152"/>
      <c r="AD30" s="152"/>
      <c r="AE30" s="152"/>
      <c r="AF30" s="152"/>
      <c r="AG30" s="152"/>
    </row>
    <row r="31" spans="1:33" s="151" customFormat="1" ht="19.5" customHeight="1" x14ac:dyDescent="0.15">
      <c r="A31" s="568"/>
      <c r="B31" s="569"/>
      <c r="C31" s="569"/>
      <c r="D31" s="570"/>
      <c r="E31" s="31"/>
      <c r="F31" s="611"/>
      <c r="G31" s="611"/>
      <c r="H31" s="47"/>
      <c r="I31" s="612"/>
      <c r="J31" s="612"/>
      <c r="K31" s="34"/>
      <c r="L31" s="36"/>
      <c r="M31" s="32"/>
      <c r="N31" s="32"/>
      <c r="O31" s="32"/>
      <c r="P31" s="32"/>
      <c r="Q31" s="37"/>
      <c r="R31" s="587"/>
      <c r="S31" s="588"/>
      <c r="T31" s="588"/>
      <c r="U31" s="588"/>
      <c r="V31" s="589"/>
      <c r="W31" s="605"/>
      <c r="X31" s="606"/>
      <c r="Y31" s="607"/>
      <c r="AC31" s="152"/>
      <c r="AD31" s="152"/>
      <c r="AE31" s="152"/>
      <c r="AF31" s="152"/>
      <c r="AG31" s="152"/>
    </row>
    <row r="32" spans="1:33" s="151" customFormat="1" ht="19.5" customHeight="1" x14ac:dyDescent="0.15">
      <c r="A32" s="571"/>
      <c r="B32" s="572"/>
      <c r="C32" s="572"/>
      <c r="D32" s="573"/>
      <c r="E32" s="38" t="s">
        <v>80</v>
      </c>
      <c r="F32" s="736">
        <v>200</v>
      </c>
      <c r="G32" s="736"/>
      <c r="H32" s="39" t="s">
        <v>81</v>
      </c>
      <c r="I32" s="39"/>
      <c r="J32" s="39"/>
      <c r="K32" s="40"/>
      <c r="L32" s="39"/>
      <c r="M32" s="41"/>
      <c r="N32" s="41"/>
      <c r="O32" s="41"/>
      <c r="P32" s="41"/>
      <c r="Q32" s="42"/>
      <c r="R32" s="590"/>
      <c r="S32" s="591"/>
      <c r="T32" s="591"/>
      <c r="U32" s="591"/>
      <c r="V32" s="592"/>
      <c r="W32" s="608"/>
      <c r="X32" s="609"/>
      <c r="Y32" s="610"/>
      <c r="AC32" s="152"/>
      <c r="AD32" s="152"/>
      <c r="AE32" s="152"/>
      <c r="AF32" s="152"/>
      <c r="AG32" s="152"/>
    </row>
    <row r="33" spans="1:33" s="151" customFormat="1" ht="19.5" customHeight="1" x14ac:dyDescent="0.15">
      <c r="A33" s="565" t="s">
        <v>82</v>
      </c>
      <c r="B33" s="566"/>
      <c r="C33" s="566"/>
      <c r="D33" s="567"/>
      <c r="E33" s="121" t="s">
        <v>400</v>
      </c>
      <c r="F33" s="27"/>
      <c r="G33" s="27"/>
      <c r="H33" s="122"/>
      <c r="I33" s="123"/>
      <c r="J33" s="124">
        <f>F26</f>
        <v>200</v>
      </c>
      <c r="K33" s="27" t="s">
        <v>51</v>
      </c>
      <c r="L33" s="281">
        <v>90</v>
      </c>
      <c r="M33" s="27" t="s">
        <v>87</v>
      </c>
      <c r="N33" s="29" t="s">
        <v>133</v>
      </c>
      <c r="O33" s="621">
        <f>ROUND(J33*0.001*L33,2)</f>
        <v>18</v>
      </c>
      <c r="P33" s="621"/>
      <c r="Q33" s="125" t="s">
        <v>603</v>
      </c>
      <c r="R33" s="502" t="s">
        <v>88</v>
      </c>
      <c r="S33" s="503"/>
      <c r="T33" s="503"/>
      <c r="U33" s="503"/>
      <c r="V33" s="504"/>
      <c r="W33" s="622" t="str">
        <f>IF(H34*1.5&gt;N36+T37,"×","○")</f>
        <v>○</v>
      </c>
      <c r="X33" s="623"/>
      <c r="Y33" s="624"/>
      <c r="AC33" s="152"/>
      <c r="AD33" s="152"/>
      <c r="AE33" s="152"/>
      <c r="AF33" s="152"/>
      <c r="AG33" s="152"/>
    </row>
    <row r="34" spans="1:33" s="151" customFormat="1" ht="19.5" customHeight="1" x14ac:dyDescent="0.15">
      <c r="A34" s="568"/>
      <c r="B34" s="569"/>
      <c r="C34" s="569"/>
      <c r="D34" s="570"/>
      <c r="E34" s="45" t="s">
        <v>470</v>
      </c>
      <c r="F34" s="46"/>
      <c r="G34" s="40"/>
      <c r="H34" s="501">
        <f>O33</f>
        <v>18</v>
      </c>
      <c r="I34" s="501"/>
      <c r="J34" s="56" t="s">
        <v>602</v>
      </c>
      <c r="K34" s="50" t="s">
        <v>92</v>
      </c>
      <c r="L34" s="54"/>
      <c r="M34" s="54"/>
      <c r="N34" s="41"/>
      <c r="O34" s="41"/>
      <c r="P34" s="41"/>
      <c r="Q34" s="42"/>
      <c r="R34" s="505"/>
      <c r="S34" s="506"/>
      <c r="T34" s="506"/>
      <c r="U34" s="506"/>
      <c r="V34" s="507"/>
      <c r="W34" s="625"/>
      <c r="X34" s="626"/>
      <c r="Y34" s="627"/>
      <c r="AC34" s="152"/>
      <c r="AD34" s="152"/>
      <c r="AE34" s="152"/>
      <c r="AF34" s="152"/>
      <c r="AG34" s="152"/>
    </row>
    <row r="35" spans="1:33" s="151" customFormat="1" ht="19.5" customHeight="1" x14ac:dyDescent="0.15">
      <c r="A35" s="568"/>
      <c r="B35" s="569"/>
      <c r="C35" s="569"/>
      <c r="D35" s="570"/>
      <c r="E35" s="52" t="s">
        <v>93</v>
      </c>
      <c r="F35" s="53"/>
      <c r="G35" s="53"/>
      <c r="H35" s="53"/>
      <c r="I35" s="34"/>
      <c r="J35" s="34"/>
      <c r="K35" s="34"/>
      <c r="L35" s="34"/>
      <c r="M35" s="34"/>
      <c r="N35" s="32"/>
      <c r="O35" s="32"/>
      <c r="P35" s="32"/>
      <c r="Q35" s="37"/>
      <c r="R35" s="505"/>
      <c r="S35" s="506"/>
      <c r="T35" s="506"/>
      <c r="U35" s="506"/>
      <c r="V35" s="507"/>
      <c r="W35" s="625"/>
      <c r="X35" s="626"/>
      <c r="Y35" s="627"/>
      <c r="AC35" s="152"/>
      <c r="AD35" s="152"/>
      <c r="AE35" s="152"/>
      <c r="AF35" s="152"/>
      <c r="AG35" s="152"/>
    </row>
    <row r="36" spans="1:33" s="151" customFormat="1" ht="19.5" customHeight="1" x14ac:dyDescent="0.15">
      <c r="A36" s="568"/>
      <c r="B36" s="569"/>
      <c r="C36" s="569"/>
      <c r="D36" s="570"/>
      <c r="E36" s="55" t="s">
        <v>142</v>
      </c>
      <c r="F36" s="501">
        <f>H37*K37</f>
        <v>32</v>
      </c>
      <c r="G36" s="501"/>
      <c r="H36" s="56" t="s">
        <v>601</v>
      </c>
      <c r="I36" s="40" t="s">
        <v>14</v>
      </c>
      <c r="J36" s="500">
        <f>N37</f>
        <v>1</v>
      </c>
      <c r="K36" s="500"/>
      <c r="L36" s="56" t="s">
        <v>146</v>
      </c>
      <c r="M36" s="351" t="s">
        <v>598</v>
      </c>
      <c r="N36" s="501">
        <f>ROUND(F36*J36,2)</f>
        <v>32</v>
      </c>
      <c r="O36" s="501"/>
      <c r="P36" s="56" t="s">
        <v>603</v>
      </c>
      <c r="Q36" s="42"/>
      <c r="R36" s="511" t="s">
        <v>606</v>
      </c>
      <c r="S36" s="512"/>
      <c r="T36" s="512"/>
      <c r="U36" s="512"/>
      <c r="V36" s="513"/>
      <c r="W36" s="625"/>
      <c r="X36" s="626"/>
      <c r="Y36" s="627"/>
      <c r="AC36" s="152"/>
      <c r="AD36" s="152"/>
      <c r="AE36" s="152"/>
      <c r="AF36" s="152"/>
      <c r="AG36" s="152"/>
    </row>
    <row r="37" spans="1:33" ht="19.5" customHeight="1" x14ac:dyDescent="0.15">
      <c r="A37" s="571"/>
      <c r="B37" s="572"/>
      <c r="C37" s="572"/>
      <c r="D37" s="573"/>
      <c r="E37" s="632" t="s">
        <v>94</v>
      </c>
      <c r="F37" s="633"/>
      <c r="G37" s="57"/>
      <c r="H37" s="634">
        <v>8</v>
      </c>
      <c r="I37" s="634"/>
      <c r="J37" s="141" t="s">
        <v>14</v>
      </c>
      <c r="K37" s="635">
        <v>4</v>
      </c>
      <c r="L37" s="635"/>
      <c r="M37" s="142" t="s">
        <v>85</v>
      </c>
      <c r="N37" s="613">
        <v>1</v>
      </c>
      <c r="O37" s="613"/>
      <c r="P37" s="143" t="s">
        <v>95</v>
      </c>
      <c r="Q37" s="58" t="s">
        <v>96</v>
      </c>
      <c r="R37" s="353" t="s">
        <v>605</v>
      </c>
      <c r="S37" s="352"/>
      <c r="T37" s="514"/>
      <c r="U37" s="514"/>
      <c r="V37" s="354" t="s">
        <v>604</v>
      </c>
      <c r="W37" s="628"/>
      <c r="X37" s="629"/>
      <c r="Y37" s="630"/>
      <c r="AC37" s="32"/>
      <c r="AD37" s="32"/>
      <c r="AE37" s="32"/>
      <c r="AF37" s="32"/>
      <c r="AG37" s="32"/>
    </row>
    <row r="38" spans="1:33" ht="19.5" customHeight="1" x14ac:dyDescent="0.15">
      <c r="A38" s="614" t="s">
        <v>97</v>
      </c>
      <c r="B38" s="603"/>
      <c r="C38" s="603"/>
      <c r="D38" s="615"/>
      <c r="E38" s="59" t="s">
        <v>98</v>
      </c>
      <c r="F38" s="60" t="s">
        <v>55</v>
      </c>
      <c r="G38" s="60">
        <v>146</v>
      </c>
      <c r="H38" s="61" t="s">
        <v>472</v>
      </c>
      <c r="I38" s="62" t="s">
        <v>100</v>
      </c>
      <c r="J38" s="60"/>
      <c r="K38" s="63"/>
      <c r="L38" s="60" t="s">
        <v>271</v>
      </c>
      <c r="M38" s="60" t="s">
        <v>473</v>
      </c>
      <c r="N38" s="63"/>
      <c r="O38" s="64"/>
      <c r="P38" s="63"/>
      <c r="Q38" s="65"/>
      <c r="R38" s="686" t="s">
        <v>103</v>
      </c>
      <c r="S38" s="687"/>
      <c r="T38" s="687"/>
      <c r="U38" s="687"/>
      <c r="V38" s="688"/>
      <c r="W38" s="636" t="str">
        <f>IF(H41&gt;=40,"○","×")</f>
        <v>○</v>
      </c>
      <c r="X38" s="534"/>
      <c r="Y38" s="637"/>
      <c r="AC38" s="32"/>
      <c r="AD38" s="32"/>
      <c r="AE38" s="32"/>
      <c r="AF38" s="32"/>
      <c r="AG38" s="32"/>
    </row>
    <row r="39" spans="1:33" ht="19.5" customHeight="1" x14ac:dyDescent="0.15">
      <c r="A39" s="616"/>
      <c r="B39" s="606"/>
      <c r="C39" s="606"/>
      <c r="D39" s="617"/>
      <c r="E39" s="59"/>
      <c r="F39" s="64"/>
      <c r="G39" s="60"/>
      <c r="H39" s="60"/>
      <c r="I39" s="60"/>
      <c r="J39" s="60"/>
      <c r="K39" s="60" t="s">
        <v>104</v>
      </c>
      <c r="L39" s="64"/>
      <c r="M39" s="60"/>
      <c r="N39" s="63"/>
      <c r="O39" s="63"/>
      <c r="P39" s="63"/>
      <c r="Q39" s="65"/>
      <c r="R39" s="689"/>
      <c r="S39" s="690"/>
      <c r="T39" s="690"/>
      <c r="U39" s="690"/>
      <c r="V39" s="691"/>
      <c r="W39" s="638"/>
      <c r="X39" s="537"/>
      <c r="Y39" s="639"/>
      <c r="Z39" s="32"/>
      <c r="AA39" s="32"/>
      <c r="AB39" s="32"/>
      <c r="AC39" s="32"/>
      <c r="AD39" s="32"/>
      <c r="AE39" s="32"/>
      <c r="AF39" s="32"/>
      <c r="AG39" s="32"/>
    </row>
    <row r="40" spans="1:33" ht="19.5" customHeight="1" x14ac:dyDescent="0.15">
      <c r="A40" s="616"/>
      <c r="B40" s="606"/>
      <c r="C40" s="606"/>
      <c r="D40" s="617"/>
      <c r="E40" s="66"/>
      <c r="F40" s="67" t="s">
        <v>55</v>
      </c>
      <c r="G40" s="695">
        <f>ROUNDUP(146*SQRT(F32/(1000*1.5)),1)</f>
        <v>53.4</v>
      </c>
      <c r="H40" s="695"/>
      <c r="I40" s="67" t="s">
        <v>273</v>
      </c>
      <c r="J40" s="68" t="s">
        <v>264</v>
      </c>
      <c r="K40" s="525">
        <f>ROUNDUP(146*SQRT(F32/(1000*1)),1)</f>
        <v>65.3</v>
      </c>
      <c r="L40" s="525"/>
      <c r="M40" s="67" t="s">
        <v>107</v>
      </c>
      <c r="N40" s="63"/>
      <c r="O40" s="63"/>
      <c r="P40" s="63"/>
      <c r="Q40" s="65"/>
      <c r="R40" s="689"/>
      <c r="S40" s="690"/>
      <c r="T40" s="690"/>
      <c r="U40" s="690"/>
      <c r="V40" s="691"/>
      <c r="W40" s="638"/>
      <c r="X40" s="537"/>
      <c r="Y40" s="639"/>
      <c r="Z40" s="32"/>
      <c r="AA40" s="32"/>
      <c r="AB40" s="32"/>
      <c r="AC40" s="32"/>
      <c r="AD40" s="32"/>
      <c r="AE40" s="32"/>
      <c r="AF40" s="32"/>
      <c r="AG40" s="32"/>
    </row>
    <row r="41" spans="1:33" ht="19.5" customHeight="1" x14ac:dyDescent="0.15">
      <c r="A41" s="618"/>
      <c r="B41" s="609"/>
      <c r="C41" s="609"/>
      <c r="D41" s="619"/>
      <c r="E41" s="69" t="s">
        <v>144</v>
      </c>
      <c r="F41" s="70" t="s">
        <v>97</v>
      </c>
      <c r="G41" s="70"/>
      <c r="H41" s="685">
        <v>50</v>
      </c>
      <c r="I41" s="685"/>
      <c r="J41" s="70" t="s">
        <v>108</v>
      </c>
      <c r="K41" s="70"/>
      <c r="L41" s="70"/>
      <c r="M41" s="70"/>
      <c r="N41" s="71"/>
      <c r="O41" s="71"/>
      <c r="P41" s="71"/>
      <c r="Q41" s="72"/>
      <c r="R41" s="692"/>
      <c r="S41" s="693"/>
      <c r="T41" s="693"/>
      <c r="U41" s="693"/>
      <c r="V41" s="694"/>
      <c r="W41" s="643"/>
      <c r="X41" s="644"/>
      <c r="Y41" s="645"/>
      <c r="Z41" s="32"/>
      <c r="AA41" s="32"/>
      <c r="AB41" s="32"/>
      <c r="AC41" s="32"/>
      <c r="AD41" s="32"/>
      <c r="AE41" s="32"/>
      <c r="AF41" s="32"/>
      <c r="AG41" s="32"/>
    </row>
    <row r="42" spans="1:33" ht="19.5" customHeight="1" x14ac:dyDescent="0.15">
      <c r="A42" s="515" t="s">
        <v>109</v>
      </c>
      <c r="B42" s="516"/>
      <c r="C42" s="516"/>
      <c r="D42" s="517"/>
      <c r="E42" s="73" t="s">
        <v>407</v>
      </c>
      <c r="F42" s="74" t="s">
        <v>471</v>
      </c>
      <c r="G42" s="74" t="s">
        <v>276</v>
      </c>
      <c r="H42" s="75"/>
      <c r="I42" s="74" t="s">
        <v>101</v>
      </c>
      <c r="J42" s="74" t="s">
        <v>113</v>
      </c>
      <c r="K42" s="75" t="s">
        <v>278</v>
      </c>
      <c r="L42" s="76">
        <v>50</v>
      </c>
      <c r="M42" s="74" t="s">
        <v>115</v>
      </c>
      <c r="N42" s="75"/>
      <c r="O42" s="75"/>
      <c r="P42" s="75"/>
      <c r="Q42" s="77"/>
      <c r="R42" s="686" t="s">
        <v>116</v>
      </c>
      <c r="S42" s="696"/>
      <c r="T42" s="696"/>
      <c r="U42" s="696"/>
      <c r="V42" s="697"/>
      <c r="W42" s="636" t="str">
        <f>IF(AND(G43&gt;= 0.6, G43&lt;=3),"○","×")</f>
        <v>○</v>
      </c>
      <c r="X42" s="534"/>
      <c r="Y42" s="637"/>
      <c r="Z42" s="32"/>
      <c r="AA42" s="32"/>
      <c r="AB42" s="32"/>
      <c r="AC42" s="32"/>
      <c r="AD42" s="32"/>
      <c r="AE42" s="32"/>
      <c r="AF42" s="32"/>
      <c r="AG42" s="32"/>
    </row>
    <row r="43" spans="1:33" ht="19.5" customHeight="1" x14ac:dyDescent="0.15">
      <c r="A43" s="518"/>
      <c r="B43" s="519"/>
      <c r="C43" s="519"/>
      <c r="D43" s="520"/>
      <c r="E43" s="66"/>
      <c r="F43" s="78" t="s">
        <v>57</v>
      </c>
      <c r="G43" s="646">
        <f>ROUND((F32/(1000*60))/(((L42/2)/1000)^2*PI()),2)</f>
        <v>1.7</v>
      </c>
      <c r="H43" s="646"/>
      <c r="I43" s="78" t="s">
        <v>410</v>
      </c>
      <c r="J43" s="67"/>
      <c r="K43" s="67"/>
      <c r="L43" s="67"/>
      <c r="M43" s="67"/>
      <c r="N43" s="79"/>
      <c r="O43" s="79"/>
      <c r="P43" s="79"/>
      <c r="Q43" s="80"/>
      <c r="R43" s="698"/>
      <c r="S43" s="699"/>
      <c r="T43" s="699"/>
      <c r="U43" s="699"/>
      <c r="V43" s="700"/>
      <c r="W43" s="638"/>
      <c r="X43" s="537"/>
      <c r="Y43" s="639"/>
      <c r="Z43" s="32"/>
      <c r="AA43" s="32"/>
      <c r="AB43" s="32"/>
      <c r="AC43" s="32"/>
      <c r="AD43" s="32"/>
      <c r="AE43" s="32"/>
      <c r="AF43" s="32"/>
      <c r="AG43" s="32"/>
    </row>
    <row r="44" spans="1:33" ht="19.5" customHeight="1" x14ac:dyDescent="0.15">
      <c r="A44" s="518"/>
      <c r="B44" s="519"/>
      <c r="C44" s="519"/>
      <c r="D44" s="520"/>
      <c r="E44" s="81" t="s">
        <v>407</v>
      </c>
      <c r="F44" s="82" t="s">
        <v>55</v>
      </c>
      <c r="G44" s="82" t="s">
        <v>276</v>
      </c>
      <c r="H44" s="83"/>
      <c r="I44" s="82" t="s">
        <v>474</v>
      </c>
      <c r="J44" s="82" t="s">
        <v>277</v>
      </c>
      <c r="K44" s="83" t="s">
        <v>409</v>
      </c>
      <c r="L44" s="84">
        <v>65</v>
      </c>
      <c r="M44" s="85" t="s">
        <v>475</v>
      </c>
      <c r="N44" s="83"/>
      <c r="O44" s="83"/>
      <c r="P44" s="83"/>
      <c r="Q44" s="86"/>
      <c r="R44" s="698"/>
      <c r="S44" s="699"/>
      <c r="T44" s="699"/>
      <c r="U44" s="699"/>
      <c r="V44" s="700"/>
      <c r="W44" s="677" t="str">
        <f>IF(ISNUMBER(L44),IF(G45&gt;=0.6,"○","×")," ")</f>
        <v>○</v>
      </c>
      <c r="X44" s="678"/>
      <c r="Y44" s="679"/>
      <c r="Z44" s="32"/>
      <c r="AA44" s="32"/>
      <c r="AB44" s="32"/>
      <c r="AC44" s="32"/>
      <c r="AD44" s="32"/>
      <c r="AE44" s="32"/>
      <c r="AF44" s="32"/>
      <c r="AG44" s="32"/>
    </row>
    <row r="45" spans="1:33" ht="19.5" customHeight="1" x14ac:dyDescent="0.15">
      <c r="A45" s="518"/>
      <c r="B45" s="519"/>
      <c r="C45" s="519"/>
      <c r="D45" s="520"/>
      <c r="E45" s="87"/>
      <c r="F45" s="88" t="s">
        <v>55</v>
      </c>
      <c r="G45" s="683">
        <f>IF(ISNUMBER(L44),ROUND((F32/(1000*60))/(((L44/2)/1000)^2*PI()),2),"　")</f>
        <v>1</v>
      </c>
      <c r="H45" s="683"/>
      <c r="I45" s="89" t="s">
        <v>121</v>
      </c>
      <c r="J45" s="90"/>
      <c r="K45" s="90"/>
      <c r="L45" s="90"/>
      <c r="M45" s="91"/>
      <c r="N45" s="92"/>
      <c r="O45" s="92"/>
      <c r="P45" s="92"/>
      <c r="Q45" s="93"/>
      <c r="R45" s="701"/>
      <c r="S45" s="702"/>
      <c r="T45" s="702"/>
      <c r="U45" s="702"/>
      <c r="V45" s="703"/>
      <c r="W45" s="680"/>
      <c r="X45" s="681"/>
      <c r="Y45" s="682"/>
      <c r="Z45" s="32"/>
      <c r="AA45" s="32"/>
      <c r="AB45" s="32"/>
      <c r="AC45" s="32"/>
      <c r="AD45" s="32"/>
      <c r="AE45" s="32"/>
      <c r="AF45" s="32"/>
      <c r="AG45" s="32"/>
    </row>
    <row r="46" spans="1:33" ht="19.5" customHeight="1" x14ac:dyDescent="0.15">
      <c r="A46" s="518"/>
      <c r="B46" s="519"/>
      <c r="C46" s="519"/>
      <c r="D46" s="520"/>
      <c r="E46" s="66" t="s">
        <v>122</v>
      </c>
      <c r="F46" s="78"/>
      <c r="G46" s="94"/>
      <c r="H46" s="94"/>
      <c r="I46" s="95"/>
      <c r="J46" s="67"/>
      <c r="K46" s="67"/>
      <c r="L46" s="67"/>
      <c r="M46" s="96"/>
      <c r="N46" s="79"/>
      <c r="O46" s="79"/>
      <c r="P46" s="79"/>
      <c r="Q46" s="79"/>
      <c r="R46" s="97"/>
      <c r="S46" s="97"/>
      <c r="T46" s="97"/>
      <c r="U46" s="97"/>
      <c r="V46" s="97"/>
      <c r="W46" s="98"/>
      <c r="X46" s="98"/>
      <c r="Y46" s="99"/>
      <c r="Z46" s="32"/>
      <c r="AA46" s="32"/>
      <c r="AB46" s="32"/>
      <c r="AC46" s="32"/>
      <c r="AD46" s="32"/>
      <c r="AE46" s="32"/>
      <c r="AF46" s="32"/>
      <c r="AG46" s="32"/>
    </row>
    <row r="47" spans="1:33" ht="19.5" customHeight="1" x14ac:dyDescent="0.15">
      <c r="A47" s="518"/>
      <c r="B47" s="519"/>
      <c r="C47" s="519"/>
      <c r="D47" s="520"/>
      <c r="E47" s="94"/>
      <c r="F47" s="144"/>
      <c r="G47" s="94"/>
      <c r="H47" s="94"/>
      <c r="I47" s="95"/>
      <c r="J47" s="67"/>
      <c r="K47" s="67"/>
      <c r="L47" s="67"/>
      <c r="M47" s="96"/>
      <c r="N47" s="79"/>
      <c r="O47" s="79"/>
      <c r="P47" s="79"/>
      <c r="Q47" s="79"/>
      <c r="R47" s="135"/>
      <c r="S47" s="135"/>
      <c r="T47" s="135"/>
      <c r="U47" s="135"/>
      <c r="V47" s="135"/>
      <c r="W47" s="98"/>
      <c r="X47" s="98"/>
      <c r="Y47" s="99"/>
      <c r="Z47" s="32"/>
      <c r="AA47" s="32"/>
      <c r="AB47" s="32"/>
      <c r="AC47" s="32"/>
      <c r="AD47" s="32"/>
      <c r="AE47" s="32"/>
      <c r="AF47" s="32"/>
      <c r="AG47" s="32"/>
    </row>
    <row r="48" spans="1:33" ht="19.5" customHeight="1" x14ac:dyDescent="0.15">
      <c r="A48" s="521"/>
      <c r="B48" s="522"/>
      <c r="C48" s="522"/>
      <c r="D48" s="523"/>
      <c r="E48" s="94"/>
      <c r="F48" s="684" t="s">
        <v>123</v>
      </c>
      <c r="G48" s="684"/>
      <c r="H48" s="684"/>
      <c r="I48" s="684"/>
      <c r="J48" s="684"/>
      <c r="K48" s="684"/>
      <c r="L48" s="67"/>
      <c r="M48" s="96"/>
      <c r="N48" s="79"/>
      <c r="O48" s="79"/>
      <c r="P48" s="79"/>
      <c r="Q48" s="79"/>
      <c r="R48" s="135"/>
      <c r="S48" s="135"/>
      <c r="T48" s="135"/>
      <c r="U48" s="135"/>
      <c r="V48" s="135"/>
      <c r="W48" s="98"/>
      <c r="X48" s="98"/>
      <c r="Y48" s="99"/>
    </row>
    <row r="49" spans="1:26" ht="19.5" customHeight="1" x14ac:dyDescent="0.15">
      <c r="A49" s="533" t="s">
        <v>124</v>
      </c>
      <c r="B49" s="534"/>
      <c r="C49" s="534"/>
      <c r="D49" s="535"/>
      <c r="E49" s="100" t="s">
        <v>125</v>
      </c>
      <c r="F49" s="101"/>
      <c r="G49" s="102" t="s">
        <v>476</v>
      </c>
      <c r="H49" s="102" t="s">
        <v>133</v>
      </c>
      <c r="I49" s="704" t="s">
        <v>413</v>
      </c>
      <c r="J49" s="704"/>
      <c r="K49" s="103" t="s">
        <v>477</v>
      </c>
      <c r="L49" s="704" t="s">
        <v>415</v>
      </c>
      <c r="M49" s="704"/>
      <c r="N49" s="103" t="s">
        <v>478</v>
      </c>
      <c r="O49" s="704" t="s">
        <v>132</v>
      </c>
      <c r="P49" s="704"/>
      <c r="Q49" s="103"/>
      <c r="R49" s="593" t="s">
        <v>644</v>
      </c>
      <c r="S49" s="594"/>
      <c r="T49" s="594"/>
      <c r="U49" s="594"/>
      <c r="V49" s="595"/>
      <c r="W49" s="636" t="str">
        <f>IF(G55&gt;=I54,"○","×")</f>
        <v>○</v>
      </c>
      <c r="X49" s="534"/>
      <c r="Y49" s="637"/>
    </row>
    <row r="50" spans="1:26" ht="19.5" customHeight="1" x14ac:dyDescent="0.15">
      <c r="A50" s="536"/>
      <c r="B50" s="537"/>
      <c r="C50" s="537"/>
      <c r="D50" s="538"/>
      <c r="E50" s="105"/>
      <c r="F50" s="63"/>
      <c r="G50" s="63"/>
      <c r="H50" s="63" t="s">
        <v>133</v>
      </c>
      <c r="I50" s="642">
        <f>J71</f>
        <v>4.6500000000000004</v>
      </c>
      <c r="J50" s="642"/>
      <c r="K50" s="63" t="s">
        <v>477</v>
      </c>
      <c r="L50" s="580">
        <f>IF(ISNUMBER(L44),J78+J95,J78)</f>
        <v>0.90799999999999992</v>
      </c>
      <c r="M50" s="580"/>
      <c r="N50" s="79" t="s">
        <v>479</v>
      </c>
      <c r="O50" s="525">
        <f>J74</f>
        <v>5.0999999999999997E-2</v>
      </c>
      <c r="P50" s="525"/>
      <c r="Q50" s="63"/>
      <c r="R50" s="596"/>
      <c r="S50" s="597"/>
      <c r="T50" s="597"/>
      <c r="U50" s="597"/>
      <c r="V50" s="598"/>
      <c r="W50" s="638"/>
      <c r="X50" s="537"/>
      <c r="Y50" s="639"/>
      <c r="Z50" s="151"/>
    </row>
    <row r="51" spans="1:26" ht="19.5" customHeight="1" x14ac:dyDescent="0.15">
      <c r="A51" s="536"/>
      <c r="B51" s="537"/>
      <c r="C51" s="537"/>
      <c r="D51" s="538"/>
      <c r="E51" s="105"/>
      <c r="F51" s="63"/>
      <c r="G51" s="63"/>
      <c r="H51" s="63" t="s">
        <v>48</v>
      </c>
      <c r="I51" s="580">
        <f>I50+L50+O50</f>
        <v>5.609</v>
      </c>
      <c r="J51" s="525"/>
      <c r="K51" s="63" t="s">
        <v>403</v>
      </c>
      <c r="L51" s="63"/>
      <c r="M51" s="63"/>
      <c r="N51" s="63"/>
      <c r="O51" s="63"/>
      <c r="P51" s="63"/>
      <c r="Q51" s="65"/>
      <c r="R51" s="596"/>
      <c r="S51" s="597"/>
      <c r="T51" s="597"/>
      <c r="U51" s="597"/>
      <c r="V51" s="598"/>
      <c r="W51" s="638"/>
      <c r="X51" s="537"/>
      <c r="Y51" s="639"/>
    </row>
    <row r="52" spans="1:26" ht="19.5" customHeight="1" x14ac:dyDescent="0.15">
      <c r="A52" s="536"/>
      <c r="B52" s="537"/>
      <c r="C52" s="537"/>
      <c r="D52" s="538"/>
      <c r="E52" s="106"/>
      <c r="F52" s="63" t="s">
        <v>137</v>
      </c>
      <c r="G52" s="63"/>
      <c r="H52" s="63">
        <f>L53</f>
        <v>1.2</v>
      </c>
      <c r="I52" s="63" t="s">
        <v>480</v>
      </c>
      <c r="J52" s="63"/>
      <c r="K52" s="63" t="s">
        <v>139</v>
      </c>
      <c r="L52" s="63"/>
      <c r="M52" s="63"/>
      <c r="N52" s="63"/>
      <c r="O52" s="63"/>
      <c r="P52" s="63"/>
      <c r="Q52" s="65"/>
      <c r="R52" s="596"/>
      <c r="S52" s="597"/>
      <c r="T52" s="597"/>
      <c r="U52" s="597"/>
      <c r="V52" s="598"/>
      <c r="W52" s="638"/>
      <c r="X52" s="537"/>
      <c r="Y52" s="639"/>
    </row>
    <row r="53" spans="1:26" ht="19.5" customHeight="1" x14ac:dyDescent="0.15">
      <c r="A53" s="536"/>
      <c r="B53" s="537"/>
      <c r="C53" s="537"/>
      <c r="D53" s="538"/>
      <c r="E53" s="105"/>
      <c r="F53" s="63"/>
      <c r="G53" s="63" t="s">
        <v>481</v>
      </c>
      <c r="H53" s="63" t="s">
        <v>48</v>
      </c>
      <c r="I53" s="580">
        <f>I51</f>
        <v>5.609</v>
      </c>
      <c r="J53" s="580"/>
      <c r="K53" s="63" t="s">
        <v>50</v>
      </c>
      <c r="L53" s="145">
        <v>1.2</v>
      </c>
      <c r="M53" s="63"/>
      <c r="N53" s="63"/>
      <c r="O53" s="63"/>
      <c r="P53" s="63"/>
      <c r="Q53" s="65"/>
      <c r="R53" s="596"/>
      <c r="S53" s="597"/>
      <c r="T53" s="597"/>
      <c r="U53" s="597"/>
      <c r="V53" s="598"/>
      <c r="W53" s="638"/>
      <c r="X53" s="537"/>
      <c r="Y53" s="639"/>
    </row>
    <row r="54" spans="1:26" ht="19.5" customHeight="1" x14ac:dyDescent="0.15">
      <c r="A54" s="536"/>
      <c r="B54" s="537"/>
      <c r="C54" s="537"/>
      <c r="D54" s="538"/>
      <c r="E54" s="105"/>
      <c r="F54" s="63"/>
      <c r="G54" s="63"/>
      <c r="H54" s="63" t="s">
        <v>55</v>
      </c>
      <c r="I54" s="581">
        <f>ROUND(I53*L53,3)</f>
        <v>6.7309999999999999</v>
      </c>
      <c r="J54" s="581"/>
      <c r="K54" s="63" t="s">
        <v>403</v>
      </c>
      <c r="L54" s="63"/>
      <c r="M54" s="63"/>
      <c r="N54" s="63"/>
      <c r="O54" s="63"/>
      <c r="P54" s="63"/>
      <c r="Q54" s="65"/>
      <c r="R54" s="596"/>
      <c r="S54" s="597"/>
      <c r="T54" s="597"/>
      <c r="U54" s="597"/>
      <c r="V54" s="598"/>
      <c r="W54" s="638"/>
      <c r="X54" s="537"/>
      <c r="Y54" s="639"/>
    </row>
    <row r="55" spans="1:26" ht="19.5" customHeight="1" thickBot="1" x14ac:dyDescent="0.2">
      <c r="A55" s="539"/>
      <c r="B55" s="540"/>
      <c r="C55" s="540"/>
      <c r="D55" s="541"/>
      <c r="E55" s="107" t="s">
        <v>482</v>
      </c>
      <c r="F55" s="108" t="s">
        <v>145</v>
      </c>
      <c r="G55" s="582">
        <f>ROUNDUP(I54,0)</f>
        <v>7</v>
      </c>
      <c r="H55" s="582"/>
      <c r="I55" s="108" t="s">
        <v>419</v>
      </c>
      <c r="J55" s="108" t="s">
        <v>420</v>
      </c>
      <c r="K55" s="108"/>
      <c r="L55" s="109"/>
      <c r="M55" s="108"/>
      <c r="N55" s="108"/>
      <c r="O55" s="108"/>
      <c r="P55" s="108"/>
      <c r="Q55" s="110"/>
      <c r="R55" s="599"/>
      <c r="S55" s="600"/>
      <c r="T55" s="600"/>
      <c r="U55" s="600"/>
      <c r="V55" s="601"/>
      <c r="W55" s="640"/>
      <c r="X55" s="540"/>
      <c r="Y55" s="641"/>
    </row>
    <row r="56" spans="1:26" ht="19.5" customHeight="1" x14ac:dyDescent="0.15">
      <c r="A56" s="64"/>
      <c r="B56" s="64"/>
      <c r="C56" s="64"/>
      <c r="D56" s="64"/>
      <c r="E56" s="64"/>
      <c r="F56" s="64"/>
      <c r="G56" s="64"/>
      <c r="H56" s="64"/>
      <c r="I56" s="64"/>
      <c r="J56" s="64"/>
      <c r="K56" s="64"/>
      <c r="L56" s="64"/>
      <c r="M56" s="64"/>
      <c r="N56" s="64"/>
      <c r="O56" s="64"/>
      <c r="P56" s="64"/>
      <c r="Q56" s="64"/>
      <c r="R56" s="64"/>
      <c r="S56" s="64"/>
      <c r="T56" s="64"/>
      <c r="U56" s="64"/>
      <c r="V56" s="64"/>
      <c r="W56" s="64"/>
      <c r="X56" s="64"/>
      <c r="Y56" s="64"/>
    </row>
    <row r="57" spans="1:26" ht="19.5" customHeight="1" x14ac:dyDescent="0.15">
      <c r="A57" s="64"/>
      <c r="B57" s="64"/>
      <c r="C57" s="64"/>
      <c r="D57" s="64"/>
      <c r="E57" s="64"/>
      <c r="F57" s="64"/>
      <c r="G57" s="64"/>
      <c r="H57" s="64"/>
      <c r="I57" s="64"/>
      <c r="J57" s="64"/>
      <c r="K57" s="64"/>
      <c r="L57" s="64"/>
      <c r="M57" s="64"/>
      <c r="N57" s="64"/>
      <c r="O57" s="64"/>
      <c r="P57" s="64"/>
      <c r="Q57" s="64"/>
      <c r="R57" s="64"/>
      <c r="S57" s="64"/>
      <c r="T57" s="64"/>
      <c r="U57" s="64"/>
      <c r="V57" s="64"/>
      <c r="W57" s="64"/>
      <c r="X57" s="64"/>
      <c r="Y57" s="64"/>
    </row>
    <row r="58" spans="1:26" ht="19.5" customHeight="1" x14ac:dyDescent="0.15">
      <c r="A58" s="60" t="s">
        <v>148</v>
      </c>
      <c r="B58" s="60"/>
      <c r="C58" s="60"/>
      <c r="D58" s="176" t="s">
        <v>32</v>
      </c>
      <c r="E58" s="177"/>
      <c r="F58" s="177"/>
      <c r="G58" s="177"/>
      <c r="H58" s="177"/>
      <c r="I58" s="178"/>
      <c r="J58" s="111" t="s">
        <v>421</v>
      </c>
      <c r="K58" s="64"/>
      <c r="R58" s="64"/>
      <c r="S58" s="64"/>
      <c r="T58" s="64"/>
      <c r="U58" s="64"/>
      <c r="V58" s="64"/>
      <c r="W58" s="64"/>
      <c r="X58" s="64"/>
      <c r="Y58" s="64"/>
    </row>
    <row r="59" spans="1:26" ht="19.5" customHeight="1" x14ac:dyDescent="0.15">
      <c r="A59" s="60"/>
      <c r="B59" s="60"/>
      <c r="C59" s="179"/>
      <c r="D59" s="176" t="s">
        <v>150</v>
      </c>
      <c r="E59" s="177"/>
      <c r="F59" s="177"/>
      <c r="G59" s="177"/>
      <c r="H59" s="177"/>
      <c r="I59" s="178"/>
      <c r="J59" s="112"/>
      <c r="K59" s="64"/>
      <c r="L59" s="180" t="s">
        <v>422</v>
      </c>
      <c r="M59" s="64"/>
      <c r="N59" s="64"/>
      <c r="O59" s="146"/>
      <c r="P59" s="64" t="s">
        <v>152</v>
      </c>
      <c r="Q59" s="64"/>
      <c r="R59" s="181" t="s">
        <v>153</v>
      </c>
      <c r="S59" s="64"/>
      <c r="T59" s="64"/>
      <c r="U59" s="64"/>
      <c r="V59" s="64"/>
      <c r="W59" s="64"/>
      <c r="X59" s="64"/>
      <c r="Y59" s="64"/>
    </row>
    <row r="60" spans="1:26" ht="19.5" customHeight="1" x14ac:dyDescent="0.15">
      <c r="A60" s="60"/>
      <c r="B60" s="60"/>
      <c r="C60" s="179"/>
      <c r="D60" s="176" t="s">
        <v>154</v>
      </c>
      <c r="E60" s="177"/>
      <c r="F60" s="177"/>
      <c r="G60" s="177"/>
      <c r="H60" s="177"/>
      <c r="I60" s="178"/>
      <c r="J60" s="112"/>
      <c r="K60" s="64"/>
      <c r="L60" s="64"/>
      <c r="M60" s="64"/>
      <c r="N60" s="64"/>
      <c r="O60" s="64"/>
      <c r="P60" s="64"/>
      <c r="Q60" s="64"/>
      <c r="R60" s="64"/>
      <c r="S60" s="64"/>
      <c r="T60" s="64"/>
      <c r="U60" s="64"/>
      <c r="V60" s="64"/>
      <c r="W60" s="64"/>
      <c r="X60" s="64"/>
      <c r="Y60" s="64"/>
    </row>
    <row r="61" spans="1:26" ht="19.5" customHeight="1" x14ac:dyDescent="0.15">
      <c r="A61" s="60"/>
      <c r="B61" s="60"/>
      <c r="C61" s="179"/>
      <c r="D61" s="486" t="s">
        <v>155</v>
      </c>
      <c r="E61" s="487"/>
      <c r="F61" s="487"/>
      <c r="G61" s="487"/>
      <c r="H61" s="487"/>
      <c r="I61" s="488"/>
      <c r="J61" s="112"/>
      <c r="K61" s="64"/>
      <c r="L61" s="64"/>
      <c r="M61" s="64"/>
      <c r="N61" s="64"/>
      <c r="O61" s="64"/>
      <c r="P61" s="64"/>
      <c r="Q61" s="64"/>
      <c r="R61" s="64"/>
      <c r="S61" s="64"/>
      <c r="T61" s="64"/>
      <c r="U61" s="64"/>
      <c r="V61" s="64"/>
      <c r="W61" s="64"/>
      <c r="X61" s="64"/>
      <c r="Y61" s="64"/>
    </row>
    <row r="62" spans="1:26" ht="19.5" customHeight="1" x14ac:dyDescent="0.15">
      <c r="A62" s="60"/>
      <c r="B62" s="60"/>
      <c r="C62" s="179"/>
      <c r="D62" s="60"/>
      <c r="E62" s="60"/>
      <c r="F62" s="60"/>
      <c r="G62" s="60"/>
      <c r="H62" s="60"/>
      <c r="I62" s="60"/>
      <c r="J62" s="64"/>
      <c r="K62" s="64"/>
      <c r="L62" s="64"/>
      <c r="M62" s="64"/>
      <c r="N62" s="64"/>
      <c r="O62" s="64"/>
      <c r="P62" s="64"/>
      <c r="Q62" s="64"/>
      <c r="R62" s="64"/>
      <c r="S62" s="64"/>
      <c r="T62" s="64"/>
      <c r="U62" s="64"/>
      <c r="V62" s="64"/>
      <c r="W62" s="64"/>
      <c r="X62" s="64"/>
      <c r="Y62" s="64"/>
    </row>
    <row r="63" spans="1:26" ht="19.5" customHeight="1" x14ac:dyDescent="0.15">
      <c r="A63" s="182" t="s">
        <v>156</v>
      </c>
      <c r="B63" s="64"/>
      <c r="C63" s="64"/>
      <c r="D63" s="64"/>
      <c r="E63" s="64"/>
      <c r="F63" s="64"/>
      <c r="G63" s="64"/>
      <c r="H63" s="64"/>
      <c r="I63" s="64"/>
      <c r="J63" s="64"/>
      <c r="K63" s="64"/>
      <c r="L63" s="64"/>
      <c r="M63" s="64"/>
      <c r="N63" s="64"/>
      <c r="O63" s="64"/>
      <c r="P63" s="64"/>
      <c r="Q63" s="64"/>
      <c r="R63" s="64"/>
      <c r="S63" s="64"/>
      <c r="T63" s="64"/>
      <c r="U63" s="64"/>
      <c r="V63" s="64"/>
      <c r="W63" s="64"/>
      <c r="X63" s="64"/>
      <c r="Y63" s="64"/>
    </row>
    <row r="64" spans="1:26" ht="19.5" customHeight="1" x14ac:dyDescent="0.15">
      <c r="A64" s="64"/>
      <c r="B64" s="183" t="s">
        <v>157</v>
      </c>
      <c r="C64" s="183"/>
      <c r="D64" s="183"/>
      <c r="E64" s="184"/>
      <c r="F64" s="542" t="s">
        <v>158</v>
      </c>
      <c r="G64" s="542"/>
      <c r="H64" s="542"/>
      <c r="I64" s="355"/>
      <c r="J64" s="184"/>
      <c r="K64" s="542" t="s">
        <v>145</v>
      </c>
      <c r="L64" s="542"/>
      <c r="M64" s="183"/>
      <c r="N64" s="183"/>
      <c r="O64" s="542" t="s">
        <v>159</v>
      </c>
      <c r="P64" s="542"/>
      <c r="Q64" s="282"/>
      <c r="R64" s="282"/>
      <c r="S64" s="282" t="s">
        <v>160</v>
      </c>
      <c r="T64" s="64"/>
      <c r="U64" s="64"/>
      <c r="V64" s="64"/>
      <c r="W64" s="64"/>
      <c r="X64" s="64"/>
      <c r="Y64" s="64"/>
      <c r="Z64" s="64"/>
    </row>
    <row r="65" spans="1:26" ht="19.5" customHeight="1" thickBot="1" x14ac:dyDescent="0.2">
      <c r="A65" s="108" t="s">
        <v>91</v>
      </c>
      <c r="B65" s="528">
        <f>F32</f>
        <v>200</v>
      </c>
      <c r="C65" s="529"/>
      <c r="D65" s="108" t="s">
        <v>58</v>
      </c>
      <c r="E65" s="108"/>
      <c r="F65" s="108" t="s">
        <v>50</v>
      </c>
      <c r="G65" s="108">
        <f>H41</f>
        <v>50</v>
      </c>
      <c r="H65" s="108" t="s">
        <v>483</v>
      </c>
      <c r="I65" s="108"/>
      <c r="J65" s="108" t="s">
        <v>50</v>
      </c>
      <c r="K65" s="532">
        <f>G55</f>
        <v>7</v>
      </c>
      <c r="L65" s="532"/>
      <c r="M65" s="108" t="s">
        <v>424</v>
      </c>
      <c r="N65" s="108" t="s">
        <v>14</v>
      </c>
      <c r="O65" s="531">
        <v>0.75</v>
      </c>
      <c r="P65" s="531"/>
      <c r="Q65" s="108" t="s">
        <v>584</v>
      </c>
      <c r="R65" s="108"/>
      <c r="S65" s="373">
        <v>2</v>
      </c>
      <c r="T65" s="108" t="s">
        <v>166</v>
      </c>
      <c r="U65" s="64"/>
      <c r="V65" s="64"/>
      <c r="W65" s="64"/>
      <c r="X65" s="64"/>
      <c r="Y65" s="64"/>
      <c r="Z65" s="64"/>
    </row>
    <row r="66" spans="1:26" ht="19.5" customHeight="1" x14ac:dyDescent="0.15">
      <c r="A66" s="64"/>
      <c r="B66" s="64"/>
      <c r="C66" s="64"/>
      <c r="D66" s="64"/>
      <c r="E66" s="64"/>
      <c r="F66" s="64"/>
      <c r="G66" s="64"/>
      <c r="H66" s="64"/>
      <c r="I66" s="64"/>
      <c r="J66" s="64"/>
      <c r="K66" s="64"/>
      <c r="L66" s="64"/>
      <c r="M66" s="64"/>
      <c r="N66" s="64"/>
      <c r="O66" s="64"/>
      <c r="P66" s="64"/>
      <c r="Q66" s="64"/>
      <c r="R66" s="64"/>
      <c r="S66" s="64"/>
      <c r="T66" s="64"/>
      <c r="U66" s="64"/>
      <c r="V66" s="64"/>
      <c r="W66" s="64"/>
      <c r="X66" s="64"/>
      <c r="Y66" s="64"/>
    </row>
    <row r="67" spans="1:26" ht="19.5" customHeight="1" x14ac:dyDescent="0.15">
      <c r="A67" s="64"/>
      <c r="B67" s="64"/>
      <c r="C67" s="64"/>
      <c r="D67" s="64"/>
      <c r="E67" s="64"/>
      <c r="F67" s="64"/>
      <c r="G67" s="64"/>
      <c r="H67" s="64"/>
      <c r="I67" s="64"/>
      <c r="J67" s="64"/>
      <c r="K67" s="64"/>
      <c r="L67" s="64"/>
      <c r="M67" s="64"/>
      <c r="N67" s="64"/>
      <c r="O67" s="64"/>
      <c r="P67" s="64"/>
      <c r="Q67" s="64"/>
      <c r="R67" s="64"/>
      <c r="S67" s="64"/>
      <c r="T67" s="64"/>
      <c r="U67" s="64"/>
      <c r="V67" s="64"/>
      <c r="W67" s="64"/>
      <c r="X67" s="64"/>
      <c r="Y67" s="64"/>
    </row>
    <row r="68" spans="1:26" ht="19.5" customHeight="1" x14ac:dyDescent="0.15">
      <c r="A68" s="64"/>
      <c r="B68" s="64"/>
      <c r="C68" s="64"/>
      <c r="D68" s="64"/>
      <c r="E68" s="64"/>
      <c r="F68" s="64"/>
      <c r="G68" s="64"/>
      <c r="H68" s="64"/>
      <c r="I68" s="64"/>
      <c r="J68" s="64"/>
      <c r="K68" s="64"/>
      <c r="L68" s="64"/>
      <c r="M68" s="64"/>
      <c r="N68" s="64"/>
      <c r="O68" s="64"/>
      <c r="P68" s="64"/>
      <c r="Q68" s="64"/>
      <c r="R68" s="64"/>
      <c r="S68" s="64"/>
      <c r="T68" s="64"/>
      <c r="U68" s="64"/>
      <c r="V68" s="64"/>
      <c r="W68" s="64"/>
      <c r="X68" s="64"/>
      <c r="Y68" s="64"/>
    </row>
    <row r="69" spans="1:26" ht="26.25" customHeight="1" x14ac:dyDescent="0.15">
      <c r="A69" s="186" t="s">
        <v>167</v>
      </c>
      <c r="B69" s="64"/>
      <c r="C69" s="64"/>
      <c r="D69" s="64"/>
      <c r="E69" s="64"/>
      <c r="F69" s="64"/>
      <c r="G69" s="64"/>
      <c r="H69" s="64"/>
      <c r="I69" s="64"/>
      <c r="J69" s="64"/>
      <c r="K69" s="64"/>
      <c r="L69" s="64"/>
      <c r="M69" s="64"/>
      <c r="N69" s="64"/>
      <c r="O69" s="64"/>
      <c r="P69" s="64"/>
      <c r="Q69" s="64"/>
      <c r="R69" s="64"/>
      <c r="S69" s="64"/>
      <c r="T69" s="64"/>
      <c r="U69" s="64"/>
      <c r="V69" s="64"/>
      <c r="W69" s="64"/>
      <c r="X69" s="64"/>
      <c r="Y69" s="64"/>
    </row>
    <row r="70" spans="1:26" ht="19.5" customHeight="1" x14ac:dyDescent="0.15">
      <c r="A70" s="187"/>
      <c r="B70" s="75"/>
      <c r="C70" s="75"/>
      <c r="D70" s="75"/>
      <c r="E70" s="77"/>
      <c r="F70" s="75"/>
      <c r="G70" s="75"/>
      <c r="H70" s="75"/>
      <c r="I70" s="75"/>
      <c r="J70" s="75"/>
      <c r="K70" s="75"/>
      <c r="L70" s="75"/>
      <c r="M70" s="75"/>
      <c r="N70" s="75"/>
      <c r="O70" s="75"/>
      <c r="P70" s="75"/>
      <c r="Q70" s="75"/>
      <c r="R70" s="77"/>
      <c r="S70" s="75"/>
      <c r="T70" s="75"/>
      <c r="U70" s="75"/>
      <c r="V70" s="75"/>
      <c r="W70" s="75"/>
      <c r="X70" s="77"/>
      <c r="Y70" s="64"/>
    </row>
    <row r="71" spans="1:26" ht="19.5" customHeight="1" x14ac:dyDescent="0.15">
      <c r="A71" s="188" t="s">
        <v>484</v>
      </c>
      <c r="B71" s="67"/>
      <c r="C71" s="189"/>
      <c r="D71" s="189"/>
      <c r="E71" s="65"/>
      <c r="F71" s="60"/>
      <c r="G71" s="63"/>
      <c r="H71" s="63" t="s">
        <v>485</v>
      </c>
      <c r="I71" s="63" t="s">
        <v>48</v>
      </c>
      <c r="J71" s="530">
        <v>4.6500000000000004</v>
      </c>
      <c r="K71" s="530"/>
      <c r="L71" s="63" t="s">
        <v>437</v>
      </c>
      <c r="M71" s="63"/>
      <c r="N71" s="63"/>
      <c r="O71" s="63"/>
      <c r="P71" s="63"/>
      <c r="Q71" s="63"/>
      <c r="R71" s="190"/>
      <c r="S71" s="191"/>
      <c r="T71" s="63"/>
      <c r="U71" s="192"/>
      <c r="V71" s="192"/>
      <c r="W71" s="192"/>
      <c r="X71" s="193"/>
    </row>
    <row r="72" spans="1:26" ht="19.5" customHeight="1" x14ac:dyDescent="0.15">
      <c r="A72" s="194"/>
      <c r="B72" s="189"/>
      <c r="C72" s="189"/>
      <c r="D72" s="189"/>
      <c r="E72" s="195"/>
      <c r="F72" s="63"/>
      <c r="G72" s="63"/>
      <c r="H72" s="63"/>
      <c r="I72" s="63"/>
      <c r="J72" s="63"/>
      <c r="K72" s="196"/>
      <c r="L72" s="63"/>
      <c r="M72" s="63"/>
      <c r="N72" s="63"/>
      <c r="O72" s="63"/>
      <c r="P72" s="63"/>
      <c r="Q72" s="63"/>
      <c r="R72" s="193"/>
      <c r="S72" s="191"/>
      <c r="T72" s="189"/>
      <c r="U72" s="192"/>
      <c r="V72" s="192"/>
      <c r="W72" s="192"/>
      <c r="X72" s="193"/>
    </row>
    <row r="73" spans="1:26" ht="19.5" customHeight="1" x14ac:dyDescent="0.15">
      <c r="A73" s="188" t="s">
        <v>486</v>
      </c>
      <c r="B73" s="197"/>
      <c r="C73" s="197"/>
      <c r="D73" s="197"/>
      <c r="E73" s="198"/>
      <c r="F73" s="63"/>
      <c r="G73" s="63"/>
      <c r="H73" s="63" t="s">
        <v>417</v>
      </c>
      <c r="I73" s="63" t="s">
        <v>48</v>
      </c>
      <c r="J73" s="60" t="s">
        <v>426</v>
      </c>
      <c r="K73" s="68" t="s">
        <v>50</v>
      </c>
      <c r="L73" s="60" t="s">
        <v>487</v>
      </c>
      <c r="M73" s="63"/>
      <c r="N73" s="63"/>
      <c r="O73" s="60" t="s">
        <v>426</v>
      </c>
      <c r="P73" s="63" t="s">
        <v>55</v>
      </c>
      <c r="Q73" s="63">
        <v>1</v>
      </c>
      <c r="R73" s="193"/>
      <c r="S73" s="191"/>
      <c r="T73" s="189"/>
      <c r="U73" s="192"/>
      <c r="V73" s="192"/>
      <c r="W73" s="192"/>
      <c r="X73" s="193"/>
    </row>
    <row r="74" spans="1:26" ht="19.5" customHeight="1" x14ac:dyDescent="0.15">
      <c r="A74" s="199" t="s">
        <v>428</v>
      </c>
      <c r="B74" s="200"/>
      <c r="C74" s="200"/>
      <c r="D74" s="200"/>
      <c r="E74" s="201"/>
      <c r="F74" s="202"/>
      <c r="G74" s="63"/>
      <c r="H74" s="63"/>
      <c r="I74" s="63" t="s">
        <v>48</v>
      </c>
      <c r="J74" s="705">
        <f>IF(O105&lt;O88,O105,O88)</f>
        <v>5.0999999999999997E-2</v>
      </c>
      <c r="K74" s="705"/>
      <c r="L74" s="63" t="s">
        <v>437</v>
      </c>
      <c r="M74" s="63"/>
      <c r="N74" s="63"/>
      <c r="O74" s="63"/>
      <c r="P74" s="63"/>
      <c r="Q74" s="63"/>
      <c r="R74" s="65"/>
      <c r="S74" s="191"/>
      <c r="T74" s="203"/>
      <c r="U74" s="192"/>
      <c r="V74" s="192"/>
      <c r="W74" s="192"/>
      <c r="X74" s="193"/>
    </row>
    <row r="75" spans="1:26" ht="19.5" customHeight="1" x14ac:dyDescent="0.15">
      <c r="A75" s="204" t="s">
        <v>177</v>
      </c>
      <c r="B75" s="189"/>
      <c r="C75" s="189"/>
      <c r="D75" s="189"/>
      <c r="E75" s="65"/>
      <c r="F75" s="63"/>
      <c r="G75" s="75"/>
      <c r="H75" s="75"/>
      <c r="I75" s="75"/>
      <c r="J75" s="75"/>
      <c r="K75" s="75"/>
      <c r="L75" s="75"/>
      <c r="M75" s="75"/>
      <c r="N75" s="75"/>
      <c r="O75" s="74"/>
      <c r="P75" s="74"/>
      <c r="Q75" s="74"/>
      <c r="R75" s="205"/>
      <c r="S75" s="191"/>
      <c r="T75" s="63"/>
      <c r="U75" s="192"/>
      <c r="V75" s="192"/>
      <c r="W75" s="192"/>
      <c r="X75" s="193"/>
    </row>
    <row r="76" spans="1:26" ht="19.5" customHeight="1" x14ac:dyDescent="0.15">
      <c r="A76" s="194"/>
      <c r="B76" s="189"/>
      <c r="C76" s="189"/>
      <c r="D76" s="189"/>
      <c r="E76" s="65"/>
      <c r="G76" s="63"/>
      <c r="H76" s="63" t="s">
        <v>488</v>
      </c>
      <c r="I76" s="63" t="s">
        <v>48</v>
      </c>
      <c r="J76" s="63" t="s">
        <v>489</v>
      </c>
      <c r="K76" s="68" t="s">
        <v>414</v>
      </c>
      <c r="L76" s="63" t="s">
        <v>432</v>
      </c>
      <c r="M76" s="63"/>
      <c r="N76" s="60"/>
      <c r="O76" s="60"/>
      <c r="P76" s="60"/>
      <c r="Q76" s="60"/>
      <c r="R76" s="206"/>
      <c r="S76" s="191"/>
      <c r="T76" s="63"/>
      <c r="U76" s="192"/>
      <c r="V76" s="192"/>
      <c r="W76" s="192"/>
      <c r="X76" s="193"/>
    </row>
    <row r="77" spans="1:26" ht="19.5" customHeight="1" x14ac:dyDescent="0.15">
      <c r="A77" s="66" t="s">
        <v>183</v>
      </c>
      <c r="B77" s="184" t="s">
        <v>433</v>
      </c>
      <c r="C77" s="207">
        <f>L42</f>
        <v>50</v>
      </c>
      <c r="D77" s="208" t="s">
        <v>490</v>
      </c>
      <c r="E77" s="65"/>
      <c r="F77" s="63"/>
      <c r="G77" s="63"/>
      <c r="H77" s="63"/>
      <c r="I77" s="63" t="s">
        <v>48</v>
      </c>
      <c r="J77" s="209">
        <f>L82</f>
        <v>0.34499999999999997</v>
      </c>
      <c r="K77" s="68" t="s">
        <v>414</v>
      </c>
      <c r="L77" s="209">
        <f>L89</f>
        <v>0.24399999999999999</v>
      </c>
      <c r="M77" s="63"/>
      <c r="N77" s="60"/>
      <c r="O77" s="60"/>
      <c r="P77" s="60"/>
      <c r="Q77" s="60"/>
      <c r="R77" s="206"/>
      <c r="S77" s="191"/>
      <c r="T77" s="63"/>
      <c r="U77" s="192"/>
      <c r="V77" s="192"/>
      <c r="W77" s="192"/>
      <c r="X77" s="193"/>
    </row>
    <row r="78" spans="1:26" ht="19.5" customHeight="1" x14ac:dyDescent="0.15">
      <c r="A78" s="194"/>
      <c r="B78" s="64" t="s">
        <v>435</v>
      </c>
      <c r="C78" s="114">
        <v>3.45</v>
      </c>
      <c r="D78" s="189" t="s">
        <v>403</v>
      </c>
      <c r="E78" s="190"/>
      <c r="F78" s="63"/>
      <c r="G78" s="63"/>
      <c r="H78" s="63"/>
      <c r="I78" s="63" t="s">
        <v>48</v>
      </c>
      <c r="J78" s="581">
        <f>ROUNDUP(J77+L77,3)</f>
        <v>0.58899999999999997</v>
      </c>
      <c r="K78" s="525"/>
      <c r="L78" s="63" t="s">
        <v>437</v>
      </c>
      <c r="M78" s="63"/>
      <c r="N78" s="63"/>
      <c r="O78" s="63"/>
      <c r="P78" s="63"/>
      <c r="Q78" s="63"/>
      <c r="R78" s="206"/>
      <c r="S78" s="191"/>
      <c r="T78" s="60"/>
      <c r="U78" s="192"/>
      <c r="V78" s="192"/>
      <c r="W78" s="192"/>
      <c r="X78" s="193"/>
    </row>
    <row r="79" spans="1:26" ht="19.5" customHeight="1" x14ac:dyDescent="0.15">
      <c r="A79" s="194"/>
      <c r="B79" s="64" t="s">
        <v>491</v>
      </c>
      <c r="C79" s="210">
        <f>(F32/(1000*60))/(((C77/1000)^2*PI()/4))</f>
        <v>1.6976527263135504</v>
      </c>
      <c r="D79" s="189"/>
      <c r="E79" s="190"/>
      <c r="F79" s="63"/>
      <c r="G79" s="63"/>
      <c r="I79" s="63"/>
      <c r="J79" s="63"/>
      <c r="K79" s="63"/>
      <c r="L79" s="63"/>
      <c r="M79" s="63"/>
      <c r="N79" s="63"/>
      <c r="O79" s="63"/>
      <c r="P79" s="63"/>
      <c r="Q79" s="63"/>
      <c r="R79" s="65"/>
      <c r="S79" s="191"/>
      <c r="T79" s="60"/>
      <c r="U79" s="192"/>
      <c r="V79" s="192"/>
      <c r="W79" s="192"/>
      <c r="X79" s="193"/>
    </row>
    <row r="80" spans="1:26" ht="19.5" customHeight="1" x14ac:dyDescent="0.15">
      <c r="A80" s="211" t="s">
        <v>492</v>
      </c>
      <c r="B80" s="64" t="s">
        <v>493</v>
      </c>
      <c r="C80" s="115">
        <v>0.01</v>
      </c>
      <c r="D80" s="189"/>
      <c r="E80" s="65"/>
      <c r="F80" s="63"/>
      <c r="G80" s="63" t="s">
        <v>190</v>
      </c>
      <c r="I80" s="63"/>
      <c r="J80" s="63" t="s">
        <v>489</v>
      </c>
      <c r="K80" s="63" t="s">
        <v>48</v>
      </c>
      <c r="L80" s="63" t="s">
        <v>494</v>
      </c>
      <c r="M80" s="68" t="s">
        <v>50</v>
      </c>
      <c r="N80" s="525" t="s">
        <v>495</v>
      </c>
      <c r="O80" s="525"/>
      <c r="P80" s="68" t="s">
        <v>50</v>
      </c>
      <c r="Q80" s="60" t="s">
        <v>487</v>
      </c>
      <c r="R80" s="65"/>
      <c r="S80" s="191"/>
      <c r="T80" s="212"/>
      <c r="U80" s="192"/>
      <c r="V80" s="192"/>
      <c r="W80" s="192"/>
      <c r="X80" s="193"/>
    </row>
    <row r="81" spans="1:30" ht="19.5" customHeight="1" x14ac:dyDescent="0.15">
      <c r="A81" s="194"/>
      <c r="B81" s="213"/>
      <c r="C81" s="214"/>
      <c r="D81" s="189"/>
      <c r="E81" s="65"/>
      <c r="F81" s="60"/>
      <c r="G81" s="63"/>
      <c r="H81" s="63"/>
      <c r="I81" s="63"/>
      <c r="J81" s="63"/>
      <c r="K81" s="63" t="s">
        <v>48</v>
      </c>
      <c r="L81" s="209">
        <f>L85</f>
        <v>3.4000000000000002E-2</v>
      </c>
      <c r="M81" s="68" t="s">
        <v>50</v>
      </c>
      <c r="N81" s="719">
        <f>ROUND(C78/(C77/1000),3)</f>
        <v>69</v>
      </c>
      <c r="O81" s="719"/>
      <c r="P81" s="68" t="s">
        <v>50</v>
      </c>
      <c r="Q81" s="209">
        <f>ROUND(C79^2/(2*9.8),3)</f>
        <v>0.14699999999999999</v>
      </c>
      <c r="R81" s="65"/>
      <c r="S81" s="191"/>
      <c r="T81" s="63"/>
      <c r="U81" s="192"/>
      <c r="V81" s="192"/>
      <c r="W81" s="192"/>
      <c r="X81" s="193"/>
    </row>
    <row r="82" spans="1:30" ht="19.5" customHeight="1" x14ac:dyDescent="0.15">
      <c r="A82" s="215" t="s">
        <v>496</v>
      </c>
      <c r="B82" s="216" t="s">
        <v>497</v>
      </c>
      <c r="C82" s="116">
        <v>1</v>
      </c>
      <c r="D82" s="189"/>
      <c r="E82" s="65"/>
      <c r="F82" s="60"/>
      <c r="G82" s="63"/>
      <c r="H82" s="63"/>
      <c r="I82" s="63"/>
      <c r="J82" s="63"/>
      <c r="K82" s="63" t="s">
        <v>48</v>
      </c>
      <c r="L82" s="524">
        <f>ROUND(L81*N81*Q81,3)</f>
        <v>0.34499999999999997</v>
      </c>
      <c r="M82" s="524"/>
      <c r="N82" s="63"/>
      <c r="O82" s="63"/>
      <c r="P82" s="63"/>
      <c r="Q82" s="63"/>
      <c r="R82" s="65"/>
      <c r="S82" s="191"/>
      <c r="T82" s="202"/>
      <c r="U82" s="217"/>
      <c r="V82" s="192"/>
      <c r="W82" s="192"/>
      <c r="X82" s="193"/>
    </row>
    <row r="83" spans="1:30" ht="19.5" customHeight="1" x14ac:dyDescent="0.15">
      <c r="A83" s="218" t="s">
        <v>498</v>
      </c>
      <c r="B83" s="219" t="s">
        <v>499</v>
      </c>
      <c r="C83" s="116">
        <v>0</v>
      </c>
      <c r="D83" s="189"/>
      <c r="E83" s="65"/>
      <c r="F83" s="60"/>
      <c r="G83" s="63"/>
      <c r="H83" s="60"/>
      <c r="I83" s="60"/>
      <c r="J83" s="60" t="s">
        <v>494</v>
      </c>
      <c r="K83" s="60" t="s">
        <v>48</v>
      </c>
      <c r="L83" s="60" t="s">
        <v>500</v>
      </c>
      <c r="M83" s="60"/>
      <c r="N83" s="68" t="s">
        <v>50</v>
      </c>
      <c r="O83" s="525" t="s">
        <v>501</v>
      </c>
      <c r="P83" s="525"/>
      <c r="Q83" s="63"/>
      <c r="R83" s="65"/>
      <c r="S83" s="220" t="s">
        <v>200</v>
      </c>
      <c r="T83" s="221"/>
      <c r="U83" s="222"/>
      <c r="V83" s="221"/>
      <c r="W83" s="221"/>
      <c r="X83" s="223"/>
      <c r="Y83" s="191"/>
      <c r="Z83" s="63"/>
      <c r="AA83" s="192"/>
      <c r="AB83" s="192"/>
      <c r="AC83" s="192"/>
      <c r="AD83" s="192"/>
    </row>
    <row r="84" spans="1:30" ht="19.5" customHeight="1" x14ac:dyDescent="0.15">
      <c r="A84" s="215" t="s">
        <v>502</v>
      </c>
      <c r="B84" s="213"/>
      <c r="C84" s="116">
        <v>1</v>
      </c>
      <c r="D84" s="189"/>
      <c r="E84" s="65"/>
      <c r="F84" s="63"/>
      <c r="G84" s="63"/>
      <c r="H84" s="179"/>
      <c r="I84" s="60"/>
      <c r="J84" s="60"/>
      <c r="K84" s="60" t="s">
        <v>48</v>
      </c>
      <c r="L84" s="525">
        <f>124.6/((C77/1000)^(1/3))</f>
        <v>338.21643502772531</v>
      </c>
      <c r="M84" s="525"/>
      <c r="N84" s="68" t="s">
        <v>50</v>
      </c>
      <c r="O84" s="720">
        <f>C80^2</f>
        <v>1E-4</v>
      </c>
      <c r="P84" s="720"/>
      <c r="Q84" s="63"/>
      <c r="R84" s="65"/>
      <c r="S84" s="224" t="s">
        <v>202</v>
      </c>
      <c r="T84" s="75"/>
      <c r="U84" s="102">
        <v>50</v>
      </c>
      <c r="V84" s="225">
        <v>65</v>
      </c>
      <c r="W84" s="102">
        <v>80</v>
      </c>
      <c r="X84" s="226">
        <v>100</v>
      </c>
      <c r="Y84" s="191"/>
      <c r="Z84" s="63"/>
      <c r="AA84" s="192"/>
      <c r="AB84" s="192"/>
      <c r="AC84" s="192"/>
      <c r="AD84" s="192"/>
    </row>
    <row r="85" spans="1:30" ht="19.5" customHeight="1" x14ac:dyDescent="0.15">
      <c r="A85" s="215" t="s">
        <v>503</v>
      </c>
      <c r="B85" s="213" t="s">
        <v>504</v>
      </c>
      <c r="C85" s="117">
        <v>1</v>
      </c>
      <c r="D85" s="189"/>
      <c r="E85" s="65"/>
      <c r="F85" s="60"/>
      <c r="G85" s="63"/>
      <c r="H85" s="179"/>
      <c r="I85" s="60"/>
      <c r="J85" s="63"/>
      <c r="K85" s="60" t="s">
        <v>48</v>
      </c>
      <c r="L85" s="721">
        <f>ROUND(L84*O84,3)</f>
        <v>3.4000000000000002E-2</v>
      </c>
      <c r="M85" s="721"/>
      <c r="N85" s="68"/>
      <c r="O85" s="63"/>
      <c r="P85" s="63"/>
      <c r="Q85" s="63"/>
      <c r="R85" s="65"/>
      <c r="S85" s="227" t="s">
        <v>205</v>
      </c>
      <c r="T85" s="202"/>
      <c r="U85" s="228">
        <v>0.17</v>
      </c>
      <c r="V85" s="228">
        <v>0.17</v>
      </c>
      <c r="W85" s="228">
        <v>0.17</v>
      </c>
      <c r="X85" s="229">
        <v>0.14000000000000001</v>
      </c>
      <c r="Y85" s="191"/>
      <c r="Z85" s="63"/>
      <c r="AA85" s="192"/>
      <c r="AB85" s="192"/>
      <c r="AC85" s="192"/>
      <c r="AD85" s="192"/>
    </row>
    <row r="86" spans="1:30" ht="19.5" customHeight="1" x14ac:dyDescent="0.15">
      <c r="A86" s="218" t="s">
        <v>498</v>
      </c>
      <c r="B86" s="213" t="s">
        <v>505</v>
      </c>
      <c r="C86" s="117">
        <v>0</v>
      </c>
      <c r="D86" s="189"/>
      <c r="E86" s="65"/>
      <c r="F86" s="63"/>
      <c r="G86" s="63"/>
      <c r="I86" s="63"/>
      <c r="J86" s="63"/>
      <c r="K86" s="63"/>
      <c r="L86" s="63"/>
      <c r="M86" s="63"/>
      <c r="N86" s="63"/>
      <c r="O86" s="63"/>
      <c r="P86" s="63"/>
      <c r="Q86" s="63"/>
      <c r="R86" s="65"/>
      <c r="S86" s="220" t="s">
        <v>207</v>
      </c>
      <c r="T86" s="221"/>
      <c r="U86" s="222"/>
      <c r="V86" s="221"/>
      <c r="W86" s="221"/>
      <c r="X86" s="223"/>
      <c r="Y86" s="191"/>
      <c r="Z86" s="63"/>
      <c r="AA86" s="192"/>
      <c r="AB86" s="192"/>
      <c r="AC86" s="192"/>
      <c r="AD86" s="192"/>
    </row>
    <row r="87" spans="1:30" ht="19.5" customHeight="1" x14ac:dyDescent="0.15">
      <c r="A87" s="218" t="s">
        <v>498</v>
      </c>
      <c r="B87" s="213" t="s">
        <v>506</v>
      </c>
      <c r="C87" s="117">
        <v>0</v>
      </c>
      <c r="D87" s="189"/>
      <c r="E87" s="65"/>
      <c r="F87" s="60"/>
      <c r="G87" s="583" t="s">
        <v>507</v>
      </c>
      <c r="H87" s="583"/>
      <c r="I87" s="583"/>
      <c r="J87" s="63" t="s">
        <v>432</v>
      </c>
      <c r="K87" s="63" t="s">
        <v>48</v>
      </c>
      <c r="L87" s="525" t="s">
        <v>508</v>
      </c>
      <c r="M87" s="525"/>
      <c r="N87" s="68" t="s">
        <v>50</v>
      </c>
      <c r="O87" s="525" t="s">
        <v>487</v>
      </c>
      <c r="P87" s="525"/>
      <c r="Q87" s="63"/>
      <c r="R87" s="65"/>
      <c r="S87" s="224" t="s">
        <v>202</v>
      </c>
      <c r="T87" s="75"/>
      <c r="U87" s="102">
        <v>50</v>
      </c>
      <c r="V87" s="225">
        <v>65</v>
      </c>
      <c r="W87" s="102">
        <v>80</v>
      </c>
      <c r="X87" s="226">
        <v>100</v>
      </c>
      <c r="Y87" s="191"/>
      <c r="Z87" s="63"/>
      <c r="AA87" s="192"/>
      <c r="AB87" s="192"/>
      <c r="AC87" s="192"/>
      <c r="AD87" s="192"/>
    </row>
    <row r="88" spans="1:30" ht="19.5" customHeight="1" x14ac:dyDescent="0.15">
      <c r="A88" s="218" t="s">
        <v>498</v>
      </c>
      <c r="B88" s="213" t="s">
        <v>509</v>
      </c>
      <c r="C88" s="117">
        <v>0</v>
      </c>
      <c r="D88" s="189"/>
      <c r="E88" s="65"/>
      <c r="F88" s="63"/>
      <c r="G88" s="583"/>
      <c r="H88" s="583"/>
      <c r="I88" s="583"/>
      <c r="J88" s="63"/>
      <c r="K88" s="63" t="s">
        <v>48</v>
      </c>
      <c r="L88" s="722">
        <f>L91+O91</f>
        <v>1.66</v>
      </c>
      <c r="M88" s="525"/>
      <c r="N88" s="68" t="s">
        <v>50</v>
      </c>
      <c r="O88" s="581">
        <f>Q81</f>
        <v>0.14699999999999999</v>
      </c>
      <c r="P88" s="525"/>
      <c r="Q88" s="63"/>
      <c r="R88" s="65"/>
      <c r="S88" s="227" t="s">
        <v>205</v>
      </c>
      <c r="T88" s="202"/>
      <c r="U88" s="71">
        <v>1.2</v>
      </c>
      <c r="V88" s="71">
        <v>1.2</v>
      </c>
      <c r="W88" s="71">
        <v>1.2</v>
      </c>
      <c r="X88" s="72">
        <v>1.2</v>
      </c>
      <c r="Y88" s="191"/>
      <c r="Z88" s="63"/>
      <c r="AA88" s="192"/>
      <c r="AB88" s="192"/>
      <c r="AC88" s="192"/>
      <c r="AD88" s="192"/>
    </row>
    <row r="89" spans="1:30" ht="19.5" customHeight="1" x14ac:dyDescent="0.15">
      <c r="A89" s="230"/>
      <c r="B89" s="231"/>
      <c r="C89" s="231"/>
      <c r="D89" s="231"/>
      <c r="E89" s="232"/>
      <c r="F89" s="63"/>
      <c r="G89" s="233"/>
      <c r="H89" s="63"/>
      <c r="I89" s="63"/>
      <c r="J89" s="63"/>
      <c r="K89" s="63" t="s">
        <v>48</v>
      </c>
      <c r="L89" s="524">
        <f>ROUND(L88*O88,3)</f>
        <v>0.24399999999999999</v>
      </c>
      <c r="M89" s="524"/>
      <c r="N89" s="63"/>
      <c r="O89" s="63"/>
      <c r="P89" s="63"/>
      <c r="Q89" s="63"/>
      <c r="R89" s="65"/>
      <c r="S89" s="234" t="s">
        <v>213</v>
      </c>
      <c r="T89" s="221"/>
      <c r="U89" s="221"/>
      <c r="V89" s="221"/>
      <c r="W89" s="221"/>
      <c r="X89" s="235"/>
      <c r="Y89" s="191"/>
      <c r="Z89" s="236"/>
      <c r="AA89" s="192"/>
      <c r="AB89" s="192"/>
      <c r="AC89" s="192"/>
      <c r="AD89" s="192"/>
    </row>
    <row r="90" spans="1:30" ht="19.5" customHeight="1" x14ac:dyDescent="0.15">
      <c r="A90" s="543" t="s">
        <v>614</v>
      </c>
      <c r="B90" s="544"/>
      <c r="C90" s="544"/>
      <c r="D90" s="544"/>
      <c r="E90" s="545"/>
      <c r="F90" s="63"/>
      <c r="G90" s="63"/>
      <c r="H90" s="63"/>
      <c r="I90" s="63"/>
      <c r="J90" s="63" t="s">
        <v>508</v>
      </c>
      <c r="K90" s="60" t="s">
        <v>48</v>
      </c>
      <c r="L90" s="63" t="s">
        <v>214</v>
      </c>
      <c r="M90" s="63"/>
      <c r="N90" s="63"/>
      <c r="O90" s="63"/>
      <c r="P90" s="63"/>
      <c r="Q90" s="63"/>
      <c r="R90" s="65"/>
      <c r="S90" s="105" t="s">
        <v>215</v>
      </c>
      <c r="T90" s="63"/>
      <c r="U90" s="63">
        <v>90</v>
      </c>
      <c r="V90" s="63">
        <v>60</v>
      </c>
      <c r="W90" s="63">
        <v>45</v>
      </c>
      <c r="X90" s="65">
        <v>30</v>
      </c>
      <c r="Y90" s="191"/>
      <c r="Z90" s="236"/>
      <c r="AA90" s="192"/>
      <c r="AB90" s="192"/>
      <c r="AC90" s="192"/>
      <c r="AD90" s="192"/>
    </row>
    <row r="91" spans="1:30" ht="19.5" customHeight="1" x14ac:dyDescent="0.15">
      <c r="A91" s="546"/>
      <c r="B91" s="547"/>
      <c r="C91" s="547"/>
      <c r="D91" s="547"/>
      <c r="E91" s="548"/>
      <c r="F91" s="202"/>
      <c r="G91" s="202"/>
      <c r="H91" s="202"/>
      <c r="I91" s="202"/>
      <c r="J91" s="202"/>
      <c r="K91" s="202" t="s">
        <v>48</v>
      </c>
      <c r="L91" s="723">
        <f>C82*U85+C83*X85+C84*U88</f>
        <v>1.3699999999999999</v>
      </c>
      <c r="M91" s="723"/>
      <c r="N91" s="238" t="s">
        <v>414</v>
      </c>
      <c r="O91" s="724">
        <f>C85*U91+C86*V91+C87*W91+C88*X91</f>
        <v>0.28999999999999998</v>
      </c>
      <c r="P91" s="724"/>
      <c r="Q91" s="202"/>
      <c r="R91" s="237"/>
      <c r="S91" s="227" t="s">
        <v>205</v>
      </c>
      <c r="T91" s="202"/>
      <c r="U91" s="239">
        <v>0.28999999999999998</v>
      </c>
      <c r="V91" s="239">
        <v>0.24</v>
      </c>
      <c r="W91" s="239">
        <v>0.21</v>
      </c>
      <c r="X91" s="240">
        <v>0.17</v>
      </c>
      <c r="Y91" s="191"/>
      <c r="Z91" s="63"/>
      <c r="AA91" s="192"/>
      <c r="AB91" s="192"/>
      <c r="AC91" s="192"/>
      <c r="AD91" s="192"/>
    </row>
    <row r="92" spans="1:30" ht="19.5" customHeight="1" x14ac:dyDescent="0.15">
      <c r="A92" s="105" t="s">
        <v>177</v>
      </c>
      <c r="B92" s="241"/>
      <c r="C92" s="241"/>
      <c r="D92" s="189"/>
      <c r="E92" s="65"/>
      <c r="F92" s="75"/>
      <c r="G92" s="75"/>
      <c r="H92" s="75"/>
      <c r="I92" s="75"/>
      <c r="J92" s="75"/>
      <c r="K92" s="75"/>
      <c r="L92" s="75"/>
      <c r="M92" s="75"/>
      <c r="N92" s="75"/>
      <c r="O92" s="74"/>
      <c r="P92" s="74"/>
      <c r="Q92" s="74"/>
      <c r="R92" s="205"/>
      <c r="S92" s="242"/>
      <c r="T92" s="243"/>
      <c r="U92" s="243"/>
      <c r="V92" s="243"/>
      <c r="W92" s="243"/>
      <c r="X92" s="244"/>
      <c r="Y92" s="153"/>
      <c r="Z92" s="32"/>
      <c r="AA92" s="32"/>
      <c r="AB92" s="32"/>
      <c r="AC92" s="32"/>
      <c r="AD92" s="32"/>
    </row>
    <row r="93" spans="1:30" ht="19.5" customHeight="1" x14ac:dyDescent="0.15">
      <c r="A93" s="194"/>
      <c r="B93" s="189"/>
      <c r="C93" s="189"/>
      <c r="D93" s="189"/>
      <c r="E93" s="65"/>
      <c r="F93" s="63"/>
      <c r="G93" s="63"/>
      <c r="H93" s="63" t="s">
        <v>488</v>
      </c>
      <c r="I93" s="63" t="s">
        <v>48</v>
      </c>
      <c r="J93" s="63" t="s">
        <v>489</v>
      </c>
      <c r="K93" s="68" t="s">
        <v>414</v>
      </c>
      <c r="L93" s="63" t="s">
        <v>432</v>
      </c>
      <c r="M93" s="63"/>
      <c r="N93" s="60"/>
      <c r="O93" s="60"/>
      <c r="P93" s="60"/>
      <c r="Q93" s="60"/>
      <c r="R93" s="206"/>
      <c r="S93" s="245"/>
      <c r="T93" s="246"/>
      <c r="U93" s="246"/>
      <c r="V93" s="246"/>
      <c r="W93" s="246"/>
      <c r="X93" s="247"/>
    </row>
    <row r="94" spans="1:30" ht="19.5" customHeight="1" x14ac:dyDescent="0.15">
      <c r="A94" s="66" t="s">
        <v>183</v>
      </c>
      <c r="B94" s="184" t="s">
        <v>433</v>
      </c>
      <c r="C94" s="207">
        <f>L44</f>
        <v>65</v>
      </c>
      <c r="D94" s="208" t="s">
        <v>490</v>
      </c>
      <c r="E94" s="65"/>
      <c r="F94" s="63"/>
      <c r="G94" s="63"/>
      <c r="H94" s="63"/>
      <c r="I94" s="63" t="s">
        <v>48</v>
      </c>
      <c r="J94" s="209">
        <f>L99</f>
        <v>0.30399999999999999</v>
      </c>
      <c r="K94" s="68" t="s">
        <v>414</v>
      </c>
      <c r="L94" s="209">
        <f>L106</f>
        <v>1.4999999999999999E-2</v>
      </c>
      <c r="M94" s="63"/>
      <c r="N94" s="60"/>
      <c r="O94" s="60"/>
      <c r="P94" s="60"/>
      <c r="Q94" s="60"/>
      <c r="R94" s="206"/>
      <c r="S94" s="191"/>
      <c r="T94" s="63"/>
      <c r="U94" s="192"/>
      <c r="V94" s="192"/>
      <c r="W94" s="192"/>
      <c r="X94" s="193"/>
    </row>
    <row r="95" spans="1:30" ht="19.5" customHeight="1" x14ac:dyDescent="0.15">
      <c r="A95" s="194"/>
      <c r="B95" s="64" t="s">
        <v>435</v>
      </c>
      <c r="C95" s="114">
        <v>12.5</v>
      </c>
      <c r="D95" s="189" t="s">
        <v>403</v>
      </c>
      <c r="E95" s="65"/>
      <c r="F95" s="63"/>
      <c r="G95" s="63"/>
      <c r="H95" s="63"/>
      <c r="I95" s="63" t="s">
        <v>48</v>
      </c>
      <c r="J95" s="581">
        <f>IF(ISNUMBER(L44),(ROUNDUP(J94+L94,3)),"")</f>
        <v>0.31900000000000001</v>
      </c>
      <c r="K95" s="525"/>
      <c r="L95" s="63" t="s">
        <v>437</v>
      </c>
      <c r="M95" s="63"/>
      <c r="N95" s="63"/>
      <c r="O95" s="63"/>
      <c r="P95" s="63"/>
      <c r="Q95" s="63"/>
      <c r="R95" s="206"/>
      <c r="S95" s="191"/>
      <c r="T95" s="63"/>
      <c r="U95" s="192"/>
      <c r="V95" s="192"/>
      <c r="W95" s="192"/>
      <c r="X95" s="193"/>
    </row>
    <row r="96" spans="1:30" ht="19.5" customHeight="1" x14ac:dyDescent="0.15">
      <c r="A96" s="194"/>
      <c r="B96" s="64" t="s">
        <v>491</v>
      </c>
      <c r="C96" s="210">
        <f>IF(ISNUMBER(L44),((F32/(1000*60))/(((C94/1000)^2*PI()/4))),"")</f>
        <v>1.0045282404222191</v>
      </c>
      <c r="D96" s="189"/>
      <c r="E96" s="190"/>
      <c r="F96" s="63"/>
      <c r="G96" s="63"/>
      <c r="H96" s="63"/>
      <c r="I96" s="63"/>
      <c r="J96" s="63"/>
      <c r="K96" s="63"/>
      <c r="L96" s="63"/>
      <c r="M96" s="63"/>
      <c r="N96" s="63"/>
      <c r="O96" s="63"/>
      <c r="P96" s="63"/>
      <c r="Q96" s="63"/>
      <c r="R96" s="65"/>
      <c r="S96" s="191"/>
      <c r="T96" s="60"/>
      <c r="U96" s="192"/>
      <c r="V96" s="192"/>
      <c r="W96" s="192"/>
      <c r="X96" s="193"/>
    </row>
    <row r="97" spans="1:25" ht="19.5" customHeight="1" x14ac:dyDescent="0.15">
      <c r="A97" s="211" t="s">
        <v>492</v>
      </c>
      <c r="B97" s="64" t="s">
        <v>493</v>
      </c>
      <c r="C97" s="118">
        <v>0.01</v>
      </c>
      <c r="D97" s="189"/>
      <c r="E97" s="190"/>
      <c r="F97" s="63"/>
      <c r="G97" s="63" t="s">
        <v>190</v>
      </c>
      <c r="I97" s="63"/>
      <c r="J97" s="63" t="s">
        <v>489</v>
      </c>
      <c r="K97" s="63" t="s">
        <v>48</v>
      </c>
      <c r="L97" s="63" t="s">
        <v>494</v>
      </c>
      <c r="M97" s="68" t="s">
        <v>50</v>
      </c>
      <c r="N97" s="525" t="s">
        <v>495</v>
      </c>
      <c r="O97" s="525"/>
      <c r="P97" s="68" t="s">
        <v>50</v>
      </c>
      <c r="Q97" s="60" t="s">
        <v>487</v>
      </c>
      <c r="R97" s="65"/>
      <c r="S97" s="191"/>
      <c r="T97" s="60"/>
      <c r="U97" s="192"/>
      <c r="V97" s="192"/>
      <c r="W97" s="192"/>
      <c r="X97" s="193"/>
    </row>
    <row r="98" spans="1:25" ht="19.5" customHeight="1" x14ac:dyDescent="0.15">
      <c r="A98" s="194"/>
      <c r="B98" s="213"/>
      <c r="C98" s="214"/>
      <c r="D98" s="189"/>
      <c r="E98" s="65"/>
      <c r="F98" s="60"/>
      <c r="G98" s="63"/>
      <c r="H98" s="63"/>
      <c r="I98" s="63"/>
      <c r="J98" s="63"/>
      <c r="K98" s="63" t="s">
        <v>48</v>
      </c>
      <c r="L98" s="209">
        <f>L102</f>
        <v>3.1E-2</v>
      </c>
      <c r="M98" s="68" t="s">
        <v>50</v>
      </c>
      <c r="N98" s="719">
        <f>IF(ISNUMBER(L44),(ROUND(C95/(C94/1000),3)),"")</f>
        <v>192.30799999999999</v>
      </c>
      <c r="O98" s="719"/>
      <c r="P98" s="68" t="s">
        <v>50</v>
      </c>
      <c r="Q98" s="209">
        <f>IF(ISNUMBER(L44),(ROUND(C96^2/(2*9.8),3)),"")</f>
        <v>5.0999999999999997E-2</v>
      </c>
      <c r="R98" s="65"/>
      <c r="S98" s="191"/>
      <c r="T98" s="212"/>
      <c r="U98" s="192"/>
      <c r="V98" s="192"/>
      <c r="W98" s="192"/>
      <c r="X98" s="193"/>
    </row>
    <row r="99" spans="1:25" ht="19.5" customHeight="1" x14ac:dyDescent="0.15">
      <c r="A99" s="215" t="s">
        <v>496</v>
      </c>
      <c r="B99" s="216" t="s">
        <v>497</v>
      </c>
      <c r="C99" s="116">
        <v>0</v>
      </c>
      <c r="D99" s="189"/>
      <c r="E99" s="65"/>
      <c r="F99" s="60"/>
      <c r="G99" s="63"/>
      <c r="H99" s="63"/>
      <c r="I99" s="63"/>
      <c r="J99" s="63"/>
      <c r="K99" s="63" t="s">
        <v>48</v>
      </c>
      <c r="L99" s="524">
        <f>IF(ISNUMBER(L44),(ROUND(L98*N98*Q98,3)),"")</f>
        <v>0.30399999999999999</v>
      </c>
      <c r="M99" s="524"/>
      <c r="N99" s="63"/>
      <c r="O99" s="63"/>
      <c r="P99" s="63"/>
      <c r="Q99" s="63"/>
      <c r="R99" s="65"/>
      <c r="S99" s="191"/>
      <c r="T99" s="63"/>
      <c r="U99" s="192"/>
      <c r="V99" s="192"/>
      <c r="W99" s="192"/>
      <c r="X99" s="193"/>
    </row>
    <row r="100" spans="1:25" ht="19.5" customHeight="1" x14ac:dyDescent="0.15">
      <c r="A100" s="218" t="s">
        <v>498</v>
      </c>
      <c r="B100" s="219" t="s">
        <v>499</v>
      </c>
      <c r="C100" s="116">
        <v>0</v>
      </c>
      <c r="D100" s="189"/>
      <c r="E100" s="65"/>
      <c r="F100" s="60"/>
      <c r="G100" s="63"/>
      <c r="H100" s="60"/>
      <c r="I100" s="60"/>
      <c r="J100" s="60" t="s">
        <v>494</v>
      </c>
      <c r="K100" s="60" t="s">
        <v>48</v>
      </c>
      <c r="L100" s="60" t="s">
        <v>500</v>
      </c>
      <c r="M100" s="60"/>
      <c r="N100" s="68" t="s">
        <v>50</v>
      </c>
      <c r="O100" s="525" t="s">
        <v>501</v>
      </c>
      <c r="P100" s="525"/>
      <c r="Q100" s="63"/>
      <c r="R100" s="65"/>
      <c r="S100" s="191"/>
      <c r="T100" s="63"/>
      <c r="U100" s="192"/>
      <c r="V100" s="192"/>
      <c r="W100" s="192"/>
      <c r="X100" s="193"/>
    </row>
    <row r="101" spans="1:25" ht="19.5" customHeight="1" x14ac:dyDescent="0.15">
      <c r="A101" s="215" t="s">
        <v>502</v>
      </c>
      <c r="B101" s="213"/>
      <c r="C101" s="116">
        <v>0</v>
      </c>
      <c r="D101" s="189"/>
      <c r="E101" s="65"/>
      <c r="F101" s="63"/>
      <c r="G101" s="63"/>
      <c r="H101" s="179"/>
      <c r="I101" s="60"/>
      <c r="J101" s="60"/>
      <c r="K101" s="60" t="s">
        <v>48</v>
      </c>
      <c r="L101" s="695">
        <f>IF(ISNUMBER(L44),(124.6/((C94/1000)^(1/3)))," ")</f>
        <v>309.89430138036641</v>
      </c>
      <c r="M101" s="695"/>
      <c r="N101" s="68" t="s">
        <v>50</v>
      </c>
      <c r="O101" s="720">
        <f>IF(ISNUMBER(L44),(C97^2)," ")</f>
        <v>1E-4</v>
      </c>
      <c r="P101" s="720"/>
      <c r="Q101" s="63"/>
      <c r="R101" s="65"/>
      <c r="S101" s="191"/>
      <c r="T101" s="63"/>
      <c r="U101" s="192"/>
      <c r="V101" s="192"/>
      <c r="W101" s="192"/>
      <c r="X101" s="193"/>
    </row>
    <row r="102" spans="1:25" ht="19.5" customHeight="1" x14ac:dyDescent="0.15">
      <c r="A102" s="215" t="s">
        <v>503</v>
      </c>
      <c r="B102" s="213" t="s">
        <v>504</v>
      </c>
      <c r="C102" s="117">
        <v>1</v>
      </c>
      <c r="D102" s="189"/>
      <c r="E102" s="65"/>
      <c r="F102" s="60"/>
      <c r="G102" s="63"/>
      <c r="H102" s="179"/>
      <c r="I102" s="60"/>
      <c r="J102" s="63"/>
      <c r="K102" s="60" t="s">
        <v>48</v>
      </c>
      <c r="L102" s="721">
        <f>IF(ISNUMBER(L44),ROUND(L101*O101,3)," ")</f>
        <v>3.1E-2</v>
      </c>
      <c r="M102" s="721"/>
      <c r="N102" s="68"/>
      <c r="O102" s="63"/>
      <c r="P102" s="63"/>
      <c r="Q102" s="63"/>
      <c r="R102" s="65"/>
      <c r="S102" s="191"/>
      <c r="T102" s="63"/>
      <c r="U102" s="192"/>
      <c r="V102" s="192"/>
      <c r="W102" s="192"/>
      <c r="X102" s="193"/>
    </row>
    <row r="103" spans="1:25" ht="19.5" customHeight="1" x14ac:dyDescent="0.15">
      <c r="A103" s="218" t="s">
        <v>498</v>
      </c>
      <c r="B103" s="213" t="s">
        <v>505</v>
      </c>
      <c r="C103" s="117">
        <v>0</v>
      </c>
      <c r="D103" s="189"/>
      <c r="E103" s="65"/>
      <c r="F103" s="63"/>
      <c r="G103" s="63"/>
      <c r="I103" s="63"/>
      <c r="J103" s="63"/>
      <c r="K103" s="63"/>
      <c r="L103" s="63"/>
      <c r="M103" s="63"/>
      <c r="N103" s="63"/>
      <c r="O103" s="63"/>
      <c r="P103" s="63"/>
      <c r="Q103" s="63"/>
      <c r="R103" s="65"/>
      <c r="S103" s="191"/>
      <c r="T103" s="63"/>
      <c r="U103" s="192"/>
      <c r="V103" s="192"/>
      <c r="W103" s="192"/>
      <c r="X103" s="193"/>
    </row>
    <row r="104" spans="1:25" ht="19.5" customHeight="1" x14ac:dyDescent="0.15">
      <c r="A104" s="218" t="s">
        <v>498</v>
      </c>
      <c r="B104" s="213" t="s">
        <v>506</v>
      </c>
      <c r="C104" s="117">
        <v>0</v>
      </c>
      <c r="D104" s="189"/>
      <c r="E104" s="65"/>
      <c r="F104" s="60"/>
      <c r="G104" s="583" t="s">
        <v>507</v>
      </c>
      <c r="H104" s="583"/>
      <c r="I104" s="583"/>
      <c r="J104" s="63" t="s">
        <v>432</v>
      </c>
      <c r="K104" s="63" t="s">
        <v>48</v>
      </c>
      <c r="L104" s="525" t="s">
        <v>508</v>
      </c>
      <c r="M104" s="525"/>
      <c r="N104" s="68" t="s">
        <v>50</v>
      </c>
      <c r="O104" s="525" t="s">
        <v>487</v>
      </c>
      <c r="P104" s="525"/>
      <c r="Q104" s="63"/>
      <c r="R104" s="65"/>
      <c r="S104" s="191"/>
      <c r="T104" s="63"/>
      <c r="U104" s="192"/>
      <c r="V104" s="192"/>
      <c r="W104" s="192"/>
      <c r="X104" s="193"/>
    </row>
    <row r="105" spans="1:25" ht="19.5" customHeight="1" x14ac:dyDescent="0.15">
      <c r="A105" s="218" t="s">
        <v>498</v>
      </c>
      <c r="B105" s="213" t="s">
        <v>509</v>
      </c>
      <c r="C105" s="117">
        <v>0</v>
      </c>
      <c r="D105" s="189"/>
      <c r="E105" s="65"/>
      <c r="F105" s="63"/>
      <c r="G105" s="583"/>
      <c r="H105" s="583"/>
      <c r="I105" s="583"/>
      <c r="J105" s="63"/>
      <c r="K105" s="63" t="s">
        <v>48</v>
      </c>
      <c r="L105" s="525">
        <f>IF(ISNUMBER(L44),L108+O108,"")</f>
        <v>0.28999999999999998</v>
      </c>
      <c r="M105" s="525"/>
      <c r="N105" s="68" t="s">
        <v>50</v>
      </c>
      <c r="O105" s="581">
        <f>Q98</f>
        <v>5.0999999999999997E-2</v>
      </c>
      <c r="P105" s="525"/>
      <c r="Q105" s="63"/>
      <c r="R105" s="65"/>
      <c r="S105" s="191"/>
      <c r="T105" s="63"/>
      <c r="U105" s="192"/>
      <c r="V105" s="192"/>
      <c r="W105" s="192"/>
      <c r="X105" s="193"/>
    </row>
    <row r="106" spans="1:25" ht="19.5" customHeight="1" x14ac:dyDescent="0.15">
      <c r="A106" s="194"/>
      <c r="B106" s="189"/>
      <c r="C106" s="214"/>
      <c r="D106" s="189"/>
      <c r="E106" s="65"/>
      <c r="F106" s="63"/>
      <c r="G106" s="233"/>
      <c r="H106" s="63"/>
      <c r="I106" s="63"/>
      <c r="J106" s="63"/>
      <c r="K106" s="63" t="s">
        <v>48</v>
      </c>
      <c r="L106" s="524">
        <f>IF(ISNUMBER(L44),(ROUND(L105*O105,3)),"")</f>
        <v>1.4999999999999999E-2</v>
      </c>
      <c r="M106" s="524"/>
      <c r="N106" s="63"/>
      <c r="O106" s="63"/>
      <c r="P106" s="63"/>
      <c r="Q106" s="63"/>
      <c r="R106" s="65"/>
      <c r="S106" s="191"/>
      <c r="T106" s="63"/>
      <c r="U106" s="192"/>
      <c r="V106" s="192"/>
      <c r="W106" s="192"/>
      <c r="X106" s="193"/>
    </row>
    <row r="107" spans="1:25" ht="19.5" customHeight="1" x14ac:dyDescent="0.15">
      <c r="A107" s="543" t="s">
        <v>614</v>
      </c>
      <c r="B107" s="544"/>
      <c r="C107" s="544"/>
      <c r="D107" s="544"/>
      <c r="E107" s="545"/>
      <c r="F107" s="63"/>
      <c r="G107" s="63"/>
      <c r="H107" s="63"/>
      <c r="I107" s="63"/>
      <c r="J107" s="63" t="s">
        <v>508</v>
      </c>
      <c r="K107" s="60" t="s">
        <v>48</v>
      </c>
      <c r="L107" s="63" t="s">
        <v>214</v>
      </c>
      <c r="M107" s="63"/>
      <c r="N107" s="63"/>
      <c r="O107" s="63"/>
      <c r="P107" s="63"/>
      <c r="Q107" s="63"/>
      <c r="R107" s="65"/>
      <c r="S107" s="191"/>
      <c r="T107" s="236"/>
      <c r="U107" s="192"/>
      <c r="V107" s="192"/>
      <c r="W107" s="192"/>
      <c r="X107" s="193"/>
    </row>
    <row r="108" spans="1:25" ht="19.5" customHeight="1" x14ac:dyDescent="0.15">
      <c r="A108" s="546"/>
      <c r="B108" s="547"/>
      <c r="C108" s="547"/>
      <c r="D108" s="547"/>
      <c r="E108" s="548"/>
      <c r="F108" s="202"/>
      <c r="G108" s="202"/>
      <c r="H108" s="202"/>
      <c r="I108" s="202"/>
      <c r="J108" s="202"/>
      <c r="K108" s="202" t="s">
        <v>48</v>
      </c>
      <c r="L108" s="723">
        <f>IF(ISNUMBER(L44),C99*U85+C100*X85+C101*U88,"")</f>
        <v>0</v>
      </c>
      <c r="M108" s="723"/>
      <c r="N108" s="238" t="s">
        <v>414</v>
      </c>
      <c r="O108" s="724">
        <f>IF(ISNUMBER(L44),C102*U91+C103*V91+C104*W91+C105*X91,"")</f>
        <v>0.28999999999999998</v>
      </c>
      <c r="P108" s="724"/>
      <c r="Q108" s="202"/>
      <c r="R108" s="237"/>
      <c r="S108" s="248"/>
      <c r="T108" s="249"/>
      <c r="U108" s="217"/>
      <c r="V108" s="217"/>
      <c r="W108" s="217"/>
      <c r="X108" s="250"/>
    </row>
    <row r="109" spans="1:25" ht="19.5" customHeight="1" x14ac:dyDescent="0.15">
      <c r="A109" s="241"/>
      <c r="B109" s="241"/>
      <c r="C109" s="251"/>
      <c r="D109" s="241"/>
      <c r="K109" s="252"/>
      <c r="L109" s="63"/>
      <c r="M109" s="63"/>
      <c r="N109" s="63"/>
      <c r="O109" s="63"/>
      <c r="P109" s="63"/>
      <c r="Q109" s="63"/>
      <c r="R109" s="64"/>
      <c r="S109" s="64"/>
      <c r="T109" s="64"/>
      <c r="U109" s="64"/>
      <c r="V109" s="64"/>
      <c r="W109" s="64"/>
      <c r="X109" s="64"/>
      <c r="Y109" s="64"/>
    </row>
    <row r="110" spans="1:25" ht="19.5" customHeight="1" x14ac:dyDescent="0.15">
      <c r="A110" s="189"/>
      <c r="B110" s="189"/>
      <c r="C110" s="214"/>
      <c r="D110" s="189"/>
      <c r="K110" s="63"/>
      <c r="L110" s="63"/>
      <c r="M110" s="63"/>
      <c r="N110" s="63"/>
      <c r="O110" s="63"/>
      <c r="P110" s="63"/>
      <c r="Q110" s="63"/>
      <c r="R110" s="64"/>
      <c r="S110" s="64"/>
      <c r="T110" s="64"/>
      <c r="U110" s="64"/>
      <c r="V110" s="64"/>
      <c r="W110" s="64"/>
      <c r="X110" s="64"/>
      <c r="Y110" s="64"/>
    </row>
    <row r="111" spans="1:25" ht="24.75" x14ac:dyDescent="0.15">
      <c r="A111" s="253" t="s">
        <v>646</v>
      </c>
      <c r="X111" s="41"/>
      <c r="Y111" s="41"/>
    </row>
    <row r="112" spans="1:25" x14ac:dyDescent="0.15">
      <c r="W112" s="254"/>
      <c r="X112" s="41"/>
      <c r="Y112" s="41"/>
    </row>
    <row r="113" spans="2:36" x14ac:dyDescent="0.15">
      <c r="B113" s="149" t="s">
        <v>226</v>
      </c>
      <c r="W113" s="254"/>
      <c r="X113" s="41"/>
      <c r="Y113" s="41"/>
    </row>
    <row r="114" spans="2:36" x14ac:dyDescent="0.15">
      <c r="C114" s="255" t="s">
        <v>227</v>
      </c>
      <c r="D114" s="255"/>
      <c r="E114" s="255"/>
      <c r="F114" s="255"/>
      <c r="G114" s="255"/>
      <c r="H114" s="733">
        <v>0.16</v>
      </c>
      <c r="I114" s="733"/>
      <c r="J114" s="255" t="s">
        <v>403</v>
      </c>
      <c r="K114" s="255" t="s">
        <v>228</v>
      </c>
      <c r="L114" s="255"/>
      <c r="M114" s="255"/>
      <c r="W114" s="254"/>
      <c r="X114" s="41"/>
      <c r="Y114" s="41"/>
    </row>
    <row r="115" spans="2:36" x14ac:dyDescent="0.15">
      <c r="W115" s="254"/>
      <c r="X115" s="41"/>
      <c r="Y115" s="41"/>
    </row>
    <row r="116" spans="2:36" x14ac:dyDescent="0.15">
      <c r="B116" s="149" t="s">
        <v>229</v>
      </c>
      <c r="E116" s="376" t="s">
        <v>600</v>
      </c>
      <c r="W116" s="254"/>
      <c r="X116" s="41"/>
      <c r="Y116" s="41"/>
    </row>
    <row r="117" spans="2:36" x14ac:dyDescent="0.15">
      <c r="B117" s="256"/>
      <c r="C117" s="257"/>
      <c r="D117" s="258" t="s">
        <v>230</v>
      </c>
      <c r="E117" s="257">
        <f>F32</f>
        <v>200</v>
      </c>
      <c r="F117" s="256" t="s">
        <v>510</v>
      </c>
      <c r="G117" s="256"/>
      <c r="H117" s="256" t="s">
        <v>232</v>
      </c>
      <c r="I117" s="256" t="s">
        <v>48</v>
      </c>
      <c r="J117" s="708">
        <f>F32*3</f>
        <v>600</v>
      </c>
      <c r="K117" s="708"/>
      <c r="L117" s="256" t="s">
        <v>511</v>
      </c>
      <c r="M117" s="259" t="s">
        <v>48</v>
      </c>
      <c r="N117" s="710">
        <f>J117/1000</f>
        <v>0.6</v>
      </c>
      <c r="O117" s="710"/>
      <c r="P117" s="260" t="s">
        <v>603</v>
      </c>
      <c r="Q117" s="256" t="s">
        <v>512</v>
      </c>
      <c r="R117" s="256"/>
      <c r="S117" s="256"/>
      <c r="T117" s="256"/>
      <c r="U117" s="256"/>
      <c r="V117" s="256"/>
      <c r="W117" s="256"/>
      <c r="X117" s="256"/>
      <c r="Y117" s="256"/>
      <c r="AH117" s="41"/>
      <c r="AI117" s="41"/>
      <c r="AJ117" s="41"/>
    </row>
    <row r="118" spans="2:36" x14ac:dyDescent="0.15">
      <c r="B118" s="256" t="s">
        <v>235</v>
      </c>
      <c r="C118" s="257"/>
      <c r="D118" s="258"/>
      <c r="E118" s="257"/>
      <c r="F118" s="256"/>
      <c r="G118" s="256"/>
      <c r="H118" s="256"/>
      <c r="I118" s="256"/>
      <c r="J118" s="256"/>
      <c r="K118" s="256"/>
      <c r="L118" s="256"/>
      <c r="M118" s="261"/>
      <c r="N118" s="261"/>
      <c r="O118" s="260"/>
      <c r="P118" s="256"/>
      <c r="Q118" s="256"/>
      <c r="R118" s="256"/>
      <c r="S118" s="256"/>
      <c r="T118" s="256"/>
      <c r="U118" s="256"/>
      <c r="V118" s="256"/>
      <c r="W118" s="256"/>
      <c r="X118" s="256"/>
      <c r="AG118" s="41"/>
      <c r="AH118" s="41"/>
      <c r="AI118" s="41"/>
    </row>
    <row r="119" spans="2:36" x14ac:dyDescent="0.15">
      <c r="B119" s="256"/>
      <c r="C119" s="527" t="s">
        <v>592</v>
      </c>
      <c r="D119" s="527"/>
      <c r="E119" s="527"/>
      <c r="F119" s="526"/>
      <c r="G119" s="526"/>
      <c r="H119" s="259" t="s">
        <v>50</v>
      </c>
      <c r="I119" s="526">
        <v>0.8</v>
      </c>
      <c r="J119" s="526"/>
      <c r="K119" s="367" t="s">
        <v>641</v>
      </c>
      <c r="L119" s="526">
        <v>0.5</v>
      </c>
      <c r="M119" s="526"/>
      <c r="N119" s="367" t="s">
        <v>236</v>
      </c>
      <c r="O119" s="709">
        <f>IF(F119=0,0,H114)</f>
        <v>0</v>
      </c>
      <c r="P119" s="709"/>
      <c r="Q119" s="367" t="s">
        <v>642</v>
      </c>
      <c r="R119" s="706">
        <f>ROUND(F119*I119*(L119-O119),2)</f>
        <v>0</v>
      </c>
      <c r="S119" s="706"/>
      <c r="T119" s="260" t="s">
        <v>603</v>
      </c>
      <c r="U119" s="256"/>
      <c r="V119" s="256"/>
      <c r="W119" s="256"/>
      <c r="X119" s="256"/>
      <c r="AH119" s="41"/>
      <c r="AI119" s="41"/>
    </row>
    <row r="120" spans="2:36" ht="21.75" x14ac:dyDescent="0.15">
      <c r="B120" s="256"/>
      <c r="C120" s="527" t="s">
        <v>593</v>
      </c>
      <c r="D120" s="527"/>
      <c r="E120" s="527"/>
      <c r="F120" s="265"/>
      <c r="G120" s="265"/>
      <c r="H120" s="265"/>
      <c r="I120" s="711">
        <f>IF(ISNUMBER(V120),L120,F36)</f>
        <v>32</v>
      </c>
      <c r="J120" s="711"/>
      <c r="K120" s="259" t="s">
        <v>48</v>
      </c>
      <c r="L120" s="706">
        <f>IF(ISNUMBER(V120),ROUND(V120*V120*PI()/4,2),ROUND(I120,2))</f>
        <v>32</v>
      </c>
      <c r="M120" s="706"/>
      <c r="N120" s="260" t="s">
        <v>513</v>
      </c>
      <c r="O120" s="260"/>
      <c r="P120" s="256"/>
      <c r="Q120" s="260"/>
      <c r="R120" s="256" t="s">
        <v>596</v>
      </c>
      <c r="S120" s="256"/>
      <c r="T120" s="256"/>
      <c r="U120" s="259" t="s">
        <v>594</v>
      </c>
      <c r="V120" s="526"/>
      <c r="W120" s="526"/>
      <c r="X120" s="256" t="s">
        <v>595</v>
      </c>
      <c r="AH120" s="41"/>
      <c r="AI120" s="41"/>
    </row>
    <row r="121" spans="2:36" x14ac:dyDescent="0.15">
      <c r="B121" s="256"/>
      <c r="C121" s="256"/>
      <c r="D121" s="256"/>
      <c r="E121" s="712">
        <f>N117</f>
        <v>0.6</v>
      </c>
      <c r="F121" s="712"/>
      <c r="G121" s="259" t="s">
        <v>514</v>
      </c>
      <c r="H121" s="713">
        <f>R119</f>
        <v>0</v>
      </c>
      <c r="I121" s="713"/>
      <c r="J121" s="259" t="s">
        <v>515</v>
      </c>
      <c r="K121" s="710">
        <f>L120</f>
        <v>32</v>
      </c>
      <c r="L121" s="710"/>
      <c r="M121" s="259" t="s">
        <v>48</v>
      </c>
      <c r="N121" s="707">
        <f>ROUND((E121-H121)/K121,3)</f>
        <v>1.9E-2</v>
      </c>
      <c r="O121" s="707"/>
      <c r="P121" s="260" t="s">
        <v>403</v>
      </c>
      <c r="Q121" s="256"/>
      <c r="R121" s="256"/>
      <c r="S121" s="256"/>
      <c r="T121" s="256"/>
      <c r="U121" s="256"/>
      <c r="V121" s="256"/>
      <c r="W121" s="256"/>
      <c r="X121" s="256"/>
      <c r="AH121" s="41"/>
      <c r="AI121" s="41"/>
    </row>
    <row r="122" spans="2:36" x14ac:dyDescent="0.15">
      <c r="B122" s="263"/>
      <c r="C122" s="264" t="str">
        <f>IF(N121&lt;0,"→　計算結果がマイナスとなり 「ｂ」の条件で算出","")</f>
        <v/>
      </c>
      <c r="D122" s="263"/>
      <c r="E122" s="263"/>
      <c r="F122" s="263"/>
      <c r="G122" s="263"/>
      <c r="H122" s="265"/>
      <c r="I122" s="265"/>
      <c r="J122" s="263"/>
      <c r="K122" s="263"/>
      <c r="L122" s="263"/>
      <c r="M122" s="256"/>
      <c r="N122" s="256"/>
      <c r="O122" s="256"/>
      <c r="P122" s="256"/>
      <c r="Q122" s="256"/>
      <c r="R122" s="256"/>
      <c r="S122" s="256"/>
      <c r="T122" s="256"/>
      <c r="U122" s="256"/>
      <c r="V122" s="256"/>
      <c r="W122" s="266"/>
      <c r="X122" s="267"/>
      <c r="Y122" s="41"/>
    </row>
    <row r="123" spans="2:36" x14ac:dyDescent="0.15">
      <c r="B123" s="256" t="str">
        <f>IF(N121&lt;0,"　　ｂ. 起動水位が釜場の有効容量内で起動","")</f>
        <v/>
      </c>
      <c r="C123" s="257"/>
      <c r="D123" s="258"/>
      <c r="E123" s="257"/>
      <c r="F123" s="256"/>
      <c r="G123" s="256"/>
      <c r="H123" s="256"/>
      <c r="I123" s="256"/>
      <c r="J123" s="256"/>
      <c r="K123" s="256"/>
      <c r="L123" s="256"/>
      <c r="M123" s="261"/>
      <c r="N123" s="261"/>
      <c r="O123" s="260"/>
      <c r="P123" s="256"/>
      <c r="Q123" s="256"/>
      <c r="R123" s="256"/>
      <c r="S123" s="256"/>
      <c r="T123" s="256"/>
      <c r="U123" s="256"/>
      <c r="V123" s="256"/>
      <c r="W123" s="256"/>
      <c r="X123" s="256"/>
      <c r="AG123" s="41"/>
      <c r="AH123" s="41"/>
      <c r="AI123" s="41"/>
    </row>
    <row r="124" spans="2:36" x14ac:dyDescent="0.15">
      <c r="B124" s="256"/>
      <c r="C124" s="257"/>
      <c r="D124" s="262" t="str">
        <f>IF(N121&lt;0,"釜場の面積","")</f>
        <v/>
      </c>
      <c r="E124" s="707" t="str">
        <f>IF(N121&lt;0,F119,"")</f>
        <v/>
      </c>
      <c r="F124" s="707"/>
      <c r="G124" s="268" t="str">
        <f>IF(N121&lt;0,"×","")</f>
        <v/>
      </c>
      <c r="H124" s="707" t="str">
        <f>IF(N121&lt;0,I119,"")</f>
        <v/>
      </c>
      <c r="I124" s="707"/>
      <c r="J124" s="259" t="str">
        <f>IF(N121&lt;0,"＝","")</f>
        <v/>
      </c>
      <c r="K124" s="706" t="str">
        <f>IF(N121&lt;0,E124*H124,"")</f>
        <v/>
      </c>
      <c r="L124" s="706"/>
      <c r="M124" s="260" t="str">
        <f>IF(N121&lt;0,"ｍ2","")</f>
        <v/>
      </c>
      <c r="N124" s="706"/>
      <c r="O124" s="706"/>
      <c r="P124" s="260"/>
      <c r="Q124" s="256"/>
      <c r="R124" s="256"/>
      <c r="S124" s="256"/>
      <c r="T124" s="256"/>
      <c r="U124" s="256"/>
      <c r="V124" s="256"/>
      <c r="W124" s="256"/>
      <c r="X124" s="256"/>
      <c r="AH124" s="41"/>
      <c r="AI124" s="41"/>
    </row>
    <row r="125" spans="2:36" x14ac:dyDescent="0.15">
      <c r="B125" s="256"/>
      <c r="C125" s="256"/>
      <c r="D125" s="256"/>
      <c r="E125" s="710" t="str">
        <f>IF(N121&lt;0,N117,"")</f>
        <v/>
      </c>
      <c r="F125" s="710"/>
      <c r="G125" s="259" t="str">
        <f>IF(N121&lt;0,"÷","")</f>
        <v/>
      </c>
      <c r="H125" s="710" t="str">
        <f>IF(N121&lt;0,K124,"")</f>
        <v/>
      </c>
      <c r="I125" s="710"/>
      <c r="J125" s="259" t="str">
        <f>IF(N121&lt;0,"＝","")</f>
        <v/>
      </c>
      <c r="K125" s="707" t="str">
        <f>IF(N121&lt;0,ROUND(E125/H125,3),"")</f>
        <v/>
      </c>
      <c r="L125" s="707"/>
      <c r="M125" s="260" t="str">
        <f>IF(N121&lt;0,"ｍ","")</f>
        <v/>
      </c>
      <c r="N125" s="707"/>
      <c r="O125" s="707"/>
      <c r="P125" s="260"/>
      <c r="Q125" s="256" t="str">
        <f>IF(N121&lt;0,"","")</f>
        <v/>
      </c>
      <c r="R125" s="256"/>
      <c r="S125" s="256"/>
      <c r="T125" s="256"/>
      <c r="U125" s="256"/>
      <c r="V125" s="256"/>
      <c r="W125" s="256"/>
      <c r="X125" s="256"/>
      <c r="AH125" s="41"/>
      <c r="AI125" s="41"/>
    </row>
    <row r="126" spans="2:36" x14ac:dyDescent="0.15">
      <c r="D126" s="255"/>
      <c r="E126" s="285" t="str">
        <f>IF(N121&gt;=0,"釜場からの高さ","")</f>
        <v>釜場からの高さ</v>
      </c>
      <c r="F126" s="255"/>
      <c r="G126" s="255"/>
      <c r="H126" s="485">
        <f>IF(N121&gt;=0,N121,"")</f>
        <v>1.9E-2</v>
      </c>
      <c r="I126" s="485"/>
      <c r="J126" s="286" t="str">
        <f>IF(N121&gt;=0,"+ 釜場の有効容量高さ","")</f>
        <v>+ 釜場の有効容量高さ</v>
      </c>
      <c r="K126" s="285"/>
      <c r="N126" s="485">
        <f>IF(N121&gt;=0,(L119-O119),"")</f>
        <v>0.5</v>
      </c>
      <c r="O126" s="485"/>
      <c r="P126" s="260"/>
    </row>
    <row r="127" spans="2:36" x14ac:dyDescent="0.15">
      <c r="C127" s="255" t="s">
        <v>238</v>
      </c>
      <c r="D127" s="255"/>
      <c r="E127" s="255"/>
      <c r="F127" s="255"/>
      <c r="G127" s="255"/>
      <c r="H127" s="727">
        <f>IF(N121&gt;=0,ROUNDUP(H126+N126,2),ROUNDUP(K125,2))</f>
        <v>0.52</v>
      </c>
      <c r="I127" s="727"/>
      <c r="J127" s="350" t="str">
        <f>IF(E116="　（ 釜場及び排水槽の形状から算出。（勾配の計算は省略））","ｍ 上方に設定する。",IF(E116="　（ 基準である３分以内の設定でポンプメーカー仕様等による）","ｍ となるが，ポンプ仕様等により"))</f>
        <v>ｍ 上方に設定する。</v>
      </c>
      <c r="K127" s="255"/>
      <c r="L127" s="255"/>
      <c r="M127" s="255"/>
      <c r="N127" s="348"/>
      <c r="O127" s="348"/>
      <c r="P127" s="714"/>
      <c r="Q127" s="714"/>
      <c r="R127" s="349" t="str">
        <f>IF(E116="　（ 釜場及び排水槽の形状から算出。（勾配の計算は省略））","　",IF(E116="　（ 基準である３分以内の設定でポンプメーカー仕様等による）","ｍ 上方に設定する。"))</f>
        <v>　</v>
      </c>
      <c r="S127" s="348"/>
    </row>
    <row r="128" spans="2:36" x14ac:dyDescent="0.15">
      <c r="B128" s="149" t="s">
        <v>240</v>
      </c>
    </row>
    <row r="129" spans="2:16" x14ac:dyDescent="0.15">
      <c r="C129" s="255" t="s">
        <v>516</v>
      </c>
      <c r="D129" s="255"/>
      <c r="E129" s="255"/>
      <c r="F129" s="728">
        <v>0.1</v>
      </c>
      <c r="G129" s="728"/>
      <c r="H129" s="255" t="s">
        <v>239</v>
      </c>
      <c r="I129" s="255"/>
      <c r="J129" s="255"/>
    </row>
    <row r="130" spans="2:16" x14ac:dyDescent="0.15">
      <c r="B130" s="149" t="s">
        <v>640</v>
      </c>
    </row>
    <row r="131" spans="2:16" x14ac:dyDescent="0.15">
      <c r="C131" s="255" t="s">
        <v>517</v>
      </c>
      <c r="D131" s="255"/>
      <c r="E131" s="255"/>
      <c r="F131" s="728">
        <v>0.1</v>
      </c>
      <c r="G131" s="728"/>
      <c r="H131" s="255" t="s">
        <v>239</v>
      </c>
      <c r="I131" s="255"/>
      <c r="J131" s="255"/>
      <c r="K131" s="255"/>
    </row>
    <row r="132" spans="2:16" x14ac:dyDescent="0.15">
      <c r="B132" s="149" t="s">
        <v>649</v>
      </c>
    </row>
    <row r="133" spans="2:16" x14ac:dyDescent="0.15">
      <c r="C133" s="149" t="s">
        <v>243</v>
      </c>
      <c r="G133" s="729">
        <f>H34</f>
        <v>18</v>
      </c>
      <c r="H133" s="729"/>
      <c r="I133" s="149" t="s">
        <v>244</v>
      </c>
    </row>
    <row r="134" spans="2:16" x14ac:dyDescent="0.15">
      <c r="C134" s="256"/>
      <c r="D134" s="256"/>
      <c r="E134" s="730">
        <f>IF(G133-R119&gt;0,G133,"")</f>
        <v>18</v>
      </c>
      <c r="F134" s="730"/>
      <c r="G134" s="258" t="str">
        <f>IF(G133-R119&gt;0,"－","")</f>
        <v>－</v>
      </c>
      <c r="H134" s="710">
        <f>IF(G133-R119&gt;0,R119,IF(G133-R119=0,"",G133))</f>
        <v>0</v>
      </c>
      <c r="I134" s="710"/>
      <c r="J134" s="259" t="str">
        <f>IF(G133-R119&gt;0,"）÷",IF(G133-R119=0,"","÷"))</f>
        <v>）÷</v>
      </c>
      <c r="K134" s="710">
        <f>IF(G133-R119&gt;0,L120,IF(G133-R119=0,"",F119*I119))</f>
        <v>32</v>
      </c>
      <c r="L134" s="710"/>
      <c r="M134" s="259" t="str">
        <f>IF(G133-R119=0,"","=")</f>
        <v>=</v>
      </c>
      <c r="N134" s="707">
        <f>IF(G133-R119&gt;0,ROUND((E134-H134)/K134,3),IF(G133-R119=0,"",ROUND(H134/K134,3)))</f>
        <v>0.56299999999999994</v>
      </c>
      <c r="O134" s="707"/>
      <c r="P134" s="259" t="str">
        <f>IF(G133-R119=0,"","m")</f>
        <v>m</v>
      </c>
    </row>
    <row r="135" spans="2:16" x14ac:dyDescent="0.15">
      <c r="D135" s="255"/>
      <c r="E135" s="285" t="str">
        <f>IF(G133-R119&gt;0,"釜場からの高さ","")</f>
        <v>釜場からの高さ</v>
      </c>
      <c r="F135" s="255"/>
      <c r="G135" s="255"/>
      <c r="H135" s="485">
        <f>IF(G133-R119&gt;0,N134,"")</f>
        <v>0.56299999999999994</v>
      </c>
      <c r="I135" s="485"/>
      <c r="J135" s="286" t="str">
        <f>IF(G133-R119&gt;0,"+ 釜場の有効容量高さ","")</f>
        <v>+ 釜場の有効容量高さ</v>
      </c>
      <c r="K135" s="285"/>
      <c r="L135" s="285"/>
      <c r="M135" s="285"/>
      <c r="N135" s="485">
        <f>IF(G133-R119&gt;0,(L119-O119),"")</f>
        <v>0.5</v>
      </c>
      <c r="O135" s="485"/>
      <c r="P135" s="260"/>
    </row>
    <row r="136" spans="2:16" x14ac:dyDescent="0.15">
      <c r="C136" s="255" t="s">
        <v>238</v>
      </c>
      <c r="H136" s="727">
        <f>IF(G133-R119&gt;0,ROUNDUP(H135+N135,2),IF(G133-R119=0,(L119-O119),ROUNDUP(N134,2)))</f>
        <v>1.07</v>
      </c>
      <c r="I136" s="727"/>
      <c r="J136" s="255" t="s">
        <v>518</v>
      </c>
      <c r="K136" s="255"/>
      <c r="L136" s="255"/>
    </row>
  </sheetData>
  <sheetProtection algorithmName="SHA-512" hashValue="PN3u16RQzbIVaj4G1t4QrYtoMbD/4W3QZn1xYaX68/oe/46PYOd/wgsI2tKebUwu4+Eft7EjrURqVf0b53yM1A==" saltValue="LisH8jAem3ZWu3amnyaMEw==" spinCount="100000" sheet="1" objects="1" scenarios="1" formatCells="0"/>
  <mergeCells count="139">
    <mergeCell ref="P127:Q127"/>
    <mergeCell ref="K134:L134"/>
    <mergeCell ref="N134:O134"/>
    <mergeCell ref="H135:I135"/>
    <mergeCell ref="H127:I127"/>
    <mergeCell ref="F129:G129"/>
    <mergeCell ref="F131:G131"/>
    <mergeCell ref="G133:H133"/>
    <mergeCell ref="E134:F134"/>
    <mergeCell ref="H134:I134"/>
    <mergeCell ref="N135:O135"/>
    <mergeCell ref="E125:F125"/>
    <mergeCell ref="H125:I125"/>
    <mergeCell ref="K125:L125"/>
    <mergeCell ref="N125:O125"/>
    <mergeCell ref="I120:J120"/>
    <mergeCell ref="L120:M120"/>
    <mergeCell ref="E121:F121"/>
    <mergeCell ref="H121:I121"/>
    <mergeCell ref="K121:L121"/>
    <mergeCell ref="N121:O121"/>
    <mergeCell ref="O108:P108"/>
    <mergeCell ref="H114:I114"/>
    <mergeCell ref="N117:O117"/>
    <mergeCell ref="F119:G119"/>
    <mergeCell ref="I119:J119"/>
    <mergeCell ref="L119:M119"/>
    <mergeCell ref="R119:S119"/>
    <mergeCell ref="E124:F124"/>
    <mergeCell ref="H124:I124"/>
    <mergeCell ref="K124:L124"/>
    <mergeCell ref="N124:O124"/>
    <mergeCell ref="J117:K117"/>
    <mergeCell ref="O119:P119"/>
    <mergeCell ref="R49:V55"/>
    <mergeCell ref="W49:Y55"/>
    <mergeCell ref="I50:J50"/>
    <mergeCell ref="L50:M50"/>
    <mergeCell ref="O50:P50"/>
    <mergeCell ref="I51:J51"/>
    <mergeCell ref="A42:D48"/>
    <mergeCell ref="R42:V45"/>
    <mergeCell ref="W42:Y43"/>
    <mergeCell ref="G43:H43"/>
    <mergeCell ref="W44:Y45"/>
    <mergeCell ref="G45:H45"/>
    <mergeCell ref="F48:K48"/>
    <mergeCell ref="I53:J53"/>
    <mergeCell ref="I54:J54"/>
    <mergeCell ref="G55:H55"/>
    <mergeCell ref="A49:D55"/>
    <mergeCell ref="I49:J49"/>
    <mergeCell ref="L49:M49"/>
    <mergeCell ref="O49:P49"/>
    <mergeCell ref="A38:D41"/>
    <mergeCell ref="R38:V41"/>
    <mergeCell ref="W38:Y41"/>
    <mergeCell ref="G40:H40"/>
    <mergeCell ref="K40:L40"/>
    <mergeCell ref="H41:I41"/>
    <mergeCell ref="A33:D37"/>
    <mergeCell ref="O33:P33"/>
    <mergeCell ref="W33:Y37"/>
    <mergeCell ref="H34:I34"/>
    <mergeCell ref="F36:G36"/>
    <mergeCell ref="E37:F37"/>
    <mergeCell ref="H37:I37"/>
    <mergeCell ref="K37:L37"/>
    <mergeCell ref="N37:O37"/>
    <mergeCell ref="J36:K36"/>
    <mergeCell ref="N36:O36"/>
    <mergeCell ref="R33:V35"/>
    <mergeCell ref="R36:V36"/>
    <mergeCell ref="T37:U37"/>
    <mergeCell ref="A1:I3"/>
    <mergeCell ref="J1:K3"/>
    <mergeCell ref="A4:D5"/>
    <mergeCell ref="E4:O5"/>
    <mergeCell ref="P4:U5"/>
    <mergeCell ref="W28:Y29"/>
    <mergeCell ref="A30:D32"/>
    <mergeCell ref="R30:V32"/>
    <mergeCell ref="W30:Y32"/>
    <mergeCell ref="F31:G31"/>
    <mergeCell ref="I31:J31"/>
    <mergeCell ref="F32:G32"/>
    <mergeCell ref="U26:V26"/>
    <mergeCell ref="A28:D29"/>
    <mergeCell ref="E28:Q29"/>
    <mergeCell ref="R28:V29"/>
    <mergeCell ref="W1:X1"/>
    <mergeCell ref="V120:W120"/>
    <mergeCell ref="B65:C65"/>
    <mergeCell ref="J71:K71"/>
    <mergeCell ref="J74:K74"/>
    <mergeCell ref="J78:K78"/>
    <mergeCell ref="N80:O80"/>
    <mergeCell ref="N81:O81"/>
    <mergeCell ref="F64:H64"/>
    <mergeCell ref="O64:P64"/>
    <mergeCell ref="O65:P65"/>
    <mergeCell ref="L89:M89"/>
    <mergeCell ref="L91:M91"/>
    <mergeCell ref="O91:P91"/>
    <mergeCell ref="J95:K95"/>
    <mergeCell ref="N97:O97"/>
    <mergeCell ref="L82:M82"/>
    <mergeCell ref="O83:P83"/>
    <mergeCell ref="L84:M84"/>
    <mergeCell ref="O84:P84"/>
    <mergeCell ref="L85:M85"/>
    <mergeCell ref="G87:I88"/>
    <mergeCell ref="L87:M87"/>
    <mergeCell ref="O87:P87"/>
    <mergeCell ref="L88:M88"/>
    <mergeCell ref="K65:L65"/>
    <mergeCell ref="K64:L64"/>
    <mergeCell ref="H126:I126"/>
    <mergeCell ref="N126:O126"/>
    <mergeCell ref="A107:E108"/>
    <mergeCell ref="A90:E91"/>
    <mergeCell ref="H136:I136"/>
    <mergeCell ref="D61:I61"/>
    <mergeCell ref="C119:E119"/>
    <mergeCell ref="C120:E120"/>
    <mergeCell ref="O88:P88"/>
    <mergeCell ref="G104:I105"/>
    <mergeCell ref="L104:M104"/>
    <mergeCell ref="O104:P104"/>
    <mergeCell ref="L105:M105"/>
    <mergeCell ref="O105:P105"/>
    <mergeCell ref="L106:M106"/>
    <mergeCell ref="N98:O98"/>
    <mergeCell ref="L99:M99"/>
    <mergeCell ref="O100:P100"/>
    <mergeCell ref="L101:M101"/>
    <mergeCell ref="O101:P101"/>
    <mergeCell ref="L102:M102"/>
    <mergeCell ref="L108:M108"/>
  </mergeCells>
  <phoneticPr fontId="3"/>
  <conditionalFormatting sqref="P127:Q127">
    <cfRule type="cellIs" dxfId="16" priority="2" operator="greaterThan">
      <formula>$H$127</formula>
    </cfRule>
  </conditionalFormatting>
  <conditionalFormatting sqref="H34:I34">
    <cfRule type="expression" dxfId="15" priority="1">
      <formula>$H$34&lt;$O$33</formula>
    </cfRule>
  </conditionalFormatting>
  <dataValidations count="4">
    <dataValidation type="whole" operator="greaterThanOrEqual" allowBlank="1" showInputMessage="1" showErrorMessage="1" sqref="C85:C88 C102:C105">
      <formula1>0</formula1>
    </dataValidation>
    <dataValidation type="list" allowBlank="1" showErrorMessage="1" promptTitle="ｄ，ｓ，あ" sqref="C82:C84 C99:C101">
      <formula1>"0,１"</formula1>
    </dataValidation>
    <dataValidation type="list" allowBlank="1" showInputMessage="1" showErrorMessage="1" sqref="F48">
      <formula1>"　,（本件について施主了承済み）"</formula1>
    </dataValidation>
    <dataValidation type="list" allowBlank="1" showInputMessage="1" showErrorMessage="1" sqref="E116">
      <formula1>"　（ 釜場及び排水槽の形状から算出。（勾配の計算は省略））,　（ 基準である３分以内の設定でポンプメーカー仕様等による）"</formula1>
    </dataValidation>
  </dataValidations>
  <pageMargins left="0.7" right="0.7" top="0.75" bottom="0.75" header="0.3" footer="0.3"/>
  <pageSetup paperSize="9" scale="58" fitToHeight="2" orientation="portrait" r:id="rId1"/>
  <rowBreaks count="1" manualBreakCount="1">
    <brk id="67" max="24" man="1"/>
  </rowBreaks>
  <legacy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E7524FB0-765F-45F9-8F8C-EAAFDB2D0A74}">
            <xm:f>NOT(ISERROR(SEARCH($P$130,P127)))</xm:f>
            <xm:f>$P$130</xm:f>
            <x14:dxf>
              <fill>
                <patternFill>
                  <bgColor rgb="FF66FFFF"/>
                </patternFill>
              </fill>
            </x14:dxf>
          </x14:cfRule>
          <x14:cfRule type="containsText" priority="5" operator="containsText" id="{4EA958F8-F6FD-4A43-AAB4-57ADE6BF9DF9}">
            <xm:f>NOT(ISERROR(SEARCH($H$127,P127)))</xm:f>
            <xm:f>$H$127</xm:f>
            <x14:dxf>
              <fill>
                <patternFill>
                  <bgColor rgb="FF66FFFF"/>
                </patternFill>
              </fill>
            </x14:dxf>
          </x14:cfRule>
          <xm:sqref>P127:Q127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41"/>
  <sheetViews>
    <sheetView view="pageBreakPreview" topLeftCell="A4" zoomScale="85" zoomScaleNormal="85" zoomScaleSheetLayoutView="85" workbookViewId="0">
      <selection activeCell="N41" sqref="N41:O41"/>
    </sheetView>
  </sheetViews>
  <sheetFormatPr defaultRowHeight="19.5" x14ac:dyDescent="0.15"/>
  <cols>
    <col min="1" max="1" width="8.25" style="149" customWidth="1"/>
    <col min="2" max="2" width="7.625" style="149" customWidth="1"/>
    <col min="3" max="22" width="5.625" style="149" customWidth="1"/>
    <col min="23" max="24" width="5.125" style="149" customWidth="1"/>
    <col min="25" max="25" width="1.875" style="149" customWidth="1"/>
    <col min="26" max="35" width="5.625" style="149" customWidth="1"/>
    <col min="36" max="16384" width="9" style="149"/>
  </cols>
  <sheetData>
    <row r="1" spans="1:33" ht="20.100000000000001" customHeight="1" x14ac:dyDescent="0.15">
      <c r="A1" s="647" t="s">
        <v>360</v>
      </c>
      <c r="B1" s="647"/>
      <c r="C1" s="647"/>
      <c r="D1" s="647"/>
      <c r="E1" s="649" t="s">
        <v>361</v>
      </c>
      <c r="F1" s="649"/>
      <c r="G1" s="147"/>
      <c r="H1" s="147"/>
      <c r="I1" s="147"/>
      <c r="J1" s="147"/>
      <c r="K1" s="147"/>
      <c r="L1" s="147"/>
      <c r="M1" s="147"/>
      <c r="N1" s="147"/>
      <c r="O1" s="147"/>
      <c r="P1" s="147"/>
      <c r="Q1" s="147"/>
      <c r="R1" s="147"/>
      <c r="S1" s="147"/>
      <c r="T1" s="147"/>
      <c r="U1" s="64"/>
      <c r="V1" s="369" t="s">
        <v>647</v>
      </c>
      <c r="W1" s="725">
        <f>'雑排水槽 （機械排水系）'!W1:X1</f>
        <v>250131</v>
      </c>
      <c r="X1" s="726"/>
      <c r="Y1" s="148"/>
      <c r="Z1" s="148"/>
      <c r="AA1" s="148"/>
      <c r="AB1" s="148"/>
    </row>
    <row r="2" spans="1:33" ht="19.5" customHeight="1" x14ac:dyDescent="0.15">
      <c r="A2" s="647"/>
      <c r="B2" s="647"/>
      <c r="C2" s="647"/>
      <c r="D2" s="647"/>
      <c r="E2" s="649"/>
      <c r="F2" s="649"/>
      <c r="G2" s="147"/>
      <c r="H2" s="147"/>
      <c r="I2" s="147"/>
      <c r="J2" s="147"/>
      <c r="K2" s="147"/>
      <c r="L2" s="147"/>
      <c r="M2" s="147"/>
      <c r="N2" s="147"/>
      <c r="O2" s="147"/>
      <c r="P2" s="147"/>
      <c r="Q2" s="147"/>
      <c r="R2" s="147"/>
      <c r="S2" s="147"/>
      <c r="T2" s="147"/>
      <c r="U2" s="147"/>
      <c r="V2" s="147"/>
      <c r="W2" s="147"/>
      <c r="X2" s="147"/>
      <c r="Y2" s="148"/>
      <c r="Z2" s="148"/>
      <c r="AA2" s="148"/>
      <c r="AB2" s="148"/>
    </row>
    <row r="3" spans="1:33" ht="19.5" customHeight="1" thickBot="1" x14ac:dyDescent="0.2">
      <c r="A3" s="648"/>
      <c r="B3" s="648"/>
      <c r="C3" s="648"/>
      <c r="D3" s="648"/>
      <c r="E3" s="650"/>
      <c r="F3" s="650"/>
      <c r="G3" s="147"/>
      <c r="H3" s="147"/>
      <c r="I3" s="147"/>
      <c r="J3" s="147"/>
      <c r="K3" s="147"/>
      <c r="L3" s="147"/>
      <c r="M3" s="147"/>
      <c r="N3" s="147"/>
      <c r="O3" s="147"/>
      <c r="P3" s="147"/>
      <c r="Q3" s="147"/>
      <c r="R3" s="147"/>
      <c r="S3" s="147"/>
      <c r="T3" s="147"/>
      <c r="U3" s="147"/>
      <c r="V3" s="147"/>
      <c r="W3" s="147"/>
      <c r="X3" s="147"/>
      <c r="Y3" s="148"/>
      <c r="Z3" s="148"/>
      <c r="AA3" s="148"/>
      <c r="AB3" s="148"/>
    </row>
    <row r="4" spans="1:33" ht="19.5" customHeight="1" x14ac:dyDescent="0.15">
      <c r="A4" s="651" t="s">
        <v>362</v>
      </c>
      <c r="B4" s="652"/>
      <c r="C4" s="652"/>
      <c r="D4" s="653"/>
      <c r="E4" s="657" t="s">
        <v>363</v>
      </c>
      <c r="F4" s="658"/>
      <c r="G4" s="658"/>
      <c r="H4" s="658"/>
      <c r="I4" s="658"/>
      <c r="J4" s="658"/>
      <c r="K4" s="658"/>
      <c r="L4" s="658"/>
      <c r="M4" s="658"/>
      <c r="N4" s="658"/>
      <c r="O4" s="659"/>
      <c r="P4" s="483" t="s">
        <v>364</v>
      </c>
      <c r="Q4" s="484"/>
      <c r="R4" s="484"/>
      <c r="S4" s="484"/>
      <c r="T4" s="484"/>
      <c r="U4" s="484"/>
      <c r="V4" s="148"/>
      <c r="W4" s="148"/>
      <c r="X4" s="148"/>
      <c r="Y4" s="148"/>
      <c r="Z4" s="148"/>
      <c r="AA4" s="32"/>
      <c r="AB4" s="32"/>
    </row>
    <row r="5" spans="1:33" ht="19.5" customHeight="1" thickBot="1" x14ac:dyDescent="0.2">
      <c r="A5" s="654"/>
      <c r="B5" s="655"/>
      <c r="C5" s="655"/>
      <c r="D5" s="656"/>
      <c r="E5" s="660"/>
      <c r="F5" s="661"/>
      <c r="G5" s="661"/>
      <c r="H5" s="661"/>
      <c r="I5" s="661"/>
      <c r="J5" s="661"/>
      <c r="K5" s="661"/>
      <c r="L5" s="661"/>
      <c r="M5" s="661"/>
      <c r="N5" s="661"/>
      <c r="O5" s="662"/>
      <c r="P5" s="483"/>
      <c r="Q5" s="484"/>
      <c r="R5" s="484"/>
      <c r="S5" s="484"/>
      <c r="T5" s="484"/>
      <c r="U5" s="484"/>
      <c r="V5" s="148"/>
      <c r="W5" s="148"/>
      <c r="AA5" s="32"/>
      <c r="AB5" s="32"/>
    </row>
    <row r="6" spans="1:33" ht="19.5" customHeight="1" x14ac:dyDescent="0.15">
      <c r="C6" s="162"/>
      <c r="D6" s="36"/>
      <c r="E6" s="36"/>
      <c r="F6" s="36"/>
      <c r="G6" s="36"/>
      <c r="H6" s="36"/>
      <c r="Q6" s="32"/>
      <c r="R6" s="32"/>
      <c r="S6" s="32"/>
      <c r="T6" s="32"/>
      <c r="U6" s="32"/>
      <c r="V6" s="32"/>
      <c r="W6" s="32"/>
      <c r="AA6" s="32"/>
      <c r="AB6" s="32"/>
    </row>
    <row r="7" spans="1:33" ht="19.5" customHeight="1" x14ac:dyDescent="0.15">
      <c r="A7" s="163" t="s">
        <v>365</v>
      </c>
      <c r="B7" s="163"/>
      <c r="C7" s="163"/>
      <c r="D7" s="163"/>
      <c r="E7" s="126" t="s">
        <v>366</v>
      </c>
      <c r="F7" s="274" t="s">
        <v>367</v>
      </c>
      <c r="H7" s="164" t="s">
        <v>250</v>
      </c>
      <c r="Y7" s="163"/>
      <c r="Z7" s="148"/>
      <c r="AA7" s="32"/>
      <c r="AB7" s="32"/>
      <c r="AC7" s="32"/>
      <c r="AD7" s="32"/>
      <c r="AE7" s="32"/>
      <c r="AF7" s="32"/>
      <c r="AG7" s="32"/>
    </row>
    <row r="8" spans="1:33" ht="19.5" customHeight="1" x14ac:dyDescent="0.15">
      <c r="C8" s="32"/>
      <c r="O8" s="368" t="s">
        <v>589</v>
      </c>
      <c r="P8" s="317"/>
      <c r="Q8" s="317"/>
      <c r="R8" s="317"/>
      <c r="S8" s="317"/>
      <c r="T8" s="317"/>
      <c r="U8" s="317"/>
      <c r="V8" s="317"/>
      <c r="W8" s="317"/>
      <c r="X8" s="318"/>
      <c r="Y8" s="32"/>
      <c r="Z8" s="32"/>
      <c r="AA8" s="32"/>
      <c r="AB8" s="32"/>
      <c r="AC8" s="32"/>
      <c r="AD8" s="32"/>
      <c r="AE8" s="32"/>
      <c r="AF8" s="32"/>
      <c r="AG8" s="32"/>
    </row>
    <row r="9" spans="1:33" ht="19.5" customHeight="1" x14ac:dyDescent="0.15">
      <c r="A9" s="275" t="s">
        <v>368</v>
      </c>
      <c r="B9" s="151"/>
      <c r="C9" s="151"/>
      <c r="D9" s="151"/>
      <c r="E9" s="151"/>
      <c r="F9" s="151"/>
      <c r="G9" s="151"/>
      <c r="H9" s="151"/>
      <c r="I9" s="151"/>
      <c r="J9" s="151"/>
      <c r="K9" s="151"/>
      <c r="L9" s="151"/>
      <c r="M9" s="151"/>
      <c r="N9" s="151"/>
      <c r="O9" s="319"/>
      <c r="P9" s="320"/>
      <c r="Q9" s="320"/>
      <c r="R9" s="321"/>
      <c r="S9" s="321"/>
      <c r="T9" s="321"/>
      <c r="U9" s="321"/>
      <c r="V9" s="321"/>
      <c r="W9" s="321"/>
      <c r="X9" s="322"/>
      <c r="AC9" s="32"/>
      <c r="AD9" s="32"/>
      <c r="AE9" s="32"/>
      <c r="AF9" s="32"/>
      <c r="AG9" s="32"/>
    </row>
    <row r="10" spans="1:33" ht="19.5" customHeight="1" x14ac:dyDescent="0.15">
      <c r="A10" s="492" t="s">
        <v>369</v>
      </c>
      <c r="B10" s="493"/>
      <c r="C10" s="493"/>
      <c r="D10" s="494"/>
      <c r="E10" s="555" t="s">
        <v>370</v>
      </c>
      <c r="F10" s="557" t="s">
        <v>371</v>
      </c>
      <c r="G10" s="494"/>
      <c r="H10" s="557" t="s">
        <v>372</v>
      </c>
      <c r="I10" s="558"/>
      <c r="J10" s="557" t="s">
        <v>373</v>
      </c>
      <c r="K10" s="494"/>
      <c r="L10" s="561" t="s">
        <v>374</v>
      </c>
      <c r="M10" s="562"/>
      <c r="N10" s="152"/>
      <c r="O10" s="323"/>
      <c r="P10" s="324"/>
      <c r="Q10" s="320"/>
      <c r="R10" s="320"/>
      <c r="S10" s="321"/>
      <c r="T10" s="321"/>
      <c r="U10" s="321"/>
      <c r="V10" s="321"/>
      <c r="W10" s="321"/>
      <c r="X10" s="322"/>
      <c r="Y10" s="163"/>
      <c r="AC10" s="32"/>
      <c r="AD10" s="32"/>
      <c r="AE10" s="32"/>
      <c r="AF10" s="32"/>
      <c r="AG10" s="32"/>
    </row>
    <row r="11" spans="1:33" ht="19.5" customHeight="1" x14ac:dyDescent="0.15">
      <c r="A11" s="495"/>
      <c r="B11" s="496"/>
      <c r="C11" s="496"/>
      <c r="D11" s="497"/>
      <c r="E11" s="556"/>
      <c r="F11" s="495"/>
      <c r="G11" s="497"/>
      <c r="H11" s="559"/>
      <c r="I11" s="560"/>
      <c r="J11" s="495"/>
      <c r="K11" s="497"/>
      <c r="L11" s="563"/>
      <c r="M11" s="564"/>
      <c r="N11" s="169"/>
      <c r="O11" s="323"/>
      <c r="P11" s="324"/>
      <c r="Q11" s="320"/>
      <c r="R11" s="321"/>
      <c r="S11" s="321"/>
      <c r="T11" s="321"/>
      <c r="U11" s="321"/>
      <c r="V11" s="321"/>
      <c r="W11" s="321"/>
      <c r="X11" s="322"/>
      <c r="Y11" s="163"/>
      <c r="AC11" s="32"/>
      <c r="AD11" s="32"/>
      <c r="AE11" s="32"/>
      <c r="AF11" s="32"/>
      <c r="AG11" s="32"/>
    </row>
    <row r="12" spans="1:33" ht="19.5" customHeight="1" x14ac:dyDescent="0.15">
      <c r="A12" s="336" t="s">
        <v>375</v>
      </c>
      <c r="B12" s="127"/>
      <c r="C12" s="127"/>
      <c r="D12" s="127"/>
      <c r="E12" s="128">
        <v>1</v>
      </c>
      <c r="F12" s="717">
        <v>8</v>
      </c>
      <c r="G12" s="718"/>
      <c r="H12" s="717">
        <v>12</v>
      </c>
      <c r="I12" s="718"/>
      <c r="J12" s="717">
        <v>100</v>
      </c>
      <c r="K12" s="718"/>
      <c r="L12" s="731">
        <f t="shared" ref="L12:L20" si="0">ROUND(E12*F12*H12*J12/100,0)</f>
        <v>96</v>
      </c>
      <c r="M12" s="732"/>
      <c r="N12" s="152"/>
      <c r="O12" s="319"/>
      <c r="P12" s="320"/>
      <c r="Q12" s="320"/>
      <c r="R12" s="321"/>
      <c r="S12" s="321"/>
      <c r="T12" s="321"/>
      <c r="U12" s="321"/>
      <c r="V12" s="321"/>
      <c r="W12" s="321"/>
      <c r="X12" s="322"/>
      <c r="AC12" s="32"/>
      <c r="AD12" s="32"/>
      <c r="AE12" s="32"/>
      <c r="AF12" s="32"/>
      <c r="AG12" s="32"/>
    </row>
    <row r="13" spans="1:33" ht="19.5" customHeight="1" x14ac:dyDescent="0.15">
      <c r="A13" s="334" t="s">
        <v>376</v>
      </c>
      <c r="B13" s="129"/>
      <c r="C13" s="129"/>
      <c r="D13" s="129"/>
      <c r="E13" s="130">
        <v>2</v>
      </c>
      <c r="F13" s="498">
        <v>4</v>
      </c>
      <c r="G13" s="499"/>
      <c r="H13" s="498">
        <v>20</v>
      </c>
      <c r="I13" s="499"/>
      <c r="J13" s="498">
        <v>100</v>
      </c>
      <c r="K13" s="499"/>
      <c r="L13" s="574">
        <f t="shared" si="0"/>
        <v>160</v>
      </c>
      <c r="M13" s="575"/>
      <c r="N13" s="169"/>
      <c r="O13" s="319"/>
      <c r="P13" s="320"/>
      <c r="Q13" s="320"/>
      <c r="R13" s="324"/>
      <c r="S13" s="321"/>
      <c r="T13" s="321"/>
      <c r="U13" s="321"/>
      <c r="V13" s="321"/>
      <c r="W13" s="321"/>
      <c r="X13" s="322"/>
      <c r="AC13" s="32"/>
      <c r="AD13" s="32"/>
      <c r="AE13" s="32"/>
      <c r="AF13" s="32"/>
      <c r="AG13" s="32"/>
    </row>
    <row r="14" spans="1:33" ht="19.5" customHeight="1" x14ac:dyDescent="0.15">
      <c r="A14" s="334" t="s">
        <v>377</v>
      </c>
      <c r="B14" s="129"/>
      <c r="C14" s="131"/>
      <c r="D14" s="131"/>
      <c r="E14" s="132">
        <v>10</v>
      </c>
      <c r="F14" s="498">
        <v>1</v>
      </c>
      <c r="G14" s="499"/>
      <c r="H14" s="498">
        <v>20</v>
      </c>
      <c r="I14" s="499"/>
      <c r="J14" s="498">
        <v>100</v>
      </c>
      <c r="K14" s="499"/>
      <c r="L14" s="574">
        <f t="shared" si="0"/>
        <v>200</v>
      </c>
      <c r="M14" s="575"/>
      <c r="N14" s="169"/>
      <c r="O14" s="319"/>
      <c r="P14" s="320"/>
      <c r="Q14" s="320"/>
      <c r="R14" s="324"/>
      <c r="S14" s="321"/>
      <c r="T14" s="321"/>
      <c r="U14" s="321"/>
      <c r="V14" s="321"/>
      <c r="W14" s="321"/>
      <c r="X14" s="322"/>
      <c r="AC14" s="32"/>
      <c r="AD14" s="32"/>
      <c r="AE14" s="32"/>
      <c r="AF14" s="32"/>
      <c r="AG14" s="32"/>
    </row>
    <row r="15" spans="1:33" ht="19.5" customHeight="1" x14ac:dyDescent="0.15">
      <c r="A15" s="334" t="s">
        <v>378</v>
      </c>
      <c r="B15" s="131"/>
      <c r="C15" s="129"/>
      <c r="D15" s="129"/>
      <c r="E15" s="130">
        <v>2</v>
      </c>
      <c r="F15" s="498">
        <v>60</v>
      </c>
      <c r="G15" s="499"/>
      <c r="H15" s="498">
        <v>3</v>
      </c>
      <c r="I15" s="499"/>
      <c r="J15" s="498">
        <v>100</v>
      </c>
      <c r="K15" s="499"/>
      <c r="L15" s="574">
        <f t="shared" si="0"/>
        <v>360</v>
      </c>
      <c r="M15" s="575"/>
      <c r="N15" s="169"/>
      <c r="O15" s="319"/>
      <c r="P15" s="320"/>
      <c r="Q15" s="320"/>
      <c r="R15" s="324"/>
      <c r="S15" s="321"/>
      <c r="T15" s="321"/>
      <c r="U15" s="321"/>
      <c r="V15" s="321"/>
      <c r="W15" s="321"/>
      <c r="X15" s="322"/>
      <c r="AC15" s="32"/>
      <c r="AD15" s="32"/>
      <c r="AE15" s="32"/>
      <c r="AF15" s="32"/>
      <c r="AG15" s="32"/>
    </row>
    <row r="16" spans="1:33" ht="19.5" customHeight="1" x14ac:dyDescent="0.15">
      <c r="A16" s="334"/>
      <c r="B16" s="129"/>
      <c r="C16" s="131"/>
      <c r="D16" s="131"/>
      <c r="E16" s="132"/>
      <c r="F16" s="498"/>
      <c r="G16" s="499"/>
      <c r="H16" s="498"/>
      <c r="I16" s="499"/>
      <c r="J16" s="498"/>
      <c r="K16" s="499"/>
      <c r="L16" s="574">
        <f t="shared" si="0"/>
        <v>0</v>
      </c>
      <c r="M16" s="575"/>
      <c r="N16" s="169"/>
      <c r="O16" s="319"/>
      <c r="P16" s="320"/>
      <c r="Q16" s="320"/>
      <c r="R16" s="324"/>
      <c r="S16" s="321"/>
      <c r="T16" s="321"/>
      <c r="U16" s="321"/>
      <c r="V16" s="321"/>
      <c r="W16" s="321"/>
      <c r="X16" s="322"/>
      <c r="AC16" s="32"/>
      <c r="AD16" s="32"/>
      <c r="AE16" s="32"/>
      <c r="AF16" s="32"/>
      <c r="AG16" s="32"/>
    </row>
    <row r="17" spans="1:33" ht="19.5" customHeight="1" x14ac:dyDescent="0.15">
      <c r="A17" s="334"/>
      <c r="B17" s="129"/>
      <c r="C17" s="131"/>
      <c r="D17" s="131"/>
      <c r="E17" s="132"/>
      <c r="F17" s="498"/>
      <c r="G17" s="499"/>
      <c r="H17" s="498"/>
      <c r="I17" s="499"/>
      <c r="J17" s="498"/>
      <c r="K17" s="499"/>
      <c r="L17" s="574">
        <f t="shared" si="0"/>
        <v>0</v>
      </c>
      <c r="M17" s="575"/>
      <c r="N17" s="169"/>
      <c r="O17" s="319"/>
      <c r="P17" s="320"/>
      <c r="Q17" s="320"/>
      <c r="R17" s="324"/>
      <c r="S17" s="321"/>
      <c r="T17" s="321"/>
      <c r="U17" s="321"/>
      <c r="V17" s="321"/>
      <c r="W17" s="321"/>
      <c r="X17" s="322"/>
      <c r="AC17" s="32"/>
      <c r="AD17" s="32"/>
      <c r="AE17" s="32"/>
      <c r="AF17" s="32"/>
      <c r="AG17" s="32"/>
    </row>
    <row r="18" spans="1:33" ht="19.5" customHeight="1" x14ac:dyDescent="0.15">
      <c r="A18" s="334"/>
      <c r="B18" s="131"/>
      <c r="C18" s="129"/>
      <c r="D18" s="129"/>
      <c r="E18" s="130"/>
      <c r="F18" s="498"/>
      <c r="G18" s="499"/>
      <c r="H18" s="498"/>
      <c r="I18" s="499"/>
      <c r="J18" s="498"/>
      <c r="K18" s="499"/>
      <c r="L18" s="574">
        <f t="shared" si="0"/>
        <v>0</v>
      </c>
      <c r="M18" s="575"/>
      <c r="N18" s="169"/>
      <c r="O18" s="319"/>
      <c r="P18" s="320"/>
      <c r="Q18" s="320"/>
      <c r="R18" s="324"/>
      <c r="S18" s="321"/>
      <c r="T18" s="321"/>
      <c r="U18" s="321"/>
      <c r="V18" s="321"/>
      <c r="W18" s="321"/>
      <c r="X18" s="322"/>
      <c r="AC18" s="32"/>
      <c r="AD18" s="32"/>
      <c r="AE18" s="32"/>
      <c r="AF18" s="32"/>
      <c r="AG18" s="32"/>
    </row>
    <row r="19" spans="1:33" ht="19.5" customHeight="1" x14ac:dyDescent="0.15">
      <c r="A19" s="334"/>
      <c r="B19" s="131"/>
      <c r="C19" s="131"/>
      <c r="D19" s="131"/>
      <c r="E19" s="132"/>
      <c r="F19" s="498"/>
      <c r="G19" s="499"/>
      <c r="H19" s="498"/>
      <c r="I19" s="499"/>
      <c r="J19" s="498"/>
      <c r="K19" s="499"/>
      <c r="L19" s="574">
        <f t="shared" si="0"/>
        <v>0</v>
      </c>
      <c r="M19" s="575"/>
      <c r="N19" s="169"/>
      <c r="O19" s="319"/>
      <c r="P19" s="320"/>
      <c r="Q19" s="320"/>
      <c r="R19" s="324"/>
      <c r="S19" s="321"/>
      <c r="T19" s="321"/>
      <c r="U19" s="321"/>
      <c r="V19" s="321"/>
      <c r="W19" s="321"/>
      <c r="X19" s="322"/>
      <c r="AC19" s="32"/>
      <c r="AD19" s="32"/>
      <c r="AE19" s="32"/>
      <c r="AF19" s="32"/>
      <c r="AG19" s="32"/>
    </row>
    <row r="20" spans="1:33" ht="19.5" customHeight="1" x14ac:dyDescent="0.15">
      <c r="A20" s="335"/>
      <c r="B20" s="133"/>
      <c r="C20" s="133"/>
      <c r="D20" s="133"/>
      <c r="E20" s="134"/>
      <c r="F20" s="576"/>
      <c r="G20" s="577"/>
      <c r="H20" s="576"/>
      <c r="I20" s="577"/>
      <c r="J20" s="576"/>
      <c r="K20" s="577"/>
      <c r="L20" s="578">
        <f t="shared" si="0"/>
        <v>0</v>
      </c>
      <c r="M20" s="579"/>
      <c r="N20" s="169"/>
      <c r="O20" s="319"/>
      <c r="P20" s="320"/>
      <c r="Q20" s="320"/>
      <c r="R20" s="324"/>
      <c r="S20" s="321"/>
      <c r="T20" s="321"/>
      <c r="U20" s="321"/>
      <c r="V20" s="321"/>
      <c r="W20" s="321"/>
      <c r="X20" s="322"/>
      <c r="AC20" s="32"/>
      <c r="AD20" s="32"/>
      <c r="AE20" s="32"/>
      <c r="AF20" s="32"/>
      <c r="AG20" s="32"/>
    </row>
    <row r="21" spans="1:33" ht="19.5" customHeight="1" x14ac:dyDescent="0.15">
      <c r="A21" s="152"/>
      <c r="B21" s="152"/>
      <c r="C21" s="152"/>
      <c r="D21" s="152"/>
      <c r="E21" s="152"/>
      <c r="F21" s="152"/>
      <c r="G21" s="152"/>
      <c r="H21" s="492" t="s">
        <v>379</v>
      </c>
      <c r="I21" s="493"/>
      <c r="J21" s="494"/>
      <c r="K21" s="749">
        <f>SUM(L12:M20)</f>
        <v>816</v>
      </c>
      <c r="L21" s="750"/>
      <c r="M21" s="276" t="s">
        <v>380</v>
      </c>
      <c r="N21" s="151"/>
      <c r="O21" s="319"/>
      <c r="P21" s="320"/>
      <c r="Q21" s="320"/>
      <c r="R21" s="320"/>
      <c r="S21" s="321"/>
      <c r="T21" s="321"/>
      <c r="U21" s="321"/>
      <c r="V21" s="321"/>
      <c r="W21" s="321"/>
      <c r="X21" s="322"/>
      <c r="AC21" s="32"/>
      <c r="AD21" s="32"/>
      <c r="AE21" s="32"/>
      <c r="AF21" s="32"/>
      <c r="AG21" s="32"/>
    </row>
    <row r="22" spans="1:33" ht="19.5" customHeight="1" x14ac:dyDescent="0.15">
      <c r="A22" s="152"/>
      <c r="B22" s="152"/>
      <c r="C22" s="152"/>
      <c r="D22" s="152"/>
      <c r="E22" s="152"/>
      <c r="F22" s="152"/>
      <c r="G22" s="152"/>
      <c r="H22" s="495"/>
      <c r="I22" s="496"/>
      <c r="J22" s="497"/>
      <c r="K22" s="738">
        <f>ROUND(K21/60,0)</f>
        <v>14</v>
      </c>
      <c r="L22" s="739"/>
      <c r="M22" s="277" t="s">
        <v>381</v>
      </c>
      <c r="N22" s="273"/>
      <c r="O22" s="319"/>
      <c r="P22" s="320"/>
      <c r="Q22" s="320"/>
      <c r="R22" s="320"/>
      <c r="S22" s="321"/>
      <c r="T22" s="321"/>
      <c r="U22" s="321"/>
      <c r="V22" s="321"/>
      <c r="W22" s="321"/>
      <c r="X22" s="325"/>
      <c r="AC22" s="32"/>
      <c r="AD22" s="32"/>
      <c r="AE22" s="32"/>
      <c r="AF22" s="32"/>
      <c r="AG22" s="32"/>
    </row>
    <row r="23" spans="1:33" s="151" customFormat="1" ht="19.5" customHeight="1" x14ac:dyDescent="0.15">
      <c r="F23" s="150"/>
      <c r="G23" s="150"/>
      <c r="H23" s="284"/>
      <c r="I23" s="284"/>
      <c r="J23" s="284"/>
      <c r="K23" s="284"/>
      <c r="L23" s="284"/>
      <c r="M23" s="168"/>
      <c r="N23" s="150"/>
      <c r="O23" s="301"/>
      <c r="P23" s="302"/>
      <c r="Q23" s="302"/>
      <c r="R23" s="302"/>
      <c r="S23" s="326"/>
      <c r="T23" s="326"/>
      <c r="U23" s="326"/>
      <c r="V23" s="326"/>
      <c r="W23" s="326"/>
      <c r="X23" s="327"/>
      <c r="AC23" s="152"/>
      <c r="AD23" s="152"/>
      <c r="AE23" s="152"/>
      <c r="AF23" s="152"/>
      <c r="AG23" s="152"/>
    </row>
    <row r="24" spans="1:33" s="151" customFormat="1" ht="19.5" customHeight="1" x14ac:dyDescent="0.15">
      <c r="A24" s="255" t="s">
        <v>382</v>
      </c>
      <c r="Q24" s="150"/>
      <c r="R24" s="150"/>
      <c r="AC24" s="152"/>
      <c r="AD24" s="152"/>
      <c r="AE24" s="152"/>
      <c r="AF24" s="152"/>
      <c r="AG24" s="152"/>
    </row>
    <row r="25" spans="1:33" s="151" customFormat="1" ht="19.5" customHeight="1" x14ac:dyDescent="0.15">
      <c r="A25" s="671" t="s">
        <v>383</v>
      </c>
      <c r="B25" s="671"/>
      <c r="C25" s="491" t="s">
        <v>384</v>
      </c>
      <c r="D25" s="491"/>
      <c r="E25" s="491"/>
      <c r="F25" s="671" t="s">
        <v>385</v>
      </c>
      <c r="G25" s="671"/>
      <c r="H25" s="671"/>
      <c r="I25" s="119">
        <v>120</v>
      </c>
      <c r="J25" s="166" t="s">
        <v>41</v>
      </c>
      <c r="K25" s="671" t="s">
        <v>386</v>
      </c>
      <c r="L25" s="671"/>
      <c r="M25" s="119">
        <v>10</v>
      </c>
      <c r="N25" s="166" t="s">
        <v>387</v>
      </c>
      <c r="O25" s="671" t="s">
        <v>388</v>
      </c>
      <c r="P25" s="671"/>
      <c r="Q25" s="131">
        <v>30</v>
      </c>
      <c r="R25" s="150" t="s">
        <v>389</v>
      </c>
      <c r="AC25" s="152"/>
      <c r="AD25" s="152"/>
      <c r="AE25" s="152"/>
      <c r="AF25" s="152"/>
      <c r="AG25" s="152"/>
    </row>
    <row r="26" spans="1:33" s="151" customFormat="1" ht="19.5" customHeight="1" x14ac:dyDescent="0.15">
      <c r="B26" s="151" t="s">
        <v>390</v>
      </c>
      <c r="C26" s="151" t="s">
        <v>48</v>
      </c>
      <c r="D26" s="151" t="s">
        <v>590</v>
      </c>
      <c r="F26" s="171"/>
      <c r="G26" s="171" t="s">
        <v>51</v>
      </c>
      <c r="H26" s="171" t="s">
        <v>391</v>
      </c>
      <c r="K26" s="151" t="s">
        <v>390</v>
      </c>
      <c r="L26" s="151" t="s">
        <v>55</v>
      </c>
      <c r="M26" s="151" t="s">
        <v>392</v>
      </c>
      <c r="R26" s="171"/>
      <c r="AC26" s="152"/>
      <c r="AD26" s="152"/>
      <c r="AE26" s="152"/>
      <c r="AF26" s="152"/>
      <c r="AG26" s="152"/>
    </row>
    <row r="27" spans="1:33" s="151" customFormat="1" ht="19.5" customHeight="1" x14ac:dyDescent="0.15">
      <c r="C27" s="151" t="s">
        <v>48</v>
      </c>
      <c r="D27" s="489">
        <f>S28</f>
        <v>3600</v>
      </c>
      <c r="E27" s="489"/>
      <c r="F27" s="490">
        <f>M29</f>
        <v>10</v>
      </c>
      <c r="G27" s="490"/>
      <c r="H27" s="173">
        <f>M30</f>
        <v>2.5</v>
      </c>
      <c r="K27" s="151" t="s">
        <v>65</v>
      </c>
      <c r="L27" s="151" t="s">
        <v>55</v>
      </c>
      <c r="M27" s="151" t="s">
        <v>393</v>
      </c>
      <c r="AC27" s="152"/>
      <c r="AD27" s="152"/>
      <c r="AE27" s="152"/>
      <c r="AF27" s="152"/>
      <c r="AG27" s="152"/>
    </row>
    <row r="28" spans="1:33" s="151" customFormat="1" ht="19.5" customHeight="1" x14ac:dyDescent="0.15">
      <c r="C28" s="151" t="s">
        <v>55</v>
      </c>
      <c r="D28" s="278">
        <f>ROUND(S28/(M29*60)*H27,0)</f>
        <v>15</v>
      </c>
      <c r="E28" s="273" t="s">
        <v>58</v>
      </c>
      <c r="L28" s="151" t="s">
        <v>55</v>
      </c>
      <c r="M28" s="173">
        <f>ROUND(Q25,0)</f>
        <v>30</v>
      </c>
      <c r="N28" s="151" t="s">
        <v>394</v>
      </c>
      <c r="P28" s="166">
        <f>ROUND(I25,0)</f>
        <v>120</v>
      </c>
      <c r="Q28" s="151" t="s">
        <v>395</v>
      </c>
      <c r="R28" s="171" t="s">
        <v>48</v>
      </c>
      <c r="S28" s="663">
        <f>ROUND(M28*P28,0)</f>
        <v>3600</v>
      </c>
      <c r="T28" s="663"/>
      <c r="U28" s="151" t="s">
        <v>396</v>
      </c>
      <c r="AC28" s="152"/>
      <c r="AD28" s="152"/>
      <c r="AE28" s="152"/>
      <c r="AF28" s="152"/>
      <c r="AG28" s="152"/>
    </row>
    <row r="29" spans="1:33" s="151" customFormat="1" ht="19.5" customHeight="1" x14ac:dyDescent="0.15">
      <c r="D29" s="272"/>
      <c r="E29" s="273"/>
      <c r="F29" s="166"/>
      <c r="K29" s="151" t="s">
        <v>397</v>
      </c>
      <c r="L29" s="151" t="s">
        <v>55</v>
      </c>
      <c r="M29" s="173">
        <f>M25</f>
        <v>10</v>
      </c>
      <c r="N29" s="151" t="s">
        <v>398</v>
      </c>
      <c r="AC29" s="152"/>
      <c r="AD29" s="152"/>
      <c r="AE29" s="152"/>
      <c r="AF29" s="152"/>
      <c r="AG29" s="152"/>
    </row>
    <row r="30" spans="1:33" s="151" customFormat="1" ht="19.5" customHeight="1" x14ac:dyDescent="0.15">
      <c r="K30" s="151" t="s">
        <v>391</v>
      </c>
      <c r="L30" s="151" t="s">
        <v>55</v>
      </c>
      <c r="M30" s="283">
        <v>2.5</v>
      </c>
      <c r="N30" s="151" t="s">
        <v>399</v>
      </c>
      <c r="R30" s="171"/>
      <c r="AC30" s="152"/>
      <c r="AD30" s="152"/>
      <c r="AE30" s="152"/>
      <c r="AF30" s="152"/>
      <c r="AG30" s="152"/>
    </row>
    <row r="31" spans="1:33" s="151" customFormat="1" ht="19.5" customHeight="1" thickBot="1" x14ac:dyDescent="0.2">
      <c r="AC31" s="152"/>
      <c r="AD31" s="152"/>
      <c r="AE31" s="152"/>
      <c r="AF31" s="152"/>
      <c r="AG31" s="152"/>
    </row>
    <row r="32" spans="1:33" s="151" customFormat="1" ht="19.5" customHeight="1" x14ac:dyDescent="0.15">
      <c r="A32" s="664" t="s">
        <v>71</v>
      </c>
      <c r="B32" s="665"/>
      <c r="C32" s="665"/>
      <c r="D32" s="666"/>
      <c r="E32" s="667" t="s">
        <v>72</v>
      </c>
      <c r="F32" s="665"/>
      <c r="G32" s="665"/>
      <c r="H32" s="665"/>
      <c r="I32" s="665"/>
      <c r="J32" s="665"/>
      <c r="K32" s="665"/>
      <c r="L32" s="665"/>
      <c r="M32" s="665"/>
      <c r="N32" s="665"/>
      <c r="O32" s="665"/>
      <c r="P32" s="665"/>
      <c r="Q32" s="666"/>
      <c r="R32" s="667" t="s">
        <v>73</v>
      </c>
      <c r="S32" s="665"/>
      <c r="T32" s="665"/>
      <c r="U32" s="665"/>
      <c r="V32" s="666"/>
      <c r="W32" s="665" t="s">
        <v>74</v>
      </c>
      <c r="X32" s="665"/>
      <c r="Y32" s="669"/>
      <c r="AC32" s="152"/>
      <c r="AD32" s="152"/>
      <c r="AE32" s="152"/>
      <c r="AF32" s="152"/>
      <c r="AG32" s="152"/>
    </row>
    <row r="33" spans="1:33" s="151" customFormat="1" ht="19.5" customHeight="1" x14ac:dyDescent="0.15">
      <c r="A33" s="571"/>
      <c r="B33" s="572"/>
      <c r="C33" s="572"/>
      <c r="D33" s="573"/>
      <c r="E33" s="668"/>
      <c r="F33" s="572"/>
      <c r="G33" s="572"/>
      <c r="H33" s="572"/>
      <c r="I33" s="572"/>
      <c r="J33" s="572"/>
      <c r="K33" s="572"/>
      <c r="L33" s="572"/>
      <c r="M33" s="572"/>
      <c r="N33" s="572"/>
      <c r="O33" s="572"/>
      <c r="P33" s="572"/>
      <c r="Q33" s="573"/>
      <c r="R33" s="668"/>
      <c r="S33" s="572"/>
      <c r="T33" s="572"/>
      <c r="U33" s="572"/>
      <c r="V33" s="573"/>
      <c r="W33" s="572"/>
      <c r="X33" s="572"/>
      <c r="Y33" s="670"/>
      <c r="AC33" s="152"/>
      <c r="AD33" s="152"/>
      <c r="AE33" s="152"/>
      <c r="AF33" s="152"/>
      <c r="AG33" s="152"/>
    </row>
    <row r="34" spans="1:33" s="151" customFormat="1" ht="19.5" customHeight="1" x14ac:dyDescent="0.15">
      <c r="A34" s="565" t="s">
        <v>75</v>
      </c>
      <c r="B34" s="566"/>
      <c r="C34" s="566"/>
      <c r="D34" s="567"/>
      <c r="E34" s="120" t="s">
        <v>263</v>
      </c>
      <c r="F34" s="27"/>
      <c r="G34" s="27"/>
      <c r="H34" s="27"/>
      <c r="I34" s="28"/>
      <c r="J34" s="27"/>
      <c r="K34" s="28"/>
      <c r="L34" s="27"/>
      <c r="M34" s="29"/>
      <c r="N34" s="29"/>
      <c r="O34" s="29"/>
      <c r="P34" s="29"/>
      <c r="Q34" s="30"/>
      <c r="R34" s="584" t="s">
        <v>77</v>
      </c>
      <c r="S34" s="585"/>
      <c r="T34" s="585"/>
      <c r="U34" s="585"/>
      <c r="V34" s="586"/>
      <c r="W34" s="602" t="str">
        <f>IF(F36&gt;400,"×","○")</f>
        <v>○</v>
      </c>
      <c r="X34" s="603"/>
      <c r="Y34" s="604"/>
      <c r="AC34" s="152"/>
      <c r="AD34" s="152"/>
      <c r="AE34" s="152"/>
      <c r="AF34" s="152"/>
      <c r="AG34" s="152"/>
    </row>
    <row r="35" spans="1:33" s="151" customFormat="1" ht="19.5" customHeight="1" x14ac:dyDescent="0.15">
      <c r="A35" s="568"/>
      <c r="B35" s="569"/>
      <c r="C35" s="569"/>
      <c r="D35" s="570"/>
      <c r="E35" s="31" t="s">
        <v>55</v>
      </c>
      <c r="F35" s="611">
        <f>IF(E7="例①",ROUND(K22*3,0),IF(E7="例②",ROUND(D28*3,0)))</f>
        <v>45</v>
      </c>
      <c r="G35" s="611"/>
      <c r="H35" s="47" t="s">
        <v>90</v>
      </c>
      <c r="I35" s="612">
        <f>IF(E7="例①",ROUND(K22*10,0),IF(E7="例②",ROUND(D28*10,0)))</f>
        <v>150</v>
      </c>
      <c r="J35" s="612"/>
      <c r="K35" s="34" t="s">
        <v>381</v>
      </c>
      <c r="L35" s="36"/>
      <c r="M35" s="32"/>
      <c r="N35" s="32"/>
      <c r="O35" s="32"/>
      <c r="P35" s="32"/>
      <c r="Q35" s="37"/>
      <c r="R35" s="587"/>
      <c r="S35" s="588"/>
      <c r="T35" s="588"/>
      <c r="U35" s="588"/>
      <c r="V35" s="589"/>
      <c r="W35" s="605"/>
      <c r="X35" s="606"/>
      <c r="Y35" s="607"/>
      <c r="AC35" s="152"/>
      <c r="AD35" s="152"/>
      <c r="AE35" s="152"/>
      <c r="AF35" s="152"/>
      <c r="AG35" s="152"/>
    </row>
    <row r="36" spans="1:33" s="151" customFormat="1" ht="19.5" customHeight="1" x14ac:dyDescent="0.15">
      <c r="A36" s="571"/>
      <c r="B36" s="572"/>
      <c r="C36" s="572"/>
      <c r="D36" s="573"/>
      <c r="E36" s="38" t="s">
        <v>80</v>
      </c>
      <c r="F36" s="620">
        <v>200</v>
      </c>
      <c r="G36" s="620"/>
      <c r="H36" s="39" t="s">
        <v>81</v>
      </c>
      <c r="I36" s="39"/>
      <c r="J36" s="39"/>
      <c r="K36" s="40"/>
      <c r="L36" s="39"/>
      <c r="M36" s="41"/>
      <c r="N36" s="41"/>
      <c r="O36" s="41"/>
      <c r="P36" s="41"/>
      <c r="Q36" s="42"/>
      <c r="R36" s="590"/>
      <c r="S36" s="591"/>
      <c r="T36" s="591"/>
      <c r="U36" s="591"/>
      <c r="V36" s="592"/>
      <c r="W36" s="608"/>
      <c r="X36" s="609"/>
      <c r="Y36" s="610"/>
      <c r="AC36" s="152"/>
      <c r="AD36" s="152"/>
      <c r="AE36" s="152"/>
      <c r="AF36" s="152"/>
      <c r="AG36" s="152"/>
    </row>
    <row r="37" spans="1:33" s="151" customFormat="1" ht="19.5" customHeight="1" x14ac:dyDescent="0.15">
      <c r="A37" s="565" t="s">
        <v>82</v>
      </c>
      <c r="B37" s="566"/>
      <c r="C37" s="566"/>
      <c r="D37" s="567"/>
      <c r="E37" s="121" t="s">
        <v>400</v>
      </c>
      <c r="F37" s="27"/>
      <c r="G37" s="27"/>
      <c r="H37" s="122"/>
      <c r="I37" s="123"/>
      <c r="J37" s="29">
        <f>IF(E7="例①",K22,IF(E7="例②",D28))</f>
        <v>15</v>
      </c>
      <c r="K37" s="27" t="s">
        <v>287</v>
      </c>
      <c r="L37" s="74">
        <v>120</v>
      </c>
      <c r="M37" s="27" t="s">
        <v>401</v>
      </c>
      <c r="N37" s="29" t="s">
        <v>48</v>
      </c>
      <c r="O37" s="621">
        <f>IF(E7="例①",ROUND(K22*0.12,2),IF(E7="例②",ROUND(D28*0.12,2)))</f>
        <v>1.8</v>
      </c>
      <c r="P37" s="621"/>
      <c r="Q37" s="125" t="s">
        <v>603</v>
      </c>
      <c r="R37" s="740" t="s">
        <v>683</v>
      </c>
      <c r="S37" s="741"/>
      <c r="T37" s="741"/>
      <c r="U37" s="741"/>
      <c r="V37" s="742"/>
      <c r="W37" s="622" t="str">
        <f>IF(OR(H38*1.5&gt;N40+T41,H38&gt;=3),"×","○")</f>
        <v>○</v>
      </c>
      <c r="X37" s="623"/>
      <c r="Y37" s="624"/>
      <c r="AC37" s="152"/>
      <c r="AD37" s="152"/>
      <c r="AE37" s="152"/>
      <c r="AF37" s="152"/>
      <c r="AG37" s="152"/>
    </row>
    <row r="38" spans="1:33" s="151" customFormat="1" ht="19.5" customHeight="1" x14ac:dyDescent="0.15">
      <c r="A38" s="568"/>
      <c r="B38" s="569"/>
      <c r="C38" s="569"/>
      <c r="D38" s="570"/>
      <c r="E38" s="45" t="s">
        <v>402</v>
      </c>
      <c r="F38" s="46"/>
      <c r="G38" s="40"/>
      <c r="H38" s="501">
        <f>O37</f>
        <v>1.8</v>
      </c>
      <c r="I38" s="501"/>
      <c r="J38" s="56" t="s">
        <v>602</v>
      </c>
      <c r="K38" s="50" t="s">
        <v>92</v>
      </c>
      <c r="L38" s="54"/>
      <c r="M38" s="54"/>
      <c r="N38" s="41"/>
      <c r="O38" s="41"/>
      <c r="P38" s="41"/>
      <c r="Q38" s="42"/>
      <c r="R38" s="743"/>
      <c r="S38" s="744"/>
      <c r="T38" s="744"/>
      <c r="U38" s="744"/>
      <c r="V38" s="745"/>
      <c r="W38" s="625"/>
      <c r="X38" s="626"/>
      <c r="Y38" s="627"/>
      <c r="AC38" s="152"/>
      <c r="AD38" s="152"/>
      <c r="AE38" s="152"/>
      <c r="AF38" s="152"/>
      <c r="AG38" s="152"/>
    </row>
    <row r="39" spans="1:33" s="151" customFormat="1" ht="19.5" customHeight="1" x14ac:dyDescent="0.15">
      <c r="A39" s="568"/>
      <c r="B39" s="569"/>
      <c r="C39" s="569"/>
      <c r="D39" s="570"/>
      <c r="E39" s="52" t="s">
        <v>93</v>
      </c>
      <c r="F39" s="53"/>
      <c r="G39" s="53"/>
      <c r="H39" s="53"/>
      <c r="I39" s="34"/>
      <c r="J39" s="34"/>
      <c r="K39" s="34"/>
      <c r="L39" s="34"/>
      <c r="M39" s="34"/>
      <c r="N39" s="32"/>
      <c r="O39" s="32"/>
      <c r="P39" s="32"/>
      <c r="Q39" s="37"/>
      <c r="R39" s="743"/>
      <c r="S39" s="744"/>
      <c r="T39" s="744"/>
      <c r="U39" s="744"/>
      <c r="V39" s="745"/>
      <c r="W39" s="625"/>
      <c r="X39" s="626"/>
      <c r="Y39" s="627"/>
      <c r="AC39" s="152"/>
      <c r="AD39" s="152"/>
      <c r="AE39" s="152"/>
      <c r="AF39" s="152"/>
      <c r="AG39" s="152"/>
    </row>
    <row r="40" spans="1:33" s="151" customFormat="1" ht="19.5" customHeight="1" x14ac:dyDescent="0.15">
      <c r="A40" s="568"/>
      <c r="B40" s="569"/>
      <c r="C40" s="569"/>
      <c r="D40" s="570"/>
      <c r="E40" s="55" t="s">
        <v>142</v>
      </c>
      <c r="F40" s="501">
        <f>H41*K41</f>
        <v>2.0099999999999998</v>
      </c>
      <c r="G40" s="501"/>
      <c r="H40" s="56" t="s">
        <v>601</v>
      </c>
      <c r="I40" s="40" t="s">
        <v>14</v>
      </c>
      <c r="J40" s="500">
        <f>N41</f>
        <v>1.5</v>
      </c>
      <c r="K40" s="500"/>
      <c r="L40" s="56" t="s">
        <v>146</v>
      </c>
      <c r="M40" s="351" t="s">
        <v>598</v>
      </c>
      <c r="N40" s="501">
        <f>ROUND(F40*J40,2)</f>
        <v>3.02</v>
      </c>
      <c r="O40" s="501"/>
      <c r="P40" s="56" t="s">
        <v>603</v>
      </c>
      <c r="Q40" s="42"/>
      <c r="R40" s="511" t="s">
        <v>606</v>
      </c>
      <c r="S40" s="512"/>
      <c r="T40" s="512"/>
      <c r="U40" s="512"/>
      <c r="V40" s="513"/>
      <c r="W40" s="625"/>
      <c r="X40" s="626"/>
      <c r="Y40" s="627"/>
      <c r="AC40" s="152"/>
      <c r="AD40" s="152"/>
      <c r="AE40" s="152"/>
      <c r="AF40" s="152"/>
      <c r="AG40" s="152"/>
    </row>
    <row r="41" spans="1:33" ht="19.5" customHeight="1" x14ac:dyDescent="0.15">
      <c r="A41" s="571"/>
      <c r="B41" s="572"/>
      <c r="C41" s="572"/>
      <c r="D41" s="573"/>
      <c r="E41" s="632" t="s">
        <v>94</v>
      </c>
      <c r="F41" s="633"/>
      <c r="G41" s="57"/>
      <c r="H41" s="634">
        <v>2.0099999999999998</v>
      </c>
      <c r="I41" s="634"/>
      <c r="J41" s="141" t="s">
        <v>14</v>
      </c>
      <c r="K41" s="635">
        <v>1</v>
      </c>
      <c r="L41" s="635"/>
      <c r="M41" s="142" t="s">
        <v>85</v>
      </c>
      <c r="N41" s="613">
        <v>1.5</v>
      </c>
      <c r="O41" s="613"/>
      <c r="P41" s="143" t="s">
        <v>95</v>
      </c>
      <c r="Q41" s="58" t="s">
        <v>96</v>
      </c>
      <c r="R41" s="353" t="s">
        <v>605</v>
      </c>
      <c r="S41" s="352"/>
      <c r="T41" s="514"/>
      <c r="U41" s="514"/>
      <c r="V41" s="354" t="s">
        <v>604</v>
      </c>
      <c r="W41" s="628"/>
      <c r="X41" s="629"/>
      <c r="Y41" s="630"/>
      <c r="AC41" s="32"/>
      <c r="AD41" s="32"/>
      <c r="AE41" s="32"/>
      <c r="AF41" s="32"/>
      <c r="AG41" s="32"/>
    </row>
    <row r="42" spans="1:33" ht="19.5" customHeight="1" x14ac:dyDescent="0.15">
      <c r="A42" s="614" t="s">
        <v>97</v>
      </c>
      <c r="B42" s="603"/>
      <c r="C42" s="603"/>
      <c r="D42" s="615"/>
      <c r="E42" s="59" t="s">
        <v>404</v>
      </c>
      <c r="F42" s="60" t="s">
        <v>55</v>
      </c>
      <c r="G42" s="60">
        <v>146</v>
      </c>
      <c r="H42" s="61" t="s">
        <v>405</v>
      </c>
      <c r="I42" s="62" t="s">
        <v>100</v>
      </c>
      <c r="J42" s="60"/>
      <c r="K42" s="63"/>
      <c r="L42" s="60" t="s">
        <v>101</v>
      </c>
      <c r="M42" s="60" t="s">
        <v>102</v>
      </c>
      <c r="N42" s="63"/>
      <c r="O42" s="64"/>
      <c r="P42" s="63"/>
      <c r="Q42" s="65"/>
      <c r="R42" s="686" t="s">
        <v>406</v>
      </c>
      <c r="S42" s="687"/>
      <c r="T42" s="687"/>
      <c r="U42" s="687"/>
      <c r="V42" s="688"/>
      <c r="W42" s="636" t="str">
        <f>IF(H45&gt;=50,"○","×")</f>
        <v>○</v>
      </c>
      <c r="X42" s="534"/>
      <c r="Y42" s="637"/>
      <c r="AC42" s="32"/>
      <c r="AD42" s="32"/>
      <c r="AE42" s="32"/>
      <c r="AF42" s="32"/>
      <c r="AG42" s="32"/>
    </row>
    <row r="43" spans="1:33" ht="19.5" customHeight="1" x14ac:dyDescent="0.15">
      <c r="A43" s="616"/>
      <c r="B43" s="606"/>
      <c r="C43" s="606"/>
      <c r="D43" s="617"/>
      <c r="E43" s="59"/>
      <c r="F43" s="64"/>
      <c r="G43" s="60"/>
      <c r="H43" s="60"/>
      <c r="I43" s="60"/>
      <c r="J43" s="60"/>
      <c r="K43" s="60" t="s">
        <v>104</v>
      </c>
      <c r="L43" s="64"/>
      <c r="M43" s="60"/>
      <c r="N43" s="63"/>
      <c r="O43" s="63"/>
      <c r="P43" s="63"/>
      <c r="Q43" s="65"/>
      <c r="R43" s="689"/>
      <c r="S43" s="690"/>
      <c r="T43" s="690"/>
      <c r="U43" s="690"/>
      <c r="V43" s="691"/>
      <c r="W43" s="638"/>
      <c r="X43" s="537"/>
      <c r="Y43" s="639"/>
      <c r="Z43" s="32"/>
      <c r="AA43" s="32"/>
      <c r="AB43" s="32"/>
      <c r="AC43" s="32"/>
      <c r="AD43" s="32"/>
      <c r="AE43" s="32"/>
      <c r="AF43" s="32"/>
      <c r="AG43" s="32"/>
    </row>
    <row r="44" spans="1:33" ht="19.5" customHeight="1" x14ac:dyDescent="0.15">
      <c r="A44" s="616"/>
      <c r="B44" s="606"/>
      <c r="C44" s="606"/>
      <c r="D44" s="617"/>
      <c r="E44" s="66"/>
      <c r="F44" s="67" t="s">
        <v>55</v>
      </c>
      <c r="G44" s="695">
        <f>ROUNDUP(146*SQRT(F36/(1000*1.5)),1)</f>
        <v>53.4</v>
      </c>
      <c r="H44" s="695"/>
      <c r="I44" s="67" t="s">
        <v>107</v>
      </c>
      <c r="J44" s="68" t="s">
        <v>86</v>
      </c>
      <c r="K44" s="525">
        <f>ROUNDUP(146*SQRT(F36/(1000*1)),1)</f>
        <v>65.3</v>
      </c>
      <c r="L44" s="525"/>
      <c r="M44" s="67" t="s">
        <v>107</v>
      </c>
      <c r="N44" s="63"/>
      <c r="O44" s="63"/>
      <c r="P44" s="63"/>
      <c r="Q44" s="65"/>
      <c r="R44" s="689"/>
      <c r="S44" s="690"/>
      <c r="T44" s="690"/>
      <c r="U44" s="690"/>
      <c r="V44" s="691"/>
      <c r="W44" s="638"/>
      <c r="X44" s="537"/>
      <c r="Y44" s="639"/>
      <c r="Z44" s="32"/>
      <c r="AA44" s="32"/>
      <c r="AB44" s="32"/>
      <c r="AC44" s="32"/>
      <c r="AD44" s="32"/>
      <c r="AE44" s="32"/>
      <c r="AF44" s="32"/>
      <c r="AG44" s="32"/>
    </row>
    <row r="45" spans="1:33" ht="19.5" customHeight="1" x14ac:dyDescent="0.15">
      <c r="A45" s="618"/>
      <c r="B45" s="609"/>
      <c r="C45" s="609"/>
      <c r="D45" s="619"/>
      <c r="E45" s="69" t="s">
        <v>91</v>
      </c>
      <c r="F45" s="70" t="s">
        <v>97</v>
      </c>
      <c r="G45" s="70"/>
      <c r="H45" s="685">
        <v>50</v>
      </c>
      <c r="I45" s="685"/>
      <c r="J45" s="70" t="s">
        <v>108</v>
      </c>
      <c r="K45" s="70"/>
      <c r="L45" s="70"/>
      <c r="M45" s="70"/>
      <c r="N45" s="71"/>
      <c r="O45" s="71"/>
      <c r="P45" s="71"/>
      <c r="Q45" s="72"/>
      <c r="R45" s="692"/>
      <c r="S45" s="693"/>
      <c r="T45" s="693"/>
      <c r="U45" s="693"/>
      <c r="V45" s="694"/>
      <c r="W45" s="643"/>
      <c r="X45" s="644"/>
      <c r="Y45" s="645"/>
      <c r="Z45" s="32"/>
      <c r="AA45" s="32"/>
      <c r="AB45" s="32"/>
      <c r="AC45" s="32"/>
      <c r="AD45" s="32"/>
      <c r="AE45" s="32"/>
      <c r="AF45" s="32"/>
      <c r="AG45" s="32"/>
    </row>
    <row r="46" spans="1:33" ht="19.5" customHeight="1" x14ac:dyDescent="0.15">
      <c r="A46" s="515" t="s">
        <v>109</v>
      </c>
      <c r="B46" s="516"/>
      <c r="C46" s="516"/>
      <c r="D46" s="517"/>
      <c r="E46" s="73" t="s">
        <v>407</v>
      </c>
      <c r="F46" s="74" t="s">
        <v>55</v>
      </c>
      <c r="G46" s="74" t="s">
        <v>408</v>
      </c>
      <c r="H46" s="75"/>
      <c r="I46" s="74" t="s">
        <v>101</v>
      </c>
      <c r="J46" s="74" t="s">
        <v>113</v>
      </c>
      <c r="K46" s="75" t="s">
        <v>409</v>
      </c>
      <c r="L46" s="76">
        <v>50</v>
      </c>
      <c r="M46" s="74" t="s">
        <v>115</v>
      </c>
      <c r="N46" s="75"/>
      <c r="O46" s="75"/>
      <c r="P46" s="75"/>
      <c r="Q46" s="77"/>
      <c r="R46" s="593" t="s">
        <v>116</v>
      </c>
      <c r="S46" s="594"/>
      <c r="T46" s="594"/>
      <c r="U46" s="594"/>
      <c r="V46" s="595"/>
      <c r="W46" s="636" t="str">
        <f>IF(AND(G47&gt;= 0.6, G47&lt;=3),"○","×")</f>
        <v>○</v>
      </c>
      <c r="X46" s="534"/>
      <c r="Y46" s="637"/>
      <c r="Z46" s="32"/>
      <c r="AA46" s="32"/>
      <c r="AB46" s="32"/>
      <c r="AC46" s="32"/>
      <c r="AD46" s="32"/>
      <c r="AE46" s="32"/>
      <c r="AF46" s="32"/>
      <c r="AG46" s="32"/>
    </row>
    <row r="47" spans="1:33" ht="19.5" customHeight="1" x14ac:dyDescent="0.15">
      <c r="A47" s="518"/>
      <c r="B47" s="519"/>
      <c r="C47" s="519"/>
      <c r="D47" s="520"/>
      <c r="E47" s="66"/>
      <c r="F47" s="78" t="s">
        <v>55</v>
      </c>
      <c r="G47" s="646">
        <f>ROUND((F36/(1000*60))/(((L46/2)/1000)^2*PI()),2)</f>
        <v>1.7</v>
      </c>
      <c r="H47" s="646"/>
      <c r="I47" s="78" t="s">
        <v>410</v>
      </c>
      <c r="J47" s="67"/>
      <c r="K47" s="67"/>
      <c r="L47" s="67"/>
      <c r="M47" s="67"/>
      <c r="N47" s="79"/>
      <c r="O47" s="79"/>
      <c r="P47" s="79"/>
      <c r="Q47" s="80"/>
      <c r="R47" s="596"/>
      <c r="S47" s="597"/>
      <c r="T47" s="597"/>
      <c r="U47" s="597"/>
      <c r="V47" s="598"/>
      <c r="W47" s="638"/>
      <c r="X47" s="537"/>
      <c r="Y47" s="639"/>
      <c r="Z47" s="32"/>
      <c r="AA47" s="32"/>
      <c r="AB47" s="32"/>
      <c r="AC47" s="32"/>
      <c r="AD47" s="32"/>
      <c r="AE47" s="32"/>
      <c r="AF47" s="32"/>
      <c r="AG47" s="32"/>
    </row>
    <row r="48" spans="1:33" ht="19.5" customHeight="1" x14ac:dyDescent="0.15">
      <c r="A48" s="518"/>
      <c r="B48" s="519"/>
      <c r="C48" s="519"/>
      <c r="D48" s="520"/>
      <c r="E48" s="81" t="s">
        <v>110</v>
      </c>
      <c r="F48" s="82" t="s">
        <v>89</v>
      </c>
      <c r="G48" s="82" t="s">
        <v>408</v>
      </c>
      <c r="H48" s="83"/>
      <c r="I48" s="82" t="s">
        <v>101</v>
      </c>
      <c r="J48" s="82" t="s">
        <v>113</v>
      </c>
      <c r="K48" s="83" t="s">
        <v>409</v>
      </c>
      <c r="L48" s="84">
        <v>65</v>
      </c>
      <c r="M48" s="85" t="s">
        <v>115</v>
      </c>
      <c r="N48" s="83"/>
      <c r="O48" s="83"/>
      <c r="P48" s="83"/>
      <c r="Q48" s="86"/>
      <c r="R48" s="596"/>
      <c r="S48" s="597"/>
      <c r="T48" s="597"/>
      <c r="U48" s="597"/>
      <c r="V48" s="598"/>
      <c r="W48" s="677" t="str">
        <f>IF(ISNUMBER(L48),IF(G49&gt;=0.6,"○","×")," ")</f>
        <v>○</v>
      </c>
      <c r="X48" s="678"/>
      <c r="Y48" s="679"/>
      <c r="Z48" s="32"/>
      <c r="AA48" s="32"/>
      <c r="AB48" s="32"/>
      <c r="AC48" s="32"/>
      <c r="AD48" s="32"/>
      <c r="AE48" s="32"/>
      <c r="AF48" s="32"/>
      <c r="AG48" s="32"/>
    </row>
    <row r="49" spans="1:33" ht="19.5" customHeight="1" x14ac:dyDescent="0.15">
      <c r="A49" s="518"/>
      <c r="B49" s="519"/>
      <c r="C49" s="519"/>
      <c r="D49" s="520"/>
      <c r="E49" s="87"/>
      <c r="F49" s="88" t="s">
        <v>55</v>
      </c>
      <c r="G49" s="683">
        <f>IF(ISNUMBER(L48),ROUND((F36/(1000*60))/(((L48/2)/1000)^2*PI()),2),"　")</f>
        <v>1</v>
      </c>
      <c r="H49" s="683"/>
      <c r="I49" s="89" t="s">
        <v>410</v>
      </c>
      <c r="J49" s="90"/>
      <c r="K49" s="90"/>
      <c r="L49" s="90"/>
      <c r="M49" s="91"/>
      <c r="N49" s="92"/>
      <c r="O49" s="92"/>
      <c r="P49" s="92"/>
      <c r="Q49" s="93"/>
      <c r="R49" s="746"/>
      <c r="S49" s="747"/>
      <c r="T49" s="747"/>
      <c r="U49" s="747"/>
      <c r="V49" s="748"/>
      <c r="W49" s="680"/>
      <c r="X49" s="681"/>
      <c r="Y49" s="682"/>
      <c r="Z49" s="32"/>
      <c r="AA49" s="32"/>
      <c r="AB49" s="32"/>
      <c r="AC49" s="32"/>
      <c r="AD49" s="32"/>
      <c r="AE49" s="32"/>
      <c r="AF49" s="32"/>
      <c r="AG49" s="32"/>
    </row>
    <row r="50" spans="1:33" ht="19.5" customHeight="1" x14ac:dyDescent="0.15">
      <c r="A50" s="518"/>
      <c r="B50" s="519"/>
      <c r="C50" s="519"/>
      <c r="D50" s="520"/>
      <c r="E50" s="66" t="s">
        <v>122</v>
      </c>
      <c r="F50" s="78"/>
      <c r="G50" s="94"/>
      <c r="H50" s="94"/>
      <c r="I50" s="95"/>
      <c r="J50" s="67"/>
      <c r="K50" s="67"/>
      <c r="L50" s="67"/>
      <c r="M50" s="96"/>
      <c r="N50" s="79"/>
      <c r="O50" s="79"/>
      <c r="P50" s="79"/>
      <c r="Q50" s="79"/>
      <c r="R50" s="97"/>
      <c r="S50" s="97"/>
      <c r="T50" s="97"/>
      <c r="U50" s="97"/>
      <c r="V50" s="97"/>
      <c r="W50" s="98"/>
      <c r="X50" s="98"/>
      <c r="Y50" s="99"/>
      <c r="Z50" s="32"/>
      <c r="AA50" s="32"/>
      <c r="AB50" s="32"/>
      <c r="AC50" s="32"/>
      <c r="AD50" s="32"/>
      <c r="AE50" s="32"/>
      <c r="AF50" s="32"/>
      <c r="AG50" s="32"/>
    </row>
    <row r="51" spans="1:33" ht="19.5" customHeight="1" x14ac:dyDescent="0.15">
      <c r="A51" s="518"/>
      <c r="B51" s="519"/>
      <c r="C51" s="519"/>
      <c r="D51" s="520"/>
      <c r="E51" s="94"/>
      <c r="F51" s="144"/>
      <c r="G51" s="94"/>
      <c r="H51" s="94"/>
      <c r="I51" s="95"/>
      <c r="J51" s="67"/>
      <c r="K51" s="67"/>
      <c r="L51" s="67"/>
      <c r="M51" s="96"/>
      <c r="N51" s="79"/>
      <c r="O51" s="79"/>
      <c r="P51" s="79"/>
      <c r="Q51" s="79"/>
      <c r="R51" s="135"/>
      <c r="S51" s="135"/>
      <c r="T51" s="135"/>
      <c r="U51" s="135"/>
      <c r="V51" s="135"/>
      <c r="W51" s="98"/>
      <c r="X51" s="98"/>
      <c r="Y51" s="99"/>
      <c r="Z51" s="32"/>
      <c r="AA51" s="32"/>
      <c r="AB51" s="32"/>
      <c r="AC51" s="32"/>
      <c r="AD51" s="32"/>
      <c r="AE51" s="32"/>
      <c r="AF51" s="32"/>
      <c r="AG51" s="32"/>
    </row>
    <row r="52" spans="1:33" ht="19.5" customHeight="1" x14ac:dyDescent="0.15">
      <c r="A52" s="521"/>
      <c r="B52" s="522"/>
      <c r="C52" s="522"/>
      <c r="D52" s="523"/>
      <c r="E52" s="94"/>
      <c r="F52" s="684" t="s">
        <v>123</v>
      </c>
      <c r="G52" s="684"/>
      <c r="H52" s="684"/>
      <c r="I52" s="684"/>
      <c r="J52" s="684"/>
      <c r="K52" s="684"/>
      <c r="L52" s="67"/>
      <c r="M52" s="96"/>
      <c r="N52" s="79"/>
      <c r="O52" s="79"/>
      <c r="P52" s="79"/>
      <c r="Q52" s="79"/>
      <c r="R52" s="135"/>
      <c r="S52" s="135"/>
      <c r="T52" s="135"/>
      <c r="U52" s="135"/>
      <c r="V52" s="135"/>
      <c r="W52" s="98"/>
      <c r="X52" s="98"/>
      <c r="Y52" s="99"/>
    </row>
    <row r="53" spans="1:33" ht="19.5" customHeight="1" x14ac:dyDescent="0.15">
      <c r="A53" s="533" t="s">
        <v>124</v>
      </c>
      <c r="B53" s="534"/>
      <c r="C53" s="534"/>
      <c r="D53" s="535"/>
      <c r="E53" s="100" t="s">
        <v>125</v>
      </c>
      <c r="F53" s="101"/>
      <c r="G53" s="102" t="s">
        <v>412</v>
      </c>
      <c r="H53" s="102" t="s">
        <v>48</v>
      </c>
      <c r="I53" s="704" t="s">
        <v>413</v>
      </c>
      <c r="J53" s="704"/>
      <c r="K53" s="103" t="s">
        <v>414</v>
      </c>
      <c r="L53" s="704" t="s">
        <v>415</v>
      </c>
      <c r="M53" s="704"/>
      <c r="N53" s="103" t="s">
        <v>416</v>
      </c>
      <c r="O53" s="704" t="s">
        <v>417</v>
      </c>
      <c r="P53" s="704"/>
      <c r="Q53" s="103"/>
      <c r="R53" s="593" t="s">
        <v>645</v>
      </c>
      <c r="S53" s="594"/>
      <c r="T53" s="594"/>
      <c r="U53" s="594"/>
      <c r="V53" s="595"/>
      <c r="W53" s="636" t="str">
        <f>IF(G59&gt;=I58,"○","×")</f>
        <v>○</v>
      </c>
      <c r="X53" s="534"/>
      <c r="Y53" s="637"/>
    </row>
    <row r="54" spans="1:33" ht="19.5" customHeight="1" x14ac:dyDescent="0.15">
      <c r="A54" s="536"/>
      <c r="B54" s="537"/>
      <c r="C54" s="537"/>
      <c r="D54" s="538"/>
      <c r="E54" s="105"/>
      <c r="F54" s="63"/>
      <c r="G54" s="63"/>
      <c r="H54" s="63" t="s">
        <v>48</v>
      </c>
      <c r="I54" s="642">
        <f>J74</f>
        <v>4.6500000000000004</v>
      </c>
      <c r="J54" s="642"/>
      <c r="K54" s="63" t="s">
        <v>418</v>
      </c>
      <c r="L54" s="580">
        <f>IF(ISNUMBER(L48),J81+J98,J81)</f>
        <v>0.90799999999999992</v>
      </c>
      <c r="M54" s="580"/>
      <c r="N54" s="79" t="s">
        <v>416</v>
      </c>
      <c r="O54" s="525">
        <f>J77</f>
        <v>5.0999999999999997E-2</v>
      </c>
      <c r="P54" s="525"/>
      <c r="Q54" s="63"/>
      <c r="R54" s="596"/>
      <c r="S54" s="597"/>
      <c r="T54" s="597"/>
      <c r="U54" s="597"/>
      <c r="V54" s="598"/>
      <c r="W54" s="638"/>
      <c r="X54" s="537"/>
      <c r="Y54" s="639"/>
      <c r="Z54" s="151"/>
    </row>
    <row r="55" spans="1:33" ht="19.5" customHeight="1" x14ac:dyDescent="0.15">
      <c r="A55" s="536"/>
      <c r="B55" s="537"/>
      <c r="C55" s="537"/>
      <c r="D55" s="538"/>
      <c r="E55" s="105"/>
      <c r="F55" s="63"/>
      <c r="G55" s="63"/>
      <c r="H55" s="63" t="s">
        <v>48</v>
      </c>
      <c r="I55" s="580">
        <f>I54+L54+O54</f>
        <v>5.609</v>
      </c>
      <c r="J55" s="525"/>
      <c r="K55" s="63" t="s">
        <v>280</v>
      </c>
      <c r="L55" s="63"/>
      <c r="M55" s="63"/>
      <c r="N55" s="63"/>
      <c r="O55" s="63"/>
      <c r="P55" s="63"/>
      <c r="Q55" s="65"/>
      <c r="R55" s="596"/>
      <c r="S55" s="597"/>
      <c r="T55" s="597"/>
      <c r="U55" s="597"/>
      <c r="V55" s="598"/>
      <c r="W55" s="638"/>
      <c r="X55" s="537"/>
      <c r="Y55" s="639"/>
    </row>
    <row r="56" spans="1:33" ht="19.5" customHeight="1" x14ac:dyDescent="0.15">
      <c r="A56" s="536"/>
      <c r="B56" s="537"/>
      <c r="C56" s="537"/>
      <c r="D56" s="538"/>
      <c r="E56" s="106"/>
      <c r="F56" s="63" t="s">
        <v>137</v>
      </c>
      <c r="G56" s="63"/>
      <c r="H56" s="63">
        <f>L57</f>
        <v>1.2</v>
      </c>
      <c r="I56" s="63" t="s">
        <v>281</v>
      </c>
      <c r="J56" s="63"/>
      <c r="K56" s="63" t="s">
        <v>139</v>
      </c>
      <c r="L56" s="63"/>
      <c r="M56" s="63"/>
      <c r="N56" s="63"/>
      <c r="O56" s="63"/>
      <c r="P56" s="63"/>
      <c r="Q56" s="65"/>
      <c r="R56" s="596"/>
      <c r="S56" s="597"/>
      <c r="T56" s="597"/>
      <c r="U56" s="597"/>
      <c r="V56" s="598"/>
      <c r="W56" s="638"/>
      <c r="X56" s="537"/>
      <c r="Y56" s="639"/>
    </row>
    <row r="57" spans="1:33" ht="19.5" customHeight="1" x14ac:dyDescent="0.15">
      <c r="A57" s="536"/>
      <c r="B57" s="537"/>
      <c r="C57" s="537"/>
      <c r="D57" s="538"/>
      <c r="E57" s="105"/>
      <c r="F57" s="63"/>
      <c r="G57" s="63" t="s">
        <v>282</v>
      </c>
      <c r="H57" s="63" t="s">
        <v>48</v>
      </c>
      <c r="I57" s="580">
        <f>I55</f>
        <v>5.609</v>
      </c>
      <c r="J57" s="580"/>
      <c r="K57" s="63" t="s">
        <v>51</v>
      </c>
      <c r="L57" s="145">
        <v>1.2</v>
      </c>
      <c r="M57" s="63"/>
      <c r="N57" s="63"/>
      <c r="O57" s="63"/>
      <c r="P57" s="63"/>
      <c r="Q57" s="65"/>
      <c r="R57" s="596"/>
      <c r="S57" s="597"/>
      <c r="T57" s="597"/>
      <c r="U57" s="597"/>
      <c r="V57" s="598"/>
      <c r="W57" s="638"/>
      <c r="X57" s="537"/>
      <c r="Y57" s="639"/>
    </row>
    <row r="58" spans="1:33" ht="19.5" customHeight="1" x14ac:dyDescent="0.15">
      <c r="A58" s="536"/>
      <c r="B58" s="537"/>
      <c r="C58" s="537"/>
      <c r="D58" s="538"/>
      <c r="E58" s="105"/>
      <c r="F58" s="63"/>
      <c r="G58" s="63"/>
      <c r="H58" s="63" t="s">
        <v>57</v>
      </c>
      <c r="I58" s="581">
        <f>ROUND(I57*L57,3)</f>
        <v>6.7309999999999999</v>
      </c>
      <c r="J58" s="581"/>
      <c r="K58" s="63" t="s">
        <v>280</v>
      </c>
      <c r="L58" s="63"/>
      <c r="M58" s="63"/>
      <c r="N58" s="63"/>
      <c r="O58" s="63"/>
      <c r="P58" s="63"/>
      <c r="Q58" s="65"/>
      <c r="R58" s="596"/>
      <c r="S58" s="597"/>
      <c r="T58" s="597"/>
      <c r="U58" s="597"/>
      <c r="V58" s="598"/>
      <c r="W58" s="638"/>
      <c r="X58" s="537"/>
      <c r="Y58" s="639"/>
    </row>
    <row r="59" spans="1:33" ht="19.5" customHeight="1" thickBot="1" x14ac:dyDescent="0.2">
      <c r="A59" s="539"/>
      <c r="B59" s="540"/>
      <c r="C59" s="540"/>
      <c r="D59" s="541"/>
      <c r="E59" s="107" t="s">
        <v>144</v>
      </c>
      <c r="F59" s="108" t="s">
        <v>145</v>
      </c>
      <c r="G59" s="582">
        <f>ROUNDUP(I58,0)</f>
        <v>7</v>
      </c>
      <c r="H59" s="582"/>
      <c r="I59" s="108" t="s">
        <v>419</v>
      </c>
      <c r="J59" s="108" t="s">
        <v>420</v>
      </c>
      <c r="K59" s="108"/>
      <c r="L59" s="109"/>
      <c r="M59" s="108"/>
      <c r="N59" s="108"/>
      <c r="O59" s="108"/>
      <c r="P59" s="108"/>
      <c r="Q59" s="110"/>
      <c r="R59" s="599"/>
      <c r="S59" s="600"/>
      <c r="T59" s="600"/>
      <c r="U59" s="600"/>
      <c r="V59" s="601"/>
      <c r="W59" s="640"/>
      <c r="X59" s="540"/>
      <c r="Y59" s="641"/>
    </row>
    <row r="60" spans="1:33" ht="19.5" customHeight="1" x14ac:dyDescent="0.15">
      <c r="A60" s="64"/>
      <c r="B60" s="64"/>
      <c r="C60" s="64"/>
      <c r="D60" s="64"/>
      <c r="E60" s="64"/>
      <c r="F60" s="64"/>
      <c r="G60" s="64"/>
      <c r="H60" s="64"/>
      <c r="I60" s="64"/>
      <c r="J60" s="64"/>
      <c r="K60" s="64"/>
      <c r="L60" s="64"/>
      <c r="M60" s="64"/>
      <c r="N60" s="64"/>
      <c r="O60" s="64"/>
      <c r="P60" s="64"/>
      <c r="Q60" s="64"/>
      <c r="R60" s="64"/>
      <c r="S60" s="64"/>
      <c r="T60" s="64"/>
      <c r="U60" s="64"/>
      <c r="V60" s="64"/>
      <c r="W60" s="64"/>
      <c r="X60" s="64"/>
      <c r="Y60" s="64"/>
    </row>
    <row r="61" spans="1:33" ht="19.5" customHeight="1" x14ac:dyDescent="0.15">
      <c r="A61" s="64"/>
      <c r="B61" s="64"/>
      <c r="C61" s="64"/>
      <c r="D61" s="64"/>
      <c r="E61" s="64"/>
      <c r="F61" s="64"/>
      <c r="G61" s="64"/>
      <c r="H61" s="64"/>
      <c r="I61" s="64"/>
      <c r="J61" s="64"/>
      <c r="K61" s="64"/>
      <c r="L61" s="64"/>
      <c r="M61" s="64"/>
      <c r="N61" s="64"/>
      <c r="O61" s="64"/>
      <c r="P61" s="64"/>
      <c r="Q61" s="64"/>
      <c r="R61" s="64"/>
      <c r="S61" s="64"/>
      <c r="T61" s="64"/>
      <c r="U61" s="64"/>
      <c r="V61" s="64"/>
      <c r="W61" s="64"/>
      <c r="X61" s="64"/>
      <c r="Y61" s="64"/>
    </row>
    <row r="62" spans="1:33" ht="19.5" customHeight="1" x14ac:dyDescent="0.15">
      <c r="A62" s="60" t="s">
        <v>148</v>
      </c>
      <c r="B62" s="60"/>
      <c r="C62" s="60"/>
      <c r="D62" s="176" t="s">
        <v>32</v>
      </c>
      <c r="E62" s="177"/>
      <c r="F62" s="177"/>
      <c r="G62" s="177"/>
      <c r="H62" s="177"/>
      <c r="I62" s="178"/>
      <c r="J62" s="111"/>
      <c r="K62" s="64"/>
      <c r="R62" s="64"/>
      <c r="S62" s="64"/>
      <c r="T62" s="64"/>
      <c r="U62" s="64"/>
      <c r="V62" s="64"/>
      <c r="W62" s="64"/>
      <c r="X62" s="64"/>
      <c r="Y62" s="64"/>
    </row>
    <row r="63" spans="1:33" ht="19.5" customHeight="1" x14ac:dyDescent="0.15">
      <c r="A63" s="60"/>
      <c r="B63" s="60"/>
      <c r="C63" s="179"/>
      <c r="D63" s="176" t="s">
        <v>150</v>
      </c>
      <c r="E63" s="177"/>
      <c r="F63" s="177"/>
      <c r="G63" s="177"/>
      <c r="H63" s="177"/>
      <c r="I63" s="178"/>
      <c r="J63" s="112" t="s">
        <v>421</v>
      </c>
      <c r="K63" s="64"/>
      <c r="L63" s="180" t="s">
        <v>422</v>
      </c>
      <c r="M63" s="64"/>
      <c r="N63" s="64"/>
      <c r="O63" s="146">
        <v>1</v>
      </c>
      <c r="P63" s="64" t="s">
        <v>152</v>
      </c>
      <c r="Q63" s="64"/>
      <c r="R63" s="181" t="s">
        <v>153</v>
      </c>
      <c r="S63" s="64"/>
      <c r="T63" s="64"/>
      <c r="U63" s="64"/>
      <c r="V63" s="64"/>
      <c r="W63" s="64"/>
      <c r="X63" s="64"/>
      <c r="Y63" s="64"/>
    </row>
    <row r="64" spans="1:33" ht="19.5" customHeight="1" x14ac:dyDescent="0.15">
      <c r="A64" s="60"/>
      <c r="B64" s="60"/>
      <c r="C64" s="179"/>
      <c r="D64" s="176" t="s">
        <v>154</v>
      </c>
      <c r="E64" s="177"/>
      <c r="F64" s="177"/>
      <c r="G64" s="177"/>
      <c r="H64" s="177"/>
      <c r="I64" s="178"/>
      <c r="J64" s="112"/>
      <c r="K64" s="64"/>
      <c r="L64" s="64"/>
      <c r="M64" s="64"/>
      <c r="N64" s="64"/>
      <c r="O64" s="64"/>
      <c r="P64" s="64"/>
      <c r="Q64" s="64"/>
      <c r="R64" s="64"/>
      <c r="S64" s="64"/>
      <c r="T64" s="64"/>
      <c r="U64" s="64"/>
      <c r="V64" s="64"/>
      <c r="W64" s="64"/>
      <c r="X64" s="64"/>
      <c r="Y64" s="64"/>
    </row>
    <row r="65" spans="1:26" ht="19.5" customHeight="1" x14ac:dyDescent="0.15">
      <c r="A65" s="60"/>
      <c r="B65" s="60"/>
      <c r="C65" s="179"/>
      <c r="D65" s="486" t="s">
        <v>155</v>
      </c>
      <c r="E65" s="487"/>
      <c r="F65" s="487"/>
      <c r="G65" s="487"/>
      <c r="H65" s="487"/>
      <c r="I65" s="488"/>
      <c r="J65" s="112"/>
      <c r="K65" s="64"/>
      <c r="L65" s="64"/>
      <c r="M65" s="64"/>
      <c r="N65" s="64"/>
      <c r="O65" s="64"/>
      <c r="P65" s="64"/>
      <c r="Q65" s="64"/>
      <c r="R65" s="64"/>
      <c r="S65" s="64"/>
      <c r="T65" s="64"/>
      <c r="U65" s="64"/>
      <c r="V65" s="64"/>
      <c r="W65" s="64"/>
      <c r="X65" s="64"/>
      <c r="Y65" s="64"/>
    </row>
    <row r="66" spans="1:26" ht="19.5" customHeight="1" x14ac:dyDescent="0.15">
      <c r="A66" s="60"/>
      <c r="B66" s="60"/>
      <c r="C66" s="179"/>
      <c r="D66" s="60"/>
      <c r="E66" s="60"/>
      <c r="F66" s="60"/>
      <c r="G66" s="60"/>
      <c r="H66" s="60"/>
      <c r="I66" s="60"/>
      <c r="J66" s="64"/>
      <c r="K66" s="64"/>
      <c r="L66" s="64"/>
      <c r="M66" s="64"/>
      <c r="N66" s="64"/>
      <c r="O66" s="64"/>
      <c r="P66" s="64"/>
      <c r="Q66" s="64"/>
      <c r="R66" s="64"/>
      <c r="S66" s="64"/>
      <c r="T66" s="64"/>
      <c r="U66" s="64"/>
      <c r="V66" s="64"/>
      <c r="W66" s="64"/>
      <c r="X66" s="64"/>
      <c r="Y66" s="64"/>
    </row>
    <row r="67" spans="1:26" ht="19.5" customHeight="1" x14ac:dyDescent="0.15">
      <c r="A67" s="182" t="s">
        <v>156</v>
      </c>
      <c r="B67" s="64"/>
      <c r="C67" s="64"/>
      <c r="D67" s="64"/>
      <c r="E67" s="64"/>
      <c r="F67" s="64"/>
      <c r="G67" s="64"/>
      <c r="H67" s="64"/>
      <c r="I67" s="64"/>
      <c r="J67" s="64"/>
      <c r="K67" s="64"/>
      <c r="L67" s="64"/>
      <c r="M67" s="64"/>
      <c r="N67" s="64"/>
      <c r="O67" s="64"/>
      <c r="P67" s="64"/>
      <c r="Q67" s="64"/>
      <c r="R67" s="64"/>
      <c r="S67" s="64"/>
      <c r="T67" s="64"/>
      <c r="U67" s="64"/>
      <c r="V67" s="64"/>
      <c r="W67" s="64"/>
      <c r="X67" s="64"/>
      <c r="Y67" s="64"/>
    </row>
    <row r="68" spans="1:26" ht="19.5" customHeight="1" x14ac:dyDescent="0.15">
      <c r="A68" s="64"/>
      <c r="B68" s="183" t="s">
        <v>157</v>
      </c>
      <c r="C68" s="183"/>
      <c r="D68" s="183"/>
      <c r="E68" s="184"/>
      <c r="F68" s="542" t="s">
        <v>158</v>
      </c>
      <c r="G68" s="542"/>
      <c r="H68" s="542"/>
      <c r="I68" s="355"/>
      <c r="J68" s="184"/>
      <c r="K68" s="542" t="s">
        <v>145</v>
      </c>
      <c r="L68" s="542"/>
      <c r="M68" s="183"/>
      <c r="N68" s="183"/>
      <c r="O68" s="542" t="s">
        <v>159</v>
      </c>
      <c r="P68" s="542"/>
      <c r="Q68" s="282"/>
      <c r="R68" s="282"/>
      <c r="S68" s="282" t="s">
        <v>160</v>
      </c>
      <c r="T68" s="64"/>
      <c r="U68" s="64"/>
      <c r="V68" s="64"/>
      <c r="W68" s="64"/>
      <c r="X68" s="64"/>
      <c r="Y68" s="64"/>
      <c r="Z68" s="64"/>
    </row>
    <row r="69" spans="1:26" ht="19.5" customHeight="1" thickBot="1" x14ac:dyDescent="0.2">
      <c r="A69" s="108" t="s">
        <v>144</v>
      </c>
      <c r="B69" s="528">
        <f>F36</f>
        <v>200</v>
      </c>
      <c r="C69" s="529"/>
      <c r="D69" s="108" t="s">
        <v>69</v>
      </c>
      <c r="E69" s="108"/>
      <c r="F69" s="108" t="s">
        <v>51</v>
      </c>
      <c r="G69" s="108">
        <f>H45</f>
        <v>50</v>
      </c>
      <c r="H69" s="108" t="s">
        <v>423</v>
      </c>
      <c r="I69" s="108"/>
      <c r="J69" s="108" t="s">
        <v>51</v>
      </c>
      <c r="K69" s="532">
        <f>G59</f>
        <v>7</v>
      </c>
      <c r="L69" s="532"/>
      <c r="M69" s="108" t="s">
        <v>424</v>
      </c>
      <c r="N69" s="108" t="s">
        <v>14</v>
      </c>
      <c r="O69" s="531">
        <v>0.4</v>
      </c>
      <c r="P69" s="531"/>
      <c r="Q69" s="108" t="s">
        <v>584</v>
      </c>
      <c r="R69" s="108"/>
      <c r="S69" s="373">
        <v>2</v>
      </c>
      <c r="T69" s="108" t="s">
        <v>166</v>
      </c>
      <c r="U69" s="64"/>
      <c r="V69" s="64"/>
      <c r="W69" s="64"/>
      <c r="X69" s="64"/>
      <c r="Y69" s="64"/>
      <c r="Z69" s="64"/>
    </row>
    <row r="70" spans="1:26" ht="19.5" customHeight="1" x14ac:dyDescent="0.15">
      <c r="A70" s="64"/>
      <c r="B70" s="64"/>
      <c r="C70" s="64"/>
      <c r="D70" s="64"/>
      <c r="E70" s="64"/>
      <c r="F70" s="64"/>
      <c r="G70" s="64"/>
      <c r="H70" s="64"/>
      <c r="I70" s="64"/>
      <c r="J70" s="64"/>
      <c r="K70" s="64"/>
      <c r="L70" s="64"/>
      <c r="M70" s="64"/>
      <c r="N70" s="64"/>
      <c r="O70" s="64"/>
      <c r="P70" s="64"/>
      <c r="Q70" s="64"/>
      <c r="R70" s="64"/>
      <c r="S70" s="64"/>
      <c r="T70" s="64"/>
      <c r="U70" s="64"/>
      <c r="V70" s="64"/>
      <c r="W70" s="64"/>
      <c r="X70" s="64"/>
      <c r="Y70" s="64"/>
    </row>
    <row r="71" spans="1:26" ht="19.5" customHeight="1" x14ac:dyDescent="0.15">
      <c r="A71" s="64"/>
      <c r="B71" s="64"/>
      <c r="C71" s="64"/>
      <c r="D71" s="64"/>
      <c r="E71" s="64"/>
      <c r="F71" s="64"/>
      <c r="G71" s="64"/>
      <c r="H71" s="64"/>
      <c r="I71" s="64"/>
      <c r="J71" s="64"/>
      <c r="K71" s="64"/>
      <c r="L71" s="64"/>
      <c r="M71" s="64"/>
      <c r="N71" s="64"/>
      <c r="O71" s="64"/>
      <c r="P71" s="64"/>
      <c r="Q71" s="64"/>
      <c r="R71" s="64"/>
      <c r="S71" s="64"/>
      <c r="T71" s="64"/>
      <c r="U71" s="64"/>
      <c r="V71" s="64"/>
      <c r="W71" s="64"/>
      <c r="X71" s="64"/>
      <c r="Y71" s="64"/>
    </row>
    <row r="72" spans="1:26" ht="26.25" customHeight="1" x14ac:dyDescent="0.15">
      <c r="A72" s="186" t="s">
        <v>167</v>
      </c>
      <c r="B72" s="64"/>
      <c r="C72" s="64"/>
      <c r="D72" s="64"/>
      <c r="E72" s="64"/>
      <c r="F72" s="64"/>
      <c r="G72" s="64"/>
      <c r="H72" s="64"/>
      <c r="I72" s="64"/>
      <c r="J72" s="64"/>
      <c r="K72" s="64"/>
      <c r="L72" s="64"/>
      <c r="M72" s="64"/>
      <c r="N72" s="64"/>
      <c r="O72" s="64"/>
      <c r="P72" s="64"/>
      <c r="Q72" s="64"/>
      <c r="R72" s="64"/>
      <c r="S72" s="64"/>
      <c r="T72" s="64"/>
      <c r="U72" s="64"/>
      <c r="V72" s="64"/>
      <c r="W72" s="64"/>
      <c r="X72" s="64"/>
      <c r="Y72" s="64"/>
    </row>
    <row r="73" spans="1:26" ht="19.5" customHeight="1" x14ac:dyDescent="0.15">
      <c r="A73" s="187"/>
      <c r="B73" s="75"/>
      <c r="C73" s="75"/>
      <c r="D73" s="75"/>
      <c r="E73" s="77"/>
      <c r="F73" s="75"/>
      <c r="G73" s="75"/>
      <c r="H73" s="75"/>
      <c r="I73" s="75"/>
      <c r="J73" s="75"/>
      <c r="K73" s="75"/>
      <c r="L73" s="75"/>
      <c r="M73" s="75"/>
      <c r="N73" s="75"/>
      <c r="O73" s="75"/>
      <c r="P73" s="75"/>
      <c r="Q73" s="75"/>
      <c r="R73" s="77"/>
      <c r="S73" s="75"/>
      <c r="T73" s="75"/>
      <c r="U73" s="75"/>
      <c r="V73" s="75"/>
      <c r="W73" s="75"/>
      <c r="X73" s="77"/>
      <c r="Y73" s="64"/>
    </row>
    <row r="74" spans="1:26" ht="19.5" customHeight="1" x14ac:dyDescent="0.15">
      <c r="A74" s="188" t="s">
        <v>290</v>
      </c>
      <c r="B74" s="67"/>
      <c r="C74" s="189"/>
      <c r="D74" s="189"/>
      <c r="E74" s="65"/>
      <c r="F74" s="60"/>
      <c r="G74" s="63"/>
      <c r="H74" s="63" t="s">
        <v>291</v>
      </c>
      <c r="I74" s="63" t="s">
        <v>48</v>
      </c>
      <c r="J74" s="530">
        <v>4.6500000000000004</v>
      </c>
      <c r="K74" s="530"/>
      <c r="L74" s="63" t="s">
        <v>342</v>
      </c>
      <c r="M74" s="63"/>
      <c r="N74" s="63"/>
      <c r="O74" s="63"/>
      <c r="P74" s="63"/>
      <c r="Q74" s="63"/>
      <c r="R74" s="190"/>
      <c r="S74" s="191"/>
      <c r="T74" s="63"/>
      <c r="U74" s="192"/>
      <c r="V74" s="192"/>
      <c r="W74" s="192"/>
      <c r="X74" s="193"/>
    </row>
    <row r="75" spans="1:26" ht="19.5" customHeight="1" x14ac:dyDescent="0.15">
      <c r="A75" s="194"/>
      <c r="B75" s="189"/>
      <c r="C75" s="189"/>
      <c r="D75" s="189"/>
      <c r="E75" s="195"/>
      <c r="F75" s="63"/>
      <c r="G75" s="63"/>
      <c r="H75" s="63"/>
      <c r="I75" s="63"/>
      <c r="J75" s="63"/>
      <c r="K75" s="196"/>
      <c r="L75" s="63"/>
      <c r="M75" s="63"/>
      <c r="N75" s="63"/>
      <c r="O75" s="63"/>
      <c r="P75" s="63"/>
      <c r="Q75" s="63"/>
      <c r="R75" s="193"/>
      <c r="S75" s="191"/>
      <c r="T75" s="189"/>
      <c r="U75" s="192"/>
      <c r="V75" s="192"/>
      <c r="W75" s="192"/>
      <c r="X75" s="193"/>
    </row>
    <row r="76" spans="1:26" ht="19.5" customHeight="1" x14ac:dyDescent="0.15">
      <c r="A76" s="188" t="s">
        <v>425</v>
      </c>
      <c r="B76" s="197"/>
      <c r="C76" s="197"/>
      <c r="D76" s="197"/>
      <c r="E76" s="198"/>
      <c r="F76" s="63"/>
      <c r="G76" s="63"/>
      <c r="H76" s="63" t="s">
        <v>417</v>
      </c>
      <c r="I76" s="63" t="s">
        <v>133</v>
      </c>
      <c r="J76" s="60" t="s">
        <v>294</v>
      </c>
      <c r="K76" s="68" t="s">
        <v>51</v>
      </c>
      <c r="L76" s="60" t="s">
        <v>333</v>
      </c>
      <c r="M76" s="63"/>
      <c r="N76" s="63"/>
      <c r="O76" s="60" t="s">
        <v>426</v>
      </c>
      <c r="P76" s="63" t="s">
        <v>427</v>
      </c>
      <c r="Q76" s="63">
        <v>1</v>
      </c>
      <c r="R76" s="193"/>
      <c r="S76" s="191"/>
      <c r="T76" s="189"/>
      <c r="U76" s="192"/>
      <c r="V76" s="192"/>
      <c r="W76" s="192"/>
      <c r="X76" s="193"/>
    </row>
    <row r="77" spans="1:26" ht="19.5" customHeight="1" x14ac:dyDescent="0.15">
      <c r="A77" s="199" t="s">
        <v>428</v>
      </c>
      <c r="B77" s="200"/>
      <c r="C77" s="200"/>
      <c r="D77" s="200"/>
      <c r="E77" s="201"/>
      <c r="F77" s="202"/>
      <c r="G77" s="63"/>
      <c r="H77" s="63"/>
      <c r="I77" s="63" t="s">
        <v>429</v>
      </c>
      <c r="J77" s="705">
        <f>IF(O108&lt;O91,O108,O91)</f>
        <v>5.0999999999999997E-2</v>
      </c>
      <c r="K77" s="705"/>
      <c r="L77" s="63" t="s">
        <v>342</v>
      </c>
      <c r="M77" s="63"/>
      <c r="N77" s="63"/>
      <c r="O77" s="63"/>
      <c r="P77" s="63"/>
      <c r="Q77" s="63"/>
      <c r="R77" s="65"/>
      <c r="S77" s="191"/>
      <c r="T77" s="203"/>
      <c r="U77" s="192"/>
      <c r="V77" s="192"/>
      <c r="W77" s="192"/>
      <c r="X77" s="193"/>
    </row>
    <row r="78" spans="1:26" ht="19.5" customHeight="1" x14ac:dyDescent="0.15">
      <c r="A78" s="204" t="s">
        <v>177</v>
      </c>
      <c r="B78" s="189"/>
      <c r="C78" s="189"/>
      <c r="D78" s="189"/>
      <c r="E78" s="65"/>
      <c r="F78" s="63"/>
      <c r="G78" s="75"/>
      <c r="H78" s="75"/>
      <c r="I78" s="75"/>
      <c r="J78" s="75"/>
      <c r="K78" s="75"/>
      <c r="L78" s="75"/>
      <c r="M78" s="75"/>
      <c r="N78" s="75"/>
      <c r="O78" s="74"/>
      <c r="P78" s="74"/>
      <c r="Q78" s="74"/>
      <c r="R78" s="205"/>
      <c r="S78" s="191"/>
      <c r="T78" s="63"/>
      <c r="U78" s="192"/>
      <c r="V78" s="192"/>
      <c r="W78" s="192"/>
      <c r="X78" s="193"/>
    </row>
    <row r="79" spans="1:26" ht="19.5" customHeight="1" x14ac:dyDescent="0.15">
      <c r="A79" s="194"/>
      <c r="B79" s="189"/>
      <c r="C79" s="189"/>
      <c r="D79" s="189"/>
      <c r="E79" s="65"/>
      <c r="G79" s="63"/>
      <c r="H79" s="63" t="s">
        <v>430</v>
      </c>
      <c r="I79" s="63" t="s">
        <v>133</v>
      </c>
      <c r="J79" s="63" t="s">
        <v>431</v>
      </c>
      <c r="K79" s="68" t="s">
        <v>414</v>
      </c>
      <c r="L79" s="63" t="s">
        <v>432</v>
      </c>
      <c r="M79" s="63"/>
      <c r="N79" s="60"/>
      <c r="O79" s="60"/>
      <c r="P79" s="60"/>
      <c r="Q79" s="60"/>
      <c r="R79" s="206"/>
      <c r="S79" s="191"/>
      <c r="T79" s="63"/>
      <c r="U79" s="192"/>
      <c r="V79" s="192"/>
      <c r="W79" s="192"/>
      <c r="X79" s="193"/>
    </row>
    <row r="80" spans="1:26" ht="19.5" customHeight="1" x14ac:dyDescent="0.15">
      <c r="A80" s="66" t="s">
        <v>183</v>
      </c>
      <c r="B80" s="184" t="s">
        <v>433</v>
      </c>
      <c r="C80" s="207">
        <f>L46</f>
        <v>50</v>
      </c>
      <c r="D80" s="208" t="s">
        <v>340</v>
      </c>
      <c r="E80" s="65"/>
      <c r="F80" s="63"/>
      <c r="G80" s="63"/>
      <c r="H80" s="63"/>
      <c r="I80" s="63" t="s">
        <v>429</v>
      </c>
      <c r="J80" s="209">
        <f>L85</f>
        <v>0.34499999999999997</v>
      </c>
      <c r="K80" s="68" t="s">
        <v>434</v>
      </c>
      <c r="L80" s="209">
        <f>L92</f>
        <v>0.24399999999999999</v>
      </c>
      <c r="M80" s="63"/>
      <c r="N80" s="60"/>
      <c r="O80" s="60"/>
      <c r="P80" s="60"/>
      <c r="Q80" s="60"/>
      <c r="R80" s="206"/>
      <c r="S80" s="191"/>
      <c r="T80" s="63"/>
      <c r="U80" s="192"/>
      <c r="V80" s="192"/>
      <c r="W80" s="192"/>
      <c r="X80" s="193"/>
    </row>
    <row r="81" spans="1:30" ht="19.5" customHeight="1" x14ac:dyDescent="0.15">
      <c r="A81" s="194"/>
      <c r="B81" s="64" t="s">
        <v>435</v>
      </c>
      <c r="C81" s="114">
        <v>3.45</v>
      </c>
      <c r="D81" s="189" t="s">
        <v>436</v>
      </c>
      <c r="E81" s="190"/>
      <c r="F81" s="63"/>
      <c r="G81" s="63"/>
      <c r="H81" s="63"/>
      <c r="I81" s="63" t="s">
        <v>429</v>
      </c>
      <c r="J81" s="581">
        <f>ROUNDUP(J80+L80,3)</f>
        <v>0.58899999999999997</v>
      </c>
      <c r="K81" s="525"/>
      <c r="L81" s="63" t="s">
        <v>437</v>
      </c>
      <c r="M81" s="63"/>
      <c r="N81" s="63"/>
      <c r="O81" s="63"/>
      <c r="P81" s="63"/>
      <c r="Q81" s="63"/>
      <c r="R81" s="206"/>
      <c r="S81" s="191"/>
      <c r="T81" s="60"/>
      <c r="U81" s="192"/>
      <c r="V81" s="192"/>
      <c r="W81" s="192"/>
      <c r="X81" s="193"/>
    </row>
    <row r="82" spans="1:30" ht="19.5" customHeight="1" x14ac:dyDescent="0.15">
      <c r="A82" s="194"/>
      <c r="B82" s="64" t="s">
        <v>438</v>
      </c>
      <c r="C82" s="210">
        <f>(F36/(1000*60))/(((C80/1000)^2*PI()/4))</f>
        <v>1.6976527263135504</v>
      </c>
      <c r="D82" s="189"/>
      <c r="E82" s="190"/>
      <c r="F82" s="63"/>
      <c r="G82" s="63"/>
      <c r="I82" s="63"/>
      <c r="J82" s="63"/>
      <c r="K82" s="63"/>
      <c r="L82" s="63"/>
      <c r="M82" s="63"/>
      <c r="N82" s="63"/>
      <c r="O82" s="63"/>
      <c r="P82" s="63"/>
      <c r="Q82" s="63"/>
      <c r="R82" s="65"/>
      <c r="S82" s="191"/>
      <c r="T82" s="60"/>
      <c r="U82" s="192"/>
      <c r="V82" s="192"/>
      <c r="W82" s="192"/>
      <c r="X82" s="193"/>
    </row>
    <row r="83" spans="1:30" ht="19.5" customHeight="1" x14ac:dyDescent="0.15">
      <c r="A83" s="211" t="s">
        <v>439</v>
      </c>
      <c r="B83" s="64" t="s">
        <v>440</v>
      </c>
      <c r="C83" s="115">
        <v>0.01</v>
      </c>
      <c r="D83" s="189"/>
      <c r="E83" s="65"/>
      <c r="F83" s="63"/>
      <c r="G83" s="63" t="s">
        <v>190</v>
      </c>
      <c r="I83" s="63"/>
      <c r="J83" s="63" t="s">
        <v>431</v>
      </c>
      <c r="K83" s="63" t="s">
        <v>429</v>
      </c>
      <c r="L83" s="63" t="s">
        <v>441</v>
      </c>
      <c r="M83" s="68" t="s">
        <v>442</v>
      </c>
      <c r="N83" s="525" t="s">
        <v>443</v>
      </c>
      <c r="O83" s="525"/>
      <c r="P83" s="68" t="s">
        <v>442</v>
      </c>
      <c r="Q83" s="60" t="s">
        <v>444</v>
      </c>
      <c r="R83" s="65"/>
      <c r="S83" s="191"/>
      <c r="T83" s="212"/>
      <c r="U83" s="192"/>
      <c r="V83" s="192"/>
      <c r="W83" s="192"/>
      <c r="X83" s="193"/>
    </row>
    <row r="84" spans="1:30" ht="19.5" customHeight="1" x14ac:dyDescent="0.15">
      <c r="A84" s="194"/>
      <c r="B84" s="213"/>
      <c r="C84" s="214"/>
      <c r="D84" s="189"/>
      <c r="E84" s="65"/>
      <c r="F84" s="60"/>
      <c r="G84" s="63"/>
      <c r="H84" s="63"/>
      <c r="I84" s="63"/>
      <c r="J84" s="63"/>
      <c r="K84" s="63" t="s">
        <v>429</v>
      </c>
      <c r="L84" s="209">
        <f>L88</f>
        <v>3.4000000000000002E-2</v>
      </c>
      <c r="M84" s="68" t="s">
        <v>445</v>
      </c>
      <c r="N84" s="719">
        <f>ROUND(C81/(C80/1000),3)</f>
        <v>69</v>
      </c>
      <c r="O84" s="719"/>
      <c r="P84" s="68" t="s">
        <v>445</v>
      </c>
      <c r="Q84" s="209">
        <f>ROUND(C82^2/(2*9.8),3)</f>
        <v>0.14699999999999999</v>
      </c>
      <c r="R84" s="65"/>
      <c r="S84" s="191"/>
      <c r="T84" s="63"/>
      <c r="U84" s="192"/>
      <c r="V84" s="192"/>
      <c r="W84" s="192"/>
      <c r="X84" s="193"/>
    </row>
    <row r="85" spans="1:30" ht="19.5" customHeight="1" x14ac:dyDescent="0.15">
      <c r="A85" s="215" t="s">
        <v>446</v>
      </c>
      <c r="B85" s="216" t="s">
        <v>447</v>
      </c>
      <c r="C85" s="116">
        <v>1</v>
      </c>
      <c r="D85" s="189"/>
      <c r="E85" s="65"/>
      <c r="F85" s="60"/>
      <c r="G85" s="63"/>
      <c r="H85" s="63"/>
      <c r="I85" s="63"/>
      <c r="J85" s="63"/>
      <c r="K85" s="63" t="s">
        <v>448</v>
      </c>
      <c r="L85" s="524">
        <f>ROUND(L84*N84*Q84,3)</f>
        <v>0.34499999999999997</v>
      </c>
      <c r="M85" s="524"/>
      <c r="N85" s="63"/>
      <c r="O85" s="63"/>
      <c r="P85" s="63"/>
      <c r="Q85" s="63"/>
      <c r="R85" s="65"/>
      <c r="S85" s="191"/>
      <c r="T85" s="202"/>
      <c r="U85" s="217"/>
      <c r="V85" s="192"/>
      <c r="W85" s="192"/>
      <c r="X85" s="193"/>
    </row>
    <row r="86" spans="1:30" ht="19.5" customHeight="1" x14ac:dyDescent="0.15">
      <c r="A86" s="218" t="s">
        <v>449</v>
      </c>
      <c r="B86" s="219" t="s">
        <v>450</v>
      </c>
      <c r="C86" s="116">
        <v>0</v>
      </c>
      <c r="D86" s="189"/>
      <c r="E86" s="65"/>
      <c r="F86" s="60"/>
      <c r="G86" s="63"/>
      <c r="H86" s="60"/>
      <c r="I86" s="60"/>
      <c r="J86" s="60" t="s">
        <v>451</v>
      </c>
      <c r="K86" s="60" t="s">
        <v>448</v>
      </c>
      <c r="L86" s="60" t="s">
        <v>452</v>
      </c>
      <c r="M86" s="60"/>
      <c r="N86" s="68" t="s">
        <v>445</v>
      </c>
      <c r="O86" s="525" t="s">
        <v>453</v>
      </c>
      <c r="P86" s="525"/>
      <c r="Q86" s="63"/>
      <c r="R86" s="65"/>
      <c r="S86" s="220" t="s">
        <v>200</v>
      </c>
      <c r="T86" s="221"/>
      <c r="U86" s="222"/>
      <c r="V86" s="221"/>
      <c r="W86" s="221"/>
      <c r="X86" s="223"/>
      <c r="Y86" s="191"/>
      <c r="Z86" s="63"/>
      <c r="AA86" s="192"/>
      <c r="AB86" s="192"/>
      <c r="AC86" s="192"/>
      <c r="AD86" s="192"/>
    </row>
    <row r="87" spans="1:30" ht="19.5" customHeight="1" x14ac:dyDescent="0.15">
      <c r="A87" s="215" t="s">
        <v>454</v>
      </c>
      <c r="B87" s="213"/>
      <c r="C87" s="116">
        <v>1</v>
      </c>
      <c r="D87" s="189"/>
      <c r="E87" s="65"/>
      <c r="F87" s="63"/>
      <c r="G87" s="63"/>
      <c r="H87" s="179"/>
      <c r="I87" s="60"/>
      <c r="J87" s="60"/>
      <c r="K87" s="60" t="s">
        <v>448</v>
      </c>
      <c r="L87" s="525">
        <f>124.6/((C80/1000)^(1/3))</f>
        <v>338.21643502772531</v>
      </c>
      <c r="M87" s="525"/>
      <c r="N87" s="68" t="s">
        <v>51</v>
      </c>
      <c r="O87" s="720">
        <f>C83^2</f>
        <v>1E-4</v>
      </c>
      <c r="P87" s="720"/>
      <c r="Q87" s="63"/>
      <c r="R87" s="65"/>
      <c r="S87" s="224" t="s">
        <v>202</v>
      </c>
      <c r="T87" s="75"/>
      <c r="U87" s="102">
        <v>50</v>
      </c>
      <c r="V87" s="225">
        <v>65</v>
      </c>
      <c r="W87" s="102">
        <v>80</v>
      </c>
      <c r="X87" s="226">
        <v>100</v>
      </c>
      <c r="Y87" s="191"/>
      <c r="Z87" s="63"/>
      <c r="AA87" s="192"/>
      <c r="AB87" s="192"/>
      <c r="AC87" s="192"/>
      <c r="AD87" s="192"/>
    </row>
    <row r="88" spans="1:30" ht="19.5" customHeight="1" x14ac:dyDescent="0.15">
      <c r="A88" s="215" t="s">
        <v>326</v>
      </c>
      <c r="B88" s="213" t="s">
        <v>327</v>
      </c>
      <c r="C88" s="117">
        <v>1</v>
      </c>
      <c r="D88" s="189"/>
      <c r="E88" s="65"/>
      <c r="F88" s="60"/>
      <c r="G88" s="63"/>
      <c r="H88" s="179"/>
      <c r="I88" s="60"/>
      <c r="J88" s="63"/>
      <c r="K88" s="60" t="s">
        <v>133</v>
      </c>
      <c r="L88" s="721">
        <f>ROUND(L87*O87,3)</f>
        <v>3.4000000000000002E-2</v>
      </c>
      <c r="M88" s="721"/>
      <c r="N88" s="68"/>
      <c r="O88" s="63"/>
      <c r="P88" s="63"/>
      <c r="Q88" s="63"/>
      <c r="R88" s="65"/>
      <c r="S88" s="227" t="s">
        <v>205</v>
      </c>
      <c r="T88" s="202"/>
      <c r="U88" s="228">
        <v>0.17</v>
      </c>
      <c r="V88" s="228">
        <v>0.17</v>
      </c>
      <c r="W88" s="228">
        <v>0.17</v>
      </c>
      <c r="X88" s="229">
        <v>0.14000000000000001</v>
      </c>
      <c r="Y88" s="191"/>
      <c r="Z88" s="63"/>
      <c r="AA88" s="192"/>
      <c r="AB88" s="192"/>
      <c r="AC88" s="192"/>
      <c r="AD88" s="192"/>
    </row>
    <row r="89" spans="1:30" ht="19.5" customHeight="1" x14ac:dyDescent="0.15">
      <c r="A89" s="218" t="s">
        <v>328</v>
      </c>
      <c r="B89" s="213" t="s">
        <v>329</v>
      </c>
      <c r="C89" s="117">
        <v>0</v>
      </c>
      <c r="D89" s="189"/>
      <c r="E89" s="65"/>
      <c r="F89" s="63"/>
      <c r="G89" s="63"/>
      <c r="I89" s="63"/>
      <c r="J89" s="63"/>
      <c r="K89" s="63"/>
      <c r="L89" s="63"/>
      <c r="M89" s="63"/>
      <c r="N89" s="63"/>
      <c r="O89" s="63"/>
      <c r="P89" s="63"/>
      <c r="Q89" s="63"/>
      <c r="R89" s="65"/>
      <c r="S89" s="220" t="s">
        <v>207</v>
      </c>
      <c r="T89" s="221"/>
      <c r="U89" s="222"/>
      <c r="V89" s="221"/>
      <c r="W89" s="221"/>
      <c r="X89" s="223"/>
      <c r="Y89" s="191"/>
      <c r="Z89" s="63"/>
      <c r="AA89" s="192"/>
      <c r="AB89" s="192"/>
      <c r="AC89" s="192"/>
      <c r="AD89" s="192"/>
    </row>
    <row r="90" spans="1:30" ht="19.5" customHeight="1" x14ac:dyDescent="0.15">
      <c r="A90" s="218" t="s">
        <v>328</v>
      </c>
      <c r="B90" s="213" t="s">
        <v>330</v>
      </c>
      <c r="C90" s="117">
        <v>0</v>
      </c>
      <c r="D90" s="189"/>
      <c r="E90" s="65"/>
      <c r="F90" s="60"/>
      <c r="G90" s="583" t="s">
        <v>352</v>
      </c>
      <c r="H90" s="583"/>
      <c r="I90" s="583"/>
      <c r="J90" s="63" t="s">
        <v>302</v>
      </c>
      <c r="K90" s="63" t="s">
        <v>133</v>
      </c>
      <c r="L90" s="525" t="s">
        <v>332</v>
      </c>
      <c r="M90" s="525"/>
      <c r="N90" s="68" t="s">
        <v>51</v>
      </c>
      <c r="O90" s="525" t="s">
        <v>333</v>
      </c>
      <c r="P90" s="525"/>
      <c r="Q90" s="63"/>
      <c r="R90" s="65"/>
      <c r="S90" s="224" t="s">
        <v>202</v>
      </c>
      <c r="T90" s="75"/>
      <c r="U90" s="102">
        <v>50</v>
      </c>
      <c r="V90" s="225">
        <v>65</v>
      </c>
      <c r="W90" s="102">
        <v>80</v>
      </c>
      <c r="X90" s="226">
        <v>100</v>
      </c>
      <c r="Y90" s="191"/>
      <c r="Z90" s="63"/>
      <c r="AA90" s="192"/>
      <c r="AB90" s="192"/>
      <c r="AC90" s="192"/>
      <c r="AD90" s="192"/>
    </row>
    <row r="91" spans="1:30" ht="19.5" customHeight="1" x14ac:dyDescent="0.15">
      <c r="A91" s="218" t="s">
        <v>328</v>
      </c>
      <c r="B91" s="213" t="s">
        <v>334</v>
      </c>
      <c r="C91" s="117">
        <v>0</v>
      </c>
      <c r="D91" s="189"/>
      <c r="E91" s="65"/>
      <c r="F91" s="63"/>
      <c r="G91" s="583"/>
      <c r="H91" s="583"/>
      <c r="I91" s="583"/>
      <c r="J91" s="63"/>
      <c r="K91" s="63" t="s">
        <v>133</v>
      </c>
      <c r="L91" s="722">
        <f>L94+O94</f>
        <v>1.66</v>
      </c>
      <c r="M91" s="525"/>
      <c r="N91" s="68" t="s">
        <v>51</v>
      </c>
      <c r="O91" s="581">
        <f>Q84</f>
        <v>0.14699999999999999</v>
      </c>
      <c r="P91" s="525"/>
      <c r="Q91" s="63"/>
      <c r="R91" s="65"/>
      <c r="S91" s="227" t="s">
        <v>205</v>
      </c>
      <c r="T91" s="202"/>
      <c r="U91" s="71">
        <v>1.2</v>
      </c>
      <c r="V91" s="71">
        <v>1.2</v>
      </c>
      <c r="W91" s="71">
        <v>1.2</v>
      </c>
      <c r="X91" s="72">
        <v>1.2</v>
      </c>
      <c r="Y91" s="191"/>
      <c r="Z91" s="63"/>
      <c r="AA91" s="192"/>
      <c r="AB91" s="192"/>
      <c r="AC91" s="192"/>
      <c r="AD91" s="192"/>
    </row>
    <row r="92" spans="1:30" ht="19.5" customHeight="1" x14ac:dyDescent="0.15">
      <c r="A92" s="230"/>
      <c r="B92" s="231"/>
      <c r="C92" s="231"/>
      <c r="D92" s="231"/>
      <c r="E92" s="232"/>
      <c r="F92" s="63"/>
      <c r="G92" s="233"/>
      <c r="H92" s="63"/>
      <c r="I92" s="63"/>
      <c r="J92" s="63"/>
      <c r="K92" s="63" t="s">
        <v>133</v>
      </c>
      <c r="L92" s="524">
        <f>ROUND(L91*O91,3)</f>
        <v>0.24399999999999999</v>
      </c>
      <c r="M92" s="524"/>
      <c r="N92" s="63"/>
      <c r="O92" s="63"/>
      <c r="P92" s="63"/>
      <c r="Q92" s="63"/>
      <c r="R92" s="65"/>
      <c r="S92" s="234" t="s">
        <v>213</v>
      </c>
      <c r="T92" s="221"/>
      <c r="U92" s="221"/>
      <c r="V92" s="221"/>
      <c r="W92" s="221"/>
      <c r="X92" s="235"/>
      <c r="Y92" s="191"/>
      <c r="Z92" s="236"/>
      <c r="AA92" s="192"/>
      <c r="AB92" s="192"/>
      <c r="AC92" s="192"/>
      <c r="AD92" s="192"/>
    </row>
    <row r="93" spans="1:30" ht="19.5" customHeight="1" x14ac:dyDescent="0.15">
      <c r="A93" s="543" t="s">
        <v>614</v>
      </c>
      <c r="B93" s="544"/>
      <c r="C93" s="544"/>
      <c r="D93" s="544"/>
      <c r="E93" s="545"/>
      <c r="F93" s="63"/>
      <c r="G93" s="63"/>
      <c r="H93" s="63"/>
      <c r="I93" s="63"/>
      <c r="J93" s="63" t="s">
        <v>332</v>
      </c>
      <c r="K93" s="60" t="s">
        <v>133</v>
      </c>
      <c r="L93" s="63" t="s">
        <v>214</v>
      </c>
      <c r="M93" s="63"/>
      <c r="N93" s="63"/>
      <c r="O93" s="63"/>
      <c r="P93" s="63"/>
      <c r="Q93" s="63"/>
      <c r="R93" s="65"/>
      <c r="S93" s="105" t="s">
        <v>215</v>
      </c>
      <c r="T93" s="63"/>
      <c r="U93" s="63">
        <v>90</v>
      </c>
      <c r="V93" s="63">
        <v>60</v>
      </c>
      <c r="W93" s="63">
        <v>45</v>
      </c>
      <c r="X93" s="65">
        <v>30</v>
      </c>
      <c r="Y93" s="191"/>
      <c r="Z93" s="236"/>
      <c r="AA93" s="192"/>
      <c r="AB93" s="192"/>
      <c r="AC93" s="192"/>
      <c r="AD93" s="192"/>
    </row>
    <row r="94" spans="1:30" ht="19.5" customHeight="1" x14ac:dyDescent="0.15">
      <c r="A94" s="546"/>
      <c r="B94" s="547"/>
      <c r="C94" s="547"/>
      <c r="D94" s="547"/>
      <c r="E94" s="548"/>
      <c r="F94" s="202"/>
      <c r="G94" s="202"/>
      <c r="H94" s="202"/>
      <c r="I94" s="202"/>
      <c r="J94" s="202"/>
      <c r="K94" s="202" t="s">
        <v>133</v>
      </c>
      <c r="L94" s="723">
        <f>C85*U88+C86*X88+C87*U91</f>
        <v>1.3699999999999999</v>
      </c>
      <c r="M94" s="723"/>
      <c r="N94" s="238" t="s">
        <v>129</v>
      </c>
      <c r="O94" s="724">
        <f>C88*U94+C89*V94+C90*W94+C91*X94</f>
        <v>0.28999999999999998</v>
      </c>
      <c r="P94" s="724"/>
      <c r="Q94" s="202"/>
      <c r="R94" s="237"/>
      <c r="S94" s="227" t="s">
        <v>205</v>
      </c>
      <c r="T94" s="202"/>
      <c r="U94" s="239">
        <v>0.28999999999999998</v>
      </c>
      <c r="V94" s="239">
        <v>0.24</v>
      </c>
      <c r="W94" s="239">
        <v>0.21</v>
      </c>
      <c r="X94" s="240">
        <v>0.17</v>
      </c>
      <c r="Y94" s="191"/>
      <c r="Z94" s="63"/>
      <c r="AA94" s="192"/>
      <c r="AB94" s="192"/>
      <c r="AC94" s="192"/>
      <c r="AD94" s="192"/>
    </row>
    <row r="95" spans="1:30" ht="19.5" customHeight="1" x14ac:dyDescent="0.15">
      <c r="A95" s="105" t="s">
        <v>177</v>
      </c>
      <c r="B95" s="241"/>
      <c r="C95" s="241"/>
      <c r="D95" s="189"/>
      <c r="E95" s="65"/>
      <c r="F95" s="75"/>
      <c r="G95" s="75"/>
      <c r="H95" s="75"/>
      <c r="I95" s="75"/>
      <c r="J95" s="75"/>
      <c r="K95" s="75"/>
      <c r="L95" s="75"/>
      <c r="M95" s="75"/>
      <c r="N95" s="75"/>
      <c r="O95" s="74"/>
      <c r="P95" s="74"/>
      <c r="Q95" s="74"/>
      <c r="R95" s="279"/>
      <c r="S95" s="242"/>
      <c r="T95" s="243"/>
      <c r="U95" s="243"/>
      <c r="V95" s="243"/>
      <c r="W95" s="243"/>
      <c r="X95" s="244"/>
      <c r="Y95" s="153"/>
      <c r="Z95" s="32"/>
      <c r="AA95" s="32"/>
      <c r="AB95" s="32"/>
      <c r="AC95" s="32"/>
      <c r="AD95" s="32"/>
    </row>
    <row r="96" spans="1:30" ht="19.5" customHeight="1" x14ac:dyDescent="0.15">
      <c r="A96" s="194"/>
      <c r="B96" s="189"/>
      <c r="C96" s="189"/>
      <c r="D96" s="189"/>
      <c r="E96" s="65"/>
      <c r="F96" s="63"/>
      <c r="G96" s="63"/>
      <c r="H96" s="63" t="s">
        <v>300</v>
      </c>
      <c r="I96" s="63" t="s">
        <v>133</v>
      </c>
      <c r="J96" s="63" t="s">
        <v>310</v>
      </c>
      <c r="K96" s="68" t="s">
        <v>129</v>
      </c>
      <c r="L96" s="63" t="s">
        <v>302</v>
      </c>
      <c r="M96" s="63"/>
      <c r="N96" s="60"/>
      <c r="O96" s="60"/>
      <c r="P96" s="60"/>
      <c r="Q96" s="60"/>
      <c r="R96" s="206"/>
      <c r="S96" s="245"/>
      <c r="T96" s="246"/>
      <c r="U96" s="246"/>
      <c r="V96" s="246"/>
      <c r="W96" s="246"/>
      <c r="X96" s="247"/>
    </row>
    <row r="97" spans="1:25" ht="19.5" customHeight="1" x14ac:dyDescent="0.15">
      <c r="A97" s="66" t="s">
        <v>183</v>
      </c>
      <c r="B97" s="184" t="s">
        <v>455</v>
      </c>
      <c r="C97" s="207">
        <f>L48</f>
        <v>65</v>
      </c>
      <c r="D97" s="208" t="s">
        <v>340</v>
      </c>
      <c r="E97" s="65"/>
      <c r="F97" s="63"/>
      <c r="G97" s="63"/>
      <c r="H97" s="63"/>
      <c r="I97" s="63" t="s">
        <v>133</v>
      </c>
      <c r="J97" s="209">
        <f>L102</f>
        <v>0.30399999999999999</v>
      </c>
      <c r="K97" s="68" t="s">
        <v>129</v>
      </c>
      <c r="L97" s="209">
        <f>L109</f>
        <v>1.4999999999999999E-2</v>
      </c>
      <c r="M97" s="63"/>
      <c r="N97" s="60"/>
      <c r="O97" s="60"/>
      <c r="P97" s="60"/>
      <c r="Q97" s="60"/>
      <c r="R97" s="206"/>
      <c r="S97" s="191"/>
      <c r="T97" s="63"/>
      <c r="U97" s="192"/>
      <c r="V97" s="192"/>
      <c r="W97" s="192"/>
      <c r="X97" s="193"/>
    </row>
    <row r="98" spans="1:25" ht="19.5" customHeight="1" x14ac:dyDescent="0.15">
      <c r="A98" s="194"/>
      <c r="B98" s="64" t="s">
        <v>341</v>
      </c>
      <c r="C98" s="114">
        <v>12.5</v>
      </c>
      <c r="D98" s="189" t="s">
        <v>280</v>
      </c>
      <c r="E98" s="65"/>
      <c r="F98" s="63"/>
      <c r="G98" s="63"/>
      <c r="H98" s="63"/>
      <c r="I98" s="63" t="s">
        <v>133</v>
      </c>
      <c r="J98" s="581">
        <f>IF(ISNUMBER(L48),(ROUNDUP(J97+L97,3)),"")</f>
        <v>0.31900000000000001</v>
      </c>
      <c r="K98" s="525"/>
      <c r="L98" s="63" t="s">
        <v>342</v>
      </c>
      <c r="M98" s="63"/>
      <c r="N98" s="63"/>
      <c r="O98" s="63"/>
      <c r="P98" s="63"/>
      <c r="Q98" s="63"/>
      <c r="R98" s="206"/>
      <c r="S98" s="191"/>
      <c r="T98" s="63"/>
      <c r="U98" s="192"/>
      <c r="V98" s="192"/>
      <c r="W98" s="192"/>
      <c r="X98" s="193"/>
    </row>
    <row r="99" spans="1:25" ht="19.5" customHeight="1" x14ac:dyDescent="0.15">
      <c r="A99" s="194"/>
      <c r="B99" s="64" t="s">
        <v>307</v>
      </c>
      <c r="C99" s="210">
        <f>IF(ISNUMBER(L48),((F36/(1000*60))/(((C97/1000)^2*PI()/4))),"")</f>
        <v>1.0045282404222191</v>
      </c>
      <c r="D99" s="189"/>
      <c r="E99" s="190"/>
      <c r="F99" s="63"/>
      <c r="G99" s="63"/>
      <c r="H99" s="63"/>
      <c r="I99" s="63"/>
      <c r="J99" s="63"/>
      <c r="K99" s="63"/>
      <c r="L99" s="63"/>
      <c r="M99" s="63"/>
      <c r="N99" s="63"/>
      <c r="O99" s="63"/>
      <c r="P99" s="63"/>
      <c r="Q99" s="63"/>
      <c r="R99" s="65"/>
      <c r="S99" s="191"/>
      <c r="T99" s="60"/>
      <c r="U99" s="192"/>
      <c r="V99" s="192"/>
      <c r="W99" s="192"/>
      <c r="X99" s="193"/>
    </row>
    <row r="100" spans="1:25" ht="19.5" customHeight="1" x14ac:dyDescent="0.15">
      <c r="A100" s="211" t="s">
        <v>308</v>
      </c>
      <c r="B100" s="64" t="s">
        <v>343</v>
      </c>
      <c r="C100" s="118">
        <v>0.01</v>
      </c>
      <c r="D100" s="189"/>
      <c r="E100" s="190"/>
      <c r="F100" s="63"/>
      <c r="G100" s="63" t="s">
        <v>190</v>
      </c>
      <c r="I100" s="63"/>
      <c r="J100" s="63" t="s">
        <v>310</v>
      </c>
      <c r="K100" s="63" t="s">
        <v>133</v>
      </c>
      <c r="L100" s="63" t="s">
        <v>344</v>
      </c>
      <c r="M100" s="68" t="s">
        <v>51</v>
      </c>
      <c r="N100" s="525" t="s">
        <v>345</v>
      </c>
      <c r="O100" s="525"/>
      <c r="P100" s="68" t="s">
        <v>51</v>
      </c>
      <c r="Q100" s="60" t="s">
        <v>333</v>
      </c>
      <c r="R100" s="65"/>
      <c r="S100" s="191"/>
      <c r="T100" s="60"/>
      <c r="U100" s="192"/>
      <c r="V100" s="192"/>
      <c r="W100" s="192"/>
      <c r="X100" s="193"/>
    </row>
    <row r="101" spans="1:25" ht="19.5" customHeight="1" x14ac:dyDescent="0.15">
      <c r="A101" s="194"/>
      <c r="B101" s="213"/>
      <c r="C101" s="214"/>
      <c r="D101" s="189"/>
      <c r="E101" s="65"/>
      <c r="F101" s="60"/>
      <c r="G101" s="63"/>
      <c r="H101" s="63"/>
      <c r="I101" s="63"/>
      <c r="J101" s="63"/>
      <c r="K101" s="63" t="s">
        <v>133</v>
      </c>
      <c r="L101" s="209">
        <f>L105</f>
        <v>3.1E-2</v>
      </c>
      <c r="M101" s="68" t="s">
        <v>51</v>
      </c>
      <c r="N101" s="719">
        <f>IF(ISNUMBER(L48),(ROUND(C98/(C97/1000),3)),"")</f>
        <v>192.30799999999999</v>
      </c>
      <c r="O101" s="719"/>
      <c r="P101" s="68" t="s">
        <v>51</v>
      </c>
      <c r="Q101" s="209">
        <f>IF(ISNUMBER(L48),(ROUND(C99^2/(2*9.8),3)),"")</f>
        <v>5.0999999999999997E-2</v>
      </c>
      <c r="R101" s="65"/>
      <c r="S101" s="191"/>
      <c r="T101" s="212"/>
      <c r="U101" s="192"/>
      <c r="V101" s="192"/>
      <c r="W101" s="192"/>
      <c r="X101" s="193"/>
    </row>
    <row r="102" spans="1:25" ht="19.5" customHeight="1" x14ac:dyDescent="0.15">
      <c r="A102" s="215" t="s">
        <v>346</v>
      </c>
      <c r="B102" s="216" t="s">
        <v>347</v>
      </c>
      <c r="C102" s="116">
        <v>0</v>
      </c>
      <c r="D102" s="189"/>
      <c r="E102" s="65"/>
      <c r="F102" s="60"/>
      <c r="G102" s="63"/>
      <c r="H102" s="63"/>
      <c r="I102" s="63"/>
      <c r="J102" s="63"/>
      <c r="K102" s="63" t="s">
        <v>133</v>
      </c>
      <c r="L102" s="524">
        <f>IF(ISNUMBER(L48),(ROUND(L101*N101*Q101,3)),"")</f>
        <v>0.30399999999999999</v>
      </c>
      <c r="M102" s="524"/>
      <c r="N102" s="63"/>
      <c r="O102" s="63"/>
      <c r="P102" s="63"/>
      <c r="Q102" s="63"/>
      <c r="R102" s="65"/>
      <c r="S102" s="191"/>
      <c r="T102" s="63"/>
      <c r="U102" s="192"/>
      <c r="V102" s="192"/>
      <c r="W102" s="192"/>
      <c r="X102" s="193"/>
    </row>
    <row r="103" spans="1:25" ht="19.5" customHeight="1" x14ac:dyDescent="0.15">
      <c r="A103" s="218" t="s">
        <v>328</v>
      </c>
      <c r="B103" s="219" t="s">
        <v>348</v>
      </c>
      <c r="C103" s="116">
        <v>0</v>
      </c>
      <c r="D103" s="189"/>
      <c r="E103" s="65"/>
      <c r="F103" s="60"/>
      <c r="G103" s="63"/>
      <c r="H103" s="60"/>
      <c r="I103" s="60"/>
      <c r="J103" s="60" t="s">
        <v>344</v>
      </c>
      <c r="K103" s="60" t="s">
        <v>133</v>
      </c>
      <c r="L103" s="60" t="s">
        <v>349</v>
      </c>
      <c r="M103" s="60"/>
      <c r="N103" s="68" t="s">
        <v>51</v>
      </c>
      <c r="O103" s="525" t="s">
        <v>350</v>
      </c>
      <c r="P103" s="525"/>
      <c r="Q103" s="63"/>
      <c r="R103" s="65"/>
      <c r="S103" s="191"/>
      <c r="T103" s="63"/>
      <c r="U103" s="192"/>
      <c r="V103" s="192"/>
      <c r="W103" s="192"/>
      <c r="X103" s="193"/>
    </row>
    <row r="104" spans="1:25" ht="19.5" customHeight="1" x14ac:dyDescent="0.15">
      <c r="A104" s="215" t="s">
        <v>351</v>
      </c>
      <c r="B104" s="213"/>
      <c r="C104" s="116">
        <v>0</v>
      </c>
      <c r="D104" s="189"/>
      <c r="E104" s="65"/>
      <c r="F104" s="63"/>
      <c r="G104" s="63"/>
      <c r="H104" s="179"/>
      <c r="I104" s="60"/>
      <c r="J104" s="60"/>
      <c r="K104" s="60" t="s">
        <v>133</v>
      </c>
      <c r="L104" s="695">
        <f>IF(ISNUMBER(L48),(124.6/((C97/1000)^(1/3)))," ")</f>
        <v>309.89430138036641</v>
      </c>
      <c r="M104" s="695"/>
      <c r="N104" s="68" t="s">
        <v>51</v>
      </c>
      <c r="O104" s="720">
        <f>IF(ISNUMBER(L48),(C100^2)," ")</f>
        <v>1E-4</v>
      </c>
      <c r="P104" s="720"/>
      <c r="Q104" s="63"/>
      <c r="R104" s="65"/>
      <c r="S104" s="191"/>
      <c r="T104" s="63"/>
      <c r="U104" s="192"/>
      <c r="V104" s="192"/>
      <c r="W104" s="192"/>
      <c r="X104" s="193"/>
    </row>
    <row r="105" spans="1:25" ht="19.5" customHeight="1" x14ac:dyDescent="0.15">
      <c r="A105" s="215" t="s">
        <v>326</v>
      </c>
      <c r="B105" s="213" t="s">
        <v>327</v>
      </c>
      <c r="C105" s="117">
        <v>1</v>
      </c>
      <c r="D105" s="189"/>
      <c r="E105" s="65"/>
      <c r="F105" s="60"/>
      <c r="G105" s="63"/>
      <c r="H105" s="179"/>
      <c r="I105" s="60"/>
      <c r="J105" s="63"/>
      <c r="K105" s="60" t="s">
        <v>133</v>
      </c>
      <c r="L105" s="721">
        <f>IF(ISNUMBER(L48),ROUND(L104*O104,3)," ")</f>
        <v>3.1E-2</v>
      </c>
      <c r="M105" s="721"/>
      <c r="N105" s="68"/>
      <c r="O105" s="63"/>
      <c r="P105" s="63"/>
      <c r="Q105" s="63"/>
      <c r="R105" s="65"/>
      <c r="S105" s="191"/>
      <c r="T105" s="63"/>
      <c r="U105" s="192"/>
      <c r="V105" s="192"/>
      <c r="W105" s="192"/>
      <c r="X105" s="193"/>
    </row>
    <row r="106" spans="1:25" ht="19.5" customHeight="1" x14ac:dyDescent="0.15">
      <c r="A106" s="218" t="s">
        <v>328</v>
      </c>
      <c r="B106" s="213" t="s">
        <v>329</v>
      </c>
      <c r="C106" s="117">
        <v>0</v>
      </c>
      <c r="D106" s="189"/>
      <c r="E106" s="65"/>
      <c r="F106" s="63"/>
      <c r="G106" s="63"/>
      <c r="I106" s="63"/>
      <c r="J106" s="63"/>
      <c r="K106" s="63"/>
      <c r="L106" s="63"/>
      <c r="M106" s="63"/>
      <c r="N106" s="63"/>
      <c r="O106" s="63"/>
      <c r="P106" s="63"/>
      <c r="Q106" s="63"/>
      <c r="R106" s="65"/>
      <c r="S106" s="191"/>
      <c r="T106" s="63"/>
      <c r="U106" s="192"/>
      <c r="V106" s="192"/>
      <c r="W106" s="192"/>
      <c r="X106" s="193"/>
    </row>
    <row r="107" spans="1:25" ht="19.5" customHeight="1" x14ac:dyDescent="0.15">
      <c r="A107" s="218" t="s">
        <v>328</v>
      </c>
      <c r="B107" s="213" t="s">
        <v>330</v>
      </c>
      <c r="C107" s="117">
        <v>0</v>
      </c>
      <c r="D107" s="189"/>
      <c r="E107" s="65"/>
      <c r="F107" s="60"/>
      <c r="G107" s="583" t="s">
        <v>352</v>
      </c>
      <c r="H107" s="583"/>
      <c r="I107" s="583"/>
      <c r="J107" s="63" t="s">
        <v>302</v>
      </c>
      <c r="K107" s="63" t="s">
        <v>133</v>
      </c>
      <c r="L107" s="525" t="s">
        <v>332</v>
      </c>
      <c r="M107" s="525"/>
      <c r="N107" s="68" t="s">
        <v>51</v>
      </c>
      <c r="O107" s="525" t="s">
        <v>333</v>
      </c>
      <c r="P107" s="525"/>
      <c r="Q107" s="63"/>
      <c r="R107" s="65"/>
      <c r="S107" s="191"/>
      <c r="T107" s="63"/>
      <c r="U107" s="192"/>
      <c r="V107" s="192"/>
      <c r="W107" s="192"/>
      <c r="X107" s="193"/>
    </row>
    <row r="108" spans="1:25" ht="19.5" customHeight="1" x14ac:dyDescent="0.15">
      <c r="A108" s="218" t="s">
        <v>328</v>
      </c>
      <c r="B108" s="213" t="s">
        <v>334</v>
      </c>
      <c r="C108" s="117">
        <v>0</v>
      </c>
      <c r="D108" s="189"/>
      <c r="E108" s="65"/>
      <c r="F108" s="63"/>
      <c r="G108" s="583"/>
      <c r="H108" s="583"/>
      <c r="I108" s="583"/>
      <c r="J108" s="63"/>
      <c r="K108" s="63" t="s">
        <v>133</v>
      </c>
      <c r="L108" s="525">
        <f>IF(ISNUMBER(L48),L111+O111,"")</f>
        <v>0.28999999999999998</v>
      </c>
      <c r="M108" s="525"/>
      <c r="N108" s="68" t="s">
        <v>51</v>
      </c>
      <c r="O108" s="581">
        <f>Q101</f>
        <v>5.0999999999999997E-2</v>
      </c>
      <c r="P108" s="525"/>
      <c r="Q108" s="63"/>
      <c r="R108" s="65"/>
      <c r="S108" s="191"/>
      <c r="T108" s="63"/>
      <c r="U108" s="192"/>
      <c r="V108" s="192"/>
      <c r="W108" s="192"/>
      <c r="X108" s="193"/>
    </row>
    <row r="109" spans="1:25" ht="19.5" customHeight="1" x14ac:dyDescent="0.15">
      <c r="A109" s="194"/>
      <c r="B109" s="189"/>
      <c r="C109" s="214"/>
      <c r="D109" s="189"/>
      <c r="E109" s="65"/>
      <c r="F109" s="63"/>
      <c r="G109" s="233"/>
      <c r="H109" s="63"/>
      <c r="I109" s="63"/>
      <c r="J109" s="63"/>
      <c r="K109" s="63" t="s">
        <v>133</v>
      </c>
      <c r="L109" s="524">
        <f>IF(ISNUMBER(L48),(ROUND(L108*O108,3)),"")</f>
        <v>1.4999999999999999E-2</v>
      </c>
      <c r="M109" s="524"/>
      <c r="N109" s="63"/>
      <c r="O109" s="63"/>
      <c r="P109" s="63"/>
      <c r="Q109" s="63"/>
      <c r="R109" s="65"/>
      <c r="S109" s="191"/>
      <c r="T109" s="63"/>
      <c r="U109" s="192"/>
      <c r="V109" s="192"/>
      <c r="W109" s="192"/>
      <c r="X109" s="193"/>
    </row>
    <row r="110" spans="1:25" ht="19.5" customHeight="1" x14ac:dyDescent="0.15">
      <c r="A110" s="543" t="s">
        <v>614</v>
      </c>
      <c r="B110" s="544"/>
      <c r="C110" s="544"/>
      <c r="D110" s="544"/>
      <c r="E110" s="545"/>
      <c r="F110" s="63"/>
      <c r="G110" s="63"/>
      <c r="H110" s="63"/>
      <c r="I110" s="63"/>
      <c r="J110" s="63" t="s">
        <v>332</v>
      </c>
      <c r="K110" s="60" t="s">
        <v>133</v>
      </c>
      <c r="L110" s="63" t="s">
        <v>214</v>
      </c>
      <c r="M110" s="63"/>
      <c r="N110" s="63"/>
      <c r="O110" s="63"/>
      <c r="P110" s="63"/>
      <c r="Q110" s="63"/>
      <c r="R110" s="65"/>
      <c r="S110" s="191"/>
      <c r="T110" s="236"/>
      <c r="U110" s="192"/>
      <c r="V110" s="192"/>
      <c r="W110" s="192"/>
      <c r="X110" s="193"/>
    </row>
    <row r="111" spans="1:25" ht="19.5" customHeight="1" x14ac:dyDescent="0.15">
      <c r="A111" s="546"/>
      <c r="B111" s="547"/>
      <c r="C111" s="547"/>
      <c r="D111" s="547"/>
      <c r="E111" s="548"/>
      <c r="F111" s="202"/>
      <c r="G111" s="202"/>
      <c r="H111" s="202"/>
      <c r="I111" s="202"/>
      <c r="J111" s="202"/>
      <c r="K111" s="202" t="s">
        <v>133</v>
      </c>
      <c r="L111" s="723">
        <f>IF(ISNUMBER(L48),C102*U88+C103*X88+C104*U91,"")</f>
        <v>0</v>
      </c>
      <c r="M111" s="723"/>
      <c r="N111" s="238" t="s">
        <v>129</v>
      </c>
      <c r="O111" s="724">
        <f>IF(ISNUMBER(L48),C105*U94+C106*V94+C107*W94+C108*X94,"")</f>
        <v>0.28999999999999998</v>
      </c>
      <c r="P111" s="724"/>
      <c r="Q111" s="202"/>
      <c r="R111" s="237"/>
      <c r="S111" s="248"/>
      <c r="T111" s="249"/>
      <c r="U111" s="217"/>
      <c r="V111" s="217"/>
      <c r="W111" s="217"/>
      <c r="X111" s="250"/>
    </row>
    <row r="112" spans="1:25" ht="19.5" customHeight="1" x14ac:dyDescent="0.15">
      <c r="A112" s="241"/>
      <c r="B112" s="241"/>
      <c r="C112" s="251"/>
      <c r="D112" s="241"/>
      <c r="K112" s="252"/>
      <c r="L112" s="63"/>
      <c r="M112" s="63"/>
      <c r="N112" s="63"/>
      <c r="O112" s="63"/>
      <c r="P112" s="63"/>
      <c r="Q112" s="63"/>
      <c r="R112" s="64"/>
      <c r="S112" s="64"/>
      <c r="T112" s="64"/>
      <c r="U112" s="64"/>
      <c r="V112" s="64"/>
      <c r="W112" s="64"/>
      <c r="X112" s="64"/>
      <c r="Y112" s="64"/>
    </row>
    <row r="113" spans="1:36" ht="19.5" customHeight="1" x14ac:dyDescent="0.15">
      <c r="A113" s="189"/>
      <c r="B113" s="189"/>
      <c r="C113" s="214"/>
      <c r="D113" s="189"/>
      <c r="K113" s="63"/>
      <c r="L113" s="63"/>
      <c r="M113" s="63"/>
      <c r="N113" s="63"/>
      <c r="O113" s="63"/>
      <c r="P113" s="63"/>
      <c r="Q113" s="63"/>
      <c r="R113" s="64"/>
      <c r="S113" s="64"/>
      <c r="T113" s="64"/>
      <c r="U113" s="64"/>
      <c r="V113" s="64"/>
      <c r="W113" s="64"/>
      <c r="X113" s="64"/>
      <c r="Y113" s="64"/>
    </row>
    <row r="114" spans="1:36" ht="24.75" x14ac:dyDescent="0.15">
      <c r="A114" s="253" t="s">
        <v>646</v>
      </c>
      <c r="X114" s="41"/>
      <c r="Y114" s="41"/>
    </row>
    <row r="115" spans="1:36" x14ac:dyDescent="0.15">
      <c r="W115" s="254"/>
      <c r="X115" s="41"/>
      <c r="Y115" s="41"/>
    </row>
    <row r="116" spans="1:36" x14ac:dyDescent="0.15">
      <c r="B116" s="149" t="s">
        <v>226</v>
      </c>
      <c r="W116" s="254"/>
      <c r="X116" s="41"/>
      <c r="Y116" s="41"/>
    </row>
    <row r="117" spans="1:36" x14ac:dyDescent="0.15">
      <c r="C117" s="255" t="s">
        <v>227</v>
      </c>
      <c r="D117" s="255"/>
      <c r="E117" s="255"/>
      <c r="F117" s="255"/>
      <c r="G117" s="255"/>
      <c r="H117" s="733">
        <v>0.15</v>
      </c>
      <c r="I117" s="733"/>
      <c r="J117" s="255" t="s">
        <v>280</v>
      </c>
      <c r="K117" s="255" t="s">
        <v>228</v>
      </c>
      <c r="L117" s="255"/>
      <c r="M117" s="255"/>
      <c r="W117" s="254"/>
      <c r="X117" s="41"/>
      <c r="Y117" s="41"/>
    </row>
    <row r="118" spans="1:36" x14ac:dyDescent="0.15">
      <c r="W118" s="254"/>
      <c r="X118" s="41"/>
      <c r="Y118" s="41"/>
    </row>
    <row r="119" spans="1:36" x14ac:dyDescent="0.15">
      <c r="B119" s="149" t="s">
        <v>229</v>
      </c>
      <c r="E119" s="376" t="s">
        <v>600</v>
      </c>
      <c r="G119" s="167"/>
      <c r="W119" s="254"/>
      <c r="X119" s="41"/>
      <c r="Y119" s="41"/>
    </row>
    <row r="120" spans="1:36" x14ac:dyDescent="0.15">
      <c r="B120" s="256"/>
      <c r="C120" s="257"/>
      <c r="D120" s="258" t="s">
        <v>230</v>
      </c>
      <c r="E120" s="257">
        <f>F36</f>
        <v>200</v>
      </c>
      <c r="F120" s="256" t="s">
        <v>353</v>
      </c>
      <c r="G120" s="256"/>
      <c r="H120" s="256" t="s">
        <v>232</v>
      </c>
      <c r="I120" s="256" t="s">
        <v>133</v>
      </c>
      <c r="J120" s="708">
        <f>F36*3</f>
        <v>600</v>
      </c>
      <c r="K120" s="708"/>
      <c r="L120" s="256" t="s">
        <v>354</v>
      </c>
      <c r="M120" s="259" t="s">
        <v>133</v>
      </c>
      <c r="N120" s="710">
        <f>J120/1000</f>
        <v>0.6</v>
      </c>
      <c r="O120" s="710"/>
      <c r="P120" s="260" t="s">
        <v>603</v>
      </c>
      <c r="Q120" s="256" t="s">
        <v>355</v>
      </c>
      <c r="R120" s="256"/>
      <c r="S120" s="256"/>
      <c r="T120" s="256"/>
      <c r="U120" s="256"/>
      <c r="V120" s="256"/>
      <c r="W120" s="256"/>
      <c r="X120" s="256"/>
      <c r="Y120" s="256"/>
      <c r="AH120" s="41"/>
      <c r="AI120" s="41"/>
      <c r="AJ120" s="41"/>
    </row>
    <row r="121" spans="1:36" x14ac:dyDescent="0.15">
      <c r="B121" s="256" t="s">
        <v>235</v>
      </c>
      <c r="C121" s="257"/>
      <c r="D121" s="258"/>
      <c r="E121" s="257"/>
      <c r="F121" s="256"/>
      <c r="G121" s="256"/>
      <c r="H121" s="256"/>
      <c r="I121" s="256"/>
      <c r="J121" s="256"/>
      <c r="K121" s="256"/>
      <c r="L121" s="256"/>
      <c r="M121" s="261"/>
      <c r="N121" s="261"/>
      <c r="O121" s="260"/>
      <c r="P121" s="256"/>
      <c r="Q121" s="256"/>
      <c r="R121" s="256"/>
      <c r="S121" s="256"/>
      <c r="T121" s="256"/>
      <c r="U121" s="256"/>
      <c r="V121" s="256"/>
      <c r="W121" s="256"/>
      <c r="X121" s="256"/>
      <c r="AG121" s="41"/>
      <c r="AH121" s="41"/>
      <c r="AI121" s="41"/>
    </row>
    <row r="122" spans="1:36" x14ac:dyDescent="0.15">
      <c r="B122" s="256"/>
      <c r="C122" s="527" t="s">
        <v>592</v>
      </c>
      <c r="D122" s="527"/>
      <c r="E122" s="527"/>
      <c r="F122" s="526"/>
      <c r="G122" s="526"/>
      <c r="H122" s="259" t="s">
        <v>51</v>
      </c>
      <c r="I122" s="526"/>
      <c r="J122" s="526"/>
      <c r="K122" s="367" t="s">
        <v>641</v>
      </c>
      <c r="L122" s="526"/>
      <c r="M122" s="526"/>
      <c r="N122" s="367" t="s">
        <v>236</v>
      </c>
      <c r="O122" s="709">
        <f>IF(F122=0,0,H117)</f>
        <v>0</v>
      </c>
      <c r="P122" s="709"/>
      <c r="Q122" s="367" t="s">
        <v>642</v>
      </c>
      <c r="R122" s="706">
        <f>ROUND(F122*I122*(L122-O122),2)</f>
        <v>0</v>
      </c>
      <c r="S122" s="706"/>
      <c r="T122" s="260" t="s">
        <v>603</v>
      </c>
      <c r="U122" s="256"/>
      <c r="V122" s="256"/>
      <c r="W122" s="256"/>
      <c r="X122" s="256"/>
      <c r="AH122" s="41"/>
      <c r="AI122" s="41"/>
    </row>
    <row r="123" spans="1:36" ht="21.75" x14ac:dyDescent="0.15">
      <c r="B123" s="256"/>
      <c r="C123" s="527" t="s">
        <v>593</v>
      </c>
      <c r="D123" s="527"/>
      <c r="E123" s="527"/>
      <c r="F123" s="265"/>
      <c r="G123" s="265"/>
      <c r="H123" s="265"/>
      <c r="I123" s="711">
        <f>IF(ISNUMBER(V123),L123,F40)</f>
        <v>2.0099999999999998</v>
      </c>
      <c r="J123" s="711"/>
      <c r="K123" s="259" t="s">
        <v>48</v>
      </c>
      <c r="L123" s="706">
        <f>IF(ISNUMBER(V123),ROUND(V123*V123*PI()/4,2),ROUND(I123,2))</f>
        <v>2.0099999999999998</v>
      </c>
      <c r="M123" s="706"/>
      <c r="N123" s="260" t="s">
        <v>611</v>
      </c>
      <c r="O123" s="260"/>
      <c r="P123" s="256"/>
      <c r="Q123" s="260"/>
      <c r="R123" s="256" t="s">
        <v>596</v>
      </c>
      <c r="S123" s="256"/>
      <c r="T123" s="256"/>
      <c r="U123" s="259" t="s">
        <v>594</v>
      </c>
      <c r="V123" s="526">
        <v>1.6</v>
      </c>
      <c r="W123" s="526"/>
      <c r="X123" s="256" t="s">
        <v>595</v>
      </c>
      <c r="AH123" s="41"/>
      <c r="AI123" s="41"/>
    </row>
    <row r="124" spans="1:36" x14ac:dyDescent="0.15">
      <c r="B124" s="256"/>
      <c r="C124" s="256"/>
      <c r="D124" s="256"/>
      <c r="E124" s="712">
        <f>N120</f>
        <v>0.6</v>
      </c>
      <c r="F124" s="712"/>
      <c r="G124" s="259" t="s">
        <v>356</v>
      </c>
      <c r="H124" s="713">
        <f>R122</f>
        <v>0</v>
      </c>
      <c r="I124" s="713"/>
      <c r="J124" s="259" t="s">
        <v>357</v>
      </c>
      <c r="K124" s="710">
        <f>L123</f>
        <v>2.0099999999999998</v>
      </c>
      <c r="L124" s="710"/>
      <c r="M124" s="259" t="s">
        <v>133</v>
      </c>
      <c r="N124" s="707">
        <f>ROUND((E124-H124)/K124,3)</f>
        <v>0.29899999999999999</v>
      </c>
      <c r="O124" s="707"/>
      <c r="P124" s="260" t="s">
        <v>280</v>
      </c>
      <c r="Q124" s="256"/>
      <c r="R124" s="256"/>
      <c r="S124" s="256"/>
      <c r="T124" s="256"/>
      <c r="U124" s="256"/>
      <c r="V124" s="256"/>
      <c r="W124" s="256"/>
      <c r="X124" s="256"/>
      <c r="AH124" s="41"/>
      <c r="AI124" s="41"/>
    </row>
    <row r="125" spans="1:36" x14ac:dyDescent="0.15">
      <c r="B125" s="263"/>
      <c r="C125" s="264" t="str">
        <f>IF(N124&lt;0,"→　計算結果がマイナスとなり 「ｂ」の条件で算出","")</f>
        <v/>
      </c>
      <c r="D125" s="263"/>
      <c r="E125" s="263"/>
      <c r="F125" s="263"/>
      <c r="G125" s="263"/>
      <c r="H125" s="265"/>
      <c r="I125" s="265"/>
      <c r="J125" s="263"/>
      <c r="K125" s="263"/>
      <c r="L125" s="263"/>
      <c r="M125" s="256"/>
      <c r="N125" s="256"/>
      <c r="O125" s="256"/>
      <c r="P125" s="256"/>
      <c r="Q125" s="256"/>
      <c r="R125" s="256"/>
      <c r="S125" s="256"/>
      <c r="T125" s="256"/>
      <c r="U125" s="256"/>
      <c r="V125" s="256"/>
      <c r="W125" s="266"/>
      <c r="X125" s="267"/>
      <c r="Y125" s="41"/>
    </row>
    <row r="126" spans="1:36" x14ac:dyDescent="0.15">
      <c r="B126" s="256" t="str">
        <f>IF(N124&lt;0,"　　ｂ. 起動水位が釜場の有効容量内で起動","")</f>
        <v/>
      </c>
      <c r="C126" s="257"/>
      <c r="D126" s="258"/>
      <c r="E126" s="257"/>
      <c r="F126" s="256"/>
      <c r="G126" s="256"/>
      <c r="H126" s="256"/>
      <c r="I126" s="256"/>
      <c r="J126" s="256"/>
      <c r="K126" s="256"/>
      <c r="L126" s="256"/>
      <c r="M126" s="261"/>
      <c r="N126" s="261"/>
      <c r="O126" s="260"/>
      <c r="P126" s="256"/>
      <c r="Q126" s="256"/>
      <c r="R126" s="256"/>
      <c r="S126" s="256"/>
      <c r="T126" s="256"/>
      <c r="U126" s="256"/>
      <c r="V126" s="256"/>
      <c r="W126" s="256"/>
      <c r="X126" s="256"/>
      <c r="AG126" s="41"/>
      <c r="AH126" s="41"/>
      <c r="AI126" s="41"/>
    </row>
    <row r="127" spans="1:36" x14ac:dyDescent="0.15">
      <c r="B127" s="256"/>
      <c r="C127" s="257"/>
      <c r="D127" s="262" t="str">
        <f>IF(N124&lt;0,"釜場の面積","")</f>
        <v/>
      </c>
      <c r="E127" s="707" t="str">
        <f>IF(N124&lt;0,F122,"")</f>
        <v/>
      </c>
      <c r="F127" s="707"/>
      <c r="G127" s="268" t="str">
        <f>IF(N124&lt;0,"×","")</f>
        <v/>
      </c>
      <c r="H127" s="707" t="str">
        <f>IF(N124&lt;0,I122,"")</f>
        <v/>
      </c>
      <c r="I127" s="707"/>
      <c r="J127" s="259" t="str">
        <f>IF(N124&lt;0,"＝","")</f>
        <v/>
      </c>
      <c r="K127" s="706" t="str">
        <f>IF(N124&lt;0,E127*H127,"")</f>
        <v/>
      </c>
      <c r="L127" s="706"/>
      <c r="M127" s="260" t="str">
        <f>IF(N124&lt;0,"ｍ2","")</f>
        <v/>
      </c>
      <c r="N127" s="706"/>
      <c r="O127" s="706"/>
      <c r="P127" s="260"/>
      <c r="Q127" s="256"/>
      <c r="R127" s="256"/>
      <c r="S127" s="256"/>
      <c r="T127" s="256"/>
      <c r="U127" s="256"/>
      <c r="V127" s="256"/>
      <c r="W127" s="256"/>
      <c r="X127" s="256"/>
      <c r="AH127" s="41"/>
      <c r="AI127" s="41"/>
    </row>
    <row r="128" spans="1:36" x14ac:dyDescent="0.15">
      <c r="B128" s="256"/>
      <c r="C128" s="256"/>
      <c r="D128" s="256"/>
      <c r="E128" s="710" t="str">
        <f>IF(N124&lt;0,N120,"")</f>
        <v/>
      </c>
      <c r="F128" s="710"/>
      <c r="G128" s="259" t="str">
        <f>IF(N124&lt;0,"÷","")</f>
        <v/>
      </c>
      <c r="H128" s="710" t="str">
        <f>IF(N124&lt;0,K127,"")</f>
        <v/>
      </c>
      <c r="I128" s="710"/>
      <c r="J128" s="259" t="str">
        <f>IF(N124&lt;0,"＝","")</f>
        <v/>
      </c>
      <c r="K128" s="707" t="str">
        <f>IF(N124&lt;0,ROUND(E128/H128,3),"")</f>
        <v/>
      </c>
      <c r="L128" s="707"/>
      <c r="M128" s="260" t="str">
        <f>IF(N124&lt;0,"ｍ","")</f>
        <v/>
      </c>
      <c r="N128" s="707"/>
      <c r="O128" s="707"/>
      <c r="P128" s="260"/>
      <c r="Q128" s="256" t="str">
        <f>IF(N124&lt;0,"","")</f>
        <v/>
      </c>
      <c r="R128" s="256"/>
      <c r="S128" s="256"/>
      <c r="T128" s="256"/>
      <c r="U128" s="256"/>
      <c r="V128" s="256"/>
      <c r="W128" s="256"/>
      <c r="X128" s="256"/>
      <c r="AH128" s="41"/>
      <c r="AI128" s="41"/>
    </row>
    <row r="129" spans="2:24" x14ac:dyDescent="0.15">
      <c r="D129" s="255"/>
      <c r="E129" s="285" t="str">
        <f>IF(N124&gt;=0,"釜場からの高さ","")</f>
        <v>釜場からの高さ</v>
      </c>
      <c r="F129" s="255"/>
      <c r="G129" s="255"/>
      <c r="H129" s="485">
        <f>IF(N124&gt;=0,N124,"")</f>
        <v>0.29899999999999999</v>
      </c>
      <c r="I129" s="485"/>
      <c r="J129" s="286" t="str">
        <f>IF(N124&gt;=0,"+ 釜場の有効容量高さ","")</f>
        <v>+ 釜場の有効容量高さ</v>
      </c>
      <c r="K129" s="285"/>
      <c r="N129" s="485">
        <f>IF(N124&gt;=0,(L122-O122),"")</f>
        <v>0</v>
      </c>
      <c r="O129" s="485"/>
      <c r="P129" s="260"/>
    </row>
    <row r="130" spans="2:24" x14ac:dyDescent="0.15">
      <c r="C130" s="255" t="s">
        <v>238</v>
      </c>
      <c r="D130" s="255"/>
      <c r="E130" s="255"/>
      <c r="F130" s="255"/>
      <c r="G130" s="255"/>
      <c r="H130" s="727">
        <f>IF(N124&gt;=0,ROUNDUP(H129+N129,2),ROUNDUP(K128,2))</f>
        <v>0.3</v>
      </c>
      <c r="I130" s="727"/>
      <c r="J130" s="350" t="str">
        <f>IF(E119="　（ 釜場及び排水槽の形状から算出。（勾配の計算は省略））","ｍ 上方に設定する。",IF(E119="　（ 基準である３分以内の設定でポンプメーカー仕様等による）","ｍ となるが，ポンプ仕様等により"))</f>
        <v>ｍ 上方に設定する。</v>
      </c>
      <c r="K130" s="255"/>
      <c r="L130" s="255"/>
      <c r="M130" s="255"/>
      <c r="N130" s="348"/>
      <c r="O130" s="348"/>
      <c r="P130" s="714"/>
      <c r="Q130" s="714"/>
      <c r="R130" s="349" t="str">
        <f>IF(E119="　（ 釜場及び排水槽の形状から算出。（勾配の計算は省略））","　",IF(E119="　（ 基準である３分以内の設定でポンプメーカー仕様等による）","ｍ 上方に設定する。"))</f>
        <v>　</v>
      </c>
      <c r="S130" s="348"/>
      <c r="W130" s="348"/>
      <c r="X130" s="348"/>
    </row>
    <row r="131" spans="2:24" x14ac:dyDescent="0.15">
      <c r="B131" s="149" t="s">
        <v>240</v>
      </c>
    </row>
    <row r="132" spans="2:24" x14ac:dyDescent="0.15">
      <c r="C132" s="255" t="s">
        <v>358</v>
      </c>
      <c r="D132" s="255"/>
      <c r="E132" s="255"/>
      <c r="F132" s="728">
        <v>0.1</v>
      </c>
      <c r="G132" s="728"/>
      <c r="H132" s="255" t="s">
        <v>239</v>
      </c>
      <c r="I132" s="255"/>
      <c r="J132" s="255"/>
    </row>
    <row r="133" spans="2:24" x14ac:dyDescent="0.15">
      <c r="B133" s="149" t="s">
        <v>640</v>
      </c>
    </row>
    <row r="134" spans="2:24" x14ac:dyDescent="0.15">
      <c r="C134" s="255" t="s">
        <v>359</v>
      </c>
      <c r="D134" s="255"/>
      <c r="E134" s="255"/>
      <c r="F134" s="728">
        <v>0.1</v>
      </c>
      <c r="G134" s="728"/>
      <c r="H134" s="255" t="s">
        <v>239</v>
      </c>
      <c r="I134" s="255"/>
      <c r="J134" s="255"/>
      <c r="K134" s="255"/>
    </row>
    <row r="135" spans="2:24" x14ac:dyDescent="0.15">
      <c r="B135" s="149" t="s">
        <v>649</v>
      </c>
    </row>
    <row r="136" spans="2:24" x14ac:dyDescent="0.15">
      <c r="C136" s="149" t="s">
        <v>243</v>
      </c>
      <c r="G136" s="729">
        <f>H38</f>
        <v>1.8</v>
      </c>
      <c r="H136" s="729"/>
      <c r="I136" s="149" t="s">
        <v>244</v>
      </c>
    </row>
    <row r="137" spans="2:24" x14ac:dyDescent="0.15">
      <c r="C137" s="256"/>
      <c r="D137" s="256"/>
      <c r="E137" s="730">
        <f>IF(G136-R122&gt;0,G136,"")</f>
        <v>1.8</v>
      </c>
      <c r="F137" s="730"/>
      <c r="G137" s="258" t="str">
        <f>IF(G136-R122&gt;0,"－","")</f>
        <v>－</v>
      </c>
      <c r="H137" s="710">
        <f>IF(G136-R122&gt;0,R122,IF(G136-R122=0,"",G136))</f>
        <v>0</v>
      </c>
      <c r="I137" s="710"/>
      <c r="J137" s="259" t="str">
        <f>IF(G136-R122&gt;0,"）÷",IF(G136-R122=0,"","÷"))</f>
        <v>）÷</v>
      </c>
      <c r="K137" s="710">
        <f>IF(G136-R122&gt;0,L123,IF(G136-R122=0,"",F122*I122))</f>
        <v>2.0099999999999998</v>
      </c>
      <c r="L137" s="710"/>
      <c r="M137" s="259" t="str">
        <f>IF(G136-R122=0,"","=")</f>
        <v>=</v>
      </c>
      <c r="N137" s="707">
        <f>IF(G136-R122&gt;0,ROUND((E137-H137)/K137,3),IF(G136-R122=0,"",ROUND(H137/K137,3)))</f>
        <v>0.89600000000000002</v>
      </c>
      <c r="O137" s="707"/>
      <c r="P137" s="259" t="str">
        <f>IF(G136-R122=0,"","m")</f>
        <v>m</v>
      </c>
    </row>
    <row r="138" spans="2:24" x14ac:dyDescent="0.15">
      <c r="D138" s="255"/>
      <c r="E138" s="285" t="str">
        <f>IF(G136-R122&gt;0,"釜場からの高さ","")</f>
        <v>釜場からの高さ</v>
      </c>
      <c r="F138" s="255"/>
      <c r="G138" s="255"/>
      <c r="H138" s="485">
        <f>IF(G136-R122&gt;0,N137,"")</f>
        <v>0.89600000000000002</v>
      </c>
      <c r="I138" s="485"/>
      <c r="J138" s="286" t="str">
        <f>IF(G136-R122&gt;0,"+ 釜場の有効容量高さ","")</f>
        <v>+ 釜場の有効容量高さ</v>
      </c>
      <c r="K138" s="285"/>
      <c r="L138" s="285"/>
      <c r="M138" s="285"/>
      <c r="N138" s="485">
        <f>IF(G136-R122&gt;0,(L122-O122),"")</f>
        <v>0</v>
      </c>
      <c r="O138" s="485"/>
      <c r="P138" s="260"/>
    </row>
    <row r="139" spans="2:24" x14ac:dyDescent="0.15">
      <c r="C139" s="255" t="s">
        <v>238</v>
      </c>
      <c r="H139" s="727">
        <f>IF(G136-R122&gt;0,ROUNDUP(H138+N138,2),IF(G136-R122=0,(L122-O122),ROUNDUP(N137,2)))</f>
        <v>0.9</v>
      </c>
      <c r="I139" s="727"/>
      <c r="J139" s="255" t="s">
        <v>518</v>
      </c>
      <c r="K139" s="255"/>
      <c r="L139" s="255"/>
    </row>
    <row r="141" spans="2:24" x14ac:dyDescent="0.15">
      <c r="G141" s="259"/>
      <c r="H141" s="710"/>
      <c r="I141" s="710"/>
    </row>
  </sheetData>
  <sheetProtection algorithmName="SHA-512" hashValue="tBRvUn2rY4Akr0RVQVkMZm99E23oyb3O1hArd/922L+l4jHKfIzaBxWAArtu80TYRxvP3TEtr29PFVSDemt+Uw==" saltValue="OoHHPBFKTbbkbSQ3i6Br7w==" spinCount="100000" sheet="1" objects="1" scenarios="1" formatCells="0"/>
  <mergeCells count="192">
    <mergeCell ref="H45:I45"/>
    <mergeCell ref="F36:G36"/>
    <mergeCell ref="W1:X1"/>
    <mergeCell ref="P130:Q130"/>
    <mergeCell ref="F19:G19"/>
    <mergeCell ref="H19:I19"/>
    <mergeCell ref="J19:K19"/>
    <mergeCell ref="F16:G16"/>
    <mergeCell ref="H16:I16"/>
    <mergeCell ref="J16:K16"/>
    <mergeCell ref="L16:M16"/>
    <mergeCell ref="F17:G17"/>
    <mergeCell ref="H17:I17"/>
    <mergeCell ref="H18:I18"/>
    <mergeCell ref="J18:K18"/>
    <mergeCell ref="L18:M18"/>
    <mergeCell ref="L19:M19"/>
    <mergeCell ref="E124:F124"/>
    <mergeCell ref="H124:I124"/>
    <mergeCell ref="K124:L124"/>
    <mergeCell ref="N124:O124"/>
    <mergeCell ref="L111:M111"/>
    <mergeCell ref="O111:P111"/>
    <mergeCell ref="H117:I117"/>
    <mergeCell ref="F12:G12"/>
    <mergeCell ref="F13:G13"/>
    <mergeCell ref="F14:G14"/>
    <mergeCell ref="F15:G15"/>
    <mergeCell ref="H15:I15"/>
    <mergeCell ref="H14:I14"/>
    <mergeCell ref="H13:I13"/>
    <mergeCell ref="H12:I12"/>
    <mergeCell ref="J12:K12"/>
    <mergeCell ref="J13:K13"/>
    <mergeCell ref="L12:M12"/>
    <mergeCell ref="L13:M13"/>
    <mergeCell ref="L14:M14"/>
    <mergeCell ref="L15:M15"/>
    <mergeCell ref="J15:K15"/>
    <mergeCell ref="J14:K14"/>
    <mergeCell ref="K137:L137"/>
    <mergeCell ref="N137:O137"/>
    <mergeCell ref="K127:L127"/>
    <mergeCell ref="N127:O127"/>
    <mergeCell ref="K128:L128"/>
    <mergeCell ref="N128:O128"/>
    <mergeCell ref="L92:M92"/>
    <mergeCell ref="N129:O129"/>
    <mergeCell ref="H21:J22"/>
    <mergeCell ref="K21:L21"/>
    <mergeCell ref="L109:M109"/>
    <mergeCell ref="N101:O101"/>
    <mergeCell ref="L102:M102"/>
    <mergeCell ref="O103:P103"/>
    <mergeCell ref="L104:M104"/>
    <mergeCell ref="O104:P104"/>
    <mergeCell ref="L105:M105"/>
    <mergeCell ref="G90:I91"/>
    <mergeCell ref="H138:I138"/>
    <mergeCell ref="H141:I141"/>
    <mergeCell ref="H130:I130"/>
    <mergeCell ref="F132:G132"/>
    <mergeCell ref="F134:G134"/>
    <mergeCell ref="G136:H136"/>
    <mergeCell ref="E137:F137"/>
    <mergeCell ref="H137:I137"/>
    <mergeCell ref="E127:F127"/>
    <mergeCell ref="H127:I127"/>
    <mergeCell ref="E128:F128"/>
    <mergeCell ref="H128:I128"/>
    <mergeCell ref="H129:I129"/>
    <mergeCell ref="L122:M122"/>
    <mergeCell ref="R122:S122"/>
    <mergeCell ref="A110:E111"/>
    <mergeCell ref="I123:J123"/>
    <mergeCell ref="L123:M123"/>
    <mergeCell ref="L90:M90"/>
    <mergeCell ref="O90:P90"/>
    <mergeCell ref="L91:M91"/>
    <mergeCell ref="O91:P91"/>
    <mergeCell ref="A93:E94"/>
    <mergeCell ref="G107:I108"/>
    <mergeCell ref="L107:M107"/>
    <mergeCell ref="O107:P107"/>
    <mergeCell ref="L108:M108"/>
    <mergeCell ref="O108:P108"/>
    <mergeCell ref="L94:M94"/>
    <mergeCell ref="O94:P94"/>
    <mergeCell ref="J98:K98"/>
    <mergeCell ref="N100:O100"/>
    <mergeCell ref="J120:K120"/>
    <mergeCell ref="O122:P122"/>
    <mergeCell ref="I122:J122"/>
    <mergeCell ref="N120:O120"/>
    <mergeCell ref="F122:G122"/>
    <mergeCell ref="O68:P68"/>
    <mergeCell ref="L85:M85"/>
    <mergeCell ref="O86:P86"/>
    <mergeCell ref="K69:L69"/>
    <mergeCell ref="K68:L68"/>
    <mergeCell ref="L87:M87"/>
    <mergeCell ref="O87:P87"/>
    <mergeCell ref="L88:M88"/>
    <mergeCell ref="B69:C69"/>
    <mergeCell ref="J74:K74"/>
    <mergeCell ref="J77:K77"/>
    <mergeCell ref="J81:K81"/>
    <mergeCell ref="N83:O83"/>
    <mergeCell ref="N84:O84"/>
    <mergeCell ref="O69:P69"/>
    <mergeCell ref="F68:H68"/>
    <mergeCell ref="R53:V59"/>
    <mergeCell ref="W53:Y59"/>
    <mergeCell ref="I54:J54"/>
    <mergeCell ref="L54:M54"/>
    <mergeCell ref="O54:P54"/>
    <mergeCell ref="I55:J55"/>
    <mergeCell ref="A46:D52"/>
    <mergeCell ref="R46:V49"/>
    <mergeCell ref="W46:Y47"/>
    <mergeCell ref="G47:H47"/>
    <mergeCell ref="W48:Y49"/>
    <mergeCell ref="G49:H49"/>
    <mergeCell ref="F52:K52"/>
    <mergeCell ref="I57:J57"/>
    <mergeCell ref="I58:J58"/>
    <mergeCell ref="G59:H59"/>
    <mergeCell ref="A53:D59"/>
    <mergeCell ref="I53:J53"/>
    <mergeCell ref="L53:M53"/>
    <mergeCell ref="O53:P53"/>
    <mergeCell ref="A37:D41"/>
    <mergeCell ref="O37:P37"/>
    <mergeCell ref="W37:Y41"/>
    <mergeCell ref="H38:I38"/>
    <mergeCell ref="F40:G40"/>
    <mergeCell ref="E41:F41"/>
    <mergeCell ref="H41:I41"/>
    <mergeCell ref="K41:L41"/>
    <mergeCell ref="J40:K40"/>
    <mergeCell ref="N40:O40"/>
    <mergeCell ref="R37:V39"/>
    <mergeCell ref="R40:V40"/>
    <mergeCell ref="T41:U41"/>
    <mergeCell ref="A1:D3"/>
    <mergeCell ref="E1:F3"/>
    <mergeCell ref="A4:D5"/>
    <mergeCell ref="E4:O5"/>
    <mergeCell ref="S28:T28"/>
    <mergeCell ref="A32:D33"/>
    <mergeCell ref="E32:Q33"/>
    <mergeCell ref="R32:V33"/>
    <mergeCell ref="W32:Y33"/>
    <mergeCell ref="F20:G20"/>
    <mergeCell ref="H20:I20"/>
    <mergeCell ref="J20:K20"/>
    <mergeCell ref="L20:M20"/>
    <mergeCell ref="A25:B25"/>
    <mergeCell ref="D27:E27"/>
    <mergeCell ref="F27:G27"/>
    <mergeCell ref="K25:L25"/>
    <mergeCell ref="O25:P25"/>
    <mergeCell ref="F25:H25"/>
    <mergeCell ref="C25:E25"/>
    <mergeCell ref="K22:L22"/>
    <mergeCell ref="J17:K17"/>
    <mergeCell ref="L17:M17"/>
    <mergeCell ref="F18:G18"/>
    <mergeCell ref="P4:U5"/>
    <mergeCell ref="N138:O138"/>
    <mergeCell ref="H139:I139"/>
    <mergeCell ref="D65:I65"/>
    <mergeCell ref="V123:W123"/>
    <mergeCell ref="C122:E122"/>
    <mergeCell ref="C123:E123"/>
    <mergeCell ref="A10:D11"/>
    <mergeCell ref="E10:E11"/>
    <mergeCell ref="F10:G11"/>
    <mergeCell ref="H10:I11"/>
    <mergeCell ref="J10:K11"/>
    <mergeCell ref="L10:M11"/>
    <mergeCell ref="A34:D36"/>
    <mergeCell ref="R34:V36"/>
    <mergeCell ref="W34:Y36"/>
    <mergeCell ref="F35:G35"/>
    <mergeCell ref="I35:J35"/>
    <mergeCell ref="N41:O41"/>
    <mergeCell ref="A42:D45"/>
    <mergeCell ref="R42:V45"/>
    <mergeCell ref="W42:Y45"/>
    <mergeCell ref="G44:H44"/>
    <mergeCell ref="K44:L44"/>
  </mergeCells>
  <phoneticPr fontId="3"/>
  <conditionalFormatting sqref="P130:Q130">
    <cfRule type="cellIs" dxfId="12" priority="2" operator="greaterThan">
      <formula>$H$130</formula>
    </cfRule>
    <cfRule type="expression" dxfId="11" priority="6">
      <formula>$R$130</formula>
    </cfRule>
  </conditionalFormatting>
  <conditionalFormatting sqref="H38:I38">
    <cfRule type="expression" dxfId="10" priority="1">
      <formula>$H$38&lt;$O$37</formula>
    </cfRule>
  </conditionalFormatting>
  <dataValidations count="5">
    <dataValidation type="list" allowBlank="1" showErrorMessage="1" promptTitle="ｄ，ｓ，あ" sqref="C85:C87 C102:C104">
      <formula1>"0,１"</formula1>
    </dataValidation>
    <dataValidation type="list" allowBlank="1" showInputMessage="1" showErrorMessage="1" sqref="E7">
      <formula1>"例①,例②"</formula1>
    </dataValidation>
    <dataValidation type="list" allowBlank="1" showInputMessage="1" showErrorMessage="1" sqref="F52">
      <formula1>"　,（本件について施主了承済み）"</formula1>
    </dataValidation>
    <dataValidation type="list" allowBlank="1" showInputMessage="1" showErrorMessage="1" sqref="E119">
      <formula1>"　（ 釜場及び排水槽の形状から算出。（勾配の計算は省略））,　（ 基準である３分以内の設定でポンプメーカー仕様等による）"</formula1>
    </dataValidation>
    <dataValidation type="whole" operator="greaterThanOrEqual" allowBlank="1" showInputMessage="1" showErrorMessage="1" sqref="P129 C88:C91 C105:C108">
      <formula1>0</formula1>
    </dataValidation>
  </dataValidations>
  <pageMargins left="0.7" right="0.7" top="0.75" bottom="0.75" header="0.3" footer="0.3"/>
  <pageSetup paperSize="9" scale="58" fitToHeight="2" orientation="portrait" r:id="rId1"/>
  <rowBreaks count="1" manualBreakCount="1">
    <brk id="70" max="24" man="1"/>
  </rowBreaks>
  <legacy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E456BF97-1546-4076-A6F5-DBAD80692E6D}">
            <xm:f>NOT(ISERROR(SEARCH($P$130,P130)))</xm:f>
            <xm:f>$P$130</xm:f>
            <x14:dxf>
              <fill>
                <patternFill>
                  <bgColor rgb="FF66FFFF"/>
                </patternFill>
              </fill>
            </x14:dxf>
          </x14:cfRule>
          <x14:cfRule type="containsText" priority="4" operator="containsText" id="{93CFAF65-FEDA-4E7A-BA19-CE60CCE64DE6}">
            <xm:f>NOT(ISERROR(SEARCH($E$119,P130)))</xm:f>
            <xm:f>$E$119</xm:f>
            <x14:dxf>
              <font>
                <color rgb="FF9E0008"/>
              </font>
              <fill>
                <patternFill>
                  <fgColor rgb="FFFFC7CE"/>
                  <bgColor rgb="FFFFC7CE"/>
                </patternFill>
              </fill>
            </x14:dxf>
          </x14:cfRule>
          <x14:cfRule type="containsText" priority="5" operator="containsText" id="{6CCAF3B9-2A33-4AC8-9595-C8AE56414353}">
            <xm:f>NOT(ISERROR(SEARCH($R$130,P130)))</xm:f>
            <xm:f>$R$130</xm:f>
            <x14:dxf>
              <fill>
                <patternFill>
                  <bgColor rgb="FF66FFFF"/>
                </patternFill>
              </fill>
            </x14:dxf>
          </x14:cfRule>
          <xm:sqref>P130:Q130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36"/>
  <sheetViews>
    <sheetView view="pageBreakPreview" zoomScale="85" zoomScaleNormal="85" zoomScaleSheetLayoutView="85" workbookViewId="0">
      <selection activeCell="W1" sqref="W1:X1"/>
    </sheetView>
  </sheetViews>
  <sheetFormatPr defaultRowHeight="19.5" x14ac:dyDescent="0.15"/>
  <cols>
    <col min="1" max="1" width="8.25" style="149" customWidth="1"/>
    <col min="2" max="2" width="7.625" style="149" customWidth="1"/>
    <col min="3" max="22" width="5.625" style="149" customWidth="1"/>
    <col min="23" max="24" width="5.125" style="149" customWidth="1"/>
    <col min="25" max="25" width="1.875" style="149" customWidth="1"/>
    <col min="26" max="35" width="5.625" style="149" customWidth="1"/>
    <col min="36" max="16384" width="9" style="149"/>
  </cols>
  <sheetData>
    <row r="1" spans="1:33" ht="20.100000000000001" customHeight="1" x14ac:dyDescent="0.15">
      <c r="A1" s="647" t="s">
        <v>245</v>
      </c>
      <c r="B1" s="647"/>
      <c r="C1" s="647"/>
      <c r="D1" s="647"/>
      <c r="E1" s="649" t="s">
        <v>570</v>
      </c>
      <c r="F1" s="649"/>
      <c r="G1" s="147"/>
      <c r="H1" s="147"/>
      <c r="I1" s="147"/>
      <c r="J1" s="147"/>
      <c r="K1" s="147"/>
      <c r="L1" s="147"/>
      <c r="M1" s="147"/>
      <c r="N1" s="147"/>
      <c r="O1" s="147"/>
      <c r="P1" s="147"/>
      <c r="Q1" s="147"/>
      <c r="R1" s="147"/>
      <c r="S1" s="147"/>
      <c r="T1" s="147"/>
      <c r="U1" s="64"/>
      <c r="V1" s="369" t="s">
        <v>647</v>
      </c>
      <c r="W1" s="725">
        <f>混合槽!W1</f>
        <v>250131</v>
      </c>
      <c r="X1" s="726"/>
      <c r="Y1" s="148"/>
      <c r="Z1" s="148"/>
      <c r="AA1" s="148"/>
      <c r="AB1" s="148"/>
    </row>
    <row r="2" spans="1:33" ht="19.5" customHeight="1" x14ac:dyDescent="0.15">
      <c r="A2" s="647"/>
      <c r="B2" s="647"/>
      <c r="C2" s="647"/>
      <c r="D2" s="647"/>
      <c r="E2" s="649"/>
      <c r="F2" s="649"/>
      <c r="G2" s="147"/>
      <c r="H2" s="147"/>
      <c r="I2" s="147"/>
      <c r="J2" s="147"/>
      <c r="K2" s="147"/>
      <c r="L2" s="147"/>
      <c r="M2" s="147"/>
      <c r="N2" s="147"/>
      <c r="O2" s="147"/>
      <c r="P2" s="147"/>
      <c r="Q2" s="147"/>
      <c r="R2" s="147"/>
      <c r="S2" s="147"/>
      <c r="T2" s="147"/>
      <c r="U2" s="147"/>
      <c r="V2" s="147"/>
      <c r="W2" s="147"/>
      <c r="X2" s="147"/>
      <c r="Y2" s="148"/>
      <c r="Z2" s="148"/>
      <c r="AA2" s="148"/>
      <c r="AB2" s="148"/>
    </row>
    <row r="3" spans="1:33" ht="19.5" customHeight="1" thickBot="1" x14ac:dyDescent="0.2">
      <c r="A3" s="648"/>
      <c r="B3" s="648"/>
      <c r="C3" s="648"/>
      <c r="D3" s="648"/>
      <c r="E3" s="650"/>
      <c r="F3" s="650"/>
      <c r="G3" s="147"/>
      <c r="H3" s="147"/>
      <c r="I3" s="147"/>
      <c r="J3" s="147"/>
      <c r="K3" s="147"/>
      <c r="L3" s="147"/>
      <c r="M3" s="147"/>
      <c r="N3" s="147"/>
      <c r="O3" s="147"/>
      <c r="P3" s="147"/>
      <c r="Q3" s="147"/>
      <c r="R3" s="147"/>
      <c r="S3" s="147"/>
      <c r="T3" s="147"/>
      <c r="U3" s="147"/>
      <c r="V3" s="147"/>
      <c r="W3" s="147"/>
      <c r="X3" s="147"/>
      <c r="Y3" s="148"/>
      <c r="Z3" s="148"/>
      <c r="AA3" s="148"/>
      <c r="AB3" s="148"/>
    </row>
    <row r="4" spans="1:33" ht="19.5" customHeight="1" x14ac:dyDescent="0.15">
      <c r="A4" s="651" t="s">
        <v>246</v>
      </c>
      <c r="B4" s="652"/>
      <c r="C4" s="652"/>
      <c r="D4" s="653"/>
      <c r="E4" s="269" t="s">
        <v>39</v>
      </c>
      <c r="F4" s="269"/>
      <c r="G4" s="754">
        <v>55</v>
      </c>
      <c r="H4" s="754"/>
      <c r="I4" s="270" t="s">
        <v>247</v>
      </c>
      <c r="J4" s="755" t="s">
        <v>248</v>
      </c>
      <c r="K4" s="756"/>
      <c r="L4" s="756"/>
      <c r="M4" s="756"/>
      <c r="N4" s="756"/>
      <c r="O4" s="756"/>
      <c r="P4" s="756"/>
      <c r="Q4" s="148"/>
      <c r="R4" s="148"/>
      <c r="S4" s="148"/>
      <c r="T4" s="148"/>
      <c r="U4" s="32"/>
      <c r="V4" s="32"/>
    </row>
    <row r="5" spans="1:33" ht="19.5" customHeight="1" thickBot="1" x14ac:dyDescent="0.2">
      <c r="A5" s="654"/>
      <c r="B5" s="655"/>
      <c r="C5" s="655"/>
      <c r="D5" s="656"/>
      <c r="E5" s="159" t="s">
        <v>42</v>
      </c>
      <c r="F5" s="159"/>
      <c r="G5" s="757">
        <v>117</v>
      </c>
      <c r="H5" s="757"/>
      <c r="I5" s="161" t="s">
        <v>40</v>
      </c>
      <c r="J5" s="755"/>
      <c r="K5" s="756"/>
      <c r="L5" s="756"/>
      <c r="M5" s="756"/>
      <c r="N5" s="756"/>
      <c r="O5" s="756"/>
      <c r="P5" s="756"/>
      <c r="Q5" s="148"/>
      <c r="U5" s="32"/>
      <c r="V5" s="32"/>
    </row>
    <row r="6" spans="1:33" ht="19.5" customHeight="1" x14ac:dyDescent="0.15">
      <c r="C6" s="162"/>
      <c r="D6" s="36"/>
      <c r="E6" s="36"/>
      <c r="F6" s="36"/>
      <c r="G6" s="36"/>
      <c r="H6" s="36"/>
      <c r="Q6" s="32"/>
      <c r="R6" s="32"/>
      <c r="S6" s="32"/>
      <c r="T6" s="32"/>
      <c r="U6" s="32"/>
      <c r="V6" s="32"/>
      <c r="W6" s="32"/>
      <c r="AA6" s="32"/>
      <c r="AB6" s="32"/>
    </row>
    <row r="7" spans="1:33" ht="19.5" customHeight="1" x14ac:dyDescent="0.15">
      <c r="A7" s="163" t="s">
        <v>249</v>
      </c>
      <c r="B7" s="163"/>
      <c r="C7" s="163"/>
      <c r="D7" s="163"/>
      <c r="E7" s="164" t="s">
        <v>250</v>
      </c>
      <c r="Y7" s="163"/>
      <c r="Z7" s="148"/>
      <c r="AA7" s="32"/>
      <c r="AB7" s="32"/>
      <c r="AC7" s="32"/>
      <c r="AD7" s="32"/>
      <c r="AE7" s="32"/>
      <c r="AF7" s="32"/>
      <c r="AG7" s="32"/>
    </row>
    <row r="8" spans="1:33" ht="19.5" customHeight="1" x14ac:dyDescent="0.15">
      <c r="A8" s="151"/>
      <c r="B8" s="151"/>
      <c r="C8" s="151"/>
      <c r="D8" s="151"/>
      <c r="E8" s="151"/>
      <c r="F8" s="151"/>
      <c r="G8" s="151"/>
      <c r="H8" s="151"/>
      <c r="I8" s="151"/>
      <c r="J8" s="151"/>
      <c r="K8" s="151"/>
      <c r="L8" s="151"/>
      <c r="M8" s="151"/>
      <c r="N8" s="151"/>
      <c r="O8" s="151"/>
      <c r="P8" s="166"/>
      <c r="Q8" s="166"/>
      <c r="R8" s="167"/>
      <c r="W8" s="151"/>
      <c r="X8" s="32"/>
      <c r="Y8" s="32"/>
      <c r="Z8" s="32"/>
      <c r="AA8" s="32"/>
      <c r="AB8" s="32"/>
      <c r="AC8" s="32"/>
      <c r="AD8" s="32"/>
      <c r="AE8" s="32"/>
      <c r="AF8" s="32"/>
      <c r="AG8" s="32"/>
    </row>
    <row r="9" spans="1:33" ht="19.5" customHeight="1" x14ac:dyDescent="0.15">
      <c r="B9" s="149" t="s">
        <v>251</v>
      </c>
      <c r="M9" s="316" t="s">
        <v>589</v>
      </c>
      <c r="N9" s="328"/>
      <c r="O9" s="289"/>
      <c r="P9" s="289"/>
      <c r="Q9" s="307"/>
      <c r="R9" s="317"/>
      <c r="S9" s="317"/>
      <c r="T9" s="317"/>
      <c r="U9" s="317"/>
      <c r="V9" s="328"/>
      <c r="W9" s="318"/>
      <c r="X9" s="151"/>
      <c r="AC9" s="32"/>
      <c r="AD9" s="32"/>
      <c r="AE9" s="32"/>
      <c r="AF9" s="32"/>
      <c r="AG9" s="32"/>
    </row>
    <row r="10" spans="1:33" ht="19.5" customHeight="1" x14ac:dyDescent="0.15">
      <c r="B10" s="151" t="s">
        <v>252</v>
      </c>
      <c r="C10" s="119">
        <v>1</v>
      </c>
      <c r="D10" s="151" t="s">
        <v>253</v>
      </c>
      <c r="E10" s="151"/>
      <c r="F10" s="151"/>
      <c r="G10" s="151"/>
      <c r="H10" s="151"/>
      <c r="I10" s="342"/>
      <c r="J10" s="271"/>
      <c r="K10" s="271"/>
      <c r="L10" s="151"/>
      <c r="M10" s="329"/>
      <c r="N10" s="321"/>
      <c r="O10" s="321"/>
      <c r="P10" s="321"/>
      <c r="Q10" s="321"/>
      <c r="R10" s="321"/>
      <c r="S10" s="321"/>
      <c r="T10" s="321"/>
      <c r="U10" s="321"/>
      <c r="V10" s="321"/>
      <c r="W10" s="325"/>
      <c r="X10" s="163"/>
      <c r="Y10" s="163"/>
      <c r="AC10" s="32"/>
      <c r="AD10" s="32"/>
      <c r="AE10" s="32"/>
      <c r="AF10" s="32"/>
      <c r="AG10" s="32"/>
    </row>
    <row r="11" spans="1:33" s="151" customFormat="1" ht="19.5" customHeight="1" x14ac:dyDescent="0.15">
      <c r="A11" s="168"/>
      <c r="M11" s="319"/>
      <c r="N11" s="320"/>
      <c r="O11" s="320"/>
      <c r="P11" s="320"/>
      <c r="Q11" s="320"/>
      <c r="R11" s="320"/>
      <c r="S11" s="320"/>
      <c r="T11" s="320"/>
      <c r="U11" s="320"/>
      <c r="V11" s="320"/>
      <c r="W11" s="330"/>
      <c r="X11" s="169"/>
      <c r="Y11" s="169"/>
      <c r="AC11" s="152"/>
      <c r="AD11" s="152"/>
      <c r="AE11" s="152"/>
      <c r="AF11" s="152"/>
      <c r="AG11" s="152"/>
    </row>
    <row r="12" spans="1:33" s="151" customFormat="1" ht="19.5" customHeight="1" x14ac:dyDescent="0.15">
      <c r="A12" s="291"/>
      <c r="B12" s="339" t="s">
        <v>254</v>
      </c>
      <c r="C12" s="339"/>
      <c r="D12" s="339"/>
      <c r="E12" s="339"/>
      <c r="F12" s="339"/>
      <c r="G12" s="339"/>
      <c r="H12" s="339"/>
      <c r="I12" s="339"/>
      <c r="J12" s="339"/>
      <c r="K12" s="339"/>
      <c r="M12" s="294"/>
      <c r="N12" s="291"/>
      <c r="O12" s="291"/>
      <c r="P12" s="291"/>
      <c r="Q12" s="291"/>
      <c r="R12" s="292"/>
      <c r="S12" s="292"/>
      <c r="T12" s="291"/>
      <c r="U12" s="321"/>
      <c r="V12" s="320"/>
      <c r="W12" s="330"/>
      <c r="AC12" s="152"/>
      <c r="AD12" s="152"/>
      <c r="AE12" s="152"/>
      <c r="AF12" s="152"/>
      <c r="AG12" s="152"/>
    </row>
    <row r="13" spans="1:33" s="151" customFormat="1" ht="19.5" customHeight="1" x14ac:dyDescent="0.15">
      <c r="A13" s="291"/>
      <c r="B13" s="291" t="s">
        <v>255</v>
      </c>
      <c r="C13" s="291" t="s">
        <v>256</v>
      </c>
      <c r="D13" s="751" t="s">
        <v>257</v>
      </c>
      <c r="E13" s="751"/>
      <c r="F13" s="337" t="s">
        <v>258</v>
      </c>
      <c r="G13" s="751" t="s">
        <v>259</v>
      </c>
      <c r="H13" s="751"/>
      <c r="I13" s="337"/>
      <c r="J13" s="751"/>
      <c r="K13" s="751"/>
      <c r="L13" s="168"/>
      <c r="M13" s="294"/>
      <c r="N13" s="291"/>
      <c r="O13" s="291"/>
      <c r="P13" s="291"/>
      <c r="Q13" s="291"/>
      <c r="R13" s="291"/>
      <c r="S13" s="291"/>
      <c r="T13" s="291"/>
      <c r="U13" s="320"/>
      <c r="V13" s="320"/>
      <c r="W13" s="325"/>
      <c r="AC13" s="152"/>
      <c r="AD13" s="152"/>
      <c r="AE13" s="152"/>
      <c r="AF13" s="152"/>
      <c r="AG13" s="152"/>
    </row>
    <row r="14" spans="1:33" ht="19.5" customHeight="1" x14ac:dyDescent="0.15">
      <c r="A14" s="295"/>
      <c r="B14" s="295"/>
      <c r="C14" s="291" t="s">
        <v>260</v>
      </c>
      <c r="D14" s="753">
        <f>SUM(G4:H5)</f>
        <v>172</v>
      </c>
      <c r="E14" s="753"/>
      <c r="F14" s="337" t="s">
        <v>258</v>
      </c>
      <c r="G14" s="751">
        <f>C10</f>
        <v>1</v>
      </c>
      <c r="H14" s="751"/>
      <c r="I14" s="337"/>
      <c r="J14" s="751"/>
      <c r="K14" s="751"/>
      <c r="L14" s="150"/>
      <c r="M14" s="294"/>
      <c r="N14" s="291"/>
      <c r="O14" s="291"/>
      <c r="P14" s="291"/>
      <c r="Q14" s="291"/>
      <c r="R14" s="291"/>
      <c r="S14" s="291"/>
      <c r="T14" s="291"/>
      <c r="U14" s="320"/>
      <c r="V14" s="320"/>
      <c r="W14" s="325"/>
      <c r="AC14" s="32"/>
      <c r="AD14" s="32"/>
      <c r="AE14" s="32"/>
      <c r="AF14" s="32"/>
      <c r="AG14" s="32"/>
    </row>
    <row r="15" spans="1:33" ht="19.5" customHeight="1" x14ac:dyDescent="0.15">
      <c r="A15" s="295"/>
      <c r="B15" s="291"/>
      <c r="C15" s="341" t="s">
        <v>57</v>
      </c>
      <c r="D15" s="753">
        <f>D14*G14</f>
        <v>172</v>
      </c>
      <c r="E15" s="753"/>
      <c r="F15" s="291" t="s">
        <v>261</v>
      </c>
      <c r="G15" s="291"/>
      <c r="H15" s="291"/>
      <c r="I15" s="341"/>
      <c r="J15" s="293"/>
      <c r="K15" s="293"/>
      <c r="L15" s="150"/>
      <c r="M15" s="296"/>
      <c r="N15" s="295"/>
      <c r="O15" s="295"/>
      <c r="P15" s="291"/>
      <c r="Q15" s="291"/>
      <c r="R15" s="291"/>
      <c r="S15" s="291"/>
      <c r="T15" s="291"/>
      <c r="U15" s="320"/>
      <c r="V15" s="321"/>
      <c r="W15" s="322"/>
      <c r="AC15" s="32"/>
      <c r="AD15" s="32"/>
      <c r="AE15" s="32"/>
      <c r="AF15" s="32"/>
      <c r="AG15" s="32"/>
    </row>
    <row r="16" spans="1:33" ht="19.5" customHeight="1" x14ac:dyDescent="0.15">
      <c r="A16" s="295"/>
      <c r="B16" s="291"/>
      <c r="C16" s="291" t="s">
        <v>57</v>
      </c>
      <c r="D16" s="751">
        <f>ROUND(D15/60,0)</f>
        <v>3</v>
      </c>
      <c r="E16" s="751"/>
      <c r="F16" s="291" t="s">
        <v>262</v>
      </c>
      <c r="G16" s="291"/>
      <c r="H16" s="291"/>
      <c r="I16" s="339"/>
      <c r="J16" s="293"/>
      <c r="K16" s="293"/>
      <c r="L16" s="41"/>
      <c r="M16" s="296"/>
      <c r="N16" s="295"/>
      <c r="O16" s="295"/>
      <c r="P16" s="295"/>
      <c r="Q16" s="295"/>
      <c r="R16" s="295"/>
      <c r="S16" s="295"/>
      <c r="T16" s="320"/>
      <c r="U16" s="320"/>
      <c r="V16" s="320"/>
      <c r="W16" s="325"/>
      <c r="AC16" s="32"/>
      <c r="AD16" s="32"/>
      <c r="AE16" s="32"/>
      <c r="AF16" s="32"/>
      <c r="AG16" s="32"/>
    </row>
    <row r="17" spans="1:33" ht="19.5" customHeight="1" x14ac:dyDescent="0.15">
      <c r="A17" s="320"/>
      <c r="B17" s="291"/>
      <c r="C17" s="291"/>
      <c r="D17" s="758"/>
      <c r="E17" s="758"/>
      <c r="F17" s="291"/>
      <c r="G17" s="291"/>
      <c r="H17" s="339"/>
      <c r="I17" s="293"/>
      <c r="J17" s="293"/>
      <c r="K17" s="293"/>
      <c r="L17" s="41"/>
      <c r="M17" s="296"/>
      <c r="N17" s="295"/>
      <c r="O17" s="295"/>
      <c r="P17" s="295"/>
      <c r="Q17" s="295"/>
      <c r="R17" s="295"/>
      <c r="S17" s="295"/>
      <c r="T17" s="300"/>
      <c r="U17" s="320"/>
      <c r="V17" s="320"/>
      <c r="W17" s="313"/>
      <c r="AC17" s="32"/>
      <c r="AD17" s="32"/>
      <c r="AE17" s="32"/>
      <c r="AF17" s="32"/>
      <c r="AG17" s="32"/>
    </row>
    <row r="18" spans="1:33" ht="19.5" customHeight="1" x14ac:dyDescent="0.15">
      <c r="A18" s="342"/>
      <c r="B18" s="345"/>
      <c r="C18" s="342"/>
      <c r="D18" s="342"/>
      <c r="E18" s="342"/>
      <c r="F18" s="295"/>
      <c r="G18" s="295"/>
      <c r="H18" s="751"/>
      <c r="I18" s="751"/>
      <c r="J18" s="751"/>
      <c r="K18" s="751"/>
      <c r="L18" s="752"/>
      <c r="M18" s="331"/>
      <c r="N18" s="332"/>
      <c r="O18" s="332"/>
      <c r="P18" s="333"/>
      <c r="Q18" s="333"/>
      <c r="R18" s="333"/>
      <c r="S18" s="321"/>
      <c r="T18" s="321"/>
      <c r="U18" s="321"/>
      <c r="V18" s="321"/>
      <c r="W18" s="322"/>
      <c r="AC18" s="32"/>
      <c r="AD18" s="32"/>
      <c r="AE18" s="32"/>
      <c r="AF18" s="32"/>
      <c r="AG18" s="32"/>
    </row>
    <row r="19" spans="1:33" s="151" customFormat="1" ht="19.5" customHeight="1" x14ac:dyDescent="0.15">
      <c r="A19" s="295"/>
      <c r="B19" s="295"/>
      <c r="C19" s="291"/>
      <c r="D19" s="295"/>
      <c r="E19" s="295"/>
      <c r="F19" s="295"/>
      <c r="G19" s="295"/>
      <c r="H19" s="295"/>
      <c r="I19" s="295"/>
      <c r="J19" s="295"/>
      <c r="K19" s="295"/>
      <c r="L19" s="150"/>
      <c r="M19" s="329"/>
      <c r="N19" s="321"/>
      <c r="O19" s="321"/>
      <c r="P19" s="321"/>
      <c r="Q19" s="321"/>
      <c r="R19" s="321"/>
      <c r="S19" s="321"/>
      <c r="T19" s="321"/>
      <c r="U19" s="321"/>
      <c r="V19" s="321"/>
      <c r="W19" s="322"/>
      <c r="AC19" s="152"/>
      <c r="AD19" s="152"/>
      <c r="AE19" s="152"/>
      <c r="AF19" s="152"/>
      <c r="AG19" s="152"/>
    </row>
    <row r="20" spans="1:33" s="151" customFormat="1" ht="19.5" customHeight="1" x14ac:dyDescent="0.15">
      <c r="A20" s="295"/>
      <c r="B20" s="346"/>
      <c r="C20" s="345"/>
      <c r="D20" s="295"/>
      <c r="E20" s="295"/>
      <c r="F20" s="295"/>
      <c r="G20" s="295"/>
      <c r="H20" s="295"/>
      <c r="I20" s="295"/>
      <c r="J20" s="295"/>
      <c r="K20" s="295"/>
      <c r="L20" s="150"/>
      <c r="M20" s="319"/>
      <c r="N20" s="320"/>
      <c r="O20" s="320"/>
      <c r="P20" s="320"/>
      <c r="Q20" s="320"/>
      <c r="R20" s="320"/>
      <c r="S20" s="320"/>
      <c r="T20" s="320"/>
      <c r="U20" s="320"/>
      <c r="V20" s="320"/>
      <c r="W20" s="322"/>
      <c r="AC20" s="152"/>
      <c r="AD20" s="152"/>
      <c r="AE20" s="152"/>
      <c r="AF20" s="152"/>
      <c r="AG20" s="152"/>
    </row>
    <row r="21" spans="1:33" s="151" customFormat="1" ht="19.5" customHeight="1" x14ac:dyDescent="0.15">
      <c r="A21" s="150"/>
      <c r="B21" s="150"/>
      <c r="C21" s="166"/>
      <c r="D21" s="150"/>
      <c r="E21" s="150"/>
      <c r="F21" s="150"/>
      <c r="G21" s="150"/>
      <c r="H21" s="150"/>
      <c r="I21" s="150"/>
      <c r="J21" s="150"/>
      <c r="K21" s="150"/>
      <c r="L21" s="150"/>
      <c r="M21" s="294"/>
      <c r="N21" s="291"/>
      <c r="O21" s="291"/>
      <c r="P21" s="291"/>
      <c r="Q21" s="291"/>
      <c r="R21" s="292"/>
      <c r="S21" s="292"/>
      <c r="T21" s="291"/>
      <c r="U21" s="321"/>
      <c r="V21" s="321"/>
      <c r="W21" s="322"/>
      <c r="AC21" s="152"/>
      <c r="AD21" s="152"/>
      <c r="AE21" s="152"/>
      <c r="AF21" s="152"/>
      <c r="AG21" s="152"/>
    </row>
    <row r="22" spans="1:33" s="151" customFormat="1" ht="19.5" customHeight="1" x14ac:dyDescent="0.15">
      <c r="A22" s="150"/>
      <c r="B22" s="166"/>
      <c r="C22" s="166"/>
      <c r="D22" s="166"/>
      <c r="E22" s="166"/>
      <c r="F22" s="166"/>
      <c r="G22" s="166"/>
      <c r="H22" s="166"/>
      <c r="I22" s="166"/>
      <c r="J22" s="150"/>
      <c r="K22" s="150"/>
      <c r="L22" s="150"/>
      <c r="M22" s="294"/>
      <c r="N22" s="291"/>
      <c r="O22" s="291"/>
      <c r="P22" s="291"/>
      <c r="Q22" s="291"/>
      <c r="R22" s="291"/>
      <c r="S22" s="291"/>
      <c r="T22" s="291"/>
      <c r="U22" s="320"/>
      <c r="V22" s="320"/>
      <c r="W22" s="322"/>
      <c r="AC22" s="152"/>
      <c r="AD22" s="152"/>
      <c r="AE22" s="152"/>
      <c r="AF22" s="152"/>
      <c r="AG22" s="152"/>
    </row>
    <row r="23" spans="1:33" s="151" customFormat="1" ht="19.5" customHeight="1" x14ac:dyDescent="0.15">
      <c r="A23" s="150"/>
      <c r="B23" s="167"/>
      <c r="C23" s="168"/>
      <c r="D23" s="168"/>
      <c r="E23" s="166"/>
      <c r="F23" s="39"/>
      <c r="G23" s="39"/>
      <c r="H23" s="166"/>
      <c r="I23" s="167"/>
      <c r="J23" s="150"/>
      <c r="K23" s="150"/>
      <c r="L23" s="150"/>
      <c r="M23" s="294"/>
      <c r="N23" s="291"/>
      <c r="O23" s="291"/>
      <c r="P23" s="291"/>
      <c r="Q23" s="291"/>
      <c r="R23" s="291"/>
      <c r="S23" s="291"/>
      <c r="T23" s="291"/>
      <c r="U23" s="320"/>
      <c r="V23" s="320"/>
      <c r="W23" s="325"/>
      <c r="AC23" s="152"/>
      <c r="AD23" s="152"/>
      <c r="AE23" s="152"/>
      <c r="AF23" s="152"/>
      <c r="AG23" s="152"/>
    </row>
    <row r="24" spans="1:33" s="151" customFormat="1" ht="19.5" customHeight="1" x14ac:dyDescent="0.15">
      <c r="A24" s="166"/>
      <c r="B24" s="46"/>
      <c r="C24" s="167"/>
      <c r="D24" s="167"/>
      <c r="E24" s="166"/>
      <c r="F24" s="39"/>
      <c r="G24" s="39"/>
      <c r="H24" s="46"/>
      <c r="I24" s="46"/>
      <c r="J24" s="166"/>
      <c r="K24" s="166"/>
      <c r="L24" s="166"/>
      <c r="M24" s="296"/>
      <c r="N24" s="295"/>
      <c r="O24" s="295"/>
      <c r="P24" s="291"/>
      <c r="Q24" s="291"/>
      <c r="R24" s="291"/>
      <c r="S24" s="291"/>
      <c r="T24" s="291"/>
      <c r="U24" s="320"/>
      <c r="V24" s="320"/>
      <c r="W24" s="325"/>
      <c r="X24" s="166"/>
      <c r="AC24" s="152"/>
      <c r="AD24" s="152"/>
      <c r="AE24" s="152"/>
      <c r="AF24" s="152"/>
      <c r="AG24" s="152"/>
    </row>
    <row r="25" spans="1:33" s="151" customFormat="1" ht="19.5" customHeight="1" x14ac:dyDescent="0.15">
      <c r="A25" s="166"/>
      <c r="B25" s="166"/>
      <c r="C25" s="166"/>
      <c r="D25" s="166"/>
      <c r="E25" s="166"/>
      <c r="F25" s="166"/>
      <c r="G25" s="272"/>
      <c r="H25" s="273"/>
      <c r="I25" s="166"/>
      <c r="J25" s="166"/>
      <c r="K25" s="166"/>
      <c r="L25" s="166"/>
      <c r="M25" s="301"/>
      <c r="N25" s="305"/>
      <c r="O25" s="302"/>
      <c r="P25" s="302"/>
      <c r="Q25" s="302"/>
      <c r="R25" s="302"/>
      <c r="S25" s="305"/>
      <c r="T25" s="302"/>
      <c r="U25" s="302"/>
      <c r="V25" s="302"/>
      <c r="W25" s="315"/>
      <c r="X25" s="166"/>
      <c r="AC25" s="152"/>
      <c r="AD25" s="152"/>
      <c r="AE25" s="152"/>
      <c r="AF25" s="152"/>
      <c r="AG25" s="152"/>
    </row>
    <row r="26" spans="1:33" s="151" customFormat="1" ht="19.5" customHeight="1" x14ac:dyDescent="0.15">
      <c r="A26" s="166"/>
      <c r="B26" s="166"/>
      <c r="C26" s="166"/>
      <c r="D26" s="166"/>
      <c r="E26" s="166"/>
      <c r="F26" s="166"/>
      <c r="G26" s="166"/>
      <c r="H26" s="166"/>
      <c r="I26" s="166"/>
      <c r="J26" s="166"/>
      <c r="K26" s="166"/>
      <c r="L26" s="166"/>
      <c r="M26" s="166"/>
      <c r="N26" s="166"/>
      <c r="O26" s="173"/>
      <c r="P26" s="166"/>
      <c r="Q26" s="166"/>
      <c r="R26" s="166"/>
      <c r="S26" s="166"/>
      <c r="T26" s="173"/>
      <c r="U26" s="166"/>
      <c r="V26" s="166"/>
      <c r="W26" s="166"/>
      <c r="X26" s="166"/>
      <c r="AC26" s="152"/>
      <c r="AD26" s="152"/>
      <c r="AE26" s="152"/>
      <c r="AF26" s="152"/>
      <c r="AG26" s="152"/>
    </row>
    <row r="27" spans="1:33" s="151" customFormat="1" ht="19.5" customHeight="1" thickBot="1" x14ac:dyDescent="0.2">
      <c r="AC27" s="152"/>
      <c r="AD27" s="152"/>
      <c r="AE27" s="152"/>
      <c r="AF27" s="152"/>
      <c r="AG27" s="152"/>
    </row>
    <row r="28" spans="1:33" s="151" customFormat="1" ht="19.5" customHeight="1" x14ac:dyDescent="0.15">
      <c r="A28" s="664" t="s">
        <v>71</v>
      </c>
      <c r="B28" s="665"/>
      <c r="C28" s="665"/>
      <c r="D28" s="666"/>
      <c r="E28" s="667" t="s">
        <v>72</v>
      </c>
      <c r="F28" s="665"/>
      <c r="G28" s="665"/>
      <c r="H28" s="665"/>
      <c r="I28" s="665"/>
      <c r="J28" s="665"/>
      <c r="K28" s="665"/>
      <c r="L28" s="665"/>
      <c r="M28" s="665"/>
      <c r="N28" s="665"/>
      <c r="O28" s="665"/>
      <c r="P28" s="665"/>
      <c r="Q28" s="666"/>
      <c r="R28" s="667" t="s">
        <v>73</v>
      </c>
      <c r="S28" s="665"/>
      <c r="T28" s="665"/>
      <c r="U28" s="665"/>
      <c r="V28" s="666"/>
      <c r="W28" s="665" t="s">
        <v>74</v>
      </c>
      <c r="X28" s="665"/>
      <c r="Y28" s="669"/>
      <c r="AC28" s="152"/>
      <c r="AD28" s="152"/>
      <c r="AE28" s="152"/>
      <c r="AF28" s="152"/>
      <c r="AG28" s="152"/>
    </row>
    <row r="29" spans="1:33" s="151" customFormat="1" ht="19.5" customHeight="1" x14ac:dyDescent="0.15">
      <c r="A29" s="571"/>
      <c r="B29" s="572"/>
      <c r="C29" s="572"/>
      <c r="D29" s="573"/>
      <c r="E29" s="668"/>
      <c r="F29" s="572"/>
      <c r="G29" s="572"/>
      <c r="H29" s="572"/>
      <c r="I29" s="572"/>
      <c r="J29" s="572"/>
      <c r="K29" s="572"/>
      <c r="L29" s="572"/>
      <c r="M29" s="572"/>
      <c r="N29" s="572"/>
      <c r="O29" s="572"/>
      <c r="P29" s="572"/>
      <c r="Q29" s="573"/>
      <c r="R29" s="668"/>
      <c r="S29" s="572"/>
      <c r="T29" s="572"/>
      <c r="U29" s="572"/>
      <c r="V29" s="573"/>
      <c r="W29" s="572"/>
      <c r="X29" s="572"/>
      <c r="Y29" s="670"/>
      <c r="AC29" s="152"/>
      <c r="AD29" s="152"/>
      <c r="AE29" s="152"/>
      <c r="AF29" s="152"/>
      <c r="AG29" s="152"/>
    </row>
    <row r="30" spans="1:33" s="151" customFormat="1" ht="19.5" customHeight="1" x14ac:dyDescent="0.15">
      <c r="A30" s="565" t="s">
        <v>75</v>
      </c>
      <c r="B30" s="566"/>
      <c r="C30" s="566"/>
      <c r="D30" s="567"/>
      <c r="E30" s="120" t="s">
        <v>263</v>
      </c>
      <c r="F30" s="27"/>
      <c r="G30" s="27"/>
      <c r="H30" s="27"/>
      <c r="I30" s="28"/>
      <c r="J30" s="27"/>
      <c r="K30" s="28"/>
      <c r="L30" s="27"/>
      <c r="M30" s="29"/>
      <c r="N30" s="29"/>
      <c r="O30" s="29"/>
      <c r="P30" s="29"/>
      <c r="Q30" s="30"/>
      <c r="R30" s="584" t="s">
        <v>77</v>
      </c>
      <c r="S30" s="585"/>
      <c r="T30" s="585"/>
      <c r="U30" s="585"/>
      <c r="V30" s="586"/>
      <c r="W30" s="602" t="str">
        <f>IF(F32&gt;400,"×","○")</f>
        <v>○</v>
      </c>
      <c r="X30" s="603"/>
      <c r="Y30" s="604"/>
      <c r="AC30" s="152"/>
      <c r="AD30" s="152"/>
      <c r="AE30" s="152"/>
      <c r="AF30" s="152"/>
      <c r="AG30" s="152"/>
    </row>
    <row r="31" spans="1:33" s="151" customFormat="1" ht="19.5" customHeight="1" x14ac:dyDescent="0.15">
      <c r="A31" s="568"/>
      <c r="B31" s="569"/>
      <c r="C31" s="569"/>
      <c r="D31" s="570"/>
      <c r="E31" s="31" t="s">
        <v>57</v>
      </c>
      <c r="F31" s="611">
        <f>ROUND(D16*3,0)</f>
        <v>9</v>
      </c>
      <c r="G31" s="611"/>
      <c r="H31" s="47" t="s">
        <v>264</v>
      </c>
      <c r="I31" s="612">
        <f>ROUND(D16*10,0)</f>
        <v>30</v>
      </c>
      <c r="J31" s="612"/>
      <c r="K31" s="34" t="s">
        <v>265</v>
      </c>
      <c r="L31" s="36"/>
      <c r="M31" s="32"/>
      <c r="N31" s="32"/>
      <c r="O31" s="32"/>
      <c r="P31" s="32"/>
      <c r="Q31" s="37"/>
      <c r="R31" s="587"/>
      <c r="S31" s="588"/>
      <c r="T31" s="588"/>
      <c r="U31" s="588"/>
      <c r="V31" s="589"/>
      <c r="W31" s="605"/>
      <c r="X31" s="606"/>
      <c r="Y31" s="607"/>
      <c r="AC31" s="152"/>
      <c r="AD31" s="152"/>
      <c r="AE31" s="152"/>
      <c r="AF31" s="152"/>
      <c r="AG31" s="152"/>
    </row>
    <row r="32" spans="1:33" s="151" customFormat="1" ht="19.5" customHeight="1" x14ac:dyDescent="0.15">
      <c r="A32" s="571"/>
      <c r="B32" s="572"/>
      <c r="C32" s="572"/>
      <c r="D32" s="573"/>
      <c r="E32" s="38" t="s">
        <v>144</v>
      </c>
      <c r="F32" s="620">
        <v>190</v>
      </c>
      <c r="G32" s="620"/>
      <c r="H32" s="39" t="s">
        <v>81</v>
      </c>
      <c r="I32" s="39"/>
      <c r="J32" s="39"/>
      <c r="K32" s="40"/>
      <c r="L32" s="39"/>
      <c r="M32" s="41"/>
      <c r="N32" s="41"/>
      <c r="O32" s="41"/>
      <c r="P32" s="41"/>
      <c r="Q32" s="42"/>
      <c r="R32" s="590"/>
      <c r="S32" s="591"/>
      <c r="T32" s="591"/>
      <c r="U32" s="591"/>
      <c r="V32" s="592"/>
      <c r="W32" s="608"/>
      <c r="X32" s="609"/>
      <c r="Y32" s="610"/>
      <c r="AC32" s="152"/>
      <c r="AD32" s="152"/>
      <c r="AE32" s="152"/>
      <c r="AF32" s="152"/>
      <c r="AG32" s="152"/>
    </row>
    <row r="33" spans="1:33" s="151" customFormat="1" ht="19.5" customHeight="1" x14ac:dyDescent="0.15">
      <c r="A33" s="565" t="s">
        <v>82</v>
      </c>
      <c r="B33" s="566"/>
      <c r="C33" s="566"/>
      <c r="D33" s="567"/>
      <c r="E33" s="121" t="s">
        <v>266</v>
      </c>
      <c r="F33" s="27"/>
      <c r="G33" s="27"/>
      <c r="H33" s="122"/>
      <c r="I33" s="123"/>
      <c r="J33" s="124">
        <f>D16</f>
        <v>3</v>
      </c>
      <c r="K33" s="27" t="s">
        <v>51</v>
      </c>
      <c r="L33" s="102">
        <v>120</v>
      </c>
      <c r="M33" s="27" t="s">
        <v>267</v>
      </c>
      <c r="N33" s="29" t="s">
        <v>133</v>
      </c>
      <c r="O33" s="621">
        <f>ROUND(J33*0.001*L33,2)</f>
        <v>0.36</v>
      </c>
      <c r="P33" s="621"/>
      <c r="Q33" s="125" t="s">
        <v>603</v>
      </c>
      <c r="R33" s="502" t="s">
        <v>88</v>
      </c>
      <c r="S33" s="503"/>
      <c r="T33" s="503"/>
      <c r="U33" s="503"/>
      <c r="V33" s="504"/>
      <c r="W33" s="622" t="str">
        <f>IF(H34*1.5&gt;N36+T37,"×","○")</f>
        <v>○</v>
      </c>
      <c r="X33" s="623"/>
      <c r="Y33" s="624"/>
      <c r="AC33" s="152"/>
      <c r="AD33" s="152"/>
      <c r="AE33" s="152"/>
      <c r="AF33" s="152"/>
      <c r="AG33" s="152"/>
    </row>
    <row r="34" spans="1:33" s="151" customFormat="1" ht="19.5" customHeight="1" x14ac:dyDescent="0.15">
      <c r="A34" s="568"/>
      <c r="B34" s="569"/>
      <c r="C34" s="569"/>
      <c r="D34" s="570"/>
      <c r="E34" s="45" t="s">
        <v>268</v>
      </c>
      <c r="F34" s="46"/>
      <c r="G34" s="40"/>
      <c r="H34" s="501">
        <f>O33</f>
        <v>0.36</v>
      </c>
      <c r="I34" s="501"/>
      <c r="J34" s="56" t="s">
        <v>602</v>
      </c>
      <c r="K34" s="50" t="s">
        <v>92</v>
      </c>
      <c r="L34" s="54"/>
      <c r="M34" s="54"/>
      <c r="N34" s="41"/>
      <c r="O34" s="41"/>
      <c r="P34" s="41"/>
      <c r="Q34" s="42"/>
      <c r="R34" s="505"/>
      <c r="S34" s="506"/>
      <c r="T34" s="506"/>
      <c r="U34" s="506"/>
      <c r="V34" s="507"/>
      <c r="W34" s="625"/>
      <c r="X34" s="626"/>
      <c r="Y34" s="627"/>
      <c r="AC34" s="152"/>
      <c r="AD34" s="152"/>
      <c r="AE34" s="152"/>
      <c r="AF34" s="152"/>
      <c r="AG34" s="152"/>
    </row>
    <row r="35" spans="1:33" s="151" customFormat="1" ht="19.5" customHeight="1" x14ac:dyDescent="0.15">
      <c r="A35" s="568"/>
      <c r="B35" s="569"/>
      <c r="C35" s="569"/>
      <c r="D35" s="570"/>
      <c r="E35" s="52" t="s">
        <v>93</v>
      </c>
      <c r="F35" s="53"/>
      <c r="G35" s="53"/>
      <c r="H35" s="53"/>
      <c r="I35" s="34"/>
      <c r="J35" s="34"/>
      <c r="K35" s="34"/>
      <c r="L35" s="34"/>
      <c r="M35" s="34"/>
      <c r="N35" s="32"/>
      <c r="O35" s="32"/>
      <c r="P35" s="32"/>
      <c r="Q35" s="37"/>
      <c r="R35" s="505"/>
      <c r="S35" s="506"/>
      <c r="T35" s="506"/>
      <c r="U35" s="506"/>
      <c r="V35" s="507"/>
      <c r="W35" s="625"/>
      <c r="X35" s="626"/>
      <c r="Y35" s="627"/>
      <c r="AC35" s="152"/>
      <c r="AD35" s="152"/>
      <c r="AE35" s="152"/>
      <c r="AF35" s="152"/>
      <c r="AG35" s="152"/>
    </row>
    <row r="36" spans="1:33" s="151" customFormat="1" ht="19.5" customHeight="1" x14ac:dyDescent="0.15">
      <c r="A36" s="568"/>
      <c r="B36" s="569"/>
      <c r="C36" s="569"/>
      <c r="D36" s="570"/>
      <c r="E36" s="55" t="s">
        <v>142</v>
      </c>
      <c r="F36" s="501">
        <f>H37*K37</f>
        <v>54.5</v>
      </c>
      <c r="G36" s="501"/>
      <c r="H36" s="56" t="s">
        <v>601</v>
      </c>
      <c r="I36" s="40" t="s">
        <v>14</v>
      </c>
      <c r="J36" s="500">
        <f>N37</f>
        <v>3.8</v>
      </c>
      <c r="K36" s="500"/>
      <c r="L36" s="56" t="s">
        <v>146</v>
      </c>
      <c r="M36" s="351" t="s">
        <v>598</v>
      </c>
      <c r="N36" s="501">
        <f>ROUND(F36*J36,2)</f>
        <v>207.1</v>
      </c>
      <c r="O36" s="501"/>
      <c r="P36" s="56" t="s">
        <v>603</v>
      </c>
      <c r="Q36" s="42"/>
      <c r="R36" s="511" t="s">
        <v>606</v>
      </c>
      <c r="S36" s="512"/>
      <c r="T36" s="512"/>
      <c r="U36" s="512"/>
      <c r="V36" s="513"/>
      <c r="W36" s="625"/>
      <c r="X36" s="626"/>
      <c r="Y36" s="627"/>
      <c r="AC36" s="152"/>
      <c r="AD36" s="152"/>
      <c r="AE36" s="152"/>
      <c r="AF36" s="152"/>
      <c r="AG36" s="152"/>
    </row>
    <row r="37" spans="1:33" ht="19.5" customHeight="1" x14ac:dyDescent="0.15">
      <c r="A37" s="571"/>
      <c r="B37" s="572"/>
      <c r="C37" s="572"/>
      <c r="D37" s="573"/>
      <c r="E37" s="632" t="s">
        <v>94</v>
      </c>
      <c r="F37" s="633"/>
      <c r="G37" s="57"/>
      <c r="H37" s="634">
        <v>10</v>
      </c>
      <c r="I37" s="634"/>
      <c r="J37" s="141" t="s">
        <v>14</v>
      </c>
      <c r="K37" s="635">
        <v>5.45</v>
      </c>
      <c r="L37" s="635"/>
      <c r="M37" s="142" t="s">
        <v>85</v>
      </c>
      <c r="N37" s="613">
        <v>3.8</v>
      </c>
      <c r="O37" s="613"/>
      <c r="P37" s="143" t="s">
        <v>95</v>
      </c>
      <c r="Q37" s="58" t="s">
        <v>96</v>
      </c>
      <c r="R37" s="353" t="s">
        <v>605</v>
      </c>
      <c r="S37" s="352"/>
      <c r="T37" s="514"/>
      <c r="U37" s="514"/>
      <c r="V37" s="354" t="s">
        <v>604</v>
      </c>
      <c r="W37" s="628"/>
      <c r="X37" s="629"/>
      <c r="Y37" s="630"/>
      <c r="AC37" s="32"/>
      <c r="AD37" s="32"/>
      <c r="AE37" s="32"/>
      <c r="AF37" s="32"/>
      <c r="AG37" s="32"/>
    </row>
    <row r="38" spans="1:33" ht="19.5" customHeight="1" x14ac:dyDescent="0.15">
      <c r="A38" s="614" t="s">
        <v>97</v>
      </c>
      <c r="B38" s="603"/>
      <c r="C38" s="603"/>
      <c r="D38" s="615"/>
      <c r="E38" s="59" t="s">
        <v>269</v>
      </c>
      <c r="F38" s="60" t="s">
        <v>57</v>
      </c>
      <c r="G38" s="60">
        <v>146</v>
      </c>
      <c r="H38" s="61" t="s">
        <v>270</v>
      </c>
      <c r="I38" s="62" t="s">
        <v>100</v>
      </c>
      <c r="J38" s="60"/>
      <c r="K38" s="63"/>
      <c r="L38" s="60" t="s">
        <v>271</v>
      </c>
      <c r="M38" s="60" t="s">
        <v>272</v>
      </c>
      <c r="N38" s="63"/>
      <c r="O38" s="64"/>
      <c r="P38" s="63"/>
      <c r="Q38" s="65"/>
      <c r="R38" s="686" t="s">
        <v>103</v>
      </c>
      <c r="S38" s="687"/>
      <c r="T38" s="687"/>
      <c r="U38" s="687"/>
      <c r="V38" s="688"/>
      <c r="W38" s="636" t="str">
        <f>IF(H41&gt;=40,"○","×")</f>
        <v>○</v>
      </c>
      <c r="X38" s="534"/>
      <c r="Y38" s="637"/>
      <c r="AC38" s="32"/>
      <c r="AD38" s="32"/>
      <c r="AE38" s="32"/>
      <c r="AF38" s="32"/>
      <c r="AG38" s="32"/>
    </row>
    <row r="39" spans="1:33" ht="19.5" customHeight="1" x14ac:dyDescent="0.15">
      <c r="A39" s="616"/>
      <c r="B39" s="606"/>
      <c r="C39" s="606"/>
      <c r="D39" s="617"/>
      <c r="E39" s="59"/>
      <c r="F39" s="64"/>
      <c r="G39" s="60"/>
      <c r="H39" s="60"/>
      <c r="I39" s="60"/>
      <c r="J39" s="60"/>
      <c r="K39" s="60" t="s">
        <v>104</v>
      </c>
      <c r="L39" s="64"/>
      <c r="M39" s="60"/>
      <c r="N39" s="63"/>
      <c r="O39" s="63"/>
      <c r="P39" s="63"/>
      <c r="Q39" s="65"/>
      <c r="R39" s="689"/>
      <c r="S39" s="690"/>
      <c r="T39" s="690"/>
      <c r="U39" s="690"/>
      <c r="V39" s="691"/>
      <c r="W39" s="638"/>
      <c r="X39" s="537"/>
      <c r="Y39" s="639"/>
      <c r="Z39" s="32"/>
      <c r="AA39" s="32"/>
      <c r="AB39" s="32"/>
      <c r="AC39" s="32"/>
      <c r="AD39" s="32"/>
      <c r="AE39" s="32"/>
      <c r="AF39" s="32"/>
      <c r="AG39" s="32"/>
    </row>
    <row r="40" spans="1:33" ht="19.5" customHeight="1" x14ac:dyDescent="0.15">
      <c r="A40" s="616"/>
      <c r="B40" s="606"/>
      <c r="C40" s="606"/>
      <c r="D40" s="617"/>
      <c r="E40" s="66"/>
      <c r="F40" s="67" t="s">
        <v>57</v>
      </c>
      <c r="G40" s="695">
        <f>ROUNDUP(146*SQRT(F32/(1000*1.5)),1)</f>
        <v>52</v>
      </c>
      <c r="H40" s="695"/>
      <c r="I40" s="67" t="s">
        <v>273</v>
      </c>
      <c r="J40" s="68" t="s">
        <v>264</v>
      </c>
      <c r="K40" s="525">
        <f>ROUNDUP(146*SQRT(F32/(1000*1)),1)</f>
        <v>63.7</v>
      </c>
      <c r="L40" s="525"/>
      <c r="M40" s="67" t="s">
        <v>273</v>
      </c>
      <c r="N40" s="63"/>
      <c r="O40" s="63"/>
      <c r="P40" s="63"/>
      <c r="Q40" s="65"/>
      <c r="R40" s="689"/>
      <c r="S40" s="690"/>
      <c r="T40" s="690"/>
      <c r="U40" s="690"/>
      <c r="V40" s="691"/>
      <c r="W40" s="638"/>
      <c r="X40" s="537"/>
      <c r="Y40" s="639"/>
      <c r="Z40" s="32"/>
      <c r="AA40" s="32"/>
      <c r="AB40" s="32"/>
      <c r="AC40" s="32"/>
      <c r="AD40" s="32"/>
      <c r="AE40" s="32"/>
      <c r="AF40" s="32"/>
      <c r="AG40" s="32"/>
    </row>
    <row r="41" spans="1:33" ht="19.5" customHeight="1" x14ac:dyDescent="0.15">
      <c r="A41" s="618"/>
      <c r="B41" s="609"/>
      <c r="C41" s="609"/>
      <c r="D41" s="619"/>
      <c r="E41" s="69" t="s">
        <v>144</v>
      </c>
      <c r="F41" s="70" t="s">
        <v>97</v>
      </c>
      <c r="G41" s="70"/>
      <c r="H41" s="685">
        <v>50</v>
      </c>
      <c r="I41" s="685"/>
      <c r="J41" s="70" t="s">
        <v>274</v>
      </c>
      <c r="K41" s="70"/>
      <c r="L41" s="70"/>
      <c r="M41" s="70"/>
      <c r="N41" s="71"/>
      <c r="O41" s="71"/>
      <c r="P41" s="71"/>
      <c r="Q41" s="72"/>
      <c r="R41" s="692"/>
      <c r="S41" s="693"/>
      <c r="T41" s="693"/>
      <c r="U41" s="693"/>
      <c r="V41" s="694"/>
      <c r="W41" s="643"/>
      <c r="X41" s="644"/>
      <c r="Y41" s="645"/>
      <c r="Z41" s="32"/>
      <c r="AA41" s="32"/>
      <c r="AB41" s="32"/>
      <c r="AC41" s="32"/>
      <c r="AD41" s="32"/>
      <c r="AE41" s="32"/>
      <c r="AF41" s="32"/>
      <c r="AG41" s="32"/>
    </row>
    <row r="42" spans="1:33" ht="19.5" customHeight="1" x14ac:dyDescent="0.15">
      <c r="A42" s="515" t="s">
        <v>109</v>
      </c>
      <c r="B42" s="516"/>
      <c r="C42" s="516"/>
      <c r="D42" s="517"/>
      <c r="E42" s="73" t="s">
        <v>275</v>
      </c>
      <c r="F42" s="74" t="s">
        <v>57</v>
      </c>
      <c r="G42" s="74" t="s">
        <v>276</v>
      </c>
      <c r="H42" s="75"/>
      <c r="I42" s="74" t="s">
        <v>271</v>
      </c>
      <c r="J42" s="74" t="s">
        <v>277</v>
      </c>
      <c r="K42" s="75" t="s">
        <v>278</v>
      </c>
      <c r="L42" s="76">
        <v>50</v>
      </c>
      <c r="M42" s="74" t="s">
        <v>279</v>
      </c>
      <c r="N42" s="75"/>
      <c r="O42" s="75"/>
      <c r="P42" s="75"/>
      <c r="Q42" s="77"/>
      <c r="R42" s="686" t="s">
        <v>116</v>
      </c>
      <c r="S42" s="696"/>
      <c r="T42" s="696"/>
      <c r="U42" s="696"/>
      <c r="V42" s="697"/>
      <c r="W42" s="636" t="str">
        <f>IF(AND(G43&gt;= 0.6, G43&lt;=3),"○","×")</f>
        <v>○</v>
      </c>
      <c r="X42" s="534"/>
      <c r="Y42" s="637"/>
      <c r="Z42" s="32"/>
      <c r="AA42" s="32"/>
      <c r="AB42" s="32"/>
      <c r="AC42" s="32"/>
      <c r="AD42" s="32"/>
      <c r="AE42" s="32"/>
      <c r="AF42" s="32"/>
      <c r="AG42" s="32"/>
    </row>
    <row r="43" spans="1:33" ht="19.5" customHeight="1" x14ac:dyDescent="0.15">
      <c r="A43" s="518"/>
      <c r="B43" s="519"/>
      <c r="C43" s="519"/>
      <c r="D43" s="520"/>
      <c r="E43" s="66"/>
      <c r="F43" s="78" t="s">
        <v>57</v>
      </c>
      <c r="G43" s="646">
        <f>ROUND((F32/(1000*60))/(((L42/2)/1000)^2*PI()),2)</f>
        <v>1.61</v>
      </c>
      <c r="H43" s="646"/>
      <c r="I43" s="78" t="s">
        <v>121</v>
      </c>
      <c r="J43" s="67"/>
      <c r="K43" s="67"/>
      <c r="L43" s="67"/>
      <c r="M43" s="67"/>
      <c r="N43" s="79"/>
      <c r="O43" s="79"/>
      <c r="P43" s="79"/>
      <c r="Q43" s="80"/>
      <c r="R43" s="698"/>
      <c r="S43" s="699"/>
      <c r="T43" s="699"/>
      <c r="U43" s="699"/>
      <c r="V43" s="700"/>
      <c r="W43" s="638"/>
      <c r="X43" s="537"/>
      <c r="Y43" s="639"/>
      <c r="Z43" s="32"/>
      <c r="AA43" s="32"/>
      <c r="AB43" s="32"/>
      <c r="AC43" s="32"/>
      <c r="AD43" s="32"/>
      <c r="AE43" s="32"/>
      <c r="AF43" s="32"/>
      <c r="AG43" s="32"/>
    </row>
    <row r="44" spans="1:33" ht="19.5" customHeight="1" x14ac:dyDescent="0.15">
      <c r="A44" s="518"/>
      <c r="B44" s="519"/>
      <c r="C44" s="519"/>
      <c r="D44" s="520"/>
      <c r="E44" s="81" t="s">
        <v>275</v>
      </c>
      <c r="F44" s="82" t="s">
        <v>57</v>
      </c>
      <c r="G44" s="82" t="s">
        <v>276</v>
      </c>
      <c r="H44" s="83"/>
      <c r="I44" s="82" t="s">
        <v>271</v>
      </c>
      <c r="J44" s="82" t="s">
        <v>277</v>
      </c>
      <c r="K44" s="83" t="s">
        <v>278</v>
      </c>
      <c r="L44" s="84">
        <v>65</v>
      </c>
      <c r="M44" s="85" t="s">
        <v>279</v>
      </c>
      <c r="N44" s="83"/>
      <c r="O44" s="83"/>
      <c r="P44" s="83"/>
      <c r="Q44" s="86"/>
      <c r="R44" s="698"/>
      <c r="S44" s="699"/>
      <c r="T44" s="699"/>
      <c r="U44" s="699"/>
      <c r="V44" s="700"/>
      <c r="W44" s="677" t="str">
        <f>IF(ISNUMBER(L44),IF(G45&gt;=0.6,"○","×")," ")</f>
        <v>○</v>
      </c>
      <c r="X44" s="678"/>
      <c r="Y44" s="679"/>
      <c r="Z44" s="32"/>
      <c r="AA44" s="32"/>
      <c r="AB44" s="32"/>
      <c r="AC44" s="32"/>
      <c r="AD44" s="32"/>
      <c r="AE44" s="32"/>
      <c r="AF44" s="32"/>
      <c r="AG44" s="32"/>
    </row>
    <row r="45" spans="1:33" ht="19.5" customHeight="1" x14ac:dyDescent="0.15">
      <c r="A45" s="518"/>
      <c r="B45" s="519"/>
      <c r="C45" s="519"/>
      <c r="D45" s="520"/>
      <c r="E45" s="87"/>
      <c r="F45" s="88" t="s">
        <v>57</v>
      </c>
      <c r="G45" s="683">
        <f>IF(ISNUMBER(L44),ROUND((F32/(1000*60))/(((L44/2)/1000)^2*PI()),2),"　")</f>
        <v>0.95</v>
      </c>
      <c r="H45" s="683"/>
      <c r="I45" s="89" t="s">
        <v>121</v>
      </c>
      <c r="J45" s="90"/>
      <c r="K45" s="90"/>
      <c r="L45" s="90"/>
      <c r="M45" s="91"/>
      <c r="N45" s="92"/>
      <c r="O45" s="92"/>
      <c r="P45" s="92"/>
      <c r="Q45" s="93"/>
      <c r="R45" s="701"/>
      <c r="S45" s="702"/>
      <c r="T45" s="702"/>
      <c r="U45" s="702"/>
      <c r="V45" s="703"/>
      <c r="W45" s="680"/>
      <c r="X45" s="681"/>
      <c r="Y45" s="682"/>
      <c r="Z45" s="32"/>
      <c r="AA45" s="32"/>
      <c r="AB45" s="32"/>
      <c r="AC45" s="32"/>
      <c r="AD45" s="32"/>
      <c r="AE45" s="32"/>
      <c r="AF45" s="32"/>
      <c r="AG45" s="32"/>
    </row>
    <row r="46" spans="1:33" ht="19.5" customHeight="1" x14ac:dyDescent="0.15">
      <c r="A46" s="518"/>
      <c r="B46" s="519"/>
      <c r="C46" s="519"/>
      <c r="D46" s="520"/>
      <c r="E46" s="66" t="s">
        <v>122</v>
      </c>
      <c r="F46" s="78"/>
      <c r="G46" s="94"/>
      <c r="H46" s="94"/>
      <c r="I46" s="95"/>
      <c r="J46" s="67"/>
      <c r="K46" s="67"/>
      <c r="L46" s="67"/>
      <c r="M46" s="96"/>
      <c r="N46" s="79"/>
      <c r="O46" s="79"/>
      <c r="P46" s="79"/>
      <c r="Q46" s="79"/>
      <c r="R46" s="97"/>
      <c r="S46" s="97"/>
      <c r="T46" s="97"/>
      <c r="U46" s="97"/>
      <c r="V46" s="97"/>
      <c r="W46" s="98"/>
      <c r="X46" s="98"/>
      <c r="Y46" s="99"/>
      <c r="Z46" s="32"/>
      <c r="AA46" s="32"/>
      <c r="AB46" s="32"/>
      <c r="AC46" s="32"/>
      <c r="AD46" s="32"/>
      <c r="AE46" s="32"/>
      <c r="AF46" s="32"/>
      <c r="AG46" s="32"/>
    </row>
    <row r="47" spans="1:33" ht="19.5" customHeight="1" x14ac:dyDescent="0.15">
      <c r="A47" s="518"/>
      <c r="B47" s="519"/>
      <c r="C47" s="519"/>
      <c r="D47" s="520"/>
      <c r="E47" s="94"/>
      <c r="F47" s="144"/>
      <c r="G47" s="94"/>
      <c r="H47" s="94"/>
      <c r="I47" s="95"/>
      <c r="J47" s="67"/>
      <c r="K47" s="67"/>
      <c r="L47" s="67"/>
      <c r="M47" s="96"/>
      <c r="N47" s="79"/>
      <c r="O47" s="79"/>
      <c r="P47" s="79"/>
      <c r="Q47" s="79"/>
      <c r="R47" s="135"/>
      <c r="S47" s="135"/>
      <c r="T47" s="135"/>
      <c r="U47" s="135"/>
      <c r="V47" s="135"/>
      <c r="W47" s="98"/>
      <c r="X47" s="98"/>
      <c r="Y47" s="99"/>
      <c r="Z47" s="32"/>
      <c r="AA47" s="32"/>
      <c r="AB47" s="32"/>
      <c r="AC47" s="32"/>
      <c r="AD47" s="32"/>
      <c r="AE47" s="32"/>
      <c r="AF47" s="32"/>
      <c r="AG47" s="32"/>
    </row>
    <row r="48" spans="1:33" ht="19.5" customHeight="1" x14ac:dyDescent="0.15">
      <c r="A48" s="521"/>
      <c r="B48" s="522"/>
      <c r="C48" s="522"/>
      <c r="D48" s="523"/>
      <c r="E48" s="94"/>
      <c r="F48" s="684" t="s">
        <v>123</v>
      </c>
      <c r="G48" s="684"/>
      <c r="H48" s="684"/>
      <c r="I48" s="684"/>
      <c r="J48" s="684"/>
      <c r="K48" s="684"/>
      <c r="L48" s="67"/>
      <c r="M48" s="96"/>
      <c r="N48" s="79"/>
      <c r="O48" s="79"/>
      <c r="P48" s="79"/>
      <c r="Q48" s="79"/>
      <c r="R48" s="135"/>
      <c r="S48" s="135"/>
      <c r="T48" s="135"/>
      <c r="U48" s="135"/>
      <c r="V48" s="135"/>
      <c r="W48" s="98"/>
      <c r="X48" s="98"/>
      <c r="Y48" s="99"/>
    </row>
    <row r="49" spans="1:26" ht="19.5" customHeight="1" x14ac:dyDescent="0.15">
      <c r="A49" s="533" t="s">
        <v>124</v>
      </c>
      <c r="B49" s="534"/>
      <c r="C49" s="534"/>
      <c r="D49" s="535"/>
      <c r="E49" s="100" t="s">
        <v>125</v>
      </c>
      <c r="F49" s="101"/>
      <c r="G49" s="102" t="s">
        <v>126</v>
      </c>
      <c r="H49" s="102" t="s">
        <v>133</v>
      </c>
      <c r="I49" s="704" t="s">
        <v>128</v>
      </c>
      <c r="J49" s="704"/>
      <c r="K49" s="103" t="s">
        <v>129</v>
      </c>
      <c r="L49" s="704" t="s">
        <v>130</v>
      </c>
      <c r="M49" s="704"/>
      <c r="N49" s="103" t="s">
        <v>131</v>
      </c>
      <c r="O49" s="704" t="s">
        <v>132</v>
      </c>
      <c r="P49" s="704"/>
      <c r="Q49" s="103"/>
      <c r="R49" s="593" t="s">
        <v>645</v>
      </c>
      <c r="S49" s="594"/>
      <c r="T49" s="594"/>
      <c r="U49" s="594"/>
      <c r="V49" s="595"/>
      <c r="W49" s="636" t="str">
        <f>IF(G55&gt;=I54,"○","×")</f>
        <v>○</v>
      </c>
      <c r="X49" s="534"/>
      <c r="Y49" s="637"/>
    </row>
    <row r="50" spans="1:26" ht="19.5" customHeight="1" x14ac:dyDescent="0.15">
      <c r="A50" s="536"/>
      <c r="B50" s="537"/>
      <c r="C50" s="537"/>
      <c r="D50" s="538"/>
      <c r="E50" s="105"/>
      <c r="F50" s="63"/>
      <c r="G50" s="63"/>
      <c r="H50" s="63" t="s">
        <v>133</v>
      </c>
      <c r="I50" s="642">
        <f>J71</f>
        <v>4.6500000000000004</v>
      </c>
      <c r="J50" s="642"/>
      <c r="K50" s="63" t="s">
        <v>129</v>
      </c>
      <c r="L50" s="580">
        <f>IF(ISNUMBER(L44),J78+J95,J78)</f>
        <v>0.82000000000000006</v>
      </c>
      <c r="M50" s="580"/>
      <c r="N50" s="79" t="s">
        <v>131</v>
      </c>
      <c r="O50" s="525">
        <f>J74</f>
        <v>4.5999999999999999E-2</v>
      </c>
      <c r="P50" s="525"/>
      <c r="Q50" s="63"/>
      <c r="R50" s="596"/>
      <c r="S50" s="597"/>
      <c r="T50" s="597"/>
      <c r="U50" s="597"/>
      <c r="V50" s="598"/>
      <c r="W50" s="638"/>
      <c r="X50" s="537"/>
      <c r="Y50" s="639"/>
      <c r="Z50" s="151"/>
    </row>
    <row r="51" spans="1:26" ht="19.5" customHeight="1" x14ac:dyDescent="0.15">
      <c r="A51" s="536"/>
      <c r="B51" s="537"/>
      <c r="C51" s="537"/>
      <c r="D51" s="538"/>
      <c r="E51" s="105"/>
      <c r="F51" s="63"/>
      <c r="G51" s="63"/>
      <c r="H51" s="63" t="s">
        <v>133</v>
      </c>
      <c r="I51" s="580">
        <f>I50+L50+O50</f>
        <v>5.5160000000000009</v>
      </c>
      <c r="J51" s="525"/>
      <c r="K51" s="63" t="s">
        <v>280</v>
      </c>
      <c r="L51" s="63"/>
      <c r="M51" s="63"/>
      <c r="N51" s="63"/>
      <c r="O51" s="63"/>
      <c r="P51" s="63"/>
      <c r="Q51" s="65"/>
      <c r="R51" s="596"/>
      <c r="S51" s="597"/>
      <c r="T51" s="597"/>
      <c r="U51" s="597"/>
      <c r="V51" s="598"/>
      <c r="W51" s="638"/>
      <c r="X51" s="537"/>
      <c r="Y51" s="639"/>
    </row>
    <row r="52" spans="1:26" ht="19.5" customHeight="1" x14ac:dyDescent="0.15">
      <c r="A52" s="536"/>
      <c r="B52" s="537"/>
      <c r="C52" s="537"/>
      <c r="D52" s="538"/>
      <c r="E52" s="106"/>
      <c r="F52" s="63" t="s">
        <v>137</v>
      </c>
      <c r="G52" s="63"/>
      <c r="H52" s="63">
        <f>L53</f>
        <v>1.2</v>
      </c>
      <c r="I52" s="63" t="s">
        <v>281</v>
      </c>
      <c r="J52" s="63"/>
      <c r="K52" s="63" t="s">
        <v>139</v>
      </c>
      <c r="L52" s="63"/>
      <c r="M52" s="63"/>
      <c r="N52" s="63"/>
      <c r="O52" s="63"/>
      <c r="P52" s="63"/>
      <c r="Q52" s="65"/>
      <c r="R52" s="596"/>
      <c r="S52" s="597"/>
      <c r="T52" s="597"/>
      <c r="U52" s="597"/>
      <c r="V52" s="598"/>
      <c r="W52" s="638"/>
      <c r="X52" s="537"/>
      <c r="Y52" s="639"/>
    </row>
    <row r="53" spans="1:26" ht="19.5" customHeight="1" x14ac:dyDescent="0.15">
      <c r="A53" s="536"/>
      <c r="B53" s="537"/>
      <c r="C53" s="537"/>
      <c r="D53" s="538"/>
      <c r="E53" s="105"/>
      <c r="F53" s="63"/>
      <c r="G53" s="63" t="s">
        <v>282</v>
      </c>
      <c r="H53" s="63" t="s">
        <v>133</v>
      </c>
      <c r="I53" s="580">
        <f>I51</f>
        <v>5.5160000000000009</v>
      </c>
      <c r="J53" s="580"/>
      <c r="K53" s="63" t="s">
        <v>51</v>
      </c>
      <c r="L53" s="145">
        <v>1.2</v>
      </c>
      <c r="M53" s="63"/>
      <c r="N53" s="63"/>
      <c r="O53" s="63"/>
      <c r="P53" s="63"/>
      <c r="Q53" s="65"/>
      <c r="R53" s="596"/>
      <c r="S53" s="597"/>
      <c r="T53" s="597"/>
      <c r="U53" s="597"/>
      <c r="V53" s="598"/>
      <c r="W53" s="638"/>
      <c r="X53" s="537"/>
      <c r="Y53" s="639"/>
    </row>
    <row r="54" spans="1:26" ht="19.5" customHeight="1" x14ac:dyDescent="0.15">
      <c r="A54" s="536"/>
      <c r="B54" s="537"/>
      <c r="C54" s="537"/>
      <c r="D54" s="538"/>
      <c r="E54" s="105"/>
      <c r="F54" s="63"/>
      <c r="G54" s="63"/>
      <c r="H54" s="63" t="s">
        <v>57</v>
      </c>
      <c r="I54" s="581">
        <f>ROUND(I53*L53,3)</f>
        <v>6.6189999999999998</v>
      </c>
      <c r="J54" s="581"/>
      <c r="K54" s="63" t="s">
        <v>280</v>
      </c>
      <c r="L54" s="63"/>
      <c r="M54" s="63"/>
      <c r="N54" s="63"/>
      <c r="O54" s="63"/>
      <c r="P54" s="63"/>
      <c r="Q54" s="65"/>
      <c r="R54" s="596"/>
      <c r="S54" s="597"/>
      <c r="T54" s="597"/>
      <c r="U54" s="597"/>
      <c r="V54" s="598"/>
      <c r="W54" s="638"/>
      <c r="X54" s="537"/>
      <c r="Y54" s="639"/>
    </row>
    <row r="55" spans="1:26" ht="19.5" customHeight="1" thickBot="1" x14ac:dyDescent="0.2">
      <c r="A55" s="539"/>
      <c r="B55" s="540"/>
      <c r="C55" s="540"/>
      <c r="D55" s="541"/>
      <c r="E55" s="107" t="s">
        <v>283</v>
      </c>
      <c r="F55" s="108" t="s">
        <v>145</v>
      </c>
      <c r="G55" s="582">
        <f>ROUNDUP(I54,0)</f>
        <v>7</v>
      </c>
      <c r="H55" s="582"/>
      <c r="I55" s="108" t="s">
        <v>284</v>
      </c>
      <c r="J55" s="108" t="s">
        <v>147</v>
      </c>
      <c r="K55" s="108"/>
      <c r="L55" s="109"/>
      <c r="M55" s="108"/>
      <c r="N55" s="108"/>
      <c r="O55" s="108"/>
      <c r="P55" s="108"/>
      <c r="Q55" s="110"/>
      <c r="R55" s="599"/>
      <c r="S55" s="600"/>
      <c r="T55" s="600"/>
      <c r="U55" s="600"/>
      <c r="V55" s="601"/>
      <c r="W55" s="640"/>
      <c r="X55" s="540"/>
      <c r="Y55" s="641"/>
    </row>
    <row r="56" spans="1:26" ht="19.5" customHeight="1" x14ac:dyDescent="0.15">
      <c r="A56" s="64"/>
      <c r="B56" s="64"/>
      <c r="C56" s="64"/>
      <c r="D56" s="64"/>
      <c r="E56" s="64"/>
      <c r="F56" s="64"/>
      <c r="G56" s="64"/>
      <c r="H56" s="64"/>
      <c r="I56" s="64"/>
      <c r="J56" s="64"/>
      <c r="K56" s="64"/>
      <c r="L56" s="64"/>
      <c r="M56" s="64"/>
      <c r="N56" s="64"/>
      <c r="O56" s="64"/>
      <c r="P56" s="64"/>
      <c r="Q56" s="64"/>
      <c r="R56" s="64"/>
      <c r="S56" s="64"/>
      <c r="T56" s="64"/>
      <c r="U56" s="64"/>
      <c r="V56" s="64"/>
      <c r="W56" s="64"/>
      <c r="X56" s="64"/>
      <c r="Y56" s="64"/>
    </row>
    <row r="57" spans="1:26" ht="19.5" customHeight="1" x14ac:dyDescent="0.15">
      <c r="A57" s="64"/>
      <c r="B57" s="64"/>
      <c r="C57" s="64"/>
      <c r="D57" s="64"/>
      <c r="E57" s="64"/>
      <c r="F57" s="64"/>
      <c r="G57" s="64"/>
      <c r="H57" s="64"/>
      <c r="I57" s="64"/>
      <c r="J57" s="64"/>
      <c r="K57" s="64"/>
      <c r="L57" s="64"/>
      <c r="M57" s="64"/>
      <c r="N57" s="64"/>
      <c r="O57" s="64"/>
      <c r="P57" s="64"/>
      <c r="Q57" s="64"/>
      <c r="R57" s="64"/>
      <c r="S57" s="64"/>
      <c r="T57" s="64"/>
      <c r="U57" s="64"/>
      <c r="V57" s="64"/>
      <c r="W57" s="64"/>
      <c r="X57" s="64"/>
      <c r="Y57" s="64"/>
    </row>
    <row r="58" spans="1:26" ht="19.5" customHeight="1" x14ac:dyDescent="0.15">
      <c r="A58" s="60" t="s">
        <v>148</v>
      </c>
      <c r="B58" s="60"/>
      <c r="C58" s="60"/>
      <c r="D58" s="176" t="s">
        <v>32</v>
      </c>
      <c r="E58" s="177"/>
      <c r="F58" s="177"/>
      <c r="G58" s="177"/>
      <c r="H58" s="177"/>
      <c r="I58" s="178"/>
      <c r="J58" s="111" t="s">
        <v>285</v>
      </c>
      <c r="K58" s="64"/>
      <c r="R58" s="64"/>
      <c r="S58" s="64"/>
      <c r="T58" s="64"/>
      <c r="U58" s="64"/>
      <c r="V58" s="64"/>
      <c r="W58" s="64"/>
      <c r="X58" s="64"/>
      <c r="Y58" s="64"/>
    </row>
    <row r="59" spans="1:26" ht="19.5" customHeight="1" x14ac:dyDescent="0.15">
      <c r="A59" s="60"/>
      <c r="B59" s="60"/>
      <c r="C59" s="179"/>
      <c r="D59" s="176" t="s">
        <v>150</v>
      </c>
      <c r="E59" s="177"/>
      <c r="F59" s="177"/>
      <c r="G59" s="177"/>
      <c r="H59" s="177"/>
      <c r="I59" s="178"/>
      <c r="J59" s="112"/>
      <c r="K59" s="64"/>
      <c r="L59" s="180" t="s">
        <v>286</v>
      </c>
      <c r="M59" s="64"/>
      <c r="N59" s="64"/>
      <c r="O59" s="146"/>
      <c r="P59" s="64" t="s">
        <v>152</v>
      </c>
      <c r="Q59" s="64"/>
      <c r="R59" s="181" t="s">
        <v>153</v>
      </c>
      <c r="S59" s="64"/>
      <c r="T59" s="64"/>
      <c r="U59" s="64"/>
      <c r="V59" s="64"/>
      <c r="W59" s="64"/>
      <c r="X59" s="64"/>
      <c r="Y59" s="64"/>
    </row>
    <row r="60" spans="1:26" ht="19.5" customHeight="1" x14ac:dyDescent="0.15">
      <c r="A60" s="60"/>
      <c r="B60" s="60"/>
      <c r="C60" s="179"/>
      <c r="D60" s="176" t="s">
        <v>154</v>
      </c>
      <c r="E60" s="177"/>
      <c r="F60" s="177"/>
      <c r="G60" s="177"/>
      <c r="H60" s="177"/>
      <c r="I60" s="178"/>
      <c r="J60" s="112"/>
      <c r="K60" s="64"/>
      <c r="L60" s="64"/>
      <c r="M60" s="64"/>
      <c r="N60" s="64"/>
      <c r="O60" s="64"/>
      <c r="P60" s="64"/>
      <c r="Q60" s="64"/>
      <c r="R60" s="64"/>
      <c r="S60" s="64"/>
      <c r="T60" s="64"/>
      <c r="U60" s="64"/>
      <c r="V60" s="64"/>
      <c r="W60" s="64"/>
      <c r="X60" s="64"/>
      <c r="Y60" s="64"/>
    </row>
    <row r="61" spans="1:26" ht="19.5" customHeight="1" x14ac:dyDescent="0.15">
      <c r="A61" s="60"/>
      <c r="B61" s="60"/>
      <c r="C61" s="179"/>
      <c r="D61" s="486" t="s">
        <v>155</v>
      </c>
      <c r="E61" s="487"/>
      <c r="F61" s="487"/>
      <c r="G61" s="487"/>
      <c r="H61" s="487"/>
      <c r="I61" s="488"/>
      <c r="J61" s="112"/>
      <c r="K61" s="64"/>
      <c r="L61" s="64"/>
      <c r="M61" s="64"/>
      <c r="N61" s="64"/>
      <c r="O61" s="64"/>
      <c r="P61" s="64"/>
      <c r="Q61" s="64"/>
      <c r="R61" s="64"/>
      <c r="S61" s="64"/>
      <c r="T61" s="64"/>
      <c r="U61" s="64"/>
      <c r="V61" s="64"/>
      <c r="W61" s="64"/>
      <c r="X61" s="64"/>
      <c r="Y61" s="64"/>
    </row>
    <row r="62" spans="1:26" ht="19.5" customHeight="1" x14ac:dyDescent="0.15">
      <c r="A62" s="60"/>
      <c r="B62" s="60"/>
      <c r="C62" s="179"/>
      <c r="D62" s="60"/>
      <c r="E62" s="60"/>
      <c r="F62" s="60"/>
      <c r="G62" s="60"/>
      <c r="H62" s="60"/>
      <c r="I62" s="60"/>
      <c r="J62" s="64"/>
      <c r="K62" s="64"/>
      <c r="L62" s="64"/>
      <c r="M62" s="64"/>
      <c r="N62" s="64"/>
      <c r="O62" s="64"/>
      <c r="P62" s="64"/>
      <c r="Q62" s="64"/>
      <c r="R62" s="64"/>
      <c r="S62" s="64"/>
      <c r="T62" s="64"/>
      <c r="U62" s="64"/>
      <c r="V62" s="64"/>
      <c r="W62" s="64"/>
      <c r="X62" s="64"/>
      <c r="Y62" s="64"/>
    </row>
    <row r="63" spans="1:26" ht="19.5" customHeight="1" x14ac:dyDescent="0.15">
      <c r="A63" s="182" t="s">
        <v>156</v>
      </c>
      <c r="B63" s="64"/>
      <c r="C63" s="64"/>
      <c r="D63" s="64"/>
      <c r="E63" s="64"/>
      <c r="F63" s="64"/>
      <c r="G63" s="64"/>
      <c r="H63" s="64"/>
      <c r="I63" s="64"/>
      <c r="J63" s="64"/>
      <c r="K63" s="64"/>
      <c r="L63" s="64"/>
      <c r="M63" s="64"/>
      <c r="N63" s="64"/>
      <c r="O63" s="64"/>
      <c r="P63" s="64"/>
      <c r="Q63" s="64"/>
      <c r="R63" s="64"/>
      <c r="S63" s="64"/>
      <c r="T63" s="64"/>
      <c r="U63" s="64"/>
      <c r="V63" s="64"/>
      <c r="W63" s="64"/>
      <c r="X63" s="64"/>
      <c r="Y63" s="64"/>
    </row>
    <row r="64" spans="1:26" ht="19.5" customHeight="1" x14ac:dyDescent="0.15">
      <c r="A64" s="64"/>
      <c r="B64" s="183" t="s">
        <v>157</v>
      </c>
      <c r="C64" s="183"/>
      <c r="D64" s="183"/>
      <c r="E64" s="184"/>
      <c r="F64" s="542" t="s">
        <v>158</v>
      </c>
      <c r="G64" s="542"/>
      <c r="H64" s="542"/>
      <c r="I64" s="355"/>
      <c r="J64" s="184"/>
      <c r="K64" s="542" t="s">
        <v>145</v>
      </c>
      <c r="L64" s="542"/>
      <c r="M64" s="183"/>
      <c r="N64" s="183"/>
      <c r="O64" s="542" t="s">
        <v>159</v>
      </c>
      <c r="P64" s="542"/>
      <c r="Q64" s="282"/>
      <c r="R64" s="282"/>
      <c r="S64" s="282" t="s">
        <v>160</v>
      </c>
      <c r="T64" s="64"/>
      <c r="U64" s="64"/>
      <c r="V64" s="64"/>
      <c r="W64" s="64"/>
      <c r="X64" s="64"/>
      <c r="Y64" s="64"/>
      <c r="Z64" s="64"/>
    </row>
    <row r="65" spans="1:26" ht="19.5" customHeight="1" thickBot="1" x14ac:dyDescent="0.2">
      <c r="A65" s="108" t="s">
        <v>252</v>
      </c>
      <c r="B65" s="528">
        <f>F32</f>
        <v>190</v>
      </c>
      <c r="C65" s="529"/>
      <c r="D65" s="108" t="s">
        <v>69</v>
      </c>
      <c r="E65" s="108"/>
      <c r="F65" s="108" t="s">
        <v>287</v>
      </c>
      <c r="G65" s="108">
        <f>H41</f>
        <v>50</v>
      </c>
      <c r="H65" s="108" t="s">
        <v>288</v>
      </c>
      <c r="I65" s="108"/>
      <c r="J65" s="108" t="s">
        <v>51</v>
      </c>
      <c r="K65" s="532">
        <f>G55</f>
        <v>7</v>
      </c>
      <c r="L65" s="532"/>
      <c r="M65" s="108" t="s">
        <v>289</v>
      </c>
      <c r="N65" s="108" t="s">
        <v>14</v>
      </c>
      <c r="O65" s="531">
        <v>0.25</v>
      </c>
      <c r="P65" s="531"/>
      <c r="Q65" s="108" t="s">
        <v>584</v>
      </c>
      <c r="R65" s="108"/>
      <c r="S65" s="373">
        <v>2</v>
      </c>
      <c r="T65" s="108" t="s">
        <v>166</v>
      </c>
      <c r="U65" s="64"/>
      <c r="V65" s="64"/>
      <c r="W65" s="64"/>
      <c r="X65" s="64"/>
      <c r="Y65" s="64"/>
      <c r="Z65" s="64"/>
    </row>
    <row r="66" spans="1:26" ht="19.5" customHeight="1" x14ac:dyDescent="0.15">
      <c r="A66" s="64"/>
      <c r="B66" s="64"/>
      <c r="C66" s="64"/>
      <c r="D66" s="64"/>
      <c r="E66" s="64"/>
      <c r="F66" s="64"/>
      <c r="G66" s="64"/>
      <c r="H66" s="64"/>
      <c r="I66" s="64"/>
      <c r="J66" s="64"/>
      <c r="K66" s="64"/>
      <c r="L66" s="64"/>
      <c r="M66" s="64"/>
      <c r="N66" s="64"/>
      <c r="O66" s="64"/>
      <c r="P66" s="64"/>
      <c r="Q66" s="64"/>
      <c r="R66" s="64"/>
      <c r="S66" s="64"/>
      <c r="T66" s="64"/>
      <c r="U66" s="64"/>
      <c r="V66" s="64"/>
      <c r="W66" s="64"/>
      <c r="X66" s="64"/>
      <c r="Y66" s="64"/>
    </row>
    <row r="67" spans="1:26" ht="19.5" customHeight="1" x14ac:dyDescent="0.15">
      <c r="A67" s="64"/>
      <c r="B67" s="64"/>
      <c r="C67" s="64"/>
      <c r="D67" s="64"/>
      <c r="E67" s="64"/>
      <c r="F67" s="64"/>
      <c r="G67" s="64"/>
      <c r="H67" s="64"/>
      <c r="I67" s="64"/>
      <c r="J67" s="64"/>
      <c r="K67" s="64"/>
      <c r="L67" s="64"/>
      <c r="M67" s="64"/>
      <c r="N67" s="64"/>
      <c r="O67" s="64"/>
      <c r="P67" s="64"/>
      <c r="Q67" s="64"/>
      <c r="R67" s="64"/>
      <c r="S67" s="64"/>
      <c r="T67" s="64"/>
      <c r="U67" s="64"/>
      <c r="V67" s="64"/>
      <c r="W67" s="64"/>
      <c r="X67" s="64"/>
      <c r="Y67" s="64"/>
    </row>
    <row r="68" spans="1:26" ht="19.5" customHeight="1" x14ac:dyDescent="0.15">
      <c r="A68" s="64"/>
      <c r="B68" s="64"/>
      <c r="C68" s="64"/>
      <c r="D68" s="64"/>
      <c r="E68" s="64"/>
      <c r="F68" s="64"/>
      <c r="G68" s="64"/>
      <c r="H68" s="64"/>
      <c r="I68" s="64"/>
      <c r="J68" s="64"/>
      <c r="K68" s="64"/>
      <c r="L68" s="64"/>
      <c r="M68" s="64"/>
      <c r="N68" s="64"/>
      <c r="O68" s="64"/>
      <c r="P68" s="64"/>
      <c r="Q68" s="64"/>
      <c r="R68" s="64"/>
      <c r="S68" s="64"/>
      <c r="T68" s="64"/>
      <c r="U68" s="64"/>
      <c r="V68" s="64"/>
      <c r="W68" s="64"/>
      <c r="X68" s="64"/>
      <c r="Y68" s="64"/>
    </row>
    <row r="69" spans="1:26" ht="26.25" customHeight="1" x14ac:dyDescent="0.15">
      <c r="A69" s="186" t="s">
        <v>167</v>
      </c>
      <c r="B69" s="64"/>
      <c r="C69" s="64"/>
      <c r="D69" s="64"/>
      <c r="E69" s="64"/>
      <c r="F69" s="64"/>
      <c r="G69" s="64"/>
      <c r="H69" s="64"/>
      <c r="I69" s="64"/>
      <c r="J69" s="64"/>
      <c r="K69" s="64"/>
      <c r="L69" s="64"/>
      <c r="M69" s="64"/>
      <c r="N69" s="64"/>
      <c r="O69" s="64"/>
      <c r="P69" s="64"/>
      <c r="Q69" s="64"/>
      <c r="R69" s="64"/>
      <c r="S69" s="64"/>
      <c r="T69" s="64"/>
      <c r="U69" s="64"/>
      <c r="V69" s="64"/>
      <c r="W69" s="64"/>
      <c r="X69" s="64"/>
      <c r="Y69" s="64"/>
    </row>
    <row r="70" spans="1:26" ht="19.5" customHeight="1" x14ac:dyDescent="0.15">
      <c r="A70" s="187"/>
      <c r="B70" s="75"/>
      <c r="C70" s="75"/>
      <c r="D70" s="75"/>
      <c r="E70" s="77"/>
      <c r="F70" s="75"/>
      <c r="G70" s="75"/>
      <c r="H70" s="75"/>
      <c r="I70" s="75"/>
      <c r="J70" s="75"/>
      <c r="K70" s="75"/>
      <c r="L70" s="75"/>
      <c r="M70" s="75"/>
      <c r="N70" s="75"/>
      <c r="O70" s="75"/>
      <c r="P70" s="75"/>
      <c r="Q70" s="75"/>
      <c r="R70" s="77"/>
      <c r="S70" s="75"/>
      <c r="T70" s="75"/>
      <c r="U70" s="75"/>
      <c r="V70" s="75"/>
      <c r="W70" s="75"/>
      <c r="X70" s="77"/>
      <c r="Y70" s="64"/>
    </row>
    <row r="71" spans="1:26" ht="19.5" customHeight="1" x14ac:dyDescent="0.15">
      <c r="A71" s="188" t="s">
        <v>290</v>
      </c>
      <c r="B71" s="67"/>
      <c r="C71" s="189"/>
      <c r="D71" s="189"/>
      <c r="E71" s="65"/>
      <c r="F71" s="60"/>
      <c r="G71" s="63"/>
      <c r="H71" s="63" t="s">
        <v>291</v>
      </c>
      <c r="I71" s="63" t="s">
        <v>133</v>
      </c>
      <c r="J71" s="530">
        <v>4.6500000000000004</v>
      </c>
      <c r="K71" s="530"/>
      <c r="L71" s="63" t="s">
        <v>292</v>
      </c>
      <c r="M71" s="63"/>
      <c r="N71" s="63"/>
      <c r="O71" s="63"/>
      <c r="P71" s="63"/>
      <c r="Q71" s="63"/>
      <c r="R71" s="190"/>
      <c r="S71" s="191"/>
      <c r="T71" s="63"/>
      <c r="U71" s="192"/>
      <c r="V71" s="192"/>
      <c r="W71" s="192"/>
      <c r="X71" s="193"/>
    </row>
    <row r="72" spans="1:26" ht="19.5" customHeight="1" x14ac:dyDescent="0.15">
      <c r="A72" s="194"/>
      <c r="B72" s="189"/>
      <c r="C72" s="189"/>
      <c r="D72" s="189"/>
      <c r="E72" s="195"/>
      <c r="F72" s="63"/>
      <c r="G72" s="63"/>
      <c r="H72" s="63"/>
      <c r="I72" s="63"/>
      <c r="J72" s="63"/>
      <c r="K72" s="196"/>
      <c r="L72" s="63"/>
      <c r="M72" s="63"/>
      <c r="N72" s="63"/>
      <c r="O72" s="63"/>
      <c r="P72" s="63"/>
      <c r="Q72" s="63"/>
      <c r="R72" s="193"/>
      <c r="S72" s="191"/>
      <c r="T72" s="189"/>
      <c r="U72" s="192"/>
      <c r="V72" s="192"/>
      <c r="W72" s="192"/>
      <c r="X72" s="193"/>
    </row>
    <row r="73" spans="1:26" ht="19.5" customHeight="1" x14ac:dyDescent="0.15">
      <c r="A73" s="188" t="s">
        <v>293</v>
      </c>
      <c r="B73" s="197"/>
      <c r="C73" s="197"/>
      <c r="D73" s="197"/>
      <c r="E73" s="198"/>
      <c r="F73" s="63"/>
      <c r="G73" s="63"/>
      <c r="H73" s="63" t="s">
        <v>132</v>
      </c>
      <c r="I73" s="63" t="s">
        <v>133</v>
      </c>
      <c r="J73" s="60" t="s">
        <v>294</v>
      </c>
      <c r="K73" s="68" t="s">
        <v>51</v>
      </c>
      <c r="L73" s="60" t="s">
        <v>295</v>
      </c>
      <c r="M73" s="63"/>
      <c r="N73" s="63"/>
      <c r="O73" s="60" t="s">
        <v>296</v>
      </c>
      <c r="P73" s="63" t="s">
        <v>297</v>
      </c>
      <c r="Q73" s="63">
        <v>1</v>
      </c>
      <c r="R73" s="193"/>
      <c r="S73" s="191"/>
      <c r="T73" s="189"/>
      <c r="U73" s="192"/>
      <c r="V73" s="192"/>
      <c r="W73" s="192"/>
      <c r="X73" s="193"/>
    </row>
    <row r="74" spans="1:26" ht="19.5" customHeight="1" x14ac:dyDescent="0.15">
      <c r="A74" s="199" t="s">
        <v>298</v>
      </c>
      <c r="B74" s="200"/>
      <c r="C74" s="200"/>
      <c r="D74" s="200"/>
      <c r="E74" s="201"/>
      <c r="F74" s="202"/>
      <c r="G74" s="63"/>
      <c r="H74" s="63"/>
      <c r="I74" s="63" t="s">
        <v>133</v>
      </c>
      <c r="J74" s="705">
        <f>IF(O105&lt;O88,O105,O88)</f>
        <v>4.5999999999999999E-2</v>
      </c>
      <c r="K74" s="705"/>
      <c r="L74" s="63" t="s">
        <v>299</v>
      </c>
      <c r="M74" s="63"/>
      <c r="N74" s="63"/>
      <c r="O74" s="63"/>
      <c r="P74" s="63"/>
      <c r="Q74" s="63"/>
      <c r="R74" s="65"/>
      <c r="S74" s="191"/>
      <c r="T74" s="203"/>
      <c r="U74" s="192"/>
      <c r="V74" s="192"/>
      <c r="W74" s="192"/>
      <c r="X74" s="193"/>
    </row>
    <row r="75" spans="1:26" ht="19.5" customHeight="1" x14ac:dyDescent="0.15">
      <c r="A75" s="204" t="s">
        <v>177</v>
      </c>
      <c r="B75" s="189"/>
      <c r="C75" s="189"/>
      <c r="D75" s="189"/>
      <c r="E75" s="65"/>
      <c r="F75" s="63"/>
      <c r="G75" s="75"/>
      <c r="H75" s="75"/>
      <c r="I75" s="75"/>
      <c r="J75" s="75"/>
      <c r="K75" s="75"/>
      <c r="L75" s="75"/>
      <c r="M75" s="75"/>
      <c r="N75" s="75"/>
      <c r="O75" s="74"/>
      <c r="P75" s="74"/>
      <c r="Q75" s="74"/>
      <c r="R75" s="205"/>
      <c r="S75" s="191"/>
      <c r="T75" s="63"/>
      <c r="U75" s="192"/>
      <c r="V75" s="192"/>
      <c r="W75" s="192"/>
      <c r="X75" s="193"/>
    </row>
    <row r="76" spans="1:26" ht="19.5" customHeight="1" x14ac:dyDescent="0.15">
      <c r="A76" s="194"/>
      <c r="B76" s="189"/>
      <c r="C76" s="189"/>
      <c r="D76" s="189"/>
      <c r="E76" s="65"/>
      <c r="G76" s="63"/>
      <c r="H76" s="63" t="s">
        <v>300</v>
      </c>
      <c r="I76" s="63" t="s">
        <v>133</v>
      </c>
      <c r="J76" s="63" t="s">
        <v>301</v>
      </c>
      <c r="K76" s="68" t="s">
        <v>129</v>
      </c>
      <c r="L76" s="63" t="s">
        <v>302</v>
      </c>
      <c r="M76" s="63"/>
      <c r="N76" s="60"/>
      <c r="O76" s="60"/>
      <c r="P76" s="60"/>
      <c r="Q76" s="60"/>
      <c r="R76" s="206"/>
      <c r="S76" s="191"/>
      <c r="T76" s="63"/>
      <c r="U76" s="192"/>
      <c r="V76" s="192"/>
      <c r="W76" s="192"/>
      <c r="X76" s="193"/>
    </row>
    <row r="77" spans="1:26" ht="19.5" customHeight="1" x14ac:dyDescent="0.15">
      <c r="A77" s="66" t="s">
        <v>183</v>
      </c>
      <c r="B77" s="184" t="s">
        <v>303</v>
      </c>
      <c r="C77" s="207">
        <f>L42</f>
        <v>50</v>
      </c>
      <c r="D77" s="208" t="s">
        <v>304</v>
      </c>
      <c r="E77" s="65"/>
      <c r="F77" s="63"/>
      <c r="G77" s="63"/>
      <c r="H77" s="63"/>
      <c r="I77" s="63" t="s">
        <v>133</v>
      </c>
      <c r="J77" s="209">
        <f>L82</f>
        <v>0.312</v>
      </c>
      <c r="K77" s="68" t="s">
        <v>129</v>
      </c>
      <c r="L77" s="209">
        <f>L89</f>
        <v>0.221</v>
      </c>
      <c r="M77" s="63"/>
      <c r="N77" s="60"/>
      <c r="O77" s="60"/>
      <c r="P77" s="60"/>
      <c r="Q77" s="60"/>
      <c r="R77" s="206"/>
      <c r="S77" s="191"/>
      <c r="T77" s="63"/>
      <c r="U77" s="192"/>
      <c r="V77" s="192"/>
      <c r="W77" s="192"/>
      <c r="X77" s="193"/>
    </row>
    <row r="78" spans="1:26" ht="19.5" customHeight="1" x14ac:dyDescent="0.15">
      <c r="A78" s="194"/>
      <c r="B78" s="64" t="s">
        <v>305</v>
      </c>
      <c r="C78" s="114">
        <v>3.45</v>
      </c>
      <c r="D78" s="189" t="s">
        <v>306</v>
      </c>
      <c r="E78" s="190"/>
      <c r="F78" s="63"/>
      <c r="G78" s="63"/>
      <c r="H78" s="63"/>
      <c r="I78" s="63" t="s">
        <v>133</v>
      </c>
      <c r="J78" s="581">
        <f>ROUNDUP(J77+L77,3)</f>
        <v>0.53300000000000003</v>
      </c>
      <c r="K78" s="525"/>
      <c r="L78" s="63" t="s">
        <v>299</v>
      </c>
      <c r="M78" s="63"/>
      <c r="N78" s="63"/>
      <c r="O78" s="63"/>
      <c r="P78" s="63"/>
      <c r="Q78" s="63"/>
      <c r="R78" s="206"/>
      <c r="S78" s="191"/>
      <c r="T78" s="60"/>
      <c r="U78" s="192"/>
      <c r="V78" s="192"/>
      <c r="W78" s="192"/>
      <c r="X78" s="193"/>
    </row>
    <row r="79" spans="1:26" ht="19.5" customHeight="1" x14ac:dyDescent="0.15">
      <c r="A79" s="194"/>
      <c r="B79" s="64" t="s">
        <v>307</v>
      </c>
      <c r="C79" s="210">
        <f>(F32/(1000*60))/(((C77/1000)^2*PI()/4))</f>
        <v>1.6127700899978725</v>
      </c>
      <c r="D79" s="189"/>
      <c r="E79" s="190"/>
      <c r="F79" s="63"/>
      <c r="G79" s="63"/>
      <c r="I79" s="63"/>
      <c r="J79" s="63"/>
      <c r="K79" s="63"/>
      <c r="L79" s="63"/>
      <c r="M79" s="63"/>
      <c r="N79" s="63"/>
      <c r="O79" s="63"/>
      <c r="P79" s="63"/>
      <c r="Q79" s="63"/>
      <c r="R79" s="65"/>
      <c r="S79" s="191"/>
      <c r="T79" s="60"/>
      <c r="U79" s="192"/>
      <c r="V79" s="192"/>
      <c r="W79" s="192"/>
      <c r="X79" s="193"/>
    </row>
    <row r="80" spans="1:26" ht="19.5" customHeight="1" x14ac:dyDescent="0.15">
      <c r="A80" s="211" t="s">
        <v>308</v>
      </c>
      <c r="B80" s="64" t="s">
        <v>309</v>
      </c>
      <c r="C80" s="115">
        <v>0.01</v>
      </c>
      <c r="D80" s="189"/>
      <c r="E80" s="65"/>
      <c r="F80" s="63"/>
      <c r="G80" s="63" t="s">
        <v>190</v>
      </c>
      <c r="I80" s="63"/>
      <c r="J80" s="63" t="s">
        <v>310</v>
      </c>
      <c r="K80" s="63" t="s">
        <v>133</v>
      </c>
      <c r="L80" s="63" t="s">
        <v>311</v>
      </c>
      <c r="M80" s="68" t="s">
        <v>312</v>
      </c>
      <c r="N80" s="525" t="s">
        <v>313</v>
      </c>
      <c r="O80" s="525"/>
      <c r="P80" s="68" t="s">
        <v>51</v>
      </c>
      <c r="Q80" s="60" t="s">
        <v>314</v>
      </c>
      <c r="R80" s="65"/>
      <c r="S80" s="191"/>
      <c r="T80" s="212"/>
      <c r="U80" s="192"/>
      <c r="V80" s="192"/>
      <c r="W80" s="192"/>
      <c r="X80" s="193"/>
    </row>
    <row r="81" spans="1:30" ht="19.5" customHeight="1" x14ac:dyDescent="0.15">
      <c r="A81" s="194"/>
      <c r="B81" s="213"/>
      <c r="C81" s="214"/>
      <c r="D81" s="189"/>
      <c r="E81" s="65"/>
      <c r="F81" s="60"/>
      <c r="G81" s="63"/>
      <c r="H81" s="63"/>
      <c r="I81" s="63"/>
      <c r="J81" s="63"/>
      <c r="K81" s="63" t="s">
        <v>133</v>
      </c>
      <c r="L81" s="209">
        <f>L85</f>
        <v>3.4000000000000002E-2</v>
      </c>
      <c r="M81" s="68" t="s">
        <v>287</v>
      </c>
      <c r="N81" s="719">
        <f>ROUND(C78/(C77/1000),3)</f>
        <v>69</v>
      </c>
      <c r="O81" s="719"/>
      <c r="P81" s="68" t="s">
        <v>315</v>
      </c>
      <c r="Q81" s="209">
        <f>ROUND(C79^2/(2*9.8),3)</f>
        <v>0.13300000000000001</v>
      </c>
      <c r="R81" s="65"/>
      <c r="S81" s="191"/>
      <c r="T81" s="63"/>
      <c r="U81" s="192"/>
      <c r="V81" s="192"/>
      <c r="W81" s="192"/>
      <c r="X81" s="193"/>
    </row>
    <row r="82" spans="1:30" ht="19.5" customHeight="1" x14ac:dyDescent="0.15">
      <c r="A82" s="215" t="s">
        <v>316</v>
      </c>
      <c r="B82" s="216" t="s">
        <v>317</v>
      </c>
      <c r="C82" s="116">
        <v>1</v>
      </c>
      <c r="D82" s="189"/>
      <c r="E82" s="65"/>
      <c r="F82" s="60"/>
      <c r="G82" s="63"/>
      <c r="H82" s="63"/>
      <c r="I82" s="63"/>
      <c r="J82" s="63"/>
      <c r="K82" s="63" t="s">
        <v>318</v>
      </c>
      <c r="L82" s="524">
        <f>ROUND(L81*N81*Q81,3)</f>
        <v>0.312</v>
      </c>
      <c r="M82" s="524"/>
      <c r="N82" s="63"/>
      <c r="O82" s="63"/>
      <c r="P82" s="63"/>
      <c r="Q82" s="63"/>
      <c r="R82" s="65"/>
      <c r="S82" s="191"/>
      <c r="T82" s="202"/>
      <c r="U82" s="217"/>
      <c r="V82" s="192"/>
      <c r="W82" s="192"/>
      <c r="X82" s="193"/>
    </row>
    <row r="83" spans="1:30" ht="19.5" customHeight="1" x14ac:dyDescent="0.15">
      <c r="A83" s="218" t="s">
        <v>319</v>
      </c>
      <c r="B83" s="219" t="s">
        <v>320</v>
      </c>
      <c r="C83" s="116">
        <v>0</v>
      </c>
      <c r="D83" s="189"/>
      <c r="E83" s="65"/>
      <c r="F83" s="60"/>
      <c r="G83" s="63"/>
      <c r="H83" s="60"/>
      <c r="I83" s="60"/>
      <c r="J83" s="60" t="s">
        <v>321</v>
      </c>
      <c r="K83" s="60" t="s">
        <v>322</v>
      </c>
      <c r="L83" s="60" t="s">
        <v>323</v>
      </c>
      <c r="M83" s="60"/>
      <c r="N83" s="68" t="s">
        <v>312</v>
      </c>
      <c r="O83" s="525" t="s">
        <v>324</v>
      </c>
      <c r="P83" s="525"/>
      <c r="Q83" s="63"/>
      <c r="R83" s="65"/>
      <c r="S83" s="220" t="s">
        <v>200</v>
      </c>
      <c r="T83" s="221"/>
      <c r="U83" s="222"/>
      <c r="V83" s="221"/>
      <c r="W83" s="221"/>
      <c r="X83" s="223"/>
      <c r="Y83" s="191"/>
      <c r="Z83" s="63"/>
      <c r="AA83" s="192"/>
      <c r="AB83" s="192"/>
      <c r="AC83" s="192"/>
      <c r="AD83" s="192"/>
    </row>
    <row r="84" spans="1:30" ht="19.5" customHeight="1" x14ac:dyDescent="0.15">
      <c r="A84" s="215" t="s">
        <v>325</v>
      </c>
      <c r="B84" s="213"/>
      <c r="C84" s="116">
        <v>1</v>
      </c>
      <c r="D84" s="189"/>
      <c r="E84" s="65"/>
      <c r="F84" s="63"/>
      <c r="G84" s="63"/>
      <c r="H84" s="179"/>
      <c r="I84" s="60"/>
      <c r="J84" s="60"/>
      <c r="K84" s="60" t="s">
        <v>318</v>
      </c>
      <c r="L84" s="525">
        <f>124.6/((C77/1000)^(1/3))</f>
        <v>338.21643502772531</v>
      </c>
      <c r="M84" s="525"/>
      <c r="N84" s="68" t="s">
        <v>287</v>
      </c>
      <c r="O84" s="720">
        <f>C80^2</f>
        <v>1E-4</v>
      </c>
      <c r="P84" s="720"/>
      <c r="Q84" s="63"/>
      <c r="R84" s="65"/>
      <c r="S84" s="224" t="s">
        <v>202</v>
      </c>
      <c r="T84" s="75"/>
      <c r="U84" s="102">
        <v>50</v>
      </c>
      <c r="V84" s="225">
        <v>65</v>
      </c>
      <c r="W84" s="102">
        <v>80</v>
      </c>
      <c r="X84" s="226">
        <v>100</v>
      </c>
      <c r="Y84" s="191"/>
      <c r="Z84" s="63"/>
      <c r="AA84" s="192"/>
      <c r="AB84" s="192"/>
      <c r="AC84" s="192"/>
      <c r="AD84" s="192"/>
    </row>
    <row r="85" spans="1:30" ht="19.5" customHeight="1" x14ac:dyDescent="0.15">
      <c r="A85" s="215" t="s">
        <v>326</v>
      </c>
      <c r="B85" s="213" t="s">
        <v>327</v>
      </c>
      <c r="C85" s="117">
        <v>1</v>
      </c>
      <c r="D85" s="189"/>
      <c r="E85" s="65"/>
      <c r="F85" s="60"/>
      <c r="G85" s="63"/>
      <c r="H85" s="179"/>
      <c r="I85" s="60"/>
      <c r="J85" s="63"/>
      <c r="K85" s="60" t="s">
        <v>133</v>
      </c>
      <c r="L85" s="721">
        <f>ROUND(L84*O84,3)</f>
        <v>3.4000000000000002E-2</v>
      </c>
      <c r="M85" s="721"/>
      <c r="N85" s="68"/>
      <c r="O85" s="63"/>
      <c r="P85" s="63"/>
      <c r="Q85" s="63"/>
      <c r="R85" s="65"/>
      <c r="S85" s="227" t="s">
        <v>205</v>
      </c>
      <c r="T85" s="202"/>
      <c r="U85" s="228">
        <v>0.17</v>
      </c>
      <c r="V85" s="228">
        <v>0.17</v>
      </c>
      <c r="W85" s="228">
        <v>0.17</v>
      </c>
      <c r="X85" s="229">
        <v>0.14000000000000001</v>
      </c>
      <c r="Y85" s="191"/>
      <c r="Z85" s="63"/>
      <c r="AA85" s="192"/>
      <c r="AB85" s="192"/>
      <c r="AC85" s="192"/>
      <c r="AD85" s="192"/>
    </row>
    <row r="86" spans="1:30" ht="19.5" customHeight="1" x14ac:dyDescent="0.15">
      <c r="A86" s="218" t="s">
        <v>328</v>
      </c>
      <c r="B86" s="213" t="s">
        <v>329</v>
      </c>
      <c r="C86" s="117">
        <v>0</v>
      </c>
      <c r="D86" s="189"/>
      <c r="E86" s="65"/>
      <c r="F86" s="63"/>
      <c r="G86" s="63"/>
      <c r="I86" s="63"/>
      <c r="J86" s="63"/>
      <c r="K86" s="63"/>
      <c r="L86" s="63"/>
      <c r="M86" s="63"/>
      <c r="N86" s="63"/>
      <c r="O86" s="63"/>
      <c r="P86" s="63"/>
      <c r="Q86" s="63"/>
      <c r="R86" s="65"/>
      <c r="S86" s="220" t="s">
        <v>207</v>
      </c>
      <c r="T86" s="221"/>
      <c r="U86" s="222"/>
      <c r="V86" s="221"/>
      <c r="W86" s="221"/>
      <c r="X86" s="223"/>
      <c r="Y86" s="191"/>
      <c r="Z86" s="63"/>
      <c r="AA86" s="192"/>
      <c r="AB86" s="192"/>
      <c r="AC86" s="192"/>
      <c r="AD86" s="192"/>
    </row>
    <row r="87" spans="1:30" ht="19.5" customHeight="1" x14ac:dyDescent="0.15">
      <c r="A87" s="218" t="s">
        <v>328</v>
      </c>
      <c r="B87" s="213" t="s">
        <v>330</v>
      </c>
      <c r="C87" s="117">
        <v>0</v>
      </c>
      <c r="D87" s="189"/>
      <c r="E87" s="65"/>
      <c r="F87" s="60"/>
      <c r="G87" s="583" t="s">
        <v>331</v>
      </c>
      <c r="H87" s="583"/>
      <c r="I87" s="583"/>
      <c r="J87" s="63" t="s">
        <v>302</v>
      </c>
      <c r="K87" s="63" t="s">
        <v>133</v>
      </c>
      <c r="L87" s="525" t="s">
        <v>332</v>
      </c>
      <c r="M87" s="525"/>
      <c r="N87" s="68" t="s">
        <v>51</v>
      </c>
      <c r="O87" s="525" t="s">
        <v>333</v>
      </c>
      <c r="P87" s="525"/>
      <c r="Q87" s="63"/>
      <c r="R87" s="65"/>
      <c r="S87" s="224" t="s">
        <v>202</v>
      </c>
      <c r="T87" s="75"/>
      <c r="U87" s="102">
        <v>50</v>
      </c>
      <c r="V87" s="225">
        <v>65</v>
      </c>
      <c r="W87" s="102">
        <v>80</v>
      </c>
      <c r="X87" s="226">
        <v>100</v>
      </c>
      <c r="Y87" s="191"/>
      <c r="Z87" s="63"/>
      <c r="AA87" s="192"/>
      <c r="AB87" s="192"/>
      <c r="AC87" s="192"/>
      <c r="AD87" s="192"/>
    </row>
    <row r="88" spans="1:30" ht="19.5" customHeight="1" x14ac:dyDescent="0.15">
      <c r="A88" s="218" t="s">
        <v>328</v>
      </c>
      <c r="B88" s="213" t="s">
        <v>334</v>
      </c>
      <c r="C88" s="117">
        <v>0</v>
      </c>
      <c r="D88" s="189"/>
      <c r="E88" s="65"/>
      <c r="F88" s="63"/>
      <c r="G88" s="583"/>
      <c r="H88" s="583"/>
      <c r="I88" s="583"/>
      <c r="J88" s="63"/>
      <c r="K88" s="63" t="s">
        <v>322</v>
      </c>
      <c r="L88" s="722">
        <f>L91+O91</f>
        <v>1.66</v>
      </c>
      <c r="M88" s="525"/>
      <c r="N88" s="68" t="s">
        <v>51</v>
      </c>
      <c r="O88" s="581">
        <f>Q81</f>
        <v>0.13300000000000001</v>
      </c>
      <c r="P88" s="525"/>
      <c r="Q88" s="63"/>
      <c r="R88" s="65"/>
      <c r="S88" s="227" t="s">
        <v>205</v>
      </c>
      <c r="T88" s="202"/>
      <c r="U88" s="71">
        <v>1.2</v>
      </c>
      <c r="V88" s="71">
        <v>1.2</v>
      </c>
      <c r="W88" s="71">
        <v>1.2</v>
      </c>
      <c r="X88" s="72">
        <v>1.2</v>
      </c>
      <c r="Y88" s="191"/>
      <c r="Z88" s="63"/>
      <c r="AA88" s="192"/>
      <c r="AB88" s="192"/>
      <c r="AC88" s="192"/>
      <c r="AD88" s="192"/>
    </row>
    <row r="89" spans="1:30" ht="19.5" customHeight="1" x14ac:dyDescent="0.15">
      <c r="A89" s="230"/>
      <c r="B89" s="231"/>
      <c r="C89" s="231"/>
      <c r="D89" s="231"/>
      <c r="E89" s="232"/>
      <c r="F89" s="63"/>
      <c r="G89" s="233"/>
      <c r="H89" s="63"/>
      <c r="I89" s="63"/>
      <c r="J89" s="63"/>
      <c r="K89" s="63" t="s">
        <v>335</v>
      </c>
      <c r="L89" s="524">
        <f>ROUND(L88*O88,3)</f>
        <v>0.221</v>
      </c>
      <c r="M89" s="524"/>
      <c r="N89" s="63"/>
      <c r="O89" s="63"/>
      <c r="P89" s="63"/>
      <c r="Q89" s="63"/>
      <c r="R89" s="65"/>
      <c r="S89" s="234" t="s">
        <v>213</v>
      </c>
      <c r="T89" s="221"/>
      <c r="U89" s="221"/>
      <c r="V89" s="221"/>
      <c r="W89" s="221"/>
      <c r="X89" s="235"/>
      <c r="Y89" s="191"/>
      <c r="Z89" s="236"/>
      <c r="AA89" s="192"/>
      <c r="AB89" s="192"/>
      <c r="AC89" s="192"/>
      <c r="AD89" s="192"/>
    </row>
    <row r="90" spans="1:30" ht="19.5" customHeight="1" x14ac:dyDescent="0.15">
      <c r="A90" s="543" t="s">
        <v>614</v>
      </c>
      <c r="B90" s="544"/>
      <c r="C90" s="544"/>
      <c r="D90" s="544"/>
      <c r="E90" s="545"/>
      <c r="F90" s="63"/>
      <c r="G90" s="63"/>
      <c r="H90" s="63"/>
      <c r="I90" s="63"/>
      <c r="J90" s="63" t="s">
        <v>332</v>
      </c>
      <c r="K90" s="60" t="s">
        <v>335</v>
      </c>
      <c r="L90" s="63" t="s">
        <v>214</v>
      </c>
      <c r="M90" s="63"/>
      <c r="N90" s="63"/>
      <c r="O90" s="63"/>
      <c r="P90" s="63"/>
      <c r="Q90" s="63"/>
      <c r="R90" s="65"/>
      <c r="S90" s="105" t="s">
        <v>215</v>
      </c>
      <c r="T90" s="63"/>
      <c r="U90" s="63">
        <v>90</v>
      </c>
      <c r="V90" s="63">
        <v>60</v>
      </c>
      <c r="W90" s="63">
        <v>45</v>
      </c>
      <c r="X90" s="65">
        <v>30</v>
      </c>
      <c r="Y90" s="191"/>
      <c r="Z90" s="236"/>
      <c r="AA90" s="192"/>
      <c r="AB90" s="192"/>
      <c r="AC90" s="192"/>
      <c r="AD90" s="192"/>
    </row>
    <row r="91" spans="1:30" ht="19.5" customHeight="1" x14ac:dyDescent="0.15">
      <c r="A91" s="546"/>
      <c r="B91" s="547"/>
      <c r="C91" s="547"/>
      <c r="D91" s="547"/>
      <c r="E91" s="548"/>
      <c r="F91" s="202"/>
      <c r="G91" s="202"/>
      <c r="H91" s="202"/>
      <c r="I91" s="202"/>
      <c r="J91" s="202"/>
      <c r="K91" s="202" t="s">
        <v>335</v>
      </c>
      <c r="L91" s="723">
        <f>C82*U85+C83*X85+C84*U88</f>
        <v>1.3699999999999999</v>
      </c>
      <c r="M91" s="723"/>
      <c r="N91" s="238" t="s">
        <v>336</v>
      </c>
      <c r="O91" s="724">
        <f>C85*U91+C86*V91+C87*W91+C88*X91</f>
        <v>0.28999999999999998</v>
      </c>
      <c r="P91" s="724"/>
      <c r="Q91" s="202"/>
      <c r="R91" s="237"/>
      <c r="S91" s="227" t="s">
        <v>205</v>
      </c>
      <c r="T91" s="202"/>
      <c r="U91" s="239">
        <v>0.28999999999999998</v>
      </c>
      <c r="V91" s="239">
        <v>0.24</v>
      </c>
      <c r="W91" s="239">
        <v>0.21</v>
      </c>
      <c r="X91" s="240">
        <v>0.17</v>
      </c>
      <c r="Y91" s="191"/>
      <c r="Z91" s="63"/>
      <c r="AA91" s="192"/>
      <c r="AB91" s="192"/>
      <c r="AC91" s="192"/>
      <c r="AD91" s="192"/>
    </row>
    <row r="92" spans="1:30" ht="19.5" customHeight="1" x14ac:dyDescent="0.15">
      <c r="A92" s="105" t="s">
        <v>177</v>
      </c>
      <c r="B92" s="241"/>
      <c r="C92" s="241"/>
      <c r="D92" s="189"/>
      <c r="E92" s="65"/>
      <c r="F92" s="75"/>
      <c r="G92" s="75"/>
      <c r="H92" s="75"/>
      <c r="I92" s="75"/>
      <c r="J92" s="75"/>
      <c r="K92" s="75"/>
      <c r="L92" s="75"/>
      <c r="M92" s="75"/>
      <c r="N92" s="75"/>
      <c r="O92" s="74"/>
      <c r="P92" s="74"/>
      <c r="Q92" s="74"/>
      <c r="R92" s="205"/>
      <c r="S92" s="242"/>
      <c r="T92" s="243"/>
      <c r="U92" s="243"/>
      <c r="V92" s="243"/>
      <c r="W92" s="243"/>
      <c r="X92" s="244"/>
      <c r="Y92" s="153"/>
      <c r="Z92" s="32"/>
      <c r="AA92" s="32"/>
      <c r="AB92" s="32"/>
      <c r="AC92" s="32"/>
      <c r="AD92" s="32"/>
    </row>
    <row r="93" spans="1:30" ht="19.5" customHeight="1" x14ac:dyDescent="0.15">
      <c r="A93" s="194"/>
      <c r="B93" s="189"/>
      <c r="C93" s="189"/>
      <c r="D93" s="189"/>
      <c r="E93" s="65"/>
      <c r="F93" s="63"/>
      <c r="G93" s="63"/>
      <c r="H93" s="63" t="s">
        <v>337</v>
      </c>
      <c r="I93" s="63" t="s">
        <v>335</v>
      </c>
      <c r="J93" s="63" t="s">
        <v>301</v>
      </c>
      <c r="K93" s="68" t="s">
        <v>336</v>
      </c>
      <c r="L93" s="63" t="s">
        <v>338</v>
      </c>
      <c r="M93" s="63"/>
      <c r="N93" s="60"/>
      <c r="O93" s="60"/>
      <c r="P93" s="60"/>
      <c r="Q93" s="60"/>
      <c r="R93" s="206"/>
      <c r="S93" s="245"/>
      <c r="T93" s="246"/>
      <c r="U93" s="246"/>
      <c r="V93" s="246"/>
      <c r="W93" s="246"/>
      <c r="X93" s="247"/>
    </row>
    <row r="94" spans="1:30" ht="19.5" customHeight="1" x14ac:dyDescent="0.15">
      <c r="A94" s="66" t="s">
        <v>183</v>
      </c>
      <c r="B94" s="184" t="s">
        <v>339</v>
      </c>
      <c r="C94" s="207">
        <f>L44</f>
        <v>65</v>
      </c>
      <c r="D94" s="208" t="s">
        <v>340</v>
      </c>
      <c r="E94" s="65"/>
      <c r="F94" s="63"/>
      <c r="G94" s="63"/>
      <c r="H94" s="63"/>
      <c r="I94" s="63" t="s">
        <v>133</v>
      </c>
      <c r="J94" s="209">
        <f>L99</f>
        <v>0.27400000000000002</v>
      </c>
      <c r="K94" s="68" t="s">
        <v>129</v>
      </c>
      <c r="L94" s="209">
        <f>L106</f>
        <v>1.2999999999999999E-2</v>
      </c>
      <c r="M94" s="63"/>
      <c r="N94" s="60"/>
      <c r="O94" s="60"/>
      <c r="P94" s="60"/>
      <c r="Q94" s="60"/>
      <c r="R94" s="206"/>
      <c r="S94" s="191"/>
      <c r="T94" s="63"/>
      <c r="U94" s="192"/>
      <c r="V94" s="192"/>
      <c r="W94" s="192"/>
      <c r="X94" s="193"/>
    </row>
    <row r="95" spans="1:30" ht="19.5" customHeight="1" x14ac:dyDescent="0.15">
      <c r="A95" s="194"/>
      <c r="B95" s="64" t="s">
        <v>341</v>
      </c>
      <c r="C95" s="114">
        <v>12.5</v>
      </c>
      <c r="D95" s="189" t="s">
        <v>280</v>
      </c>
      <c r="E95" s="65"/>
      <c r="F95" s="63"/>
      <c r="G95" s="63"/>
      <c r="H95" s="63"/>
      <c r="I95" s="63" t="s">
        <v>133</v>
      </c>
      <c r="J95" s="581">
        <f>IF(ISNUMBER(L44),(ROUNDUP(J94+L94,3)),"")</f>
        <v>0.28699999999999998</v>
      </c>
      <c r="K95" s="525"/>
      <c r="L95" s="63" t="s">
        <v>342</v>
      </c>
      <c r="M95" s="63"/>
      <c r="N95" s="63"/>
      <c r="O95" s="63"/>
      <c r="P95" s="63"/>
      <c r="Q95" s="63"/>
      <c r="R95" s="206"/>
      <c r="S95" s="191"/>
      <c r="T95" s="63"/>
      <c r="U95" s="192"/>
      <c r="V95" s="192"/>
      <c r="W95" s="192"/>
      <c r="X95" s="193"/>
    </row>
    <row r="96" spans="1:30" ht="19.5" customHeight="1" x14ac:dyDescent="0.15">
      <c r="A96" s="194"/>
      <c r="B96" s="64" t="s">
        <v>307</v>
      </c>
      <c r="C96" s="210">
        <f>IF(ISNUMBER(L44),((F32/(1000*60))/(((C94/1000)^2*PI()/4))),"")</f>
        <v>0.954301828401108</v>
      </c>
      <c r="D96" s="189"/>
      <c r="E96" s="190"/>
      <c r="F96" s="63"/>
      <c r="G96" s="63"/>
      <c r="H96" s="63"/>
      <c r="I96" s="63"/>
      <c r="J96" s="63"/>
      <c r="K96" s="63"/>
      <c r="L96" s="63"/>
      <c r="M96" s="63"/>
      <c r="N96" s="63"/>
      <c r="O96" s="63"/>
      <c r="P96" s="63"/>
      <c r="Q96" s="63"/>
      <c r="R96" s="65"/>
      <c r="S96" s="191"/>
      <c r="T96" s="60"/>
      <c r="U96" s="192"/>
      <c r="V96" s="192"/>
      <c r="W96" s="192"/>
      <c r="X96" s="193"/>
    </row>
    <row r="97" spans="1:25" ht="19.5" customHeight="1" x14ac:dyDescent="0.15">
      <c r="A97" s="211" t="s">
        <v>308</v>
      </c>
      <c r="B97" s="64" t="s">
        <v>343</v>
      </c>
      <c r="C97" s="118">
        <v>0.01</v>
      </c>
      <c r="D97" s="189"/>
      <c r="E97" s="190"/>
      <c r="F97" s="63"/>
      <c r="G97" s="63" t="s">
        <v>190</v>
      </c>
      <c r="I97" s="63"/>
      <c r="J97" s="63" t="s">
        <v>310</v>
      </c>
      <c r="K97" s="63" t="s">
        <v>133</v>
      </c>
      <c r="L97" s="63" t="s">
        <v>344</v>
      </c>
      <c r="M97" s="68" t="s">
        <v>51</v>
      </c>
      <c r="N97" s="525" t="s">
        <v>345</v>
      </c>
      <c r="O97" s="525"/>
      <c r="P97" s="68" t="s">
        <v>51</v>
      </c>
      <c r="Q97" s="60" t="s">
        <v>333</v>
      </c>
      <c r="R97" s="65"/>
      <c r="S97" s="191"/>
      <c r="T97" s="60"/>
      <c r="U97" s="192"/>
      <c r="V97" s="192"/>
      <c r="W97" s="192"/>
      <c r="X97" s="193"/>
    </row>
    <row r="98" spans="1:25" ht="19.5" customHeight="1" x14ac:dyDescent="0.15">
      <c r="A98" s="194"/>
      <c r="B98" s="213"/>
      <c r="C98" s="214"/>
      <c r="D98" s="189"/>
      <c r="E98" s="65"/>
      <c r="F98" s="60"/>
      <c r="G98" s="63"/>
      <c r="H98" s="63"/>
      <c r="I98" s="63"/>
      <c r="J98" s="63"/>
      <c r="K98" s="63" t="s">
        <v>133</v>
      </c>
      <c r="L98" s="209">
        <f>L102</f>
        <v>3.1E-2</v>
      </c>
      <c r="M98" s="68" t="s">
        <v>51</v>
      </c>
      <c r="N98" s="719">
        <f>IF(ISNUMBER(L44),(ROUND(C95/(C94/1000),3)),"")</f>
        <v>192.30799999999999</v>
      </c>
      <c r="O98" s="719"/>
      <c r="P98" s="68" t="s">
        <v>51</v>
      </c>
      <c r="Q98" s="209">
        <f>IF(ISNUMBER(L44),(ROUND(C96^2/(2*9.8),3)),"")</f>
        <v>4.5999999999999999E-2</v>
      </c>
      <c r="R98" s="65"/>
      <c r="S98" s="191"/>
      <c r="T98" s="212"/>
      <c r="U98" s="192"/>
      <c r="V98" s="192"/>
      <c r="W98" s="192"/>
      <c r="X98" s="193"/>
    </row>
    <row r="99" spans="1:25" ht="19.5" customHeight="1" x14ac:dyDescent="0.15">
      <c r="A99" s="215" t="s">
        <v>346</v>
      </c>
      <c r="B99" s="216" t="s">
        <v>347</v>
      </c>
      <c r="C99" s="116">
        <v>0</v>
      </c>
      <c r="D99" s="189"/>
      <c r="E99" s="65"/>
      <c r="F99" s="60"/>
      <c r="G99" s="63"/>
      <c r="H99" s="63"/>
      <c r="I99" s="63"/>
      <c r="J99" s="63"/>
      <c r="K99" s="63" t="s">
        <v>133</v>
      </c>
      <c r="L99" s="524">
        <f>IF(ISNUMBER(L44),(ROUND(L98*N98*Q98,3)),"")</f>
        <v>0.27400000000000002</v>
      </c>
      <c r="M99" s="524"/>
      <c r="N99" s="63"/>
      <c r="O99" s="63"/>
      <c r="P99" s="63"/>
      <c r="Q99" s="63"/>
      <c r="R99" s="65"/>
      <c r="S99" s="191"/>
      <c r="T99" s="63"/>
      <c r="U99" s="192"/>
      <c r="V99" s="192"/>
      <c r="W99" s="192"/>
      <c r="X99" s="193"/>
    </row>
    <row r="100" spans="1:25" ht="19.5" customHeight="1" x14ac:dyDescent="0.15">
      <c r="A100" s="218" t="s">
        <v>328</v>
      </c>
      <c r="B100" s="219" t="s">
        <v>348</v>
      </c>
      <c r="C100" s="116">
        <v>0</v>
      </c>
      <c r="D100" s="189"/>
      <c r="E100" s="65"/>
      <c r="F100" s="60"/>
      <c r="G100" s="63"/>
      <c r="H100" s="60"/>
      <c r="I100" s="60"/>
      <c r="J100" s="60" t="s">
        <v>344</v>
      </c>
      <c r="K100" s="60" t="s">
        <v>133</v>
      </c>
      <c r="L100" s="60" t="s">
        <v>349</v>
      </c>
      <c r="M100" s="60"/>
      <c r="N100" s="68" t="s">
        <v>51</v>
      </c>
      <c r="O100" s="525" t="s">
        <v>350</v>
      </c>
      <c r="P100" s="525"/>
      <c r="Q100" s="63"/>
      <c r="R100" s="65"/>
      <c r="S100" s="191"/>
      <c r="T100" s="63"/>
      <c r="U100" s="192"/>
      <c r="V100" s="192"/>
      <c r="W100" s="192"/>
      <c r="X100" s="193"/>
    </row>
    <row r="101" spans="1:25" ht="19.5" customHeight="1" x14ac:dyDescent="0.15">
      <c r="A101" s="215" t="s">
        <v>351</v>
      </c>
      <c r="B101" s="213"/>
      <c r="C101" s="116">
        <v>0</v>
      </c>
      <c r="D101" s="189"/>
      <c r="E101" s="65"/>
      <c r="F101" s="63"/>
      <c r="G101" s="63"/>
      <c r="H101" s="179"/>
      <c r="I101" s="60"/>
      <c r="J101" s="60"/>
      <c r="K101" s="60" t="s">
        <v>133</v>
      </c>
      <c r="L101" s="695">
        <f>IF(ISNUMBER(L44),(124.6/((C94/1000)^(1/3)))," ")</f>
        <v>309.89430138036641</v>
      </c>
      <c r="M101" s="695"/>
      <c r="N101" s="68" t="s">
        <v>51</v>
      </c>
      <c r="O101" s="720">
        <f>IF(ISNUMBER(L44),(C97^2)," ")</f>
        <v>1E-4</v>
      </c>
      <c r="P101" s="720"/>
      <c r="Q101" s="63"/>
      <c r="R101" s="65"/>
      <c r="S101" s="191"/>
      <c r="T101" s="63"/>
      <c r="U101" s="192"/>
      <c r="V101" s="192"/>
      <c r="W101" s="192"/>
      <c r="X101" s="193"/>
    </row>
    <row r="102" spans="1:25" ht="19.5" customHeight="1" x14ac:dyDescent="0.15">
      <c r="A102" s="215" t="s">
        <v>326</v>
      </c>
      <c r="B102" s="213" t="s">
        <v>327</v>
      </c>
      <c r="C102" s="117">
        <v>1</v>
      </c>
      <c r="D102" s="189"/>
      <c r="E102" s="65"/>
      <c r="F102" s="60"/>
      <c r="G102" s="63"/>
      <c r="H102" s="179"/>
      <c r="I102" s="60"/>
      <c r="J102" s="63"/>
      <c r="K102" s="60" t="s">
        <v>133</v>
      </c>
      <c r="L102" s="721">
        <f>IF(ISNUMBER(L44),ROUND(L101*O101,3)," ")</f>
        <v>3.1E-2</v>
      </c>
      <c r="M102" s="721"/>
      <c r="N102" s="68"/>
      <c r="O102" s="63"/>
      <c r="P102" s="63"/>
      <c r="Q102" s="63"/>
      <c r="R102" s="65"/>
      <c r="S102" s="191"/>
      <c r="T102" s="63"/>
      <c r="U102" s="192"/>
      <c r="V102" s="192"/>
      <c r="W102" s="192"/>
      <c r="X102" s="193"/>
    </row>
    <row r="103" spans="1:25" ht="19.5" customHeight="1" x14ac:dyDescent="0.15">
      <c r="A103" s="218" t="s">
        <v>328</v>
      </c>
      <c r="B103" s="213" t="s">
        <v>329</v>
      </c>
      <c r="C103" s="117">
        <v>0</v>
      </c>
      <c r="D103" s="189"/>
      <c r="E103" s="65"/>
      <c r="F103" s="63"/>
      <c r="G103" s="63"/>
      <c r="I103" s="63"/>
      <c r="J103" s="63"/>
      <c r="K103" s="63"/>
      <c r="L103" s="63"/>
      <c r="M103" s="63"/>
      <c r="N103" s="63"/>
      <c r="O103" s="63"/>
      <c r="P103" s="63"/>
      <c r="Q103" s="63"/>
      <c r="R103" s="65"/>
      <c r="S103" s="191"/>
      <c r="T103" s="63"/>
      <c r="U103" s="192"/>
      <c r="V103" s="192"/>
      <c r="W103" s="192"/>
      <c r="X103" s="193"/>
    </row>
    <row r="104" spans="1:25" ht="19.5" customHeight="1" x14ac:dyDescent="0.15">
      <c r="A104" s="218" t="s">
        <v>328</v>
      </c>
      <c r="B104" s="213" t="s">
        <v>330</v>
      </c>
      <c r="C104" s="117">
        <v>0</v>
      </c>
      <c r="D104" s="189"/>
      <c r="E104" s="65"/>
      <c r="F104" s="60"/>
      <c r="G104" s="583" t="s">
        <v>352</v>
      </c>
      <c r="H104" s="583"/>
      <c r="I104" s="583"/>
      <c r="J104" s="63" t="s">
        <v>302</v>
      </c>
      <c r="K104" s="63" t="s">
        <v>133</v>
      </c>
      <c r="L104" s="525" t="s">
        <v>332</v>
      </c>
      <c r="M104" s="525"/>
      <c r="N104" s="68" t="s">
        <v>51</v>
      </c>
      <c r="O104" s="525" t="s">
        <v>333</v>
      </c>
      <c r="P104" s="525"/>
      <c r="Q104" s="63"/>
      <c r="R104" s="65"/>
      <c r="S104" s="191"/>
      <c r="T104" s="63"/>
      <c r="U104" s="192"/>
      <c r="V104" s="192"/>
      <c r="W104" s="192"/>
      <c r="X104" s="193"/>
    </row>
    <row r="105" spans="1:25" ht="19.5" customHeight="1" x14ac:dyDescent="0.15">
      <c r="A105" s="218" t="s">
        <v>328</v>
      </c>
      <c r="B105" s="213" t="s">
        <v>334</v>
      </c>
      <c r="C105" s="117">
        <v>0</v>
      </c>
      <c r="D105" s="189"/>
      <c r="E105" s="65"/>
      <c r="F105" s="63"/>
      <c r="G105" s="583"/>
      <c r="H105" s="583"/>
      <c r="I105" s="583"/>
      <c r="J105" s="63"/>
      <c r="K105" s="63" t="s">
        <v>133</v>
      </c>
      <c r="L105" s="525">
        <f>IF(ISNUMBER(L44),L108+O108,"")</f>
        <v>0.28999999999999998</v>
      </c>
      <c r="M105" s="525"/>
      <c r="N105" s="68" t="s">
        <v>51</v>
      </c>
      <c r="O105" s="581">
        <f>Q98</f>
        <v>4.5999999999999999E-2</v>
      </c>
      <c r="P105" s="525"/>
      <c r="Q105" s="63"/>
      <c r="R105" s="65"/>
      <c r="S105" s="191"/>
      <c r="T105" s="63"/>
      <c r="U105" s="192"/>
      <c r="V105" s="192"/>
      <c r="W105" s="192"/>
      <c r="X105" s="193"/>
    </row>
    <row r="106" spans="1:25" ht="19.5" customHeight="1" x14ac:dyDescent="0.15">
      <c r="A106" s="194"/>
      <c r="B106" s="189"/>
      <c r="C106" s="214"/>
      <c r="D106" s="189"/>
      <c r="E106" s="65"/>
      <c r="F106" s="63"/>
      <c r="G106" s="233"/>
      <c r="H106" s="63"/>
      <c r="I106" s="63"/>
      <c r="J106" s="63"/>
      <c r="K106" s="63" t="s">
        <v>133</v>
      </c>
      <c r="L106" s="524">
        <f>IF(ISNUMBER(L44),(ROUND(L105*O105,3)),"")</f>
        <v>1.2999999999999999E-2</v>
      </c>
      <c r="M106" s="524"/>
      <c r="N106" s="63"/>
      <c r="O106" s="63"/>
      <c r="P106" s="63"/>
      <c r="Q106" s="63"/>
      <c r="R106" s="65"/>
      <c r="S106" s="191"/>
      <c r="T106" s="63"/>
      <c r="U106" s="192"/>
      <c r="V106" s="192"/>
      <c r="W106" s="192"/>
      <c r="X106" s="193"/>
    </row>
    <row r="107" spans="1:25" ht="19.5" customHeight="1" x14ac:dyDescent="0.15">
      <c r="A107" s="543" t="s">
        <v>614</v>
      </c>
      <c r="B107" s="544"/>
      <c r="C107" s="544"/>
      <c r="D107" s="544"/>
      <c r="E107" s="545"/>
      <c r="F107" s="63"/>
      <c r="G107" s="63"/>
      <c r="H107" s="63"/>
      <c r="I107" s="63"/>
      <c r="J107" s="63" t="s">
        <v>332</v>
      </c>
      <c r="K107" s="60" t="s">
        <v>133</v>
      </c>
      <c r="L107" s="63" t="s">
        <v>214</v>
      </c>
      <c r="M107" s="63"/>
      <c r="N107" s="63"/>
      <c r="O107" s="63"/>
      <c r="P107" s="63"/>
      <c r="Q107" s="63"/>
      <c r="R107" s="65"/>
      <c r="S107" s="191"/>
      <c r="T107" s="236"/>
      <c r="U107" s="192"/>
      <c r="V107" s="192"/>
      <c r="W107" s="192"/>
      <c r="X107" s="193"/>
    </row>
    <row r="108" spans="1:25" ht="19.5" customHeight="1" x14ac:dyDescent="0.15">
      <c r="A108" s="546"/>
      <c r="B108" s="547"/>
      <c r="C108" s="547"/>
      <c r="D108" s="547"/>
      <c r="E108" s="548"/>
      <c r="F108" s="202"/>
      <c r="G108" s="202"/>
      <c r="H108" s="202"/>
      <c r="I108" s="202"/>
      <c r="J108" s="202"/>
      <c r="K108" s="202" t="s">
        <v>133</v>
      </c>
      <c r="L108" s="723">
        <f>IF(ISNUMBER(L44),C99*U85+C100*X85+C101*U88,"")</f>
        <v>0</v>
      </c>
      <c r="M108" s="723"/>
      <c r="N108" s="238" t="s">
        <v>129</v>
      </c>
      <c r="O108" s="724">
        <f>IF(ISNUMBER(L44),C102*U91+C103*V91+C104*W91+C105*X91,"")</f>
        <v>0.28999999999999998</v>
      </c>
      <c r="P108" s="724"/>
      <c r="Q108" s="202"/>
      <c r="R108" s="237"/>
      <c r="S108" s="248"/>
      <c r="T108" s="249"/>
      <c r="U108" s="217"/>
      <c r="V108" s="217"/>
      <c r="W108" s="217"/>
      <c r="X108" s="250"/>
    </row>
    <row r="109" spans="1:25" ht="19.5" customHeight="1" x14ac:dyDescent="0.15">
      <c r="A109" s="241"/>
      <c r="B109" s="241"/>
      <c r="C109" s="251"/>
      <c r="D109" s="241"/>
      <c r="K109" s="252"/>
      <c r="L109" s="63"/>
      <c r="M109" s="63"/>
      <c r="N109" s="63"/>
      <c r="O109" s="63"/>
      <c r="P109" s="63"/>
      <c r="Q109" s="63"/>
      <c r="R109" s="64"/>
      <c r="S109" s="64"/>
      <c r="T109" s="64"/>
      <c r="U109" s="64"/>
      <c r="V109" s="64"/>
      <c r="W109" s="64"/>
      <c r="X109" s="64"/>
      <c r="Y109" s="64"/>
    </row>
    <row r="110" spans="1:25" ht="19.5" customHeight="1" x14ac:dyDescent="0.15">
      <c r="A110" s="189"/>
      <c r="B110" s="189"/>
      <c r="C110" s="214"/>
      <c r="D110" s="189"/>
      <c r="K110" s="63"/>
      <c r="L110" s="63"/>
      <c r="M110" s="63"/>
      <c r="N110" s="63"/>
      <c r="O110" s="63"/>
      <c r="P110" s="63"/>
      <c r="Q110" s="63"/>
      <c r="R110" s="64"/>
      <c r="S110" s="64"/>
      <c r="T110" s="64"/>
      <c r="U110" s="64"/>
      <c r="V110" s="64"/>
      <c r="W110" s="64"/>
      <c r="X110" s="64"/>
      <c r="Y110" s="64"/>
    </row>
    <row r="111" spans="1:25" ht="24.75" x14ac:dyDescent="0.15">
      <c r="A111" s="253" t="s">
        <v>646</v>
      </c>
      <c r="X111" s="41"/>
      <c r="Y111" s="41"/>
    </row>
    <row r="112" spans="1:25" x14ac:dyDescent="0.15">
      <c r="W112" s="254"/>
      <c r="X112" s="41"/>
      <c r="Y112" s="41"/>
    </row>
    <row r="113" spans="2:36" x14ac:dyDescent="0.15">
      <c r="B113" s="149" t="s">
        <v>226</v>
      </c>
      <c r="W113" s="254"/>
      <c r="X113" s="41"/>
      <c r="Y113" s="41"/>
    </row>
    <row r="114" spans="2:36" x14ac:dyDescent="0.15">
      <c r="C114" s="255" t="s">
        <v>227</v>
      </c>
      <c r="D114" s="255"/>
      <c r="E114" s="255"/>
      <c r="F114" s="255"/>
      <c r="G114" s="255"/>
      <c r="H114" s="733">
        <v>0.16</v>
      </c>
      <c r="I114" s="733"/>
      <c r="J114" s="255" t="s">
        <v>280</v>
      </c>
      <c r="K114" s="255" t="s">
        <v>228</v>
      </c>
      <c r="L114" s="255"/>
      <c r="M114" s="255"/>
      <c r="W114" s="254"/>
      <c r="X114" s="41"/>
      <c r="Y114" s="41"/>
    </row>
    <row r="115" spans="2:36" x14ac:dyDescent="0.15">
      <c r="W115" s="254"/>
      <c r="X115" s="41"/>
      <c r="Y115" s="41"/>
    </row>
    <row r="116" spans="2:36" x14ac:dyDescent="0.15">
      <c r="B116" s="149" t="s">
        <v>229</v>
      </c>
      <c r="E116" s="376" t="s">
        <v>613</v>
      </c>
      <c r="W116" s="254"/>
      <c r="X116" s="41"/>
      <c r="Y116" s="41"/>
    </row>
    <row r="117" spans="2:36" x14ac:dyDescent="0.15">
      <c r="B117" s="256"/>
      <c r="C117" s="257"/>
      <c r="D117" s="258" t="s">
        <v>230</v>
      </c>
      <c r="E117" s="257">
        <f>F32</f>
        <v>190</v>
      </c>
      <c r="F117" s="256" t="s">
        <v>353</v>
      </c>
      <c r="G117" s="256"/>
      <c r="H117" s="256" t="s">
        <v>232</v>
      </c>
      <c r="I117" s="256" t="s">
        <v>133</v>
      </c>
      <c r="J117" s="708">
        <f>F32*3</f>
        <v>570</v>
      </c>
      <c r="K117" s="708"/>
      <c r="L117" s="256" t="s">
        <v>354</v>
      </c>
      <c r="M117" s="259" t="s">
        <v>133</v>
      </c>
      <c r="N117" s="710">
        <f>J117/1000</f>
        <v>0.56999999999999995</v>
      </c>
      <c r="O117" s="710"/>
      <c r="P117" s="260" t="s">
        <v>603</v>
      </c>
      <c r="Q117" s="256" t="s">
        <v>355</v>
      </c>
      <c r="R117" s="256"/>
      <c r="S117" s="256"/>
      <c r="T117" s="256"/>
      <c r="U117" s="256"/>
      <c r="V117" s="256"/>
      <c r="W117" s="256"/>
      <c r="X117" s="256"/>
      <c r="Y117" s="256"/>
      <c r="AH117" s="41"/>
      <c r="AI117" s="41"/>
      <c r="AJ117" s="41"/>
    </row>
    <row r="118" spans="2:36" x14ac:dyDescent="0.15">
      <c r="B118" s="256" t="s">
        <v>235</v>
      </c>
      <c r="C118" s="257"/>
      <c r="D118" s="258"/>
      <c r="E118" s="257"/>
      <c r="F118" s="256"/>
      <c r="G118" s="256"/>
      <c r="H118" s="256"/>
      <c r="I118" s="256"/>
      <c r="J118" s="256"/>
      <c r="K118" s="256"/>
      <c r="L118" s="256"/>
      <c r="M118" s="261"/>
      <c r="N118" s="261"/>
      <c r="O118" s="260"/>
      <c r="P118" s="256"/>
      <c r="Q118" s="256"/>
      <c r="R118" s="256"/>
      <c r="S118" s="256"/>
      <c r="T118" s="256"/>
      <c r="U118" s="256"/>
      <c r="V118" s="256"/>
      <c r="W118" s="256"/>
      <c r="X118" s="256"/>
      <c r="AG118" s="41"/>
      <c r="AH118" s="41"/>
      <c r="AI118" s="41"/>
    </row>
    <row r="119" spans="2:36" x14ac:dyDescent="0.15">
      <c r="B119" s="256"/>
      <c r="C119" s="527" t="s">
        <v>592</v>
      </c>
      <c r="D119" s="527"/>
      <c r="E119" s="527"/>
      <c r="F119" s="526"/>
      <c r="G119" s="526"/>
      <c r="H119" s="259" t="s">
        <v>51</v>
      </c>
      <c r="I119" s="526">
        <v>0.6</v>
      </c>
      <c r="J119" s="526"/>
      <c r="K119" s="367" t="s">
        <v>641</v>
      </c>
      <c r="L119" s="526">
        <v>0.5</v>
      </c>
      <c r="M119" s="526"/>
      <c r="N119" s="367" t="s">
        <v>236</v>
      </c>
      <c r="O119" s="709">
        <f>IF(F119=0,0,H114)</f>
        <v>0</v>
      </c>
      <c r="P119" s="709"/>
      <c r="Q119" s="367" t="s">
        <v>642</v>
      </c>
      <c r="R119" s="706">
        <f>ROUND(F119*I119*(L119-O119),2)</f>
        <v>0</v>
      </c>
      <c r="S119" s="706"/>
      <c r="T119" s="260" t="s">
        <v>603</v>
      </c>
      <c r="U119" s="256"/>
      <c r="V119" s="256"/>
      <c r="W119" s="256"/>
      <c r="X119" s="256"/>
      <c r="AH119" s="41"/>
      <c r="AI119" s="41"/>
    </row>
    <row r="120" spans="2:36" ht="21.75" x14ac:dyDescent="0.15">
      <c r="B120" s="256"/>
      <c r="C120" s="527" t="s">
        <v>593</v>
      </c>
      <c r="D120" s="527"/>
      <c r="E120" s="527"/>
      <c r="F120" s="265"/>
      <c r="G120" s="265"/>
      <c r="H120" s="265"/>
      <c r="I120" s="711">
        <f>IF(ISNUMBER(V120),L120,F36)</f>
        <v>54.5</v>
      </c>
      <c r="J120" s="711"/>
      <c r="K120" s="259" t="s">
        <v>48</v>
      </c>
      <c r="L120" s="706">
        <f>IF(ISNUMBER(V120),ROUND(V120*V120*PI()/4,2),ROUND(I120,2))</f>
        <v>54.5</v>
      </c>
      <c r="M120" s="706"/>
      <c r="N120" s="260" t="s">
        <v>513</v>
      </c>
      <c r="O120" s="260"/>
      <c r="P120" s="256"/>
      <c r="Q120" s="260"/>
      <c r="R120" s="256" t="s">
        <v>596</v>
      </c>
      <c r="S120" s="256"/>
      <c r="T120" s="256"/>
      <c r="U120" s="259" t="s">
        <v>594</v>
      </c>
      <c r="V120" s="526"/>
      <c r="W120" s="526"/>
      <c r="X120" s="256" t="s">
        <v>595</v>
      </c>
      <c r="AH120" s="41"/>
      <c r="AI120" s="41"/>
    </row>
    <row r="121" spans="2:36" x14ac:dyDescent="0.15">
      <c r="B121" s="256"/>
      <c r="C121" s="256"/>
      <c r="D121" s="256"/>
      <c r="E121" s="712">
        <f>N117</f>
        <v>0.56999999999999995</v>
      </c>
      <c r="F121" s="712"/>
      <c r="G121" s="259" t="s">
        <v>356</v>
      </c>
      <c r="H121" s="713">
        <f>R119</f>
        <v>0</v>
      </c>
      <c r="I121" s="713"/>
      <c r="J121" s="259" t="s">
        <v>357</v>
      </c>
      <c r="K121" s="710">
        <f>L120</f>
        <v>54.5</v>
      </c>
      <c r="L121" s="710"/>
      <c r="M121" s="259" t="s">
        <v>133</v>
      </c>
      <c r="N121" s="707">
        <f>ROUNDUP((E121-H121)/K121,3)</f>
        <v>1.0999999999999999E-2</v>
      </c>
      <c r="O121" s="707"/>
      <c r="P121" s="260" t="s">
        <v>280</v>
      </c>
      <c r="Q121" s="256"/>
      <c r="R121" s="256"/>
      <c r="S121" s="256"/>
      <c r="T121" s="256"/>
      <c r="U121" s="256"/>
      <c r="V121" s="256"/>
      <c r="W121" s="256"/>
      <c r="X121" s="256"/>
      <c r="AH121" s="41"/>
      <c r="AI121" s="41"/>
    </row>
    <row r="122" spans="2:36" x14ac:dyDescent="0.15">
      <c r="B122" s="263"/>
      <c r="C122" s="264" t="str">
        <f>IF(N121&lt;0,"→　計算結果がマイナスとなり 「ｂ」の条件で算出","")</f>
        <v/>
      </c>
      <c r="D122" s="263"/>
      <c r="E122" s="263"/>
      <c r="F122" s="263"/>
      <c r="G122" s="263"/>
      <c r="H122" s="265"/>
      <c r="I122" s="265"/>
      <c r="J122" s="263"/>
      <c r="K122" s="263"/>
      <c r="L122" s="263"/>
      <c r="M122" s="256"/>
      <c r="N122" s="256"/>
      <c r="O122" s="256"/>
      <c r="P122" s="256"/>
      <c r="Q122" s="256"/>
      <c r="R122" s="256"/>
      <c r="S122" s="256"/>
      <c r="T122" s="256"/>
      <c r="U122" s="256"/>
      <c r="V122" s="256"/>
      <c r="W122" s="266"/>
      <c r="X122" s="267"/>
      <c r="Y122" s="41"/>
    </row>
    <row r="123" spans="2:36" x14ac:dyDescent="0.15">
      <c r="B123" s="256" t="str">
        <f>IF(N121&lt;0,"　　ｂ. 起動水位が釜場の有効容量内で起動","")</f>
        <v/>
      </c>
      <c r="C123" s="257"/>
      <c r="D123" s="258"/>
      <c r="E123" s="257"/>
      <c r="F123" s="256"/>
      <c r="G123" s="256"/>
      <c r="H123" s="256"/>
      <c r="I123" s="256"/>
      <c r="J123" s="256"/>
      <c r="K123" s="256"/>
      <c r="L123" s="256"/>
      <c r="M123" s="261"/>
      <c r="N123" s="261"/>
      <c r="O123" s="260"/>
      <c r="P123" s="256"/>
      <c r="Q123" s="256"/>
      <c r="R123" s="256"/>
      <c r="S123" s="256"/>
      <c r="T123" s="256"/>
      <c r="U123" s="256"/>
      <c r="V123" s="256"/>
      <c r="W123" s="256"/>
      <c r="X123" s="256"/>
      <c r="AG123" s="41"/>
      <c r="AH123" s="41"/>
      <c r="AI123" s="41"/>
    </row>
    <row r="124" spans="2:36" x14ac:dyDescent="0.15">
      <c r="B124" s="256"/>
      <c r="C124" s="257"/>
      <c r="D124" s="262" t="str">
        <f>IF(N121&lt;0,"釜場の面積","")</f>
        <v/>
      </c>
      <c r="E124" s="707" t="str">
        <f>IF(N121&lt;0,F119,"")</f>
        <v/>
      </c>
      <c r="F124" s="707"/>
      <c r="G124" s="268" t="str">
        <f>IF(N121&lt;0,"×","")</f>
        <v/>
      </c>
      <c r="H124" s="707" t="str">
        <f>IF(N121&lt;0,I119,"")</f>
        <v/>
      </c>
      <c r="I124" s="707"/>
      <c r="J124" s="259" t="str">
        <f>IF(N121&lt;0,"＝","")</f>
        <v/>
      </c>
      <c r="K124" s="706" t="str">
        <f>IF(N121&lt;0,E124*H124,"")</f>
        <v/>
      </c>
      <c r="L124" s="706"/>
      <c r="M124" s="260" t="str">
        <f>IF(N121&lt;0,"ｍ2","")</f>
        <v/>
      </c>
      <c r="N124" s="706"/>
      <c r="O124" s="706"/>
      <c r="P124" s="260"/>
      <c r="Q124" s="256"/>
      <c r="R124" s="256"/>
      <c r="S124" s="256"/>
      <c r="T124" s="256"/>
      <c r="U124" s="256"/>
      <c r="V124" s="256"/>
      <c r="W124" s="256"/>
      <c r="X124" s="256"/>
      <c r="AH124" s="41"/>
      <c r="AI124" s="41"/>
    </row>
    <row r="125" spans="2:36" x14ac:dyDescent="0.15">
      <c r="B125" s="256"/>
      <c r="C125" s="256"/>
      <c r="D125" s="256"/>
      <c r="E125" s="710" t="str">
        <f>IF(N121&lt;0,N117,"")</f>
        <v/>
      </c>
      <c r="F125" s="710"/>
      <c r="G125" s="259" t="str">
        <f>IF(N121&lt;0,"÷","")</f>
        <v/>
      </c>
      <c r="H125" s="710" t="str">
        <f>IF(N121&lt;0,K124,"")</f>
        <v/>
      </c>
      <c r="I125" s="710"/>
      <c r="J125" s="259" t="str">
        <f>IF(N121&lt;0,"＝","")</f>
        <v/>
      </c>
      <c r="K125" s="707" t="str">
        <f>IF(N121&lt;0,ROUND(E125/H125,3),"")</f>
        <v/>
      </c>
      <c r="L125" s="707"/>
      <c r="M125" s="260" t="str">
        <f>IF(N121&lt;0,"ｍ","")</f>
        <v/>
      </c>
      <c r="N125" s="707"/>
      <c r="O125" s="707"/>
      <c r="P125" s="260"/>
      <c r="Q125" s="256" t="str">
        <f>IF(N121&lt;0,"","")</f>
        <v/>
      </c>
      <c r="R125" s="256"/>
      <c r="S125" s="256"/>
      <c r="T125" s="256"/>
      <c r="U125" s="256"/>
      <c r="V125" s="256"/>
      <c r="W125" s="256"/>
      <c r="X125" s="256"/>
      <c r="AH125" s="41"/>
      <c r="AI125" s="41"/>
    </row>
    <row r="126" spans="2:36" x14ac:dyDescent="0.15">
      <c r="D126" s="255"/>
      <c r="E126" s="285" t="str">
        <f>IF(N121&gt;=0,"釜場からの高さ","")</f>
        <v>釜場からの高さ</v>
      </c>
      <c r="F126" s="255"/>
      <c r="G126" s="255"/>
      <c r="H126" s="485">
        <f>IF(N121&gt;=0,N121,"")</f>
        <v>1.0999999999999999E-2</v>
      </c>
      <c r="I126" s="485"/>
      <c r="J126" s="286" t="str">
        <f>IF(N121&gt;=0,"+ 釜場の有効容量高さ","")</f>
        <v>+ 釜場の有効容量高さ</v>
      </c>
      <c r="K126" s="285"/>
      <c r="N126" s="485">
        <f>IF(N121&gt;=0,(L119-O119),"")</f>
        <v>0.5</v>
      </c>
      <c r="O126" s="485"/>
      <c r="P126" s="260"/>
    </row>
    <row r="127" spans="2:36" x14ac:dyDescent="0.15">
      <c r="C127" s="255" t="s">
        <v>238</v>
      </c>
      <c r="D127" s="255"/>
      <c r="E127" s="255"/>
      <c r="F127" s="255"/>
      <c r="G127" s="255"/>
      <c r="H127" s="727">
        <f>IF(N121&gt;=0,ROUNDUP(H126+N126,2),ROUNDUP(K125,2))</f>
        <v>0.52</v>
      </c>
      <c r="I127" s="727"/>
      <c r="J127" s="350" t="str">
        <f>IF(E116="　（ 釜場及び排水槽の形状から算出。（勾配の計算は省略））","ｍ 上方に設定する。",IF(E116="　（ 基準である３分以内の設定でポンプメーカー仕様等による）","ｍ となるが，ポンプ仕様等により"))</f>
        <v>ｍ となるが，ポンプ仕様等により</v>
      </c>
      <c r="K127" s="255"/>
      <c r="L127" s="255"/>
      <c r="M127" s="255"/>
      <c r="N127" s="348"/>
      <c r="O127" s="348"/>
      <c r="P127" s="714">
        <v>0.24</v>
      </c>
      <c r="Q127" s="714"/>
      <c r="R127" s="349" t="str">
        <f>IF(E116="　（ 釜場及び排水槽の形状から算出。（勾配の計算は省略））","　",IF(E116="　（ 基準である３分以内の設定でポンプメーカー仕様等による）","ｍ 上方に設定する。"))</f>
        <v>ｍ 上方に設定する。</v>
      </c>
      <c r="S127" s="348"/>
    </row>
    <row r="128" spans="2:36" x14ac:dyDescent="0.15">
      <c r="B128" s="149" t="s">
        <v>240</v>
      </c>
    </row>
    <row r="129" spans="2:16" x14ac:dyDescent="0.15">
      <c r="C129" s="255" t="s">
        <v>358</v>
      </c>
      <c r="D129" s="255"/>
      <c r="E129" s="255"/>
      <c r="F129" s="728">
        <v>0.1</v>
      </c>
      <c r="G129" s="728"/>
      <c r="H129" s="255" t="s">
        <v>239</v>
      </c>
      <c r="I129" s="255"/>
      <c r="J129" s="255"/>
    </row>
    <row r="130" spans="2:16" x14ac:dyDescent="0.15">
      <c r="B130" s="149" t="s">
        <v>640</v>
      </c>
    </row>
    <row r="131" spans="2:16" x14ac:dyDescent="0.15">
      <c r="C131" s="255" t="s">
        <v>359</v>
      </c>
      <c r="D131" s="255"/>
      <c r="E131" s="255"/>
      <c r="F131" s="728">
        <v>0.1</v>
      </c>
      <c r="G131" s="728"/>
      <c r="H131" s="255" t="s">
        <v>239</v>
      </c>
      <c r="I131" s="255"/>
      <c r="J131" s="255"/>
      <c r="K131" s="255"/>
    </row>
    <row r="132" spans="2:16" x14ac:dyDescent="0.15">
      <c r="B132" s="149" t="s">
        <v>649</v>
      </c>
    </row>
    <row r="133" spans="2:16" x14ac:dyDescent="0.15">
      <c r="C133" s="149" t="s">
        <v>243</v>
      </c>
      <c r="G133" s="729">
        <f>H34</f>
        <v>0.36</v>
      </c>
      <c r="H133" s="729"/>
      <c r="I133" s="149" t="s">
        <v>244</v>
      </c>
    </row>
    <row r="134" spans="2:16" x14ac:dyDescent="0.15">
      <c r="C134" s="256"/>
      <c r="D134" s="256"/>
      <c r="E134" s="730">
        <f>IF(G133-R119&gt;0,G133,"")</f>
        <v>0.36</v>
      </c>
      <c r="F134" s="730"/>
      <c r="G134" s="258" t="str">
        <f>IF(G133-R119&gt;0,"－","")</f>
        <v>－</v>
      </c>
      <c r="H134" s="710">
        <f>IF(G133-R119&gt;0,R119,IF(G133-R119=0,"",G133))</f>
        <v>0</v>
      </c>
      <c r="I134" s="710"/>
      <c r="J134" s="259" t="str">
        <f>IF(G133-R119&gt;0,"）÷",IF(G133-R119=0,"","÷"))</f>
        <v>）÷</v>
      </c>
      <c r="K134" s="710">
        <f>IF(G133-R119&gt;0,L120,IF(G133-R119=0,"",F119*I119))</f>
        <v>54.5</v>
      </c>
      <c r="L134" s="710"/>
      <c r="M134" s="259" t="str">
        <f>IF(G133-R119=0,"","=")</f>
        <v>=</v>
      </c>
      <c r="N134" s="707">
        <f>IF(G133-R119&gt;0,ROUND((E134-H134)/K134,3),IF(G133-R119=0,"",ROUND(H134/K134,3)))</f>
        <v>7.0000000000000001E-3</v>
      </c>
      <c r="O134" s="707"/>
      <c r="P134" s="259" t="str">
        <f>IF(G133-R119=0,"","m")</f>
        <v>m</v>
      </c>
    </row>
    <row r="135" spans="2:16" x14ac:dyDescent="0.15">
      <c r="D135" s="255"/>
      <c r="E135" s="285" t="str">
        <f>IF(G133-R119&gt;0,"釜場からの高さ","")</f>
        <v>釜場からの高さ</v>
      </c>
      <c r="F135" s="255"/>
      <c r="G135" s="255"/>
      <c r="H135" s="485">
        <f>IF(G133-R119&gt;0,N134,"")</f>
        <v>7.0000000000000001E-3</v>
      </c>
      <c r="I135" s="485"/>
      <c r="J135" s="286" t="str">
        <f>IF(G133-R119&gt;0,"+ 釜場の有効容量高さ","")</f>
        <v>+ 釜場の有効容量高さ</v>
      </c>
      <c r="K135" s="285"/>
      <c r="L135" s="285"/>
      <c r="M135" s="285"/>
      <c r="N135" s="485">
        <f>IF(G133-R119&gt;0,(L119-O119),"")</f>
        <v>0.5</v>
      </c>
      <c r="O135" s="485"/>
      <c r="P135" s="260"/>
    </row>
    <row r="136" spans="2:16" x14ac:dyDescent="0.15">
      <c r="C136" s="255" t="s">
        <v>238</v>
      </c>
      <c r="H136" s="727">
        <f>IF(G133-R119&gt;0,ROUNDUP(H135+N135,2),IF(G133-R119=0,(L119-O119),ROUNDUP(N134,2)))</f>
        <v>0.51</v>
      </c>
      <c r="I136" s="727"/>
      <c r="J136" s="255" t="s">
        <v>518</v>
      </c>
      <c r="K136" s="255"/>
      <c r="L136" s="255"/>
    </row>
  </sheetData>
  <sheetProtection algorithmName="SHA-512" hashValue="EBF+VPtwArViHp87lHw8SrAgKTxmCI174C7w8kJZRBWmlDhVv9pGjD4NOJSILoZFC6mJCw095H2grNiiyZDF9Q==" saltValue="gtmzYbe54TTiqI2mnrybsw==" spinCount="100000" sheet="1" objects="1" scenarios="1" formatCells="0"/>
  <mergeCells count="150">
    <mergeCell ref="W1:X1"/>
    <mergeCell ref="L99:M99"/>
    <mergeCell ref="P127:Q127"/>
    <mergeCell ref="K134:L134"/>
    <mergeCell ref="N134:O134"/>
    <mergeCell ref="H135:I135"/>
    <mergeCell ref="H127:I127"/>
    <mergeCell ref="F129:G129"/>
    <mergeCell ref="F131:G131"/>
    <mergeCell ref="G133:H133"/>
    <mergeCell ref="E134:F134"/>
    <mergeCell ref="H134:I134"/>
    <mergeCell ref="N135:O135"/>
    <mergeCell ref="K125:L125"/>
    <mergeCell ref="N125:O125"/>
    <mergeCell ref="I120:J120"/>
    <mergeCell ref="L120:M120"/>
    <mergeCell ref="E121:F121"/>
    <mergeCell ref="H121:I121"/>
    <mergeCell ref="K121:L121"/>
    <mergeCell ref="N121:O121"/>
    <mergeCell ref="G104:I105"/>
    <mergeCell ref="L104:M104"/>
    <mergeCell ref="O104:P104"/>
    <mergeCell ref="O105:P105"/>
    <mergeCell ref="L106:M106"/>
    <mergeCell ref="R36:V36"/>
    <mergeCell ref="T37:U37"/>
    <mergeCell ref="R49:V55"/>
    <mergeCell ref="W49:Y55"/>
    <mergeCell ref="I50:J50"/>
    <mergeCell ref="L50:M50"/>
    <mergeCell ref="O50:P50"/>
    <mergeCell ref="I51:J51"/>
    <mergeCell ref="R42:V45"/>
    <mergeCell ref="W42:Y43"/>
    <mergeCell ref="W44:Y45"/>
    <mergeCell ref="F48:K48"/>
    <mergeCell ref="I53:J53"/>
    <mergeCell ref="I54:J54"/>
    <mergeCell ref="G55:H55"/>
    <mergeCell ref="I49:J49"/>
    <mergeCell ref="L49:M49"/>
    <mergeCell ref="O49:P49"/>
    <mergeCell ref="N36:O36"/>
    <mergeCell ref="J36:K36"/>
    <mergeCell ref="L88:M88"/>
    <mergeCell ref="N98:O98"/>
    <mergeCell ref="R28:V29"/>
    <mergeCell ref="W28:Y29"/>
    <mergeCell ref="A30:D32"/>
    <mergeCell ref="R30:V32"/>
    <mergeCell ref="W30:Y32"/>
    <mergeCell ref="F31:G31"/>
    <mergeCell ref="I31:J31"/>
    <mergeCell ref="F32:G32"/>
    <mergeCell ref="A38:D41"/>
    <mergeCell ref="R38:V41"/>
    <mergeCell ref="W38:Y41"/>
    <mergeCell ref="G40:H40"/>
    <mergeCell ref="K40:L40"/>
    <mergeCell ref="H41:I41"/>
    <mergeCell ref="A33:D37"/>
    <mergeCell ref="O33:P33"/>
    <mergeCell ref="W33:Y37"/>
    <mergeCell ref="H34:I34"/>
    <mergeCell ref="F36:G36"/>
    <mergeCell ref="E37:F37"/>
    <mergeCell ref="H37:I37"/>
    <mergeCell ref="K37:L37"/>
    <mergeCell ref="N37:O37"/>
    <mergeCell ref="R33:V35"/>
    <mergeCell ref="A1:D3"/>
    <mergeCell ref="E1:F3"/>
    <mergeCell ref="A4:D5"/>
    <mergeCell ref="G4:H4"/>
    <mergeCell ref="J4:P5"/>
    <mergeCell ref="G5:H5"/>
    <mergeCell ref="D15:E15"/>
    <mergeCell ref="D16:E16"/>
    <mergeCell ref="D17:E17"/>
    <mergeCell ref="H18:J18"/>
    <mergeCell ref="K18:L18"/>
    <mergeCell ref="D13:E13"/>
    <mergeCell ref="G13:H13"/>
    <mergeCell ref="J13:K13"/>
    <mergeCell ref="D14:E14"/>
    <mergeCell ref="G14:H14"/>
    <mergeCell ref="J14:K14"/>
    <mergeCell ref="A28:D29"/>
    <mergeCell ref="E28:Q29"/>
    <mergeCell ref="A42:D48"/>
    <mergeCell ref="G43:H43"/>
    <mergeCell ref="G45:H45"/>
    <mergeCell ref="A49:D55"/>
    <mergeCell ref="L82:M82"/>
    <mergeCell ref="O83:P83"/>
    <mergeCell ref="L84:M84"/>
    <mergeCell ref="O84:P84"/>
    <mergeCell ref="L85:M85"/>
    <mergeCell ref="K65:L65"/>
    <mergeCell ref="K64:L64"/>
    <mergeCell ref="V120:W120"/>
    <mergeCell ref="C119:E119"/>
    <mergeCell ref="C120:E120"/>
    <mergeCell ref="B65:C65"/>
    <mergeCell ref="J71:K71"/>
    <mergeCell ref="J74:K74"/>
    <mergeCell ref="J78:K78"/>
    <mergeCell ref="N80:O80"/>
    <mergeCell ref="N81:O81"/>
    <mergeCell ref="O65:P65"/>
    <mergeCell ref="L89:M89"/>
    <mergeCell ref="L91:M91"/>
    <mergeCell ref="O91:P91"/>
    <mergeCell ref="J95:K95"/>
    <mergeCell ref="R119:S119"/>
    <mergeCell ref="J117:K117"/>
    <mergeCell ref="O88:P88"/>
    <mergeCell ref="L87:M87"/>
    <mergeCell ref="O100:P100"/>
    <mergeCell ref="L101:M101"/>
    <mergeCell ref="O101:P101"/>
    <mergeCell ref="L102:M102"/>
    <mergeCell ref="L108:M108"/>
    <mergeCell ref="O108:P108"/>
    <mergeCell ref="O87:P87"/>
    <mergeCell ref="O119:P119"/>
    <mergeCell ref="H126:I126"/>
    <mergeCell ref="N126:O126"/>
    <mergeCell ref="A90:E91"/>
    <mergeCell ref="A107:E108"/>
    <mergeCell ref="H136:I136"/>
    <mergeCell ref="D61:I61"/>
    <mergeCell ref="F64:H64"/>
    <mergeCell ref="O64:P64"/>
    <mergeCell ref="H114:I114"/>
    <mergeCell ref="N117:O117"/>
    <mergeCell ref="F119:G119"/>
    <mergeCell ref="I119:J119"/>
    <mergeCell ref="L119:M119"/>
    <mergeCell ref="N97:O97"/>
    <mergeCell ref="G87:I88"/>
    <mergeCell ref="E124:F124"/>
    <mergeCell ref="H124:I124"/>
    <mergeCell ref="K124:L124"/>
    <mergeCell ref="N124:O124"/>
    <mergeCell ref="E125:F125"/>
    <mergeCell ref="H125:I125"/>
    <mergeCell ref="L105:M105"/>
  </mergeCells>
  <phoneticPr fontId="3"/>
  <conditionalFormatting sqref="P127:Q127">
    <cfRule type="cellIs" dxfId="6" priority="2" operator="greaterThan">
      <formula>$H$127</formula>
    </cfRule>
  </conditionalFormatting>
  <conditionalFormatting sqref="H34:I34">
    <cfRule type="expression" dxfId="5" priority="1">
      <formula>$H$34&lt;$O$33</formula>
    </cfRule>
  </conditionalFormatting>
  <dataValidations count="4">
    <dataValidation type="list" allowBlank="1" showInputMessage="1" showErrorMessage="1" sqref="F48">
      <formula1>"　,（本件について施主了承済み）"</formula1>
    </dataValidation>
    <dataValidation type="list" allowBlank="1" showErrorMessage="1" promptTitle="ｄ，ｓ，あ" sqref="C82:C84 C99:C101">
      <formula1>"0,１"</formula1>
    </dataValidation>
    <dataValidation type="whole" operator="greaterThanOrEqual" allowBlank="1" showInputMessage="1" showErrorMessage="1" sqref="C85:C88 C102:C105">
      <formula1>0</formula1>
    </dataValidation>
    <dataValidation type="list" allowBlank="1" showInputMessage="1" showErrorMessage="1" sqref="E116">
      <formula1>"　（ 釜場及び排水槽の形状から算出。（勾配の計算は省略））,　（ 基準である３分以内の設定でポンプメーカー仕様等による）"</formula1>
    </dataValidation>
  </dataValidations>
  <pageMargins left="0.7" right="0.7" top="0.75" bottom="0.75" header="0.3" footer="0.3"/>
  <pageSetup paperSize="9" scale="58" fitToHeight="2" orientation="portrait" r:id="rId1"/>
  <rowBreaks count="1" manualBreakCount="1">
    <brk id="67" max="24" man="1"/>
  </rowBreaks>
  <legacy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C22CE4DC-C0EA-47ED-A2DD-42122A610874}">
            <xm:f>NOT(ISERROR(SEARCH($H$127,P127)))</xm:f>
            <xm:f>$H$127</xm:f>
            <x14:dxf>
              <fill>
                <patternFill>
                  <bgColor rgb="FF66FFFF"/>
                </patternFill>
              </fill>
            </x14:dxf>
          </x14:cfRule>
          <x14:cfRule type="containsText" priority="5" operator="containsText" id="{FB424B39-1D91-4F34-8B4E-E8C77F32471A}">
            <xm:f>NOT(ISERROR(SEARCH($Q$130,P127)))</xm:f>
            <xm:f>$Q$130</xm:f>
            <x14:dxf>
              <fill>
                <patternFill>
                  <bgColor rgb="FF66FFFF"/>
                </patternFill>
              </fill>
            </x14:dxf>
          </x14:cfRule>
          <xm:sqref>P127:Q127</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36"/>
  <sheetViews>
    <sheetView view="pageBreakPreview" topLeftCell="A13" zoomScale="85" zoomScaleNormal="85" zoomScaleSheetLayoutView="85" workbookViewId="0">
      <selection activeCell="H30" sqref="H30:I30"/>
    </sheetView>
  </sheetViews>
  <sheetFormatPr defaultRowHeight="19.5" x14ac:dyDescent="0.15"/>
  <cols>
    <col min="1" max="1" width="8.25" style="149" customWidth="1"/>
    <col min="2" max="2" width="7.625" style="149" customWidth="1"/>
    <col min="3" max="22" width="5.625" style="149" customWidth="1"/>
    <col min="23" max="24" width="5.125" style="149" customWidth="1"/>
    <col min="25" max="25" width="1.875" style="149" customWidth="1"/>
    <col min="26" max="35" width="5.625" style="149" customWidth="1"/>
    <col min="36" max="16384" width="9" style="149"/>
  </cols>
  <sheetData>
    <row r="1" spans="1:33" ht="20.100000000000001" customHeight="1" x14ac:dyDescent="0.15">
      <c r="A1" s="647" t="s">
        <v>33</v>
      </c>
      <c r="B1" s="647"/>
      <c r="C1" s="647"/>
      <c r="D1" s="647"/>
      <c r="E1" s="649"/>
      <c r="F1" s="649"/>
      <c r="G1" s="147"/>
      <c r="H1" s="147"/>
      <c r="I1" s="147"/>
      <c r="J1" s="147"/>
      <c r="K1" s="147"/>
      <c r="L1" s="147"/>
      <c r="M1" s="147"/>
      <c r="N1" s="147"/>
      <c r="O1" s="147"/>
      <c r="P1" s="147"/>
      <c r="Q1" s="147"/>
      <c r="R1" s="147"/>
      <c r="S1" s="147"/>
      <c r="T1" s="147"/>
      <c r="U1" s="64"/>
      <c r="V1" s="369" t="s">
        <v>647</v>
      </c>
      <c r="W1" s="725">
        <f>'湧水槽 '!W1:X1</f>
        <v>250131</v>
      </c>
      <c r="X1" s="726"/>
      <c r="Y1" s="148"/>
      <c r="Z1" s="148"/>
      <c r="AA1" s="148"/>
      <c r="AB1" s="148"/>
    </row>
    <row r="2" spans="1:33" ht="19.5" customHeight="1" x14ac:dyDescent="0.15">
      <c r="A2" s="647"/>
      <c r="B2" s="647"/>
      <c r="C2" s="647"/>
      <c r="D2" s="647"/>
      <c r="E2" s="649"/>
      <c r="F2" s="649"/>
      <c r="G2" s="147"/>
      <c r="H2" s="147"/>
      <c r="I2" s="147"/>
      <c r="J2" s="147"/>
      <c r="K2" s="147"/>
      <c r="L2" s="147"/>
      <c r="M2" s="147"/>
      <c r="N2" s="147"/>
      <c r="O2" s="147"/>
      <c r="P2" s="147"/>
      <c r="Q2" s="147"/>
      <c r="R2" s="147"/>
      <c r="S2" s="147"/>
      <c r="T2" s="147"/>
      <c r="U2" s="147"/>
      <c r="V2" s="147"/>
      <c r="W2" s="147"/>
      <c r="X2" s="147"/>
      <c r="Y2" s="148"/>
      <c r="Z2" s="148"/>
      <c r="AA2" s="148"/>
      <c r="AB2" s="148"/>
    </row>
    <row r="3" spans="1:33" ht="19.5" customHeight="1" thickBot="1" x14ac:dyDescent="0.2">
      <c r="A3" s="648"/>
      <c r="B3" s="648"/>
      <c r="C3" s="648"/>
      <c r="D3" s="648"/>
      <c r="E3" s="649"/>
      <c r="F3" s="649"/>
      <c r="G3" s="147"/>
      <c r="H3" s="147"/>
      <c r="I3" s="147"/>
      <c r="J3" s="147"/>
      <c r="K3" s="147"/>
      <c r="L3" s="147"/>
      <c r="M3" s="147"/>
      <c r="N3" s="147"/>
      <c r="O3" s="147"/>
      <c r="P3" s="147"/>
      <c r="Q3" s="147"/>
      <c r="R3" s="147"/>
      <c r="S3" s="147"/>
      <c r="T3" s="147"/>
      <c r="U3" s="147"/>
      <c r="V3" s="147"/>
      <c r="W3" s="147"/>
      <c r="X3" s="147"/>
      <c r="Y3" s="148"/>
      <c r="Z3" s="148"/>
      <c r="AA3" s="148"/>
      <c r="AB3" s="148"/>
    </row>
    <row r="4" spans="1:33" s="151" customFormat="1" ht="19.5" customHeight="1" x14ac:dyDescent="0.15">
      <c r="A4" s="652" t="s">
        <v>35</v>
      </c>
      <c r="B4" s="652"/>
      <c r="C4" s="652"/>
      <c r="D4" s="652"/>
      <c r="E4" s="770" t="s">
        <v>36</v>
      </c>
      <c r="F4" s="771"/>
      <c r="G4" s="771"/>
      <c r="H4" s="771"/>
      <c r="I4" s="772"/>
      <c r="J4" s="770" t="s">
        <v>37</v>
      </c>
      <c r="K4" s="771"/>
      <c r="L4" s="771"/>
      <c r="M4" s="772"/>
      <c r="N4" s="771" t="s">
        <v>38</v>
      </c>
      <c r="O4" s="771"/>
      <c r="P4" s="773"/>
      <c r="Q4" s="150"/>
      <c r="R4" s="150"/>
      <c r="S4" s="150"/>
      <c r="AC4" s="152"/>
      <c r="AD4" s="152"/>
      <c r="AE4" s="152"/>
      <c r="AF4" s="152"/>
      <c r="AG4" s="152"/>
    </row>
    <row r="5" spans="1:33" ht="19.5" customHeight="1" x14ac:dyDescent="0.15">
      <c r="A5" s="769"/>
      <c r="B5" s="769"/>
      <c r="C5" s="769"/>
      <c r="D5" s="769"/>
      <c r="E5" s="153" t="s">
        <v>39</v>
      </c>
      <c r="F5" s="32"/>
      <c r="G5" s="774">
        <v>5</v>
      </c>
      <c r="H5" s="774"/>
      <c r="I5" s="154" t="s">
        <v>40</v>
      </c>
      <c r="J5" s="153" t="str">
        <f>E5</f>
        <v>床面積</v>
      </c>
      <c r="K5" s="32"/>
      <c r="L5" s="775">
        <v>1</v>
      </c>
      <c r="M5" s="776"/>
      <c r="N5" s="777">
        <f>G5*L5</f>
        <v>5</v>
      </c>
      <c r="O5" s="777"/>
      <c r="P5" s="155" t="s">
        <v>41</v>
      </c>
      <c r="Q5" s="156"/>
      <c r="R5" s="157"/>
      <c r="S5" s="157"/>
      <c r="T5" s="157"/>
      <c r="U5" s="157"/>
      <c r="V5" s="157"/>
      <c r="W5" s="157"/>
      <c r="X5" s="148"/>
      <c r="Y5" s="148"/>
      <c r="Z5" s="148"/>
      <c r="AA5" s="148"/>
      <c r="AB5" s="32"/>
      <c r="AC5" s="32"/>
    </row>
    <row r="6" spans="1:33" ht="19.5" customHeight="1" thickBot="1" x14ac:dyDescent="0.2">
      <c r="A6" s="655"/>
      <c r="B6" s="655"/>
      <c r="C6" s="655"/>
      <c r="D6" s="655"/>
      <c r="E6" s="158" t="s">
        <v>42</v>
      </c>
      <c r="F6" s="159"/>
      <c r="G6" s="757">
        <v>0</v>
      </c>
      <c r="H6" s="757"/>
      <c r="I6" s="160" t="s">
        <v>43</v>
      </c>
      <c r="J6" s="158" t="s">
        <v>42</v>
      </c>
      <c r="K6" s="159"/>
      <c r="L6" s="778">
        <v>0.5</v>
      </c>
      <c r="M6" s="779"/>
      <c r="N6" s="780">
        <f>G6*L6</f>
        <v>0</v>
      </c>
      <c r="O6" s="780"/>
      <c r="P6" s="161" t="s">
        <v>44</v>
      </c>
      <c r="Q6" s="156"/>
      <c r="R6" s="157"/>
      <c r="S6" s="157"/>
      <c r="T6" s="157"/>
      <c r="U6" s="157"/>
      <c r="V6" s="157"/>
      <c r="W6" s="157"/>
      <c r="X6" s="148"/>
      <c r="AB6" s="32"/>
      <c r="AC6" s="32"/>
    </row>
    <row r="7" spans="1:33" ht="19.5" customHeight="1" x14ac:dyDescent="0.15">
      <c r="C7" s="162"/>
      <c r="D7" s="36"/>
      <c r="E7" s="36"/>
      <c r="F7" s="36"/>
      <c r="G7" s="36"/>
      <c r="H7" s="36"/>
      <c r="Q7" s="32"/>
      <c r="R7" s="32"/>
      <c r="S7" s="32"/>
      <c r="T7" s="32"/>
      <c r="U7" s="32"/>
      <c r="V7" s="32"/>
      <c r="W7" s="32"/>
      <c r="AA7" s="32"/>
      <c r="AB7" s="32"/>
    </row>
    <row r="8" spans="1:33" ht="19.5" customHeight="1" x14ac:dyDescent="0.15">
      <c r="A8" s="163" t="s">
        <v>45</v>
      </c>
      <c r="B8" s="163"/>
      <c r="C8" s="163"/>
      <c r="D8" s="163"/>
      <c r="E8" s="164"/>
      <c r="Y8" s="163"/>
      <c r="Z8" s="148"/>
      <c r="AA8" s="32"/>
      <c r="AB8" s="32"/>
      <c r="AC8" s="32"/>
      <c r="AD8" s="32"/>
      <c r="AE8" s="32"/>
      <c r="AF8" s="32"/>
      <c r="AG8" s="32"/>
    </row>
    <row r="9" spans="1:33" ht="19.5" customHeight="1" x14ac:dyDescent="0.15">
      <c r="A9" s="151"/>
      <c r="B9" s="165" t="s">
        <v>46</v>
      </c>
      <c r="C9" s="151"/>
      <c r="D9" s="151"/>
      <c r="E9" s="151"/>
      <c r="F9" s="151"/>
      <c r="G9" s="151"/>
      <c r="H9" s="151"/>
      <c r="I9" s="151"/>
      <c r="J9" s="151"/>
      <c r="K9" s="151"/>
      <c r="L9" s="151"/>
      <c r="M9" s="151"/>
      <c r="N9" s="316" t="s">
        <v>589</v>
      </c>
      <c r="O9" s="328"/>
      <c r="P9" s="289"/>
      <c r="Q9" s="289"/>
      <c r="R9" s="307"/>
      <c r="S9" s="317"/>
      <c r="T9" s="317"/>
      <c r="U9" s="317"/>
      <c r="V9" s="317"/>
      <c r="W9" s="328"/>
      <c r="X9" s="318"/>
      <c r="Y9" s="32"/>
      <c r="Z9" s="32"/>
      <c r="AA9" s="32"/>
      <c r="AB9" s="32"/>
      <c r="AC9" s="32"/>
      <c r="AD9" s="32"/>
      <c r="AE9" s="32"/>
      <c r="AF9" s="32"/>
      <c r="AG9" s="32"/>
    </row>
    <row r="10" spans="1:33" ht="19.5" customHeight="1" x14ac:dyDescent="0.15">
      <c r="A10" s="163"/>
      <c r="B10" s="168" t="s">
        <v>47</v>
      </c>
      <c r="C10" s="168" t="s">
        <v>48</v>
      </c>
      <c r="D10" s="168" t="s">
        <v>585</v>
      </c>
      <c r="E10" s="168"/>
      <c r="F10" s="168"/>
      <c r="G10" s="168"/>
      <c r="N10" s="329"/>
      <c r="O10" s="321"/>
      <c r="P10" s="321"/>
      <c r="Q10" s="321"/>
      <c r="R10" s="321"/>
      <c r="S10" s="321"/>
      <c r="T10" s="321"/>
      <c r="U10" s="321"/>
      <c r="V10" s="321"/>
      <c r="W10" s="321"/>
      <c r="X10" s="325"/>
      <c r="AC10" s="32"/>
      <c r="AD10" s="32"/>
      <c r="AE10" s="32"/>
      <c r="AF10" s="32"/>
      <c r="AG10" s="32"/>
    </row>
    <row r="11" spans="1:33" s="151" customFormat="1" ht="19.5" customHeight="1" x14ac:dyDescent="0.15">
      <c r="A11" s="169"/>
      <c r="B11" s="168"/>
      <c r="C11" s="168" t="s">
        <v>48</v>
      </c>
      <c r="D11" s="168" t="s">
        <v>49</v>
      </c>
      <c r="E11" s="170" t="s">
        <v>50</v>
      </c>
      <c r="F11" s="170">
        <v>1</v>
      </c>
      <c r="G11" s="170" t="s">
        <v>51</v>
      </c>
      <c r="H11" s="171">
        <v>88</v>
      </c>
      <c r="I11" s="171" t="s">
        <v>50</v>
      </c>
      <c r="J11" s="759">
        <f>SUM(N5:O6)/10000</f>
        <v>5.0000000000000001E-4</v>
      </c>
      <c r="K11" s="759"/>
      <c r="N11" s="319"/>
      <c r="O11" s="320"/>
      <c r="P11" s="320"/>
      <c r="Q11" s="320"/>
      <c r="R11" s="320"/>
      <c r="S11" s="320"/>
      <c r="T11" s="320"/>
      <c r="U11" s="320"/>
      <c r="V11" s="320"/>
      <c r="W11" s="320"/>
      <c r="X11" s="330"/>
      <c r="Y11" s="169"/>
      <c r="AC11" s="152"/>
      <c r="AD11" s="152"/>
      <c r="AE11" s="152"/>
      <c r="AF11" s="152"/>
      <c r="AG11" s="152"/>
    </row>
    <row r="12" spans="1:33" s="151" customFormat="1" ht="19.5" customHeight="1" x14ac:dyDescent="0.15">
      <c r="A12" s="339"/>
      <c r="B12" s="291"/>
      <c r="C12" s="291" t="s">
        <v>52</v>
      </c>
      <c r="D12" s="758">
        <f>(1/360)*F11*H11*J11</f>
        <v>1.2222222222222224E-4</v>
      </c>
      <c r="E12" s="758"/>
      <c r="F12" s="291" t="s">
        <v>53</v>
      </c>
      <c r="G12" s="291"/>
      <c r="H12" s="339"/>
      <c r="I12" s="339"/>
      <c r="J12" s="339"/>
      <c r="K12" s="339"/>
      <c r="N12" s="294"/>
      <c r="O12" s="291"/>
      <c r="P12" s="291"/>
      <c r="Q12" s="291"/>
      <c r="R12" s="291"/>
      <c r="S12" s="292"/>
      <c r="T12" s="292"/>
      <c r="U12" s="291"/>
      <c r="V12" s="321"/>
      <c r="W12" s="320"/>
      <c r="X12" s="330"/>
      <c r="Y12" s="169"/>
      <c r="AC12" s="152"/>
      <c r="AD12" s="152"/>
      <c r="AE12" s="152"/>
      <c r="AF12" s="152"/>
      <c r="AG12" s="152"/>
    </row>
    <row r="13" spans="1:33" s="151" customFormat="1" ht="19.5" customHeight="1" x14ac:dyDescent="0.15">
      <c r="A13" s="339"/>
      <c r="B13" s="340"/>
      <c r="C13" s="298" t="s">
        <v>57</v>
      </c>
      <c r="D13" s="760">
        <f>ROUNDUP(D12*1000*60,)</f>
        <v>8</v>
      </c>
      <c r="E13" s="760"/>
      <c r="F13" s="340" t="s">
        <v>58</v>
      </c>
      <c r="G13" s="298"/>
      <c r="H13" s="339"/>
      <c r="I13" s="339"/>
      <c r="J13" s="339"/>
      <c r="K13" s="339"/>
      <c r="N13" s="294"/>
      <c r="O13" s="291"/>
      <c r="P13" s="291"/>
      <c r="Q13" s="291"/>
      <c r="R13" s="291"/>
      <c r="S13" s="291"/>
      <c r="T13" s="291"/>
      <c r="U13" s="291"/>
      <c r="V13" s="320"/>
      <c r="W13" s="320"/>
      <c r="X13" s="325"/>
      <c r="AC13" s="152"/>
      <c r="AD13" s="152"/>
      <c r="AE13" s="152"/>
      <c r="AF13" s="152"/>
      <c r="AG13" s="152"/>
    </row>
    <row r="14" spans="1:33" s="151" customFormat="1" ht="19.5" customHeight="1" x14ac:dyDescent="0.15">
      <c r="A14" s="339"/>
      <c r="B14" s="291"/>
      <c r="C14" s="291"/>
      <c r="D14" s="291"/>
      <c r="E14" s="291"/>
      <c r="F14" s="340"/>
      <c r="G14" s="340"/>
      <c r="H14" s="291"/>
      <c r="I14" s="291"/>
      <c r="J14" s="291"/>
      <c r="K14" s="295"/>
      <c r="L14" s="150"/>
      <c r="M14" s="150"/>
      <c r="N14" s="294"/>
      <c r="O14" s="291"/>
      <c r="P14" s="291"/>
      <c r="Q14" s="291"/>
      <c r="R14" s="291"/>
      <c r="S14" s="291"/>
      <c r="T14" s="291"/>
      <c r="U14" s="291"/>
      <c r="V14" s="320"/>
      <c r="W14" s="320"/>
      <c r="X14" s="325"/>
      <c r="AC14" s="152"/>
      <c r="AD14" s="152"/>
      <c r="AE14" s="152"/>
      <c r="AF14" s="152"/>
      <c r="AG14" s="152"/>
    </row>
    <row r="15" spans="1:33" ht="19.5" customHeight="1" x14ac:dyDescent="0.15">
      <c r="A15" s="341"/>
      <c r="B15" s="298" t="s">
        <v>64</v>
      </c>
      <c r="C15" s="293"/>
      <c r="D15" s="293"/>
      <c r="E15" s="293"/>
      <c r="F15" s="293"/>
      <c r="G15" s="293"/>
      <c r="H15" s="293"/>
      <c r="I15" s="293"/>
      <c r="J15" s="293"/>
      <c r="K15" s="341"/>
      <c r="L15" s="174"/>
      <c r="M15" s="174"/>
      <c r="N15" s="296"/>
      <c r="O15" s="295"/>
      <c r="P15" s="295"/>
      <c r="Q15" s="291"/>
      <c r="R15" s="291"/>
      <c r="S15" s="291"/>
      <c r="T15" s="291"/>
      <c r="U15" s="291"/>
      <c r="V15" s="320"/>
      <c r="W15" s="321"/>
      <c r="X15" s="322"/>
      <c r="Z15" s="172"/>
      <c r="AC15" s="32"/>
      <c r="AD15" s="32"/>
      <c r="AE15" s="32"/>
      <c r="AF15" s="32"/>
      <c r="AG15" s="32"/>
    </row>
    <row r="16" spans="1:33" s="151" customFormat="1" ht="19.5" customHeight="1" x14ac:dyDescent="0.15">
      <c r="A16" s="339"/>
      <c r="B16" s="291" t="s">
        <v>65</v>
      </c>
      <c r="C16" s="291" t="s">
        <v>48</v>
      </c>
      <c r="D16" s="291" t="s">
        <v>586</v>
      </c>
      <c r="E16" s="291"/>
      <c r="F16" s="291"/>
      <c r="G16" s="291"/>
      <c r="H16" s="341"/>
      <c r="I16" s="341"/>
      <c r="J16" s="341"/>
      <c r="K16" s="341"/>
      <c r="L16" s="149"/>
      <c r="M16" s="149"/>
      <c r="N16" s="296"/>
      <c r="O16" s="295"/>
      <c r="P16" s="295"/>
      <c r="Q16" s="295"/>
      <c r="R16" s="295"/>
      <c r="S16" s="295"/>
      <c r="T16" s="295"/>
      <c r="U16" s="320"/>
      <c r="V16" s="320"/>
      <c r="W16" s="320"/>
      <c r="X16" s="325"/>
      <c r="AC16" s="152"/>
      <c r="AD16" s="152"/>
      <c r="AE16" s="152"/>
      <c r="AF16" s="152"/>
      <c r="AG16" s="152"/>
    </row>
    <row r="17" spans="1:35" s="151" customFormat="1" ht="19.5" customHeight="1" x14ac:dyDescent="0.15">
      <c r="A17" s="342"/>
      <c r="B17" s="291"/>
      <c r="C17" s="291" t="s">
        <v>66</v>
      </c>
      <c r="D17" s="291" t="s">
        <v>67</v>
      </c>
      <c r="E17" s="337" t="s">
        <v>51</v>
      </c>
      <c r="F17" s="337">
        <v>1</v>
      </c>
      <c r="G17" s="337" t="s">
        <v>51</v>
      </c>
      <c r="H17" s="343">
        <v>26</v>
      </c>
      <c r="I17" s="337" t="s">
        <v>51</v>
      </c>
      <c r="J17" s="343">
        <v>6</v>
      </c>
      <c r="K17" s="343" t="s">
        <v>50</v>
      </c>
      <c r="L17" s="759">
        <f>SUM(N5:O6)/10000</f>
        <v>5.0000000000000001E-4</v>
      </c>
      <c r="M17" s="759"/>
      <c r="N17" s="296"/>
      <c r="O17" s="295"/>
      <c r="P17" s="295"/>
      <c r="Q17" s="295"/>
      <c r="R17" s="295"/>
      <c r="S17" s="295"/>
      <c r="T17" s="295"/>
      <c r="U17" s="300"/>
      <c r="V17" s="786"/>
      <c r="W17" s="786"/>
      <c r="X17" s="313"/>
      <c r="AC17" s="152"/>
      <c r="AD17" s="152"/>
      <c r="AE17" s="152"/>
      <c r="AF17" s="152"/>
      <c r="AG17" s="152"/>
    </row>
    <row r="18" spans="1:35" ht="19.5" customHeight="1" x14ac:dyDescent="0.15">
      <c r="A18" s="341"/>
      <c r="B18" s="291"/>
      <c r="C18" s="291" t="s">
        <v>57</v>
      </c>
      <c r="D18" s="758">
        <f>(1/360)*F17*H17*J17*L17</f>
        <v>2.1666666666666668E-4</v>
      </c>
      <c r="E18" s="758"/>
      <c r="F18" s="291" t="s">
        <v>68</v>
      </c>
      <c r="G18" s="291"/>
      <c r="H18" s="339"/>
      <c r="I18" s="339"/>
      <c r="J18" s="339"/>
      <c r="K18" s="339"/>
      <c r="L18" s="151"/>
      <c r="M18" s="151"/>
      <c r="N18" s="331"/>
      <c r="O18" s="332"/>
      <c r="P18" s="332"/>
      <c r="Q18" s="333"/>
      <c r="R18" s="333"/>
      <c r="S18" s="333"/>
      <c r="T18" s="321"/>
      <c r="U18" s="321"/>
      <c r="V18" s="321"/>
      <c r="W18" s="321"/>
      <c r="X18" s="322"/>
      <c r="Z18" s="175"/>
      <c r="AC18" s="32"/>
      <c r="AD18" s="32"/>
      <c r="AE18" s="32"/>
      <c r="AF18" s="32"/>
      <c r="AG18" s="32"/>
    </row>
    <row r="19" spans="1:35" ht="19.5" customHeight="1" x14ac:dyDescent="0.15">
      <c r="A19" s="344"/>
      <c r="B19" s="340"/>
      <c r="C19" s="298" t="s">
        <v>55</v>
      </c>
      <c r="D19" s="760">
        <f>ROUNDUP(D18*1000*60,)</f>
        <v>13</v>
      </c>
      <c r="E19" s="760"/>
      <c r="F19" s="340" t="s">
        <v>69</v>
      </c>
      <c r="G19" s="298"/>
      <c r="H19" s="339"/>
      <c r="I19" s="339"/>
      <c r="J19" s="339"/>
      <c r="K19" s="339"/>
      <c r="L19" s="151"/>
      <c r="M19" s="151"/>
      <c r="N19" s="329"/>
      <c r="O19" s="321"/>
      <c r="P19" s="321"/>
      <c r="Q19" s="321"/>
      <c r="R19" s="321"/>
      <c r="S19" s="321"/>
      <c r="T19" s="321"/>
      <c r="U19" s="321"/>
      <c r="V19" s="321"/>
      <c r="W19" s="321"/>
      <c r="X19" s="322"/>
      <c r="AC19" s="32"/>
      <c r="AD19" s="32"/>
      <c r="AE19" s="32"/>
      <c r="AF19" s="32"/>
      <c r="AG19" s="32"/>
    </row>
    <row r="20" spans="1:35" s="151" customFormat="1" ht="19.5" customHeight="1" x14ac:dyDescent="0.15">
      <c r="A20" s="324"/>
      <c r="B20" s="339"/>
      <c r="C20" s="339"/>
      <c r="D20" s="339"/>
      <c r="E20" s="339"/>
      <c r="F20" s="339"/>
      <c r="G20" s="339"/>
      <c r="H20" s="339"/>
      <c r="I20" s="339"/>
      <c r="J20" s="339"/>
      <c r="K20" s="339"/>
      <c r="N20" s="319"/>
      <c r="O20" s="320"/>
      <c r="P20" s="320"/>
      <c r="Q20" s="320"/>
      <c r="R20" s="320"/>
      <c r="S20" s="320"/>
      <c r="T20" s="320"/>
      <c r="U20" s="320"/>
      <c r="V20" s="320"/>
      <c r="W20" s="320"/>
      <c r="X20" s="322"/>
      <c r="Z20" s="169"/>
      <c r="AA20" s="169"/>
      <c r="AE20" s="152"/>
      <c r="AF20" s="152"/>
      <c r="AG20" s="152"/>
      <c r="AH20" s="152"/>
      <c r="AI20" s="152"/>
    </row>
    <row r="21" spans="1:35" s="151" customFormat="1" ht="19.5" customHeight="1" x14ac:dyDescent="0.15">
      <c r="C21" s="168" t="s">
        <v>54</v>
      </c>
      <c r="D21" s="168" t="s">
        <v>55</v>
      </c>
      <c r="E21" s="168" t="s">
        <v>56</v>
      </c>
      <c r="F21" s="168"/>
      <c r="G21" s="168"/>
      <c r="N21" s="294"/>
      <c r="O21" s="291"/>
      <c r="P21" s="291"/>
      <c r="Q21" s="291"/>
      <c r="R21" s="291"/>
      <c r="S21" s="292"/>
      <c r="T21" s="292"/>
      <c r="U21" s="291"/>
      <c r="V21" s="321"/>
      <c r="W21" s="321"/>
      <c r="X21" s="322"/>
      <c r="Y21" s="169"/>
      <c r="AC21" s="152"/>
      <c r="AD21" s="152"/>
      <c r="AE21" s="152"/>
      <c r="AF21" s="152"/>
      <c r="AG21" s="152"/>
    </row>
    <row r="22" spans="1:35" s="151" customFormat="1" ht="19.5" customHeight="1" x14ac:dyDescent="0.15">
      <c r="C22" s="168" t="s">
        <v>59</v>
      </c>
      <c r="D22" s="168" t="s">
        <v>55</v>
      </c>
      <c r="E22" s="168" t="s">
        <v>60</v>
      </c>
      <c r="F22" s="168"/>
      <c r="G22" s="168"/>
      <c r="N22" s="294"/>
      <c r="O22" s="291"/>
      <c r="P22" s="291"/>
      <c r="Q22" s="291"/>
      <c r="R22" s="291"/>
      <c r="S22" s="291"/>
      <c r="T22" s="291"/>
      <c r="U22" s="291"/>
      <c r="V22" s="320"/>
      <c r="W22" s="320"/>
      <c r="X22" s="322"/>
      <c r="AC22" s="152"/>
      <c r="AD22" s="152"/>
      <c r="AE22" s="152"/>
      <c r="AF22" s="152"/>
      <c r="AG22" s="152"/>
    </row>
    <row r="23" spans="1:35" s="151" customFormat="1" ht="19.5" customHeight="1" x14ac:dyDescent="0.15">
      <c r="B23" s="150"/>
      <c r="C23" s="168" t="s">
        <v>587</v>
      </c>
      <c r="D23" s="168" t="s">
        <v>55</v>
      </c>
      <c r="E23" s="168" t="s">
        <v>61</v>
      </c>
      <c r="F23" s="168"/>
      <c r="G23" s="168"/>
      <c r="H23" s="150"/>
      <c r="I23" s="150"/>
      <c r="J23" s="150"/>
      <c r="K23" s="150"/>
      <c r="L23" s="150"/>
      <c r="M23" s="150"/>
      <c r="N23" s="294"/>
      <c r="O23" s="291"/>
      <c r="P23" s="291"/>
      <c r="Q23" s="291"/>
      <c r="R23" s="291"/>
      <c r="S23" s="291"/>
      <c r="T23" s="291"/>
      <c r="U23" s="291"/>
      <c r="V23" s="320"/>
      <c r="W23" s="320"/>
      <c r="X23" s="325"/>
      <c r="AC23" s="152"/>
      <c r="AD23" s="152"/>
      <c r="AE23" s="152"/>
      <c r="AF23" s="152"/>
      <c r="AG23" s="152"/>
    </row>
    <row r="24" spans="1:35" s="151" customFormat="1" ht="19.5" customHeight="1" x14ac:dyDescent="0.15">
      <c r="B24" s="150"/>
      <c r="C24" s="168" t="s">
        <v>588</v>
      </c>
      <c r="D24" s="168" t="s">
        <v>55</v>
      </c>
      <c r="E24" s="168" t="s">
        <v>70</v>
      </c>
      <c r="F24" s="168"/>
      <c r="G24" s="168"/>
      <c r="H24" s="168"/>
      <c r="I24" s="168"/>
      <c r="J24" s="166"/>
      <c r="K24" s="150"/>
      <c r="L24" s="150"/>
      <c r="M24" s="150"/>
      <c r="N24" s="296"/>
      <c r="O24" s="295"/>
      <c r="P24" s="295"/>
      <c r="Q24" s="291"/>
      <c r="R24" s="291"/>
      <c r="S24" s="291"/>
      <c r="T24" s="291"/>
      <c r="U24" s="291"/>
      <c r="V24" s="320"/>
      <c r="W24" s="320"/>
      <c r="X24" s="325"/>
      <c r="AC24" s="152"/>
      <c r="AD24" s="152"/>
      <c r="AE24" s="152"/>
      <c r="AF24" s="152"/>
      <c r="AG24" s="152"/>
    </row>
    <row r="25" spans="1:35" s="151" customFormat="1" ht="19.5" customHeight="1" x14ac:dyDescent="0.15">
      <c r="A25" s="166"/>
      <c r="B25" s="166"/>
      <c r="C25" s="150" t="s">
        <v>62</v>
      </c>
      <c r="D25" s="150" t="s">
        <v>57</v>
      </c>
      <c r="E25" s="150" t="s">
        <v>63</v>
      </c>
      <c r="F25" s="168"/>
      <c r="G25" s="166"/>
      <c r="H25" s="166"/>
      <c r="I25" s="166"/>
      <c r="J25" s="166"/>
      <c r="K25" s="166"/>
      <c r="L25" s="166"/>
      <c r="M25" s="166"/>
      <c r="N25" s="301"/>
      <c r="O25" s="305"/>
      <c r="P25" s="302"/>
      <c r="Q25" s="302"/>
      <c r="R25" s="302"/>
      <c r="S25" s="302"/>
      <c r="T25" s="305"/>
      <c r="U25" s="302"/>
      <c r="V25" s="302"/>
      <c r="W25" s="302"/>
      <c r="X25" s="315"/>
      <c r="AC25" s="152"/>
      <c r="AD25" s="152"/>
      <c r="AE25" s="152"/>
      <c r="AF25" s="152"/>
      <c r="AG25" s="152"/>
    </row>
    <row r="26" spans="1:35" s="151" customFormat="1" ht="19.5" customHeight="1" thickBot="1" x14ac:dyDescent="0.2">
      <c r="AC26" s="152"/>
      <c r="AD26" s="152"/>
      <c r="AE26" s="152"/>
      <c r="AF26" s="152"/>
      <c r="AG26" s="152"/>
    </row>
    <row r="27" spans="1:35" s="151" customFormat="1" ht="19.5" customHeight="1" x14ac:dyDescent="0.15">
      <c r="A27" s="664" t="s">
        <v>71</v>
      </c>
      <c r="B27" s="665"/>
      <c r="C27" s="665"/>
      <c r="D27" s="666"/>
      <c r="E27" s="667" t="s">
        <v>72</v>
      </c>
      <c r="F27" s="665"/>
      <c r="G27" s="665"/>
      <c r="H27" s="665"/>
      <c r="I27" s="665"/>
      <c r="J27" s="665"/>
      <c r="K27" s="665"/>
      <c r="L27" s="665"/>
      <c r="M27" s="665"/>
      <c r="N27" s="665"/>
      <c r="O27" s="665"/>
      <c r="P27" s="665"/>
      <c r="Q27" s="666"/>
      <c r="R27" s="667" t="s">
        <v>73</v>
      </c>
      <c r="S27" s="665"/>
      <c r="T27" s="665"/>
      <c r="U27" s="665"/>
      <c r="V27" s="666"/>
      <c r="W27" s="665" t="s">
        <v>74</v>
      </c>
      <c r="X27" s="665"/>
      <c r="Y27" s="669"/>
      <c r="AC27" s="152"/>
      <c r="AD27" s="152"/>
      <c r="AE27" s="152"/>
      <c r="AF27" s="152"/>
      <c r="AG27" s="152"/>
    </row>
    <row r="28" spans="1:35" s="151" customFormat="1" ht="19.5" customHeight="1" x14ac:dyDescent="0.15">
      <c r="A28" s="571"/>
      <c r="B28" s="572"/>
      <c r="C28" s="572"/>
      <c r="D28" s="573"/>
      <c r="E28" s="668"/>
      <c r="F28" s="572"/>
      <c r="G28" s="572"/>
      <c r="H28" s="572"/>
      <c r="I28" s="572"/>
      <c r="J28" s="572"/>
      <c r="K28" s="572"/>
      <c r="L28" s="572"/>
      <c r="M28" s="572"/>
      <c r="N28" s="572"/>
      <c r="O28" s="572"/>
      <c r="P28" s="572"/>
      <c r="Q28" s="573"/>
      <c r="R28" s="668"/>
      <c r="S28" s="572"/>
      <c r="T28" s="572"/>
      <c r="U28" s="572"/>
      <c r="V28" s="573"/>
      <c r="W28" s="572"/>
      <c r="X28" s="572"/>
      <c r="Y28" s="670"/>
      <c r="AC28" s="152"/>
      <c r="AD28" s="152"/>
      <c r="AE28" s="152"/>
      <c r="AF28" s="152"/>
      <c r="AG28" s="152"/>
    </row>
    <row r="29" spans="1:35" s="151" customFormat="1" ht="19.5" customHeight="1" x14ac:dyDescent="0.15">
      <c r="A29" s="565" t="s">
        <v>75</v>
      </c>
      <c r="B29" s="566"/>
      <c r="C29" s="566"/>
      <c r="D29" s="567"/>
      <c r="E29" s="26" t="s">
        <v>76</v>
      </c>
      <c r="F29" s="27"/>
      <c r="G29" s="27"/>
      <c r="H29" s="27"/>
      <c r="I29" s="28"/>
      <c r="J29" s="27"/>
      <c r="K29" s="28"/>
      <c r="L29" s="27"/>
      <c r="M29" s="29"/>
      <c r="N29" s="29"/>
      <c r="O29" s="29"/>
      <c r="P29" s="29"/>
      <c r="Q29" s="30"/>
      <c r="R29" s="584" t="s">
        <v>77</v>
      </c>
      <c r="S29" s="761"/>
      <c r="T29" s="761"/>
      <c r="U29" s="761"/>
      <c r="V29" s="762"/>
      <c r="W29" s="602" t="str">
        <f>IF(F31&gt;400,"×","○")</f>
        <v>○</v>
      </c>
      <c r="X29" s="603"/>
      <c r="Y29" s="604"/>
      <c r="AC29" s="152"/>
      <c r="AD29" s="152"/>
      <c r="AE29" s="152"/>
      <c r="AF29" s="152"/>
      <c r="AG29" s="152"/>
    </row>
    <row r="30" spans="1:35" s="151" customFormat="1" ht="19.5" customHeight="1" x14ac:dyDescent="0.15">
      <c r="A30" s="568"/>
      <c r="B30" s="569"/>
      <c r="C30" s="569"/>
      <c r="D30" s="570"/>
      <c r="E30" s="31"/>
      <c r="F30" s="32"/>
      <c r="G30" s="33" t="s">
        <v>78</v>
      </c>
      <c r="H30" s="611">
        <f>MAX(D13,D19/2)</f>
        <v>8</v>
      </c>
      <c r="I30" s="611"/>
      <c r="J30" s="34" t="s">
        <v>79</v>
      </c>
      <c r="K30" s="35"/>
      <c r="L30" s="35"/>
      <c r="M30" s="34"/>
      <c r="N30" s="36"/>
      <c r="O30" s="32"/>
      <c r="P30" s="32"/>
      <c r="Q30" s="37"/>
      <c r="R30" s="763"/>
      <c r="S30" s="764"/>
      <c r="T30" s="764"/>
      <c r="U30" s="764"/>
      <c r="V30" s="765"/>
      <c r="W30" s="605"/>
      <c r="X30" s="606"/>
      <c r="Y30" s="607"/>
      <c r="AC30" s="152"/>
      <c r="AD30" s="152"/>
      <c r="AE30" s="152"/>
      <c r="AF30" s="152"/>
      <c r="AG30" s="152"/>
    </row>
    <row r="31" spans="1:35" s="151" customFormat="1" ht="19.5" customHeight="1" x14ac:dyDescent="0.15">
      <c r="A31" s="571"/>
      <c r="B31" s="572"/>
      <c r="C31" s="572"/>
      <c r="D31" s="573"/>
      <c r="E31" s="38" t="s">
        <v>80</v>
      </c>
      <c r="F31" s="620">
        <v>140</v>
      </c>
      <c r="G31" s="620"/>
      <c r="H31" s="39" t="s">
        <v>81</v>
      </c>
      <c r="I31" s="39"/>
      <c r="J31" s="39"/>
      <c r="K31" s="40"/>
      <c r="L31" s="39"/>
      <c r="M31" s="41"/>
      <c r="N31" s="41"/>
      <c r="O31" s="41"/>
      <c r="P31" s="41"/>
      <c r="Q31" s="42"/>
      <c r="R31" s="766"/>
      <c r="S31" s="767"/>
      <c r="T31" s="767"/>
      <c r="U31" s="767"/>
      <c r="V31" s="768"/>
      <c r="W31" s="608"/>
      <c r="X31" s="609"/>
      <c r="Y31" s="610"/>
      <c r="AC31" s="152"/>
      <c r="AD31" s="152"/>
      <c r="AE31" s="152"/>
      <c r="AF31" s="152"/>
      <c r="AG31" s="152"/>
    </row>
    <row r="32" spans="1:35" s="151" customFormat="1" ht="19.5" customHeight="1" x14ac:dyDescent="0.15">
      <c r="A32" s="565" t="s">
        <v>82</v>
      </c>
      <c r="B32" s="566"/>
      <c r="C32" s="566"/>
      <c r="D32" s="567"/>
      <c r="E32" s="29" t="s">
        <v>83</v>
      </c>
      <c r="F32" s="27"/>
      <c r="G32" s="27" t="s">
        <v>55</v>
      </c>
      <c r="H32" s="781" t="s">
        <v>84</v>
      </c>
      <c r="I32" s="781"/>
      <c r="J32" s="27" t="s">
        <v>85</v>
      </c>
      <c r="K32" s="104">
        <v>15</v>
      </c>
      <c r="L32" s="43" t="s">
        <v>86</v>
      </c>
      <c r="M32" s="44">
        <v>60</v>
      </c>
      <c r="N32" s="27" t="s">
        <v>87</v>
      </c>
      <c r="O32" s="29" t="s">
        <v>612</v>
      </c>
      <c r="P32" s="29"/>
      <c r="Q32" s="30"/>
      <c r="R32" s="502" t="s">
        <v>88</v>
      </c>
      <c r="S32" s="503"/>
      <c r="T32" s="503"/>
      <c r="U32" s="503"/>
      <c r="V32" s="504"/>
      <c r="W32" s="622" t="str">
        <f>IF(H34*1.5&gt;N36+T37,"×","○")</f>
        <v>○</v>
      </c>
      <c r="X32" s="623"/>
      <c r="Y32" s="624"/>
      <c r="AC32" s="152"/>
      <c r="AD32" s="152"/>
      <c r="AE32" s="152"/>
      <c r="AF32" s="152"/>
      <c r="AG32" s="152"/>
    </row>
    <row r="33" spans="1:33" s="151" customFormat="1" ht="19.5" customHeight="1" x14ac:dyDescent="0.15">
      <c r="A33" s="568"/>
      <c r="B33" s="569"/>
      <c r="C33" s="569"/>
      <c r="D33" s="570"/>
      <c r="E33" s="45"/>
      <c r="F33" s="46"/>
      <c r="G33" s="36" t="s">
        <v>89</v>
      </c>
      <c r="H33" s="782">
        <f>ROUNDUP((D13*K32)/1000,1)</f>
        <v>0.2</v>
      </c>
      <c r="I33" s="782"/>
      <c r="J33" s="47" t="s">
        <v>90</v>
      </c>
      <c r="K33" s="782">
        <f>ROUNDUP((D13*M32)/1000,1)</f>
        <v>0.5</v>
      </c>
      <c r="L33" s="782"/>
      <c r="M33" s="48"/>
      <c r="N33" s="783"/>
      <c r="O33" s="783"/>
      <c r="P33" s="40"/>
      <c r="Q33" s="42"/>
      <c r="R33" s="505"/>
      <c r="S33" s="506"/>
      <c r="T33" s="506"/>
      <c r="U33" s="506"/>
      <c r="V33" s="507"/>
      <c r="W33" s="625"/>
      <c r="X33" s="626"/>
      <c r="Y33" s="627"/>
      <c r="AC33" s="152"/>
      <c r="AD33" s="152"/>
      <c r="AE33" s="152"/>
      <c r="AF33" s="152"/>
      <c r="AG33" s="152"/>
    </row>
    <row r="34" spans="1:33" s="151" customFormat="1" ht="19.5" customHeight="1" x14ac:dyDescent="0.15">
      <c r="A34" s="568"/>
      <c r="B34" s="569"/>
      <c r="C34" s="569"/>
      <c r="D34" s="570"/>
      <c r="E34" s="49" t="s">
        <v>91</v>
      </c>
      <c r="F34" s="46"/>
      <c r="G34" s="48"/>
      <c r="H34" s="784">
        <f>K33</f>
        <v>0.5</v>
      </c>
      <c r="I34" s="784"/>
      <c r="J34" s="56" t="s">
        <v>602</v>
      </c>
      <c r="K34" s="50" t="s">
        <v>92</v>
      </c>
      <c r="L34" s="47"/>
      <c r="M34" s="48"/>
      <c r="N34" s="51"/>
      <c r="O34" s="51"/>
      <c r="P34" s="40"/>
      <c r="Q34" s="42"/>
      <c r="R34" s="505"/>
      <c r="S34" s="506"/>
      <c r="T34" s="506"/>
      <c r="U34" s="506"/>
      <c r="V34" s="507"/>
      <c r="W34" s="625"/>
      <c r="X34" s="626"/>
      <c r="Y34" s="627"/>
      <c r="AC34" s="152"/>
      <c r="AD34" s="152"/>
      <c r="AE34" s="152"/>
      <c r="AF34" s="152"/>
      <c r="AG34" s="152"/>
    </row>
    <row r="35" spans="1:33" s="151" customFormat="1" ht="19.5" customHeight="1" x14ac:dyDescent="0.15">
      <c r="A35" s="568"/>
      <c r="B35" s="569"/>
      <c r="C35" s="569"/>
      <c r="D35" s="570"/>
      <c r="E35" s="52" t="s">
        <v>93</v>
      </c>
      <c r="F35" s="53"/>
      <c r="G35" s="53"/>
      <c r="H35" s="53"/>
      <c r="I35" s="34"/>
      <c r="J35" s="34"/>
      <c r="K35" s="34"/>
      <c r="L35" s="34"/>
      <c r="M35" s="54"/>
      <c r="N35" s="41"/>
      <c r="O35" s="41"/>
      <c r="P35" s="41"/>
      <c r="Q35" s="37"/>
      <c r="R35" s="508"/>
      <c r="S35" s="509"/>
      <c r="T35" s="509"/>
      <c r="U35" s="509"/>
      <c r="V35" s="510"/>
      <c r="W35" s="625"/>
      <c r="X35" s="626"/>
      <c r="Y35" s="627"/>
      <c r="AC35" s="152"/>
      <c r="AD35" s="152"/>
      <c r="AE35" s="152"/>
      <c r="AF35" s="152"/>
      <c r="AG35" s="152"/>
    </row>
    <row r="36" spans="1:33" s="151" customFormat="1" ht="19.5" customHeight="1" x14ac:dyDescent="0.15">
      <c r="A36" s="568"/>
      <c r="B36" s="569"/>
      <c r="C36" s="569"/>
      <c r="D36" s="570"/>
      <c r="E36" s="55" t="s">
        <v>142</v>
      </c>
      <c r="F36" s="501">
        <f>H37*K37</f>
        <v>12</v>
      </c>
      <c r="G36" s="501"/>
      <c r="H36" s="56" t="s">
        <v>601</v>
      </c>
      <c r="I36" s="40" t="s">
        <v>599</v>
      </c>
      <c r="J36" s="500">
        <f>N37</f>
        <v>1</v>
      </c>
      <c r="K36" s="500"/>
      <c r="L36" s="56" t="s">
        <v>146</v>
      </c>
      <c r="M36" s="347" t="s">
        <v>598</v>
      </c>
      <c r="N36" s="501">
        <f>ROUND(F36*J36,2)</f>
        <v>12</v>
      </c>
      <c r="O36" s="501"/>
      <c r="P36" s="56" t="s">
        <v>603</v>
      </c>
      <c r="Q36" s="42"/>
      <c r="R36" s="511" t="s">
        <v>606</v>
      </c>
      <c r="S36" s="512"/>
      <c r="T36" s="512"/>
      <c r="U36" s="512"/>
      <c r="V36" s="513"/>
      <c r="W36" s="625"/>
      <c r="X36" s="626"/>
      <c r="Y36" s="627"/>
      <c r="AC36" s="152"/>
      <c r="AD36" s="152"/>
      <c r="AE36" s="152"/>
      <c r="AF36" s="152"/>
      <c r="AG36" s="152"/>
    </row>
    <row r="37" spans="1:33" ht="19.5" customHeight="1" x14ac:dyDescent="0.15">
      <c r="A37" s="571"/>
      <c r="B37" s="572"/>
      <c r="C37" s="572"/>
      <c r="D37" s="573"/>
      <c r="E37" s="632" t="s">
        <v>94</v>
      </c>
      <c r="F37" s="633"/>
      <c r="G37" s="57"/>
      <c r="H37" s="634">
        <v>4</v>
      </c>
      <c r="I37" s="634"/>
      <c r="J37" s="141" t="s">
        <v>597</v>
      </c>
      <c r="K37" s="635">
        <v>3</v>
      </c>
      <c r="L37" s="635"/>
      <c r="M37" s="142" t="s">
        <v>85</v>
      </c>
      <c r="N37" s="613">
        <v>1</v>
      </c>
      <c r="O37" s="613"/>
      <c r="P37" s="143" t="s">
        <v>95</v>
      </c>
      <c r="Q37" s="58" t="s">
        <v>96</v>
      </c>
      <c r="R37" s="353" t="s">
        <v>605</v>
      </c>
      <c r="S37" s="352"/>
      <c r="T37" s="514"/>
      <c r="U37" s="514"/>
      <c r="V37" s="354" t="s">
        <v>604</v>
      </c>
      <c r="W37" s="628"/>
      <c r="X37" s="629"/>
      <c r="Y37" s="630"/>
      <c r="AC37" s="32"/>
      <c r="AD37" s="32"/>
      <c r="AE37" s="32"/>
      <c r="AF37" s="32"/>
      <c r="AG37" s="32"/>
    </row>
    <row r="38" spans="1:33" ht="19.5" customHeight="1" x14ac:dyDescent="0.15">
      <c r="A38" s="614" t="s">
        <v>97</v>
      </c>
      <c r="B38" s="603"/>
      <c r="C38" s="603"/>
      <c r="D38" s="615"/>
      <c r="E38" s="59" t="s">
        <v>98</v>
      </c>
      <c r="F38" s="60" t="s">
        <v>55</v>
      </c>
      <c r="G38" s="60">
        <v>146</v>
      </c>
      <c r="H38" s="61" t="s">
        <v>99</v>
      </c>
      <c r="I38" s="62" t="s">
        <v>100</v>
      </c>
      <c r="J38" s="60"/>
      <c r="K38" s="63"/>
      <c r="L38" s="60" t="s">
        <v>101</v>
      </c>
      <c r="M38" s="60" t="s">
        <v>102</v>
      </c>
      <c r="N38" s="63"/>
      <c r="O38" s="64"/>
      <c r="P38" s="63"/>
      <c r="Q38" s="65"/>
      <c r="R38" s="686" t="s">
        <v>103</v>
      </c>
      <c r="S38" s="687"/>
      <c r="T38" s="687"/>
      <c r="U38" s="687"/>
      <c r="V38" s="688"/>
      <c r="W38" s="636" t="str">
        <f>IF(H41&gt;=40,"○","×")</f>
        <v>○</v>
      </c>
      <c r="X38" s="534"/>
      <c r="Y38" s="637"/>
      <c r="AC38" s="32"/>
      <c r="AD38" s="32"/>
      <c r="AE38" s="32"/>
      <c r="AF38" s="32"/>
      <c r="AG38" s="32"/>
    </row>
    <row r="39" spans="1:33" ht="19.5" customHeight="1" x14ac:dyDescent="0.15">
      <c r="A39" s="616"/>
      <c r="B39" s="606"/>
      <c r="C39" s="606"/>
      <c r="D39" s="617"/>
      <c r="E39" s="59"/>
      <c r="F39" s="64"/>
      <c r="G39" s="60"/>
      <c r="H39" s="60"/>
      <c r="I39" s="60"/>
      <c r="J39" s="60"/>
      <c r="K39" s="60" t="s">
        <v>104</v>
      </c>
      <c r="L39" s="64"/>
      <c r="M39" s="60"/>
      <c r="N39" s="63"/>
      <c r="O39" s="63"/>
      <c r="P39" s="63"/>
      <c r="Q39" s="65"/>
      <c r="R39" s="689"/>
      <c r="S39" s="690"/>
      <c r="T39" s="690"/>
      <c r="U39" s="690"/>
      <c r="V39" s="691"/>
      <c r="W39" s="638"/>
      <c r="X39" s="537"/>
      <c r="Y39" s="639"/>
      <c r="Z39" s="32"/>
      <c r="AA39" s="32"/>
      <c r="AB39" s="32"/>
      <c r="AC39" s="32"/>
      <c r="AD39" s="32"/>
      <c r="AE39" s="32"/>
      <c r="AF39" s="32"/>
      <c r="AG39" s="32"/>
    </row>
    <row r="40" spans="1:33" ht="19.5" customHeight="1" x14ac:dyDescent="0.15">
      <c r="A40" s="616"/>
      <c r="B40" s="606"/>
      <c r="C40" s="606"/>
      <c r="D40" s="617"/>
      <c r="E40" s="66"/>
      <c r="F40" s="67" t="s">
        <v>52</v>
      </c>
      <c r="G40" s="695">
        <f>ROUNDUP(146*SQRT(F31/(1000*1.5)),1)</f>
        <v>44.7</v>
      </c>
      <c r="H40" s="695"/>
      <c r="I40" s="67" t="s">
        <v>105</v>
      </c>
      <c r="J40" s="68" t="s">
        <v>106</v>
      </c>
      <c r="K40" s="525">
        <f>ROUNDUP(146*SQRT(F31/(1000*1)),1)</f>
        <v>54.7</v>
      </c>
      <c r="L40" s="525"/>
      <c r="M40" s="67" t="s">
        <v>107</v>
      </c>
      <c r="N40" s="63"/>
      <c r="O40" s="63"/>
      <c r="P40" s="63"/>
      <c r="Q40" s="65"/>
      <c r="R40" s="689"/>
      <c r="S40" s="690"/>
      <c r="T40" s="690"/>
      <c r="U40" s="690"/>
      <c r="V40" s="691"/>
      <c r="W40" s="638"/>
      <c r="X40" s="537"/>
      <c r="Y40" s="639"/>
      <c r="Z40" s="32"/>
      <c r="AA40" s="32"/>
      <c r="AB40" s="32"/>
      <c r="AC40" s="32"/>
      <c r="AD40" s="32"/>
      <c r="AE40" s="32"/>
      <c r="AF40" s="32"/>
      <c r="AG40" s="32"/>
    </row>
    <row r="41" spans="1:33" ht="19.5" customHeight="1" x14ac:dyDescent="0.15">
      <c r="A41" s="618"/>
      <c r="B41" s="609"/>
      <c r="C41" s="609"/>
      <c r="D41" s="619"/>
      <c r="E41" s="69" t="s">
        <v>80</v>
      </c>
      <c r="F41" s="70" t="s">
        <v>97</v>
      </c>
      <c r="G41" s="70"/>
      <c r="H41" s="685">
        <v>50</v>
      </c>
      <c r="I41" s="685"/>
      <c r="J41" s="70" t="s">
        <v>108</v>
      </c>
      <c r="K41" s="70"/>
      <c r="L41" s="70"/>
      <c r="M41" s="70"/>
      <c r="N41" s="71"/>
      <c r="O41" s="71"/>
      <c r="P41" s="71"/>
      <c r="Q41" s="72"/>
      <c r="R41" s="692"/>
      <c r="S41" s="693"/>
      <c r="T41" s="693"/>
      <c r="U41" s="693"/>
      <c r="V41" s="694"/>
      <c r="W41" s="643"/>
      <c r="X41" s="644"/>
      <c r="Y41" s="645"/>
      <c r="Z41" s="32"/>
      <c r="AA41" s="32"/>
      <c r="AB41" s="32"/>
      <c r="AC41" s="32"/>
      <c r="AD41" s="32"/>
      <c r="AE41" s="32"/>
      <c r="AF41" s="32"/>
      <c r="AG41" s="32"/>
    </row>
    <row r="42" spans="1:33" ht="19.5" customHeight="1" x14ac:dyDescent="0.15">
      <c r="A42" s="515" t="s">
        <v>109</v>
      </c>
      <c r="B42" s="516"/>
      <c r="C42" s="516"/>
      <c r="D42" s="517"/>
      <c r="E42" s="73" t="s">
        <v>110</v>
      </c>
      <c r="F42" s="74" t="s">
        <v>89</v>
      </c>
      <c r="G42" s="74" t="s">
        <v>111</v>
      </c>
      <c r="H42" s="75"/>
      <c r="I42" s="74" t="s">
        <v>112</v>
      </c>
      <c r="J42" s="74" t="s">
        <v>113</v>
      </c>
      <c r="K42" s="75" t="s">
        <v>114</v>
      </c>
      <c r="L42" s="76">
        <v>50</v>
      </c>
      <c r="M42" s="74" t="s">
        <v>115</v>
      </c>
      <c r="N42" s="75"/>
      <c r="O42" s="75"/>
      <c r="P42" s="75"/>
      <c r="Q42" s="77"/>
      <c r="R42" s="686" t="s">
        <v>116</v>
      </c>
      <c r="S42" s="696"/>
      <c r="T42" s="696"/>
      <c r="U42" s="696"/>
      <c r="V42" s="697"/>
      <c r="W42" s="636" t="str">
        <f>IF(AND(G43&gt;= 0.6, G43&lt;=3),"○","×")</f>
        <v>○</v>
      </c>
      <c r="X42" s="534"/>
      <c r="Y42" s="637"/>
      <c r="Z42" s="32"/>
      <c r="AA42" s="32"/>
      <c r="AB42" s="32"/>
      <c r="AC42" s="32"/>
      <c r="AD42" s="32"/>
      <c r="AE42" s="32"/>
      <c r="AF42" s="32"/>
      <c r="AG42" s="32"/>
    </row>
    <row r="43" spans="1:33" ht="19.5" customHeight="1" x14ac:dyDescent="0.15">
      <c r="A43" s="518"/>
      <c r="B43" s="519"/>
      <c r="C43" s="519"/>
      <c r="D43" s="520"/>
      <c r="E43" s="66"/>
      <c r="F43" s="78" t="s">
        <v>89</v>
      </c>
      <c r="G43" s="646">
        <f>ROUND((F31/(1000*60))/(((L42/2)/1000)^2*PI()),2)</f>
        <v>1.19</v>
      </c>
      <c r="H43" s="646"/>
      <c r="I43" s="78" t="s">
        <v>117</v>
      </c>
      <c r="J43" s="67"/>
      <c r="K43" s="67"/>
      <c r="L43" s="67"/>
      <c r="M43" s="67"/>
      <c r="N43" s="79"/>
      <c r="O43" s="79"/>
      <c r="P43" s="79"/>
      <c r="Q43" s="80"/>
      <c r="R43" s="698"/>
      <c r="S43" s="699"/>
      <c r="T43" s="699"/>
      <c r="U43" s="699"/>
      <c r="V43" s="700"/>
      <c r="W43" s="638"/>
      <c r="X43" s="537"/>
      <c r="Y43" s="639"/>
      <c r="Z43" s="32"/>
      <c r="AA43" s="32"/>
      <c r="AB43" s="32"/>
      <c r="AC43" s="32"/>
      <c r="AD43" s="32"/>
      <c r="AE43" s="32"/>
      <c r="AF43" s="32"/>
      <c r="AG43" s="32"/>
    </row>
    <row r="44" spans="1:33" ht="19.5" customHeight="1" x14ac:dyDescent="0.15">
      <c r="A44" s="518"/>
      <c r="B44" s="519"/>
      <c r="C44" s="519"/>
      <c r="D44" s="520"/>
      <c r="E44" s="81" t="s">
        <v>110</v>
      </c>
      <c r="F44" s="82" t="s">
        <v>89</v>
      </c>
      <c r="G44" s="82" t="s">
        <v>111</v>
      </c>
      <c r="H44" s="83"/>
      <c r="I44" s="82" t="s">
        <v>118</v>
      </c>
      <c r="J44" s="82" t="s">
        <v>119</v>
      </c>
      <c r="K44" s="83" t="s">
        <v>114</v>
      </c>
      <c r="L44" s="84">
        <v>65</v>
      </c>
      <c r="M44" s="85" t="s">
        <v>120</v>
      </c>
      <c r="N44" s="83"/>
      <c r="O44" s="83"/>
      <c r="P44" s="83"/>
      <c r="Q44" s="86"/>
      <c r="R44" s="698"/>
      <c r="S44" s="699"/>
      <c r="T44" s="699"/>
      <c r="U44" s="699"/>
      <c r="V44" s="700"/>
      <c r="W44" s="677" t="str">
        <f>IF(ISNUMBER(L44),IF(G45&gt;=0.6,"○","×")," ")</f>
        <v>○</v>
      </c>
      <c r="X44" s="678"/>
      <c r="Y44" s="679"/>
      <c r="Z44" s="32"/>
      <c r="AA44" s="32"/>
      <c r="AB44" s="32"/>
      <c r="AC44" s="32"/>
      <c r="AD44" s="32"/>
      <c r="AE44" s="32"/>
      <c r="AF44" s="32"/>
      <c r="AG44" s="32"/>
    </row>
    <row r="45" spans="1:33" ht="19.5" customHeight="1" x14ac:dyDescent="0.15">
      <c r="A45" s="518"/>
      <c r="B45" s="519"/>
      <c r="C45" s="519"/>
      <c r="D45" s="520"/>
      <c r="E45" s="87"/>
      <c r="F45" s="88" t="s">
        <v>57</v>
      </c>
      <c r="G45" s="683">
        <f>IF(ISNUMBER(L44),ROUND((F31/(1000*60))/(((L44/2)/1000)^2*PI()),2),"　")</f>
        <v>0.7</v>
      </c>
      <c r="H45" s="683"/>
      <c r="I45" s="89" t="s">
        <v>121</v>
      </c>
      <c r="J45" s="90"/>
      <c r="K45" s="90"/>
      <c r="L45" s="90"/>
      <c r="M45" s="91"/>
      <c r="N45" s="92"/>
      <c r="O45" s="92"/>
      <c r="P45" s="92"/>
      <c r="Q45" s="93"/>
      <c r="R45" s="701"/>
      <c r="S45" s="702"/>
      <c r="T45" s="702"/>
      <c r="U45" s="702"/>
      <c r="V45" s="703"/>
      <c r="W45" s="680"/>
      <c r="X45" s="681"/>
      <c r="Y45" s="682"/>
      <c r="Z45" s="32"/>
      <c r="AA45" s="32"/>
      <c r="AB45" s="32"/>
      <c r="AC45" s="32"/>
      <c r="AD45" s="32"/>
      <c r="AE45" s="32"/>
      <c r="AF45" s="32"/>
      <c r="AG45" s="32"/>
    </row>
    <row r="46" spans="1:33" ht="19.5" customHeight="1" x14ac:dyDescent="0.15">
      <c r="A46" s="518"/>
      <c r="B46" s="519"/>
      <c r="C46" s="519"/>
      <c r="D46" s="520"/>
      <c r="E46" s="66" t="s">
        <v>122</v>
      </c>
      <c r="F46" s="78"/>
      <c r="G46" s="94"/>
      <c r="H46" s="94"/>
      <c r="I46" s="95"/>
      <c r="J46" s="67"/>
      <c r="K46" s="67"/>
      <c r="L46" s="67"/>
      <c r="M46" s="96"/>
      <c r="N46" s="79"/>
      <c r="O46" s="79"/>
      <c r="P46" s="79"/>
      <c r="Q46" s="79"/>
      <c r="R46" s="97"/>
      <c r="S46" s="97"/>
      <c r="T46" s="97"/>
      <c r="U46" s="97"/>
      <c r="V46" s="97"/>
      <c r="W46" s="98"/>
      <c r="X46" s="98"/>
      <c r="Y46" s="99"/>
      <c r="Z46" s="32"/>
      <c r="AA46" s="32"/>
      <c r="AB46" s="32"/>
      <c r="AC46" s="32"/>
      <c r="AD46" s="32"/>
      <c r="AE46" s="32"/>
      <c r="AF46" s="32"/>
      <c r="AG46" s="32"/>
    </row>
    <row r="47" spans="1:33" ht="19.5" customHeight="1" x14ac:dyDescent="0.15">
      <c r="A47" s="518"/>
      <c r="B47" s="519"/>
      <c r="C47" s="519"/>
      <c r="D47" s="520"/>
      <c r="E47" s="94"/>
      <c r="F47" s="144"/>
      <c r="G47" s="94"/>
      <c r="H47" s="94"/>
      <c r="I47" s="95"/>
      <c r="J47" s="67"/>
      <c r="K47" s="67"/>
      <c r="L47" s="67"/>
      <c r="M47" s="96"/>
      <c r="N47" s="79"/>
      <c r="O47" s="79"/>
      <c r="P47" s="79"/>
      <c r="Q47" s="79"/>
      <c r="R47" s="135"/>
      <c r="S47" s="135"/>
      <c r="T47" s="135"/>
      <c r="U47" s="135"/>
      <c r="V47" s="135"/>
      <c r="W47" s="98"/>
      <c r="X47" s="98"/>
      <c r="Y47" s="99"/>
      <c r="Z47" s="32"/>
      <c r="AA47" s="32"/>
      <c r="AB47" s="32"/>
      <c r="AC47" s="32"/>
      <c r="AD47" s="32"/>
      <c r="AE47" s="32"/>
      <c r="AF47" s="32"/>
      <c r="AG47" s="32"/>
    </row>
    <row r="48" spans="1:33" ht="19.5" customHeight="1" x14ac:dyDescent="0.15">
      <c r="A48" s="521"/>
      <c r="B48" s="522"/>
      <c r="C48" s="522"/>
      <c r="D48" s="523"/>
      <c r="E48" s="94"/>
      <c r="F48" s="684" t="s">
        <v>123</v>
      </c>
      <c r="G48" s="684"/>
      <c r="H48" s="684"/>
      <c r="I48" s="684"/>
      <c r="J48" s="684"/>
      <c r="K48" s="684"/>
      <c r="L48" s="67"/>
      <c r="M48" s="96"/>
      <c r="N48" s="79"/>
      <c r="O48" s="79"/>
      <c r="P48" s="79"/>
      <c r="Q48" s="79"/>
      <c r="R48" s="135"/>
      <c r="S48" s="135"/>
      <c r="T48" s="135"/>
      <c r="U48" s="135"/>
      <c r="V48" s="135"/>
      <c r="W48" s="98"/>
      <c r="X48" s="98"/>
      <c r="Y48" s="99"/>
    </row>
    <row r="49" spans="1:26" ht="19.5" customHeight="1" x14ac:dyDescent="0.15">
      <c r="A49" s="533" t="s">
        <v>124</v>
      </c>
      <c r="B49" s="534"/>
      <c r="C49" s="534"/>
      <c r="D49" s="535"/>
      <c r="E49" s="100" t="s">
        <v>125</v>
      </c>
      <c r="F49" s="101"/>
      <c r="G49" s="102" t="s">
        <v>126</v>
      </c>
      <c r="H49" s="102" t="s">
        <v>127</v>
      </c>
      <c r="I49" s="704" t="s">
        <v>128</v>
      </c>
      <c r="J49" s="704"/>
      <c r="K49" s="103" t="s">
        <v>129</v>
      </c>
      <c r="L49" s="704" t="s">
        <v>130</v>
      </c>
      <c r="M49" s="704"/>
      <c r="N49" s="103" t="s">
        <v>131</v>
      </c>
      <c r="O49" s="704" t="s">
        <v>132</v>
      </c>
      <c r="P49" s="704"/>
      <c r="Q49" s="103"/>
      <c r="R49" s="593" t="s">
        <v>645</v>
      </c>
      <c r="S49" s="594"/>
      <c r="T49" s="594"/>
      <c r="U49" s="594"/>
      <c r="V49" s="595"/>
      <c r="W49" s="636" t="str">
        <f>IF(G55&gt;=I54,"○","×")</f>
        <v>○</v>
      </c>
      <c r="X49" s="534"/>
      <c r="Y49" s="637"/>
    </row>
    <row r="50" spans="1:26" ht="19.5" customHeight="1" x14ac:dyDescent="0.15">
      <c r="A50" s="536"/>
      <c r="B50" s="537"/>
      <c r="C50" s="537"/>
      <c r="D50" s="538"/>
      <c r="E50" s="105"/>
      <c r="F50" s="63"/>
      <c r="G50" s="63"/>
      <c r="H50" s="63" t="s">
        <v>133</v>
      </c>
      <c r="I50" s="642">
        <f>J71</f>
        <v>4.6500000000000004</v>
      </c>
      <c r="J50" s="642"/>
      <c r="K50" s="63" t="s">
        <v>134</v>
      </c>
      <c r="L50" s="580">
        <f>IF(ISNUMBER(L44),J78+J95,J78)</f>
        <v>0.43799999999999994</v>
      </c>
      <c r="M50" s="580"/>
      <c r="N50" s="79" t="s">
        <v>135</v>
      </c>
      <c r="O50" s="525">
        <f>J74</f>
        <v>2.5000000000000001E-2</v>
      </c>
      <c r="P50" s="525"/>
      <c r="Q50" s="63"/>
      <c r="R50" s="596"/>
      <c r="S50" s="597"/>
      <c r="T50" s="597"/>
      <c r="U50" s="597"/>
      <c r="V50" s="598"/>
      <c r="W50" s="638"/>
      <c r="X50" s="537"/>
      <c r="Y50" s="639"/>
      <c r="Z50" s="151"/>
    </row>
    <row r="51" spans="1:26" ht="19.5" customHeight="1" x14ac:dyDescent="0.15">
      <c r="A51" s="536"/>
      <c r="B51" s="537"/>
      <c r="C51" s="537"/>
      <c r="D51" s="538"/>
      <c r="E51" s="105"/>
      <c r="F51" s="63"/>
      <c r="G51" s="63"/>
      <c r="H51" s="63" t="s">
        <v>133</v>
      </c>
      <c r="I51" s="580">
        <f>I50+L50+O50</f>
        <v>5.1130000000000004</v>
      </c>
      <c r="J51" s="525"/>
      <c r="K51" s="63" t="s">
        <v>136</v>
      </c>
      <c r="L51" s="63"/>
      <c r="M51" s="63"/>
      <c r="N51" s="63"/>
      <c r="O51" s="63"/>
      <c r="P51" s="63"/>
      <c r="Q51" s="65"/>
      <c r="R51" s="596"/>
      <c r="S51" s="597"/>
      <c r="T51" s="597"/>
      <c r="U51" s="597"/>
      <c r="V51" s="598"/>
      <c r="W51" s="638"/>
      <c r="X51" s="537"/>
      <c r="Y51" s="639"/>
    </row>
    <row r="52" spans="1:26" ht="19.5" customHeight="1" x14ac:dyDescent="0.15">
      <c r="A52" s="536"/>
      <c r="B52" s="537"/>
      <c r="C52" s="537"/>
      <c r="D52" s="538"/>
      <c r="E52" s="106"/>
      <c r="F52" s="63" t="s">
        <v>137</v>
      </c>
      <c r="G52" s="63"/>
      <c r="H52" s="63">
        <f>L53</f>
        <v>1.2</v>
      </c>
      <c r="I52" s="63" t="s">
        <v>138</v>
      </c>
      <c r="J52" s="63"/>
      <c r="K52" s="63" t="s">
        <v>139</v>
      </c>
      <c r="L52" s="63"/>
      <c r="M52" s="63"/>
      <c r="N52" s="63"/>
      <c r="O52" s="63"/>
      <c r="P52" s="63"/>
      <c r="Q52" s="65"/>
      <c r="R52" s="596"/>
      <c r="S52" s="597"/>
      <c r="T52" s="597"/>
      <c r="U52" s="597"/>
      <c r="V52" s="598"/>
      <c r="W52" s="638"/>
      <c r="X52" s="537"/>
      <c r="Y52" s="639"/>
    </row>
    <row r="53" spans="1:26" ht="19.5" customHeight="1" x14ac:dyDescent="0.15">
      <c r="A53" s="536"/>
      <c r="B53" s="537"/>
      <c r="C53" s="537"/>
      <c r="D53" s="538"/>
      <c r="E53" s="105"/>
      <c r="F53" s="63"/>
      <c r="G53" s="63" t="s">
        <v>140</v>
      </c>
      <c r="H53" s="63" t="s">
        <v>133</v>
      </c>
      <c r="I53" s="580">
        <f>I51</f>
        <v>5.1130000000000004</v>
      </c>
      <c r="J53" s="580"/>
      <c r="K53" s="63" t="s">
        <v>141</v>
      </c>
      <c r="L53" s="145">
        <v>1.2</v>
      </c>
      <c r="M53" s="63"/>
      <c r="N53" s="63"/>
      <c r="O53" s="63"/>
      <c r="P53" s="63"/>
      <c r="Q53" s="65"/>
      <c r="R53" s="596"/>
      <c r="S53" s="597"/>
      <c r="T53" s="597"/>
      <c r="U53" s="597"/>
      <c r="V53" s="598"/>
      <c r="W53" s="638"/>
      <c r="X53" s="537"/>
      <c r="Y53" s="639"/>
    </row>
    <row r="54" spans="1:26" ht="19.5" customHeight="1" x14ac:dyDescent="0.15">
      <c r="A54" s="536"/>
      <c r="B54" s="537"/>
      <c r="C54" s="537"/>
      <c r="D54" s="538"/>
      <c r="E54" s="105"/>
      <c r="F54" s="63"/>
      <c r="G54" s="63"/>
      <c r="H54" s="63" t="s">
        <v>142</v>
      </c>
      <c r="I54" s="581">
        <f>ROUND(I53*L53,3)</f>
        <v>6.1360000000000001</v>
      </c>
      <c r="J54" s="581"/>
      <c r="K54" s="63" t="s">
        <v>143</v>
      </c>
      <c r="L54" s="63"/>
      <c r="M54" s="63"/>
      <c r="N54" s="63"/>
      <c r="O54" s="63"/>
      <c r="P54" s="63"/>
      <c r="Q54" s="65"/>
      <c r="R54" s="596"/>
      <c r="S54" s="597"/>
      <c r="T54" s="597"/>
      <c r="U54" s="597"/>
      <c r="V54" s="598"/>
      <c r="W54" s="638"/>
      <c r="X54" s="537"/>
      <c r="Y54" s="639"/>
    </row>
    <row r="55" spans="1:26" ht="19.5" customHeight="1" thickBot="1" x14ac:dyDescent="0.2">
      <c r="A55" s="539"/>
      <c r="B55" s="540"/>
      <c r="C55" s="540"/>
      <c r="D55" s="541"/>
      <c r="E55" s="107" t="s">
        <v>144</v>
      </c>
      <c r="F55" s="108" t="s">
        <v>145</v>
      </c>
      <c r="G55" s="582">
        <f>ROUNDUP(I54,0)</f>
        <v>7</v>
      </c>
      <c r="H55" s="582"/>
      <c r="I55" s="108" t="s">
        <v>146</v>
      </c>
      <c r="J55" s="108" t="s">
        <v>147</v>
      </c>
      <c r="K55" s="108"/>
      <c r="L55" s="109"/>
      <c r="M55" s="108"/>
      <c r="N55" s="108"/>
      <c r="O55" s="108"/>
      <c r="P55" s="108"/>
      <c r="Q55" s="110"/>
      <c r="R55" s="599"/>
      <c r="S55" s="600"/>
      <c r="T55" s="600"/>
      <c r="U55" s="600"/>
      <c r="V55" s="601"/>
      <c r="W55" s="640"/>
      <c r="X55" s="540"/>
      <c r="Y55" s="641"/>
    </row>
    <row r="56" spans="1:26" ht="19.5" customHeight="1" x14ac:dyDescent="0.15">
      <c r="A56" s="64"/>
      <c r="B56" s="64"/>
      <c r="C56" s="64"/>
      <c r="D56" s="64"/>
      <c r="E56" s="64"/>
      <c r="F56" s="64"/>
      <c r="G56" s="64"/>
      <c r="H56" s="64"/>
      <c r="I56" s="64"/>
      <c r="J56" s="64"/>
      <c r="K56" s="64"/>
      <c r="L56" s="64"/>
      <c r="M56" s="64"/>
      <c r="N56" s="64"/>
      <c r="O56" s="64"/>
      <c r="P56" s="64"/>
      <c r="Q56" s="64"/>
      <c r="R56" s="64"/>
      <c r="S56" s="64"/>
      <c r="T56" s="64"/>
      <c r="U56" s="64"/>
      <c r="V56" s="64"/>
      <c r="W56" s="64"/>
      <c r="X56" s="64"/>
      <c r="Y56" s="64"/>
    </row>
    <row r="57" spans="1:26" ht="19.5" customHeight="1" x14ac:dyDescent="0.15">
      <c r="A57" s="64"/>
      <c r="B57" s="64"/>
      <c r="C57" s="64"/>
      <c r="D57" s="64"/>
      <c r="E57" s="64"/>
      <c r="F57" s="64"/>
      <c r="G57" s="64"/>
      <c r="H57" s="64"/>
      <c r="I57" s="64"/>
      <c r="J57" s="64"/>
      <c r="K57" s="64"/>
      <c r="L57" s="64"/>
      <c r="M57" s="64"/>
      <c r="N57" s="64"/>
      <c r="O57" s="64"/>
      <c r="P57" s="64"/>
      <c r="Q57" s="64"/>
      <c r="R57" s="64"/>
      <c r="S57" s="64"/>
      <c r="T57" s="64"/>
      <c r="U57" s="64"/>
      <c r="V57" s="64"/>
      <c r="W57" s="64"/>
      <c r="X57" s="64"/>
      <c r="Y57" s="64"/>
    </row>
    <row r="58" spans="1:26" ht="19.5" customHeight="1" x14ac:dyDescent="0.15">
      <c r="A58" s="60" t="s">
        <v>148</v>
      </c>
      <c r="B58" s="60"/>
      <c r="C58" s="60"/>
      <c r="D58" s="176" t="s">
        <v>32</v>
      </c>
      <c r="E58" s="177"/>
      <c r="F58" s="177"/>
      <c r="G58" s="177"/>
      <c r="H58" s="177"/>
      <c r="I58" s="178"/>
      <c r="J58" s="111" t="s">
        <v>149</v>
      </c>
      <c r="K58" s="64"/>
      <c r="R58" s="64"/>
      <c r="S58" s="64"/>
      <c r="T58" s="64"/>
      <c r="U58" s="64"/>
      <c r="V58" s="64"/>
      <c r="W58" s="64"/>
      <c r="X58" s="64"/>
      <c r="Y58" s="64"/>
    </row>
    <row r="59" spans="1:26" ht="19.5" customHeight="1" x14ac:dyDescent="0.15">
      <c r="A59" s="60"/>
      <c r="B59" s="60"/>
      <c r="C59" s="179"/>
      <c r="D59" s="176" t="s">
        <v>150</v>
      </c>
      <c r="E59" s="177"/>
      <c r="F59" s="177"/>
      <c r="G59" s="177"/>
      <c r="H59" s="177"/>
      <c r="I59" s="178"/>
      <c r="J59" s="112"/>
      <c r="K59" s="64"/>
      <c r="L59" s="180" t="s">
        <v>151</v>
      </c>
      <c r="M59" s="64"/>
      <c r="N59" s="64"/>
      <c r="O59" s="146"/>
      <c r="P59" s="64" t="s">
        <v>152</v>
      </c>
      <c r="Q59" s="64"/>
      <c r="R59" s="181" t="s">
        <v>153</v>
      </c>
      <c r="S59" s="64"/>
      <c r="T59" s="64"/>
      <c r="U59" s="64"/>
      <c r="V59" s="64"/>
      <c r="W59" s="64"/>
      <c r="X59" s="64"/>
      <c r="Y59" s="64"/>
    </row>
    <row r="60" spans="1:26" ht="19.5" customHeight="1" x14ac:dyDescent="0.15">
      <c r="A60" s="60"/>
      <c r="B60" s="60"/>
      <c r="C60" s="179"/>
      <c r="D60" s="176" t="s">
        <v>154</v>
      </c>
      <c r="E60" s="177"/>
      <c r="F60" s="177"/>
      <c r="G60" s="177"/>
      <c r="H60" s="177"/>
      <c r="I60" s="178"/>
      <c r="J60" s="112"/>
      <c r="K60" s="64"/>
      <c r="L60" s="64"/>
      <c r="M60" s="64"/>
      <c r="N60" s="64"/>
      <c r="O60" s="64"/>
      <c r="P60" s="64"/>
      <c r="Q60" s="64"/>
      <c r="R60" s="64"/>
      <c r="S60" s="64"/>
      <c r="T60" s="64"/>
      <c r="U60" s="64"/>
      <c r="V60" s="64"/>
      <c r="W60" s="64"/>
      <c r="X60" s="64"/>
      <c r="Y60" s="64"/>
    </row>
    <row r="61" spans="1:26" ht="19.5" customHeight="1" x14ac:dyDescent="0.15">
      <c r="A61" s="60"/>
      <c r="B61" s="60"/>
      <c r="C61" s="179"/>
      <c r="D61" s="486" t="s">
        <v>155</v>
      </c>
      <c r="E61" s="487"/>
      <c r="F61" s="487"/>
      <c r="G61" s="487"/>
      <c r="H61" s="487"/>
      <c r="I61" s="488"/>
      <c r="J61" s="112"/>
      <c r="K61" s="64"/>
      <c r="L61" s="64"/>
      <c r="M61" s="64"/>
      <c r="N61" s="64"/>
      <c r="O61" s="64"/>
      <c r="P61" s="64"/>
      <c r="Q61" s="64"/>
      <c r="R61" s="64"/>
      <c r="S61" s="64"/>
      <c r="T61" s="64"/>
      <c r="U61" s="64"/>
      <c r="V61" s="64"/>
      <c r="W61" s="64"/>
      <c r="X61" s="64"/>
      <c r="Y61" s="64"/>
    </row>
    <row r="62" spans="1:26" ht="19.5" customHeight="1" x14ac:dyDescent="0.15">
      <c r="A62" s="60"/>
      <c r="B62" s="60"/>
      <c r="C62" s="179"/>
      <c r="D62" s="60"/>
      <c r="E62" s="60"/>
      <c r="F62" s="60"/>
      <c r="G62" s="60"/>
      <c r="H62" s="60"/>
      <c r="I62" s="60"/>
      <c r="J62" s="64"/>
      <c r="K62" s="64"/>
      <c r="L62" s="64"/>
      <c r="M62" s="64"/>
      <c r="N62" s="64"/>
      <c r="O62" s="64"/>
      <c r="P62" s="64"/>
      <c r="Q62" s="64"/>
      <c r="R62" s="64"/>
      <c r="S62" s="64"/>
      <c r="T62" s="64"/>
      <c r="U62" s="64"/>
      <c r="V62" s="64"/>
      <c r="W62" s="64"/>
      <c r="X62" s="64"/>
      <c r="Y62" s="64"/>
    </row>
    <row r="63" spans="1:26" ht="19.5" customHeight="1" x14ac:dyDescent="0.15">
      <c r="A63" s="182" t="s">
        <v>156</v>
      </c>
      <c r="B63" s="64"/>
      <c r="C63" s="64"/>
      <c r="D63" s="64"/>
      <c r="E63" s="64"/>
      <c r="F63" s="64"/>
      <c r="G63" s="64"/>
      <c r="H63" s="64"/>
      <c r="I63" s="64"/>
      <c r="J63" s="64"/>
      <c r="K63" s="64"/>
      <c r="L63" s="64"/>
      <c r="M63" s="64"/>
      <c r="N63" s="64"/>
      <c r="O63" s="64"/>
      <c r="P63" s="64"/>
      <c r="Q63" s="64"/>
      <c r="R63" s="64"/>
      <c r="S63" s="64"/>
      <c r="T63" s="64"/>
      <c r="U63" s="64"/>
      <c r="V63" s="64"/>
      <c r="W63" s="64"/>
      <c r="X63" s="64"/>
      <c r="Y63" s="64"/>
    </row>
    <row r="64" spans="1:26" ht="19.5" customHeight="1" x14ac:dyDescent="0.15">
      <c r="A64" s="64"/>
      <c r="B64" s="183" t="s">
        <v>157</v>
      </c>
      <c r="C64" s="183"/>
      <c r="D64" s="183"/>
      <c r="E64" s="184"/>
      <c r="F64" s="542" t="s">
        <v>158</v>
      </c>
      <c r="G64" s="542"/>
      <c r="H64" s="542"/>
      <c r="I64" s="355"/>
      <c r="J64" s="184"/>
      <c r="K64" s="542" t="s">
        <v>145</v>
      </c>
      <c r="L64" s="542"/>
      <c r="M64" s="183"/>
      <c r="N64" s="183"/>
      <c r="O64" s="542" t="s">
        <v>159</v>
      </c>
      <c r="P64" s="542"/>
      <c r="Q64" s="185"/>
      <c r="R64" s="185"/>
      <c r="S64" s="282" t="s">
        <v>160</v>
      </c>
      <c r="T64" s="64"/>
      <c r="U64" s="64"/>
      <c r="V64" s="64"/>
      <c r="W64" s="64"/>
      <c r="X64" s="64"/>
      <c r="Y64" s="64"/>
      <c r="Z64" s="64"/>
    </row>
    <row r="65" spans="1:26" ht="19.5" customHeight="1" thickBot="1" x14ac:dyDescent="0.2">
      <c r="A65" s="108" t="s">
        <v>161</v>
      </c>
      <c r="B65" s="528">
        <f>F31</f>
        <v>140</v>
      </c>
      <c r="C65" s="529"/>
      <c r="D65" s="108" t="s">
        <v>162</v>
      </c>
      <c r="E65" s="108"/>
      <c r="F65" s="108" t="s">
        <v>141</v>
      </c>
      <c r="G65" s="108">
        <f>H41</f>
        <v>50</v>
      </c>
      <c r="H65" s="108" t="s">
        <v>163</v>
      </c>
      <c r="I65" s="108"/>
      <c r="J65" s="108" t="s">
        <v>164</v>
      </c>
      <c r="K65" s="532">
        <f>G55</f>
        <v>7</v>
      </c>
      <c r="L65" s="532"/>
      <c r="M65" s="108" t="s">
        <v>165</v>
      </c>
      <c r="N65" s="108" t="s">
        <v>164</v>
      </c>
      <c r="O65" s="531">
        <v>0.25</v>
      </c>
      <c r="P65" s="531"/>
      <c r="Q65" s="108" t="s">
        <v>584</v>
      </c>
      <c r="R65" s="108"/>
      <c r="S65" s="373">
        <v>2</v>
      </c>
      <c r="T65" s="108" t="s">
        <v>166</v>
      </c>
      <c r="U65" s="64"/>
      <c r="V65" s="64"/>
      <c r="W65" s="64"/>
      <c r="X65" s="64"/>
      <c r="Y65" s="64"/>
      <c r="Z65" s="64"/>
    </row>
    <row r="66" spans="1:26" ht="19.5" customHeight="1" x14ac:dyDescent="0.15">
      <c r="A66" s="64"/>
      <c r="B66" s="64"/>
      <c r="C66" s="64"/>
      <c r="D66" s="64"/>
      <c r="E66" s="64"/>
      <c r="F66" s="64"/>
      <c r="G66" s="64"/>
      <c r="H66" s="64"/>
      <c r="I66" s="64"/>
      <c r="J66" s="64"/>
      <c r="K66" s="64"/>
      <c r="L66" s="64"/>
      <c r="M66" s="64"/>
      <c r="N66" s="64"/>
      <c r="O66" s="64"/>
      <c r="P66" s="64"/>
      <c r="Q66" s="64"/>
      <c r="R66" s="64"/>
      <c r="S66" s="64"/>
      <c r="T66" s="64"/>
      <c r="U66" s="64"/>
      <c r="V66" s="64"/>
      <c r="W66" s="64"/>
      <c r="X66" s="64"/>
      <c r="Y66" s="64"/>
    </row>
    <row r="67" spans="1:26" ht="19.5" customHeight="1" x14ac:dyDescent="0.15">
      <c r="A67" s="64"/>
      <c r="B67" s="64"/>
      <c r="C67" s="64"/>
      <c r="D67" s="64"/>
      <c r="E67" s="64"/>
      <c r="F67" s="64"/>
      <c r="G67" s="64"/>
      <c r="H67" s="64"/>
      <c r="I67" s="64"/>
      <c r="J67" s="64"/>
      <c r="K67" s="64"/>
      <c r="L67" s="64"/>
      <c r="M67" s="64"/>
      <c r="N67" s="64"/>
      <c r="O67" s="64"/>
      <c r="P67" s="64"/>
      <c r="Q67" s="64"/>
      <c r="R67" s="64"/>
      <c r="S67" s="64"/>
      <c r="T67" s="64"/>
      <c r="U67" s="64"/>
      <c r="V67" s="64"/>
      <c r="W67" s="64"/>
      <c r="X67" s="64"/>
      <c r="Y67" s="64"/>
    </row>
    <row r="68" spans="1:26" ht="19.5" customHeight="1" x14ac:dyDescent="0.15">
      <c r="A68" s="64"/>
      <c r="B68" s="64"/>
      <c r="C68" s="64"/>
      <c r="D68" s="64"/>
      <c r="E68" s="64"/>
      <c r="F68" s="64"/>
      <c r="G68" s="64"/>
      <c r="H68" s="64"/>
      <c r="I68" s="64"/>
      <c r="J68" s="64"/>
      <c r="K68" s="64"/>
      <c r="L68" s="64"/>
      <c r="M68" s="64"/>
      <c r="N68" s="64"/>
      <c r="O68" s="64"/>
      <c r="P68" s="64"/>
      <c r="Q68" s="64"/>
      <c r="R68" s="64"/>
      <c r="S68" s="64"/>
      <c r="T68" s="64"/>
      <c r="U68" s="64"/>
      <c r="V68" s="64"/>
      <c r="W68" s="64"/>
      <c r="X68" s="64"/>
      <c r="Y68" s="64"/>
    </row>
    <row r="69" spans="1:26" ht="26.25" customHeight="1" x14ac:dyDescent="0.15">
      <c r="A69" s="186" t="s">
        <v>167</v>
      </c>
      <c r="B69" s="64"/>
      <c r="C69" s="64"/>
      <c r="D69" s="64"/>
      <c r="E69" s="64"/>
      <c r="F69" s="64"/>
      <c r="G69" s="64"/>
      <c r="H69" s="64"/>
      <c r="I69" s="64"/>
      <c r="J69" s="64"/>
      <c r="K69" s="64"/>
      <c r="L69" s="64"/>
      <c r="M69" s="64"/>
      <c r="N69" s="64"/>
      <c r="O69" s="64"/>
      <c r="P69" s="64"/>
      <c r="Q69" s="64"/>
      <c r="R69" s="64"/>
      <c r="S69" s="64"/>
      <c r="T69" s="64"/>
      <c r="U69" s="64"/>
      <c r="V69" s="64"/>
      <c r="W69" s="64"/>
      <c r="X69" s="64"/>
      <c r="Y69" s="64"/>
    </row>
    <row r="70" spans="1:26" ht="19.5" customHeight="1" x14ac:dyDescent="0.15">
      <c r="A70" s="187"/>
      <c r="B70" s="75"/>
      <c r="C70" s="75"/>
      <c r="D70" s="75"/>
      <c r="E70" s="77"/>
      <c r="F70" s="75"/>
      <c r="G70" s="75"/>
      <c r="H70" s="75"/>
      <c r="I70" s="75"/>
      <c r="J70" s="75"/>
      <c r="K70" s="75"/>
      <c r="L70" s="75"/>
      <c r="M70" s="75"/>
      <c r="N70" s="75"/>
      <c r="O70" s="75"/>
      <c r="P70" s="75"/>
      <c r="Q70" s="75"/>
      <c r="R70" s="77"/>
      <c r="S70" s="75"/>
      <c r="T70" s="75"/>
      <c r="U70" s="75"/>
      <c r="V70" s="75"/>
      <c r="W70" s="75"/>
      <c r="X70" s="77"/>
      <c r="Y70" s="64"/>
    </row>
    <row r="71" spans="1:26" ht="19.5" customHeight="1" x14ac:dyDescent="0.15">
      <c r="A71" s="188" t="s">
        <v>168</v>
      </c>
      <c r="B71" s="67"/>
      <c r="C71" s="189"/>
      <c r="D71" s="189"/>
      <c r="E71" s="65"/>
      <c r="F71" s="60"/>
      <c r="G71" s="63"/>
      <c r="H71" s="63" t="s">
        <v>169</v>
      </c>
      <c r="I71" s="63" t="s">
        <v>170</v>
      </c>
      <c r="J71" s="530">
        <v>4.6500000000000004</v>
      </c>
      <c r="K71" s="530"/>
      <c r="L71" s="63" t="s">
        <v>171</v>
      </c>
      <c r="M71" s="63"/>
      <c r="N71" s="63"/>
      <c r="O71" s="63"/>
      <c r="P71" s="63"/>
      <c r="Q71" s="63"/>
      <c r="R71" s="190"/>
      <c r="S71" s="191"/>
      <c r="T71" s="63"/>
      <c r="U71" s="192"/>
      <c r="V71" s="192"/>
      <c r="W71" s="192"/>
      <c r="X71" s="193"/>
    </row>
    <row r="72" spans="1:26" ht="19.5" customHeight="1" x14ac:dyDescent="0.15">
      <c r="A72" s="194"/>
      <c r="B72" s="189"/>
      <c r="C72" s="189"/>
      <c r="D72" s="189"/>
      <c r="E72" s="195"/>
      <c r="F72" s="63"/>
      <c r="G72" s="63"/>
      <c r="H72" s="63"/>
      <c r="I72" s="63"/>
      <c r="J72" s="63"/>
      <c r="K72" s="196"/>
      <c r="L72" s="63"/>
      <c r="M72" s="63"/>
      <c r="N72" s="63"/>
      <c r="O72" s="63"/>
      <c r="P72" s="63"/>
      <c r="Q72" s="63"/>
      <c r="R72" s="193"/>
      <c r="S72" s="191"/>
      <c r="T72" s="189"/>
      <c r="U72" s="192"/>
      <c r="V72" s="192"/>
      <c r="W72" s="192"/>
      <c r="X72" s="193"/>
    </row>
    <row r="73" spans="1:26" ht="19.5" customHeight="1" x14ac:dyDescent="0.15">
      <c r="A73" s="188" t="s">
        <v>172</v>
      </c>
      <c r="B73" s="197"/>
      <c r="C73" s="197"/>
      <c r="D73" s="197"/>
      <c r="E73" s="198"/>
      <c r="F73" s="63"/>
      <c r="G73" s="63"/>
      <c r="H73" s="63" t="s">
        <v>173</v>
      </c>
      <c r="I73" s="63" t="s">
        <v>170</v>
      </c>
      <c r="J73" s="60" t="s">
        <v>174</v>
      </c>
      <c r="K73" s="68" t="s">
        <v>141</v>
      </c>
      <c r="L73" s="60" t="s">
        <v>175</v>
      </c>
      <c r="M73" s="63"/>
      <c r="N73" s="63"/>
      <c r="O73" s="60" t="s">
        <v>174</v>
      </c>
      <c r="P73" s="63" t="s">
        <v>142</v>
      </c>
      <c r="Q73" s="63">
        <v>1</v>
      </c>
      <c r="R73" s="193"/>
      <c r="S73" s="191"/>
      <c r="T73" s="189"/>
      <c r="U73" s="192"/>
      <c r="V73" s="192"/>
      <c r="W73" s="192"/>
      <c r="X73" s="193"/>
    </row>
    <row r="74" spans="1:26" ht="19.5" customHeight="1" x14ac:dyDescent="0.15">
      <c r="A74" s="199" t="s">
        <v>176</v>
      </c>
      <c r="B74" s="200"/>
      <c r="C74" s="200"/>
      <c r="D74" s="200"/>
      <c r="E74" s="201"/>
      <c r="F74" s="202"/>
      <c r="G74" s="63"/>
      <c r="H74" s="63"/>
      <c r="I74" s="63" t="s">
        <v>170</v>
      </c>
      <c r="J74" s="705">
        <f>IF(O105&lt;O88,O105,O88)</f>
        <v>2.5000000000000001E-2</v>
      </c>
      <c r="K74" s="705"/>
      <c r="L74" s="63" t="s">
        <v>171</v>
      </c>
      <c r="M74" s="63"/>
      <c r="N74" s="63"/>
      <c r="O74" s="63"/>
      <c r="P74" s="63"/>
      <c r="Q74" s="63"/>
      <c r="R74" s="65"/>
      <c r="S74" s="191"/>
      <c r="T74" s="203"/>
      <c r="U74" s="192"/>
      <c r="V74" s="192"/>
      <c r="W74" s="192"/>
      <c r="X74" s="193"/>
    </row>
    <row r="75" spans="1:26" ht="19.5" customHeight="1" x14ac:dyDescent="0.15">
      <c r="A75" s="204" t="s">
        <v>177</v>
      </c>
      <c r="B75" s="189"/>
      <c r="C75" s="189"/>
      <c r="D75" s="189"/>
      <c r="E75" s="65"/>
      <c r="F75" s="63"/>
      <c r="G75" s="75"/>
      <c r="H75" s="75"/>
      <c r="I75" s="75"/>
      <c r="J75" s="75"/>
      <c r="K75" s="75"/>
      <c r="L75" s="75"/>
      <c r="M75" s="75"/>
      <c r="N75" s="75"/>
      <c r="O75" s="74"/>
      <c r="P75" s="74"/>
      <c r="Q75" s="74"/>
      <c r="R75" s="205"/>
      <c r="S75" s="191"/>
      <c r="T75" s="63"/>
      <c r="U75" s="192"/>
      <c r="V75" s="192"/>
      <c r="W75" s="192"/>
      <c r="X75" s="193"/>
    </row>
    <row r="76" spans="1:26" ht="19.5" customHeight="1" x14ac:dyDescent="0.15">
      <c r="A76" s="194"/>
      <c r="B76" s="189"/>
      <c r="C76" s="189"/>
      <c r="D76" s="189"/>
      <c r="E76" s="65"/>
      <c r="G76" s="63"/>
      <c r="H76" s="63" t="s">
        <v>178</v>
      </c>
      <c r="I76" s="63" t="s">
        <v>179</v>
      </c>
      <c r="J76" s="63" t="s">
        <v>180</v>
      </c>
      <c r="K76" s="68" t="s">
        <v>181</v>
      </c>
      <c r="L76" s="63" t="s">
        <v>182</v>
      </c>
      <c r="M76" s="63"/>
      <c r="N76" s="60"/>
      <c r="O76" s="60"/>
      <c r="P76" s="60"/>
      <c r="Q76" s="60"/>
      <c r="R76" s="206"/>
      <c r="S76" s="191"/>
      <c r="T76" s="63"/>
      <c r="U76" s="192"/>
      <c r="V76" s="192"/>
      <c r="W76" s="192"/>
      <c r="X76" s="193"/>
    </row>
    <row r="77" spans="1:26" ht="19.5" customHeight="1" x14ac:dyDescent="0.15">
      <c r="A77" s="66" t="s">
        <v>183</v>
      </c>
      <c r="B77" s="184" t="s">
        <v>184</v>
      </c>
      <c r="C77" s="207">
        <f>L42</f>
        <v>50</v>
      </c>
      <c r="D77" s="208" t="s">
        <v>185</v>
      </c>
      <c r="E77" s="65"/>
      <c r="F77" s="63"/>
      <c r="G77" s="63"/>
      <c r="H77" s="63"/>
      <c r="I77" s="63" t="s">
        <v>170</v>
      </c>
      <c r="J77" s="209">
        <f>L82</f>
        <v>0.16900000000000001</v>
      </c>
      <c r="K77" s="68" t="s">
        <v>181</v>
      </c>
      <c r="L77" s="209">
        <f>L89</f>
        <v>0.12</v>
      </c>
      <c r="M77" s="63"/>
      <c r="N77" s="60"/>
      <c r="O77" s="60"/>
      <c r="P77" s="60"/>
      <c r="Q77" s="60"/>
      <c r="R77" s="206"/>
      <c r="S77" s="191"/>
      <c r="T77" s="63"/>
      <c r="U77" s="192"/>
      <c r="V77" s="192"/>
      <c r="W77" s="192"/>
      <c r="X77" s="193"/>
    </row>
    <row r="78" spans="1:26" ht="19.5" customHeight="1" x14ac:dyDescent="0.15">
      <c r="A78" s="194"/>
      <c r="B78" s="64" t="s">
        <v>186</v>
      </c>
      <c r="C78" s="114">
        <v>3.45</v>
      </c>
      <c r="D78" s="189" t="s">
        <v>143</v>
      </c>
      <c r="E78" s="190"/>
      <c r="F78" s="63"/>
      <c r="G78" s="63"/>
      <c r="H78" s="63"/>
      <c r="I78" s="63" t="s">
        <v>179</v>
      </c>
      <c r="J78" s="581">
        <f>ROUNDUP(J77+L77,3)</f>
        <v>0.28899999999999998</v>
      </c>
      <c r="K78" s="525"/>
      <c r="L78" s="63" t="s">
        <v>171</v>
      </c>
      <c r="M78" s="63"/>
      <c r="N78" s="63"/>
      <c r="O78" s="63"/>
      <c r="P78" s="63"/>
      <c r="Q78" s="63"/>
      <c r="R78" s="206"/>
      <c r="S78" s="191"/>
      <c r="T78" s="60"/>
      <c r="U78" s="192"/>
      <c r="V78" s="192"/>
      <c r="W78" s="192"/>
      <c r="X78" s="193"/>
    </row>
    <row r="79" spans="1:26" ht="19.5" customHeight="1" x14ac:dyDescent="0.15">
      <c r="A79" s="194"/>
      <c r="B79" s="64" t="s">
        <v>187</v>
      </c>
      <c r="C79" s="210">
        <f>(F31/(1000*60))/(((C77/1000)^2*PI()/4))</f>
        <v>1.1883569084194852</v>
      </c>
      <c r="D79" s="189"/>
      <c r="E79" s="190"/>
      <c r="F79" s="63"/>
      <c r="G79" s="63"/>
      <c r="I79" s="63"/>
      <c r="J79" s="63"/>
      <c r="K79" s="63"/>
      <c r="L79" s="63"/>
      <c r="M79" s="63"/>
      <c r="N79" s="63"/>
      <c r="O79" s="63"/>
      <c r="P79" s="63"/>
      <c r="Q79" s="63"/>
      <c r="R79" s="65"/>
      <c r="S79" s="191"/>
      <c r="T79" s="60"/>
      <c r="U79" s="192"/>
      <c r="V79" s="192"/>
      <c r="W79" s="192"/>
      <c r="X79" s="193"/>
    </row>
    <row r="80" spans="1:26" ht="19.5" customHeight="1" x14ac:dyDescent="0.15">
      <c r="A80" s="211" t="s">
        <v>188</v>
      </c>
      <c r="B80" s="64" t="s">
        <v>189</v>
      </c>
      <c r="C80" s="115">
        <v>0.01</v>
      </c>
      <c r="D80" s="189"/>
      <c r="E80" s="65"/>
      <c r="F80" s="63"/>
      <c r="G80" s="63" t="s">
        <v>190</v>
      </c>
      <c r="I80" s="63"/>
      <c r="J80" s="63" t="s">
        <v>191</v>
      </c>
      <c r="K80" s="63" t="s">
        <v>170</v>
      </c>
      <c r="L80" s="63" t="s">
        <v>192</v>
      </c>
      <c r="M80" s="68" t="s">
        <v>164</v>
      </c>
      <c r="N80" s="525" t="s">
        <v>193</v>
      </c>
      <c r="O80" s="525"/>
      <c r="P80" s="68" t="s">
        <v>141</v>
      </c>
      <c r="Q80" s="60" t="s">
        <v>175</v>
      </c>
      <c r="R80" s="65"/>
      <c r="S80" s="191"/>
      <c r="T80" s="212"/>
      <c r="U80" s="192"/>
      <c r="V80" s="192"/>
      <c r="W80" s="192"/>
      <c r="X80" s="193"/>
    </row>
    <row r="81" spans="1:30" ht="19.5" customHeight="1" x14ac:dyDescent="0.15">
      <c r="A81" s="194"/>
      <c r="B81" s="213"/>
      <c r="C81" s="214"/>
      <c r="D81" s="189"/>
      <c r="E81" s="65"/>
      <c r="F81" s="60"/>
      <c r="G81" s="63"/>
      <c r="H81" s="63"/>
      <c r="I81" s="63"/>
      <c r="J81" s="63"/>
      <c r="K81" s="63" t="s">
        <v>170</v>
      </c>
      <c r="L81" s="209">
        <f>L85</f>
        <v>3.4000000000000002E-2</v>
      </c>
      <c r="M81" s="68" t="s">
        <v>141</v>
      </c>
      <c r="N81" s="719">
        <f>ROUND(C78/(C77/1000),3)</f>
        <v>69</v>
      </c>
      <c r="O81" s="719"/>
      <c r="P81" s="68" t="s">
        <v>141</v>
      </c>
      <c r="Q81" s="209">
        <f>ROUND(C79^2/(2*9.8),3)</f>
        <v>7.1999999999999995E-2</v>
      </c>
      <c r="R81" s="65"/>
      <c r="S81" s="191"/>
      <c r="T81" s="63"/>
      <c r="U81" s="192"/>
      <c r="V81" s="192"/>
      <c r="W81" s="192"/>
      <c r="X81" s="193"/>
    </row>
    <row r="82" spans="1:30" ht="19.5" customHeight="1" x14ac:dyDescent="0.15">
      <c r="A82" s="215" t="s">
        <v>194</v>
      </c>
      <c r="B82" s="216" t="s">
        <v>195</v>
      </c>
      <c r="C82" s="116">
        <v>1</v>
      </c>
      <c r="D82" s="189"/>
      <c r="E82" s="65"/>
      <c r="F82" s="60"/>
      <c r="G82" s="63"/>
      <c r="H82" s="63"/>
      <c r="I82" s="63"/>
      <c r="J82" s="63"/>
      <c r="K82" s="63" t="s">
        <v>170</v>
      </c>
      <c r="L82" s="524">
        <f>ROUND(L81*N81*Q81,3)</f>
        <v>0.16900000000000001</v>
      </c>
      <c r="M82" s="524"/>
      <c r="N82" s="63"/>
      <c r="O82" s="63"/>
      <c r="P82" s="63"/>
      <c r="Q82" s="63"/>
      <c r="R82" s="65"/>
      <c r="S82" s="191"/>
      <c r="T82" s="202"/>
      <c r="U82" s="217"/>
      <c r="V82" s="192"/>
      <c r="W82" s="192"/>
      <c r="X82" s="193"/>
    </row>
    <row r="83" spans="1:30" ht="19.5" customHeight="1" x14ac:dyDescent="0.15">
      <c r="A83" s="218" t="s">
        <v>196</v>
      </c>
      <c r="B83" s="219" t="s">
        <v>197</v>
      </c>
      <c r="C83" s="116">
        <v>0</v>
      </c>
      <c r="D83" s="189"/>
      <c r="E83" s="65"/>
      <c r="F83" s="60"/>
      <c r="G83" s="63"/>
      <c r="H83" s="60"/>
      <c r="I83" s="60"/>
      <c r="J83" s="60" t="s">
        <v>192</v>
      </c>
      <c r="K83" s="60" t="s">
        <v>170</v>
      </c>
      <c r="L83" s="60" t="s">
        <v>198</v>
      </c>
      <c r="M83" s="60"/>
      <c r="N83" s="68" t="s">
        <v>164</v>
      </c>
      <c r="O83" s="525" t="s">
        <v>199</v>
      </c>
      <c r="P83" s="525"/>
      <c r="Q83" s="63"/>
      <c r="R83" s="65"/>
      <c r="S83" s="220" t="s">
        <v>200</v>
      </c>
      <c r="T83" s="221"/>
      <c r="U83" s="222"/>
      <c r="V83" s="221"/>
      <c r="W83" s="221"/>
      <c r="X83" s="223"/>
      <c r="Y83" s="191"/>
      <c r="Z83" s="63"/>
      <c r="AA83" s="192"/>
      <c r="AB83" s="192"/>
      <c r="AC83" s="192"/>
      <c r="AD83" s="192"/>
    </row>
    <row r="84" spans="1:30" ht="19.5" customHeight="1" x14ac:dyDescent="0.15">
      <c r="A84" s="215" t="s">
        <v>201</v>
      </c>
      <c r="B84" s="213"/>
      <c r="C84" s="116">
        <v>1</v>
      </c>
      <c r="D84" s="189"/>
      <c r="E84" s="65"/>
      <c r="F84" s="63"/>
      <c r="G84" s="63"/>
      <c r="H84" s="179"/>
      <c r="I84" s="60"/>
      <c r="J84" s="60"/>
      <c r="K84" s="60" t="s">
        <v>170</v>
      </c>
      <c r="L84" s="525">
        <f>124.6/((C77/1000)^(1/3))</f>
        <v>338.21643502772531</v>
      </c>
      <c r="M84" s="525"/>
      <c r="N84" s="68" t="s">
        <v>141</v>
      </c>
      <c r="O84" s="720">
        <f>C80^2</f>
        <v>1E-4</v>
      </c>
      <c r="P84" s="720"/>
      <c r="Q84" s="63"/>
      <c r="R84" s="65"/>
      <c r="S84" s="224" t="s">
        <v>202</v>
      </c>
      <c r="T84" s="75"/>
      <c r="U84" s="102">
        <v>50</v>
      </c>
      <c r="V84" s="225">
        <v>65</v>
      </c>
      <c r="W84" s="102">
        <v>80</v>
      </c>
      <c r="X84" s="226">
        <v>100</v>
      </c>
      <c r="Y84" s="191"/>
      <c r="Z84" s="63"/>
      <c r="AA84" s="192"/>
      <c r="AB84" s="192"/>
      <c r="AC84" s="192"/>
      <c r="AD84" s="192"/>
    </row>
    <row r="85" spans="1:30" ht="19.5" customHeight="1" x14ac:dyDescent="0.15">
      <c r="A85" s="215" t="s">
        <v>203</v>
      </c>
      <c r="B85" s="213" t="s">
        <v>204</v>
      </c>
      <c r="C85" s="117">
        <v>1</v>
      </c>
      <c r="D85" s="189"/>
      <c r="E85" s="65"/>
      <c r="F85" s="60"/>
      <c r="G85" s="63"/>
      <c r="H85" s="179"/>
      <c r="I85" s="60"/>
      <c r="J85" s="63"/>
      <c r="K85" s="60" t="s">
        <v>170</v>
      </c>
      <c r="L85" s="721">
        <f>ROUND(L84*O84,3)</f>
        <v>3.4000000000000002E-2</v>
      </c>
      <c r="M85" s="721"/>
      <c r="N85" s="68"/>
      <c r="O85" s="63"/>
      <c r="P85" s="63"/>
      <c r="Q85" s="63"/>
      <c r="R85" s="65"/>
      <c r="S85" s="227" t="s">
        <v>205</v>
      </c>
      <c r="T85" s="202"/>
      <c r="U85" s="228">
        <v>0.17</v>
      </c>
      <c r="V85" s="228">
        <v>0.17</v>
      </c>
      <c r="W85" s="228">
        <v>0.17</v>
      </c>
      <c r="X85" s="229">
        <v>0.14000000000000001</v>
      </c>
      <c r="Y85" s="191"/>
      <c r="Z85" s="63"/>
      <c r="AA85" s="192"/>
      <c r="AB85" s="192"/>
      <c r="AC85" s="192"/>
      <c r="AD85" s="192"/>
    </row>
    <row r="86" spans="1:30" ht="19.5" customHeight="1" x14ac:dyDescent="0.15">
      <c r="A86" s="218" t="s">
        <v>196</v>
      </c>
      <c r="B86" s="213" t="s">
        <v>206</v>
      </c>
      <c r="C86" s="117">
        <v>0</v>
      </c>
      <c r="D86" s="189"/>
      <c r="E86" s="65"/>
      <c r="F86" s="63"/>
      <c r="G86" s="63"/>
      <c r="I86" s="63"/>
      <c r="J86" s="63"/>
      <c r="K86" s="63"/>
      <c r="L86" s="63"/>
      <c r="M86" s="63"/>
      <c r="N86" s="63"/>
      <c r="O86" s="63"/>
      <c r="P86" s="63"/>
      <c r="Q86" s="63"/>
      <c r="R86" s="65"/>
      <c r="S86" s="220" t="s">
        <v>207</v>
      </c>
      <c r="T86" s="221"/>
      <c r="U86" s="222"/>
      <c r="V86" s="221"/>
      <c r="W86" s="221"/>
      <c r="X86" s="223"/>
      <c r="Y86" s="191"/>
      <c r="Z86" s="63"/>
      <c r="AA86" s="192"/>
      <c r="AB86" s="192"/>
      <c r="AC86" s="192"/>
      <c r="AD86" s="192"/>
    </row>
    <row r="87" spans="1:30" ht="19.5" customHeight="1" x14ac:dyDescent="0.15">
      <c r="A87" s="218" t="s">
        <v>196</v>
      </c>
      <c r="B87" s="213" t="s">
        <v>208</v>
      </c>
      <c r="C87" s="117">
        <v>0</v>
      </c>
      <c r="D87" s="189"/>
      <c r="E87" s="65"/>
      <c r="F87" s="60"/>
      <c r="G87" s="583" t="s">
        <v>209</v>
      </c>
      <c r="H87" s="583"/>
      <c r="I87" s="583"/>
      <c r="J87" s="63" t="s">
        <v>182</v>
      </c>
      <c r="K87" s="63" t="s">
        <v>170</v>
      </c>
      <c r="L87" s="525" t="s">
        <v>210</v>
      </c>
      <c r="M87" s="525"/>
      <c r="N87" s="68" t="s">
        <v>141</v>
      </c>
      <c r="O87" s="525" t="s">
        <v>211</v>
      </c>
      <c r="P87" s="525"/>
      <c r="Q87" s="63"/>
      <c r="R87" s="65"/>
      <c r="S87" s="224" t="s">
        <v>202</v>
      </c>
      <c r="T87" s="75"/>
      <c r="U87" s="102">
        <v>50</v>
      </c>
      <c r="V87" s="225">
        <v>65</v>
      </c>
      <c r="W87" s="102">
        <v>80</v>
      </c>
      <c r="X87" s="226">
        <v>100</v>
      </c>
      <c r="Y87" s="191"/>
      <c r="Z87" s="63"/>
      <c r="AA87" s="192"/>
      <c r="AB87" s="192"/>
      <c r="AC87" s="192"/>
      <c r="AD87" s="192"/>
    </row>
    <row r="88" spans="1:30" ht="19.5" customHeight="1" x14ac:dyDescent="0.15">
      <c r="A88" s="218" t="s">
        <v>196</v>
      </c>
      <c r="B88" s="213" t="s">
        <v>212</v>
      </c>
      <c r="C88" s="117">
        <v>0</v>
      </c>
      <c r="D88" s="189"/>
      <c r="E88" s="65"/>
      <c r="F88" s="63"/>
      <c r="G88" s="583"/>
      <c r="H88" s="583"/>
      <c r="I88" s="583"/>
      <c r="J88" s="63"/>
      <c r="K88" s="63" t="s">
        <v>170</v>
      </c>
      <c r="L88" s="722">
        <f>L91+O91</f>
        <v>1.66</v>
      </c>
      <c r="M88" s="525"/>
      <c r="N88" s="68" t="s">
        <v>141</v>
      </c>
      <c r="O88" s="581">
        <f>Q81</f>
        <v>7.1999999999999995E-2</v>
      </c>
      <c r="P88" s="525"/>
      <c r="Q88" s="63"/>
      <c r="R88" s="65"/>
      <c r="S88" s="227" t="s">
        <v>205</v>
      </c>
      <c r="T88" s="202"/>
      <c r="U88" s="71">
        <v>1.2</v>
      </c>
      <c r="V88" s="71">
        <v>1.2</v>
      </c>
      <c r="W88" s="71">
        <v>1.2</v>
      </c>
      <c r="X88" s="72">
        <v>1.2</v>
      </c>
      <c r="Y88" s="191"/>
      <c r="Z88" s="63"/>
      <c r="AA88" s="192"/>
      <c r="AB88" s="192"/>
      <c r="AC88" s="192"/>
      <c r="AD88" s="192"/>
    </row>
    <row r="89" spans="1:30" ht="19.5" customHeight="1" x14ac:dyDescent="0.15">
      <c r="A89" s="230"/>
      <c r="B89" s="231"/>
      <c r="C89" s="231"/>
      <c r="D89" s="231"/>
      <c r="E89" s="232"/>
      <c r="F89" s="63"/>
      <c r="G89" s="233"/>
      <c r="H89" s="63"/>
      <c r="I89" s="63"/>
      <c r="J89" s="63"/>
      <c r="K89" s="63" t="s">
        <v>170</v>
      </c>
      <c r="L89" s="524">
        <f>ROUND(L88*O88,3)</f>
        <v>0.12</v>
      </c>
      <c r="M89" s="524"/>
      <c r="N89" s="63"/>
      <c r="O89" s="63"/>
      <c r="P89" s="63"/>
      <c r="Q89" s="63"/>
      <c r="R89" s="65"/>
      <c r="S89" s="234" t="s">
        <v>213</v>
      </c>
      <c r="T89" s="221"/>
      <c r="U89" s="221"/>
      <c r="V89" s="221"/>
      <c r="W89" s="221"/>
      <c r="X89" s="235"/>
      <c r="Y89" s="191"/>
      <c r="Z89" s="236"/>
      <c r="AA89" s="192"/>
      <c r="AB89" s="192"/>
      <c r="AC89" s="192"/>
      <c r="AD89" s="192"/>
    </row>
    <row r="90" spans="1:30" ht="19.5" customHeight="1" x14ac:dyDescent="0.15">
      <c r="A90" s="543" t="s">
        <v>614</v>
      </c>
      <c r="B90" s="544"/>
      <c r="C90" s="544"/>
      <c r="D90" s="544"/>
      <c r="E90" s="545"/>
      <c r="F90" s="63"/>
      <c r="G90" s="63"/>
      <c r="H90" s="63"/>
      <c r="I90" s="63"/>
      <c r="J90" s="63" t="s">
        <v>210</v>
      </c>
      <c r="K90" s="60" t="s">
        <v>170</v>
      </c>
      <c r="L90" s="63" t="s">
        <v>214</v>
      </c>
      <c r="M90" s="63"/>
      <c r="N90" s="63"/>
      <c r="O90" s="63"/>
      <c r="P90" s="63"/>
      <c r="Q90" s="63"/>
      <c r="R90" s="65"/>
      <c r="S90" s="105" t="s">
        <v>215</v>
      </c>
      <c r="T90" s="63"/>
      <c r="U90" s="63">
        <v>90</v>
      </c>
      <c r="V90" s="63">
        <v>60</v>
      </c>
      <c r="W90" s="63">
        <v>45</v>
      </c>
      <c r="X90" s="65">
        <v>30</v>
      </c>
      <c r="Y90" s="191"/>
      <c r="Z90" s="236"/>
      <c r="AA90" s="192"/>
      <c r="AB90" s="192"/>
      <c r="AC90" s="192"/>
      <c r="AD90" s="192"/>
    </row>
    <row r="91" spans="1:30" ht="19.5" customHeight="1" x14ac:dyDescent="0.15">
      <c r="A91" s="546"/>
      <c r="B91" s="547"/>
      <c r="C91" s="547"/>
      <c r="D91" s="547"/>
      <c r="E91" s="548"/>
      <c r="F91" s="202"/>
      <c r="G91" s="202"/>
      <c r="H91" s="202"/>
      <c r="I91" s="202"/>
      <c r="J91" s="202"/>
      <c r="K91" s="202" t="s">
        <v>170</v>
      </c>
      <c r="L91" s="723">
        <f>C82*U85+C83*X85+C84*U88</f>
        <v>1.3699999999999999</v>
      </c>
      <c r="M91" s="723"/>
      <c r="N91" s="238" t="s">
        <v>181</v>
      </c>
      <c r="O91" s="724">
        <f>C85*U91+C86*V91+C87*W91+C88*X91</f>
        <v>0.28999999999999998</v>
      </c>
      <c r="P91" s="724"/>
      <c r="Q91" s="202"/>
      <c r="R91" s="237"/>
      <c r="S91" s="227" t="s">
        <v>205</v>
      </c>
      <c r="T91" s="202"/>
      <c r="U91" s="239">
        <v>0.28999999999999998</v>
      </c>
      <c r="V91" s="239">
        <v>0.24</v>
      </c>
      <c r="W91" s="239">
        <v>0.21</v>
      </c>
      <c r="X91" s="240">
        <v>0.17</v>
      </c>
      <c r="Y91" s="191"/>
      <c r="Z91" s="63"/>
      <c r="AA91" s="192"/>
      <c r="AB91" s="192"/>
      <c r="AC91" s="192"/>
      <c r="AD91" s="192"/>
    </row>
    <row r="92" spans="1:30" ht="19.5" customHeight="1" x14ac:dyDescent="0.15">
      <c r="A92" s="105" t="s">
        <v>177</v>
      </c>
      <c r="B92" s="241"/>
      <c r="C92" s="241"/>
      <c r="D92" s="189"/>
      <c r="E92" s="65"/>
      <c r="F92" s="75"/>
      <c r="G92" s="75"/>
      <c r="H92" s="75"/>
      <c r="I92" s="75"/>
      <c r="J92" s="75"/>
      <c r="K92" s="75"/>
      <c r="L92" s="75"/>
      <c r="M92" s="75"/>
      <c r="N92" s="75"/>
      <c r="O92" s="74"/>
      <c r="P92" s="74"/>
      <c r="Q92" s="74"/>
      <c r="R92" s="205"/>
      <c r="S92" s="242"/>
      <c r="T92" s="243"/>
      <c r="U92" s="243"/>
      <c r="V92" s="243"/>
      <c r="W92" s="243"/>
      <c r="X92" s="244"/>
      <c r="Y92" s="153"/>
      <c r="Z92" s="32"/>
      <c r="AA92" s="32"/>
      <c r="AB92" s="32"/>
      <c r="AC92" s="32"/>
      <c r="AD92" s="32"/>
    </row>
    <row r="93" spans="1:30" ht="19.5" customHeight="1" x14ac:dyDescent="0.15">
      <c r="A93" s="194"/>
      <c r="B93" s="189"/>
      <c r="C93" s="189"/>
      <c r="D93" s="189"/>
      <c r="E93" s="65"/>
      <c r="F93" s="63"/>
      <c r="G93" s="63"/>
      <c r="H93" s="63" t="s">
        <v>216</v>
      </c>
      <c r="I93" s="63" t="s">
        <v>170</v>
      </c>
      <c r="J93" s="63" t="s">
        <v>191</v>
      </c>
      <c r="K93" s="68" t="s">
        <v>181</v>
      </c>
      <c r="L93" s="63" t="s">
        <v>217</v>
      </c>
      <c r="M93" s="63"/>
      <c r="N93" s="60"/>
      <c r="O93" s="60"/>
      <c r="P93" s="60"/>
      <c r="Q93" s="60"/>
      <c r="R93" s="206"/>
      <c r="S93" s="245"/>
      <c r="T93" s="246"/>
      <c r="U93" s="246"/>
      <c r="V93" s="246"/>
      <c r="W93" s="246"/>
      <c r="X93" s="247"/>
    </row>
    <row r="94" spans="1:30" ht="19.5" customHeight="1" x14ac:dyDescent="0.15">
      <c r="A94" s="66" t="s">
        <v>183</v>
      </c>
      <c r="B94" s="184" t="s">
        <v>184</v>
      </c>
      <c r="C94" s="207">
        <f>L44</f>
        <v>65</v>
      </c>
      <c r="D94" s="208" t="s">
        <v>185</v>
      </c>
      <c r="E94" s="65"/>
      <c r="F94" s="63"/>
      <c r="G94" s="63"/>
      <c r="H94" s="63"/>
      <c r="I94" s="63" t="s">
        <v>170</v>
      </c>
      <c r="J94" s="209">
        <f>L99</f>
        <v>0.14899999999999999</v>
      </c>
      <c r="K94" s="68" t="s">
        <v>218</v>
      </c>
      <c r="L94" s="209">
        <f>L106</f>
        <v>0</v>
      </c>
      <c r="M94" s="63"/>
      <c r="N94" s="60"/>
      <c r="O94" s="60"/>
      <c r="P94" s="60"/>
      <c r="Q94" s="60"/>
      <c r="R94" s="206"/>
      <c r="S94" s="191"/>
      <c r="T94" s="63"/>
      <c r="U94" s="192"/>
      <c r="V94" s="192"/>
      <c r="W94" s="192"/>
      <c r="X94" s="193"/>
    </row>
    <row r="95" spans="1:30" ht="19.5" customHeight="1" x14ac:dyDescent="0.15">
      <c r="A95" s="194"/>
      <c r="B95" s="64" t="s">
        <v>186</v>
      </c>
      <c r="C95" s="114">
        <v>12.5</v>
      </c>
      <c r="D95" s="189" t="s">
        <v>143</v>
      </c>
      <c r="E95" s="65"/>
      <c r="F95" s="63"/>
      <c r="G95" s="63"/>
      <c r="H95" s="63"/>
      <c r="I95" s="63" t="s">
        <v>170</v>
      </c>
      <c r="J95" s="581">
        <f>IF(ISNUMBER(L44),(ROUNDUP(J94+L94,3)),"")</f>
        <v>0.14899999999999999</v>
      </c>
      <c r="K95" s="525"/>
      <c r="L95" s="63" t="s">
        <v>171</v>
      </c>
      <c r="M95" s="63"/>
      <c r="N95" s="63"/>
      <c r="O95" s="63"/>
      <c r="P95" s="63"/>
      <c r="Q95" s="63"/>
      <c r="R95" s="206"/>
      <c r="S95" s="191"/>
      <c r="T95" s="63"/>
      <c r="U95" s="192"/>
      <c r="V95" s="192"/>
      <c r="W95" s="192"/>
      <c r="X95" s="193"/>
    </row>
    <row r="96" spans="1:30" ht="19.5" customHeight="1" x14ac:dyDescent="0.15">
      <c r="A96" s="194"/>
      <c r="B96" s="64" t="s">
        <v>187</v>
      </c>
      <c r="C96" s="210">
        <f>IF(ISNUMBER(L44),((F31/(1000*60))/(((C94/1000)^2*PI()/4))),"")</f>
        <v>0.70316976829555333</v>
      </c>
      <c r="D96" s="189"/>
      <c r="E96" s="190"/>
      <c r="F96" s="63"/>
      <c r="G96" s="63"/>
      <c r="H96" s="63"/>
      <c r="I96" s="63"/>
      <c r="J96" s="63"/>
      <c r="K96" s="63"/>
      <c r="L96" s="63"/>
      <c r="M96" s="63"/>
      <c r="N96" s="63"/>
      <c r="O96" s="63"/>
      <c r="P96" s="63"/>
      <c r="Q96" s="63"/>
      <c r="R96" s="65"/>
      <c r="S96" s="191"/>
      <c r="T96" s="60"/>
      <c r="U96" s="192"/>
      <c r="V96" s="192"/>
      <c r="W96" s="192"/>
      <c r="X96" s="193"/>
    </row>
    <row r="97" spans="1:25" ht="19.5" customHeight="1" x14ac:dyDescent="0.15">
      <c r="A97" s="211" t="s">
        <v>188</v>
      </c>
      <c r="B97" s="64" t="s">
        <v>189</v>
      </c>
      <c r="C97" s="118">
        <v>0.01</v>
      </c>
      <c r="D97" s="189"/>
      <c r="E97" s="190"/>
      <c r="F97" s="63"/>
      <c r="G97" s="63" t="s">
        <v>190</v>
      </c>
      <c r="I97" s="63"/>
      <c r="J97" s="63" t="s">
        <v>191</v>
      </c>
      <c r="K97" s="63" t="s">
        <v>170</v>
      </c>
      <c r="L97" s="63" t="s">
        <v>192</v>
      </c>
      <c r="M97" s="68" t="s">
        <v>141</v>
      </c>
      <c r="N97" s="525" t="s">
        <v>219</v>
      </c>
      <c r="O97" s="525"/>
      <c r="P97" s="68" t="s">
        <v>141</v>
      </c>
      <c r="Q97" s="60" t="s">
        <v>211</v>
      </c>
      <c r="R97" s="65"/>
      <c r="S97" s="191"/>
      <c r="T97" s="60"/>
      <c r="U97" s="192"/>
      <c r="V97" s="192"/>
      <c r="W97" s="192"/>
      <c r="X97" s="193"/>
    </row>
    <row r="98" spans="1:25" ht="19.5" customHeight="1" x14ac:dyDescent="0.15">
      <c r="A98" s="194"/>
      <c r="B98" s="213"/>
      <c r="C98" s="214"/>
      <c r="D98" s="189"/>
      <c r="E98" s="65"/>
      <c r="F98" s="60"/>
      <c r="G98" s="63"/>
      <c r="H98" s="63"/>
      <c r="I98" s="63"/>
      <c r="J98" s="63"/>
      <c r="K98" s="63" t="s">
        <v>170</v>
      </c>
      <c r="L98" s="209">
        <f>L102</f>
        <v>3.1E-2</v>
      </c>
      <c r="M98" s="68" t="s">
        <v>164</v>
      </c>
      <c r="N98" s="719">
        <f>IF(ISNUMBER(L44),(ROUND(C95/(C94/1000),3)),"")</f>
        <v>192.30799999999999</v>
      </c>
      <c r="O98" s="719"/>
      <c r="P98" s="68" t="s">
        <v>164</v>
      </c>
      <c r="Q98" s="209">
        <f>IF(ISNUMBER(L44),(ROUND(C96^2/(2*9.8),3)),"")</f>
        <v>2.5000000000000001E-2</v>
      </c>
      <c r="R98" s="65"/>
      <c r="S98" s="191"/>
      <c r="T98" s="212"/>
      <c r="U98" s="192"/>
      <c r="V98" s="192"/>
      <c r="W98" s="192"/>
      <c r="X98" s="193"/>
    </row>
    <row r="99" spans="1:25" ht="19.5" customHeight="1" x14ac:dyDescent="0.15">
      <c r="A99" s="215" t="s">
        <v>194</v>
      </c>
      <c r="B99" s="216" t="s">
        <v>195</v>
      </c>
      <c r="C99" s="116">
        <v>0</v>
      </c>
      <c r="D99" s="189"/>
      <c r="E99" s="65"/>
      <c r="F99" s="60"/>
      <c r="G99" s="63"/>
      <c r="H99" s="63"/>
      <c r="I99" s="63"/>
      <c r="J99" s="63"/>
      <c r="K99" s="63" t="s">
        <v>179</v>
      </c>
      <c r="L99" s="524">
        <f>IF(ISNUMBER(L44),(ROUND(L98*N98*Q98,3)),"")</f>
        <v>0.14899999999999999</v>
      </c>
      <c r="M99" s="524"/>
      <c r="N99" s="63"/>
      <c r="O99" s="63"/>
      <c r="P99" s="63"/>
      <c r="Q99" s="63"/>
      <c r="R99" s="65"/>
      <c r="S99" s="191"/>
      <c r="T99" s="63"/>
      <c r="U99" s="192"/>
      <c r="V99" s="192"/>
      <c r="W99" s="192"/>
      <c r="X99" s="193"/>
    </row>
    <row r="100" spans="1:25" ht="19.5" customHeight="1" x14ac:dyDescent="0.15">
      <c r="A100" s="218" t="s">
        <v>196</v>
      </c>
      <c r="B100" s="219" t="s">
        <v>197</v>
      </c>
      <c r="C100" s="116">
        <v>0</v>
      </c>
      <c r="D100" s="189"/>
      <c r="E100" s="65"/>
      <c r="F100" s="60"/>
      <c r="G100" s="63"/>
      <c r="H100" s="60"/>
      <c r="I100" s="60"/>
      <c r="J100" s="60" t="s">
        <v>220</v>
      </c>
      <c r="K100" s="60" t="s">
        <v>179</v>
      </c>
      <c r="L100" s="60" t="s">
        <v>198</v>
      </c>
      <c r="M100" s="60"/>
      <c r="N100" s="68" t="s">
        <v>164</v>
      </c>
      <c r="O100" s="525" t="s">
        <v>221</v>
      </c>
      <c r="P100" s="525"/>
      <c r="Q100" s="63"/>
      <c r="R100" s="65"/>
      <c r="S100" s="191"/>
      <c r="T100" s="63"/>
      <c r="U100" s="192"/>
      <c r="V100" s="192"/>
      <c r="W100" s="192"/>
      <c r="X100" s="193"/>
    </row>
    <row r="101" spans="1:25" ht="19.5" customHeight="1" x14ac:dyDescent="0.15">
      <c r="A101" s="215" t="s">
        <v>201</v>
      </c>
      <c r="B101" s="213"/>
      <c r="C101" s="116">
        <v>0</v>
      </c>
      <c r="D101" s="189"/>
      <c r="E101" s="65"/>
      <c r="F101" s="63"/>
      <c r="G101" s="63"/>
      <c r="H101" s="179"/>
      <c r="I101" s="60"/>
      <c r="J101" s="60"/>
      <c r="K101" s="60" t="s">
        <v>179</v>
      </c>
      <c r="L101" s="695">
        <f>IF(ISNUMBER(L44),(124.6/((C94/1000)^(1/3)))," ")</f>
        <v>309.89430138036641</v>
      </c>
      <c r="M101" s="695"/>
      <c r="N101" s="68" t="s">
        <v>164</v>
      </c>
      <c r="O101" s="720">
        <f>IF(ISNUMBER(L44),(C97^2)," ")</f>
        <v>1E-4</v>
      </c>
      <c r="P101" s="720"/>
      <c r="Q101" s="63"/>
      <c r="R101" s="65"/>
      <c r="S101" s="191"/>
      <c r="T101" s="63"/>
      <c r="U101" s="192"/>
      <c r="V101" s="192"/>
      <c r="W101" s="192"/>
      <c r="X101" s="193"/>
    </row>
    <row r="102" spans="1:25" ht="19.5" customHeight="1" x14ac:dyDescent="0.15">
      <c r="A102" s="215" t="s">
        <v>203</v>
      </c>
      <c r="B102" s="213" t="s">
        <v>204</v>
      </c>
      <c r="C102" s="117">
        <v>0</v>
      </c>
      <c r="D102" s="189"/>
      <c r="E102" s="65"/>
      <c r="F102" s="60"/>
      <c r="G102" s="63"/>
      <c r="H102" s="179"/>
      <c r="I102" s="60"/>
      <c r="J102" s="63"/>
      <c r="K102" s="60" t="s">
        <v>179</v>
      </c>
      <c r="L102" s="721">
        <f>IF(ISNUMBER(L44),ROUND(L101*O101,3)," ")</f>
        <v>3.1E-2</v>
      </c>
      <c r="M102" s="721"/>
      <c r="N102" s="68"/>
      <c r="O102" s="63"/>
      <c r="P102" s="63"/>
      <c r="Q102" s="63"/>
      <c r="R102" s="65"/>
      <c r="S102" s="191"/>
      <c r="T102" s="63"/>
      <c r="U102" s="192"/>
      <c r="V102" s="192"/>
      <c r="W102" s="192"/>
      <c r="X102" s="193"/>
    </row>
    <row r="103" spans="1:25" ht="19.5" customHeight="1" x14ac:dyDescent="0.15">
      <c r="A103" s="218" t="s">
        <v>196</v>
      </c>
      <c r="B103" s="213" t="s">
        <v>222</v>
      </c>
      <c r="C103" s="117">
        <v>0</v>
      </c>
      <c r="D103" s="189"/>
      <c r="E103" s="65"/>
      <c r="F103" s="63"/>
      <c r="G103" s="63"/>
      <c r="I103" s="63"/>
      <c r="J103" s="63"/>
      <c r="K103" s="63"/>
      <c r="L103" s="63"/>
      <c r="M103" s="63"/>
      <c r="N103" s="63"/>
      <c r="O103" s="63"/>
      <c r="P103" s="63"/>
      <c r="Q103" s="63"/>
      <c r="R103" s="65"/>
      <c r="S103" s="191"/>
      <c r="T103" s="63"/>
      <c r="U103" s="192"/>
      <c r="V103" s="192"/>
      <c r="W103" s="192"/>
      <c r="X103" s="193"/>
    </row>
    <row r="104" spans="1:25" ht="19.5" customHeight="1" x14ac:dyDescent="0.15">
      <c r="A104" s="218" t="s">
        <v>196</v>
      </c>
      <c r="B104" s="213" t="s">
        <v>208</v>
      </c>
      <c r="C104" s="117">
        <v>0</v>
      </c>
      <c r="D104" s="189"/>
      <c r="E104" s="65"/>
      <c r="F104" s="60"/>
      <c r="G104" s="583" t="s">
        <v>209</v>
      </c>
      <c r="H104" s="583"/>
      <c r="I104" s="583"/>
      <c r="J104" s="63" t="s">
        <v>217</v>
      </c>
      <c r="K104" s="63" t="s">
        <v>170</v>
      </c>
      <c r="L104" s="525" t="s">
        <v>223</v>
      </c>
      <c r="M104" s="525"/>
      <c r="N104" s="68" t="s">
        <v>141</v>
      </c>
      <c r="O104" s="525" t="s">
        <v>211</v>
      </c>
      <c r="P104" s="525"/>
      <c r="Q104" s="63"/>
      <c r="R104" s="65"/>
      <c r="S104" s="191"/>
      <c r="T104" s="63"/>
      <c r="U104" s="192"/>
      <c r="V104" s="192"/>
      <c r="W104" s="192"/>
      <c r="X104" s="193"/>
    </row>
    <row r="105" spans="1:25" ht="19.5" customHeight="1" x14ac:dyDescent="0.15">
      <c r="A105" s="218" t="s">
        <v>224</v>
      </c>
      <c r="B105" s="213" t="s">
        <v>225</v>
      </c>
      <c r="C105" s="117">
        <v>0</v>
      </c>
      <c r="D105" s="189"/>
      <c r="E105" s="65"/>
      <c r="F105" s="63"/>
      <c r="G105" s="583"/>
      <c r="H105" s="583"/>
      <c r="I105" s="583"/>
      <c r="J105" s="63"/>
      <c r="K105" s="63" t="s">
        <v>170</v>
      </c>
      <c r="L105" s="525">
        <f>IF(ISNUMBER(L44),L108+O108,"")</f>
        <v>0</v>
      </c>
      <c r="M105" s="525"/>
      <c r="N105" s="68" t="s">
        <v>141</v>
      </c>
      <c r="O105" s="581">
        <f>Q98</f>
        <v>2.5000000000000001E-2</v>
      </c>
      <c r="P105" s="525"/>
      <c r="Q105" s="63"/>
      <c r="R105" s="65"/>
      <c r="S105" s="191"/>
      <c r="T105" s="63"/>
      <c r="U105" s="192"/>
      <c r="V105" s="192"/>
      <c r="W105" s="192"/>
      <c r="X105" s="193"/>
    </row>
    <row r="106" spans="1:25" ht="19.5" customHeight="1" x14ac:dyDescent="0.15">
      <c r="A106" s="194"/>
      <c r="B106" s="189"/>
      <c r="C106" s="214"/>
      <c r="D106" s="189"/>
      <c r="E106" s="65"/>
      <c r="F106" s="63"/>
      <c r="G106" s="233"/>
      <c r="H106" s="63"/>
      <c r="I106" s="63"/>
      <c r="J106" s="63"/>
      <c r="K106" s="63" t="s">
        <v>179</v>
      </c>
      <c r="L106" s="524">
        <f>IF(ISNUMBER(L44),(ROUND(L105*O105,3)),"")</f>
        <v>0</v>
      </c>
      <c r="M106" s="524"/>
      <c r="N106" s="63"/>
      <c r="O106" s="63"/>
      <c r="P106" s="63"/>
      <c r="Q106" s="63"/>
      <c r="R106" s="65"/>
      <c r="S106" s="191"/>
      <c r="T106" s="63"/>
      <c r="U106" s="192"/>
      <c r="V106" s="192"/>
      <c r="W106" s="192"/>
      <c r="X106" s="193"/>
    </row>
    <row r="107" spans="1:25" ht="19.5" customHeight="1" x14ac:dyDescent="0.15">
      <c r="A107" s="543" t="s">
        <v>614</v>
      </c>
      <c r="B107" s="544"/>
      <c r="C107" s="544"/>
      <c r="D107" s="544"/>
      <c r="E107" s="545"/>
      <c r="F107" s="63"/>
      <c r="G107" s="63"/>
      <c r="H107" s="63"/>
      <c r="I107" s="63"/>
      <c r="J107" s="63" t="s">
        <v>223</v>
      </c>
      <c r="K107" s="60" t="s">
        <v>179</v>
      </c>
      <c r="L107" s="63" t="s">
        <v>214</v>
      </c>
      <c r="M107" s="63"/>
      <c r="N107" s="63"/>
      <c r="O107" s="63"/>
      <c r="P107" s="63"/>
      <c r="Q107" s="63"/>
      <c r="R107" s="65"/>
      <c r="S107" s="191"/>
      <c r="T107" s="236"/>
      <c r="U107" s="192"/>
      <c r="V107" s="192"/>
      <c r="W107" s="192"/>
      <c r="X107" s="193"/>
    </row>
    <row r="108" spans="1:25" ht="19.5" customHeight="1" x14ac:dyDescent="0.15">
      <c r="A108" s="546"/>
      <c r="B108" s="547"/>
      <c r="C108" s="547"/>
      <c r="D108" s="547"/>
      <c r="E108" s="548"/>
      <c r="F108" s="202"/>
      <c r="G108" s="202"/>
      <c r="H108" s="202"/>
      <c r="I108" s="202"/>
      <c r="J108" s="202"/>
      <c r="K108" s="202" t="s">
        <v>179</v>
      </c>
      <c r="L108" s="723">
        <f>IF(ISNUMBER(L44),C99*U85+C100*X85+C101*U88,"")</f>
        <v>0</v>
      </c>
      <c r="M108" s="723"/>
      <c r="N108" s="238" t="s">
        <v>181</v>
      </c>
      <c r="O108" s="724">
        <f>IF(ISNUMBER(L44),C102*U91+C103*V91+C104*W91+C105*X91,"")</f>
        <v>0</v>
      </c>
      <c r="P108" s="724"/>
      <c r="Q108" s="202"/>
      <c r="R108" s="237"/>
      <c r="S108" s="248"/>
      <c r="T108" s="249"/>
      <c r="U108" s="217"/>
      <c r="V108" s="217"/>
      <c r="W108" s="217"/>
      <c r="X108" s="250"/>
    </row>
    <row r="109" spans="1:25" ht="19.5" customHeight="1" x14ac:dyDescent="0.15">
      <c r="A109" s="241"/>
      <c r="B109" s="241"/>
      <c r="C109" s="251"/>
      <c r="D109" s="241"/>
      <c r="K109" s="252"/>
      <c r="L109" s="63"/>
      <c r="M109" s="63"/>
      <c r="N109" s="63"/>
      <c r="O109" s="63"/>
      <c r="P109" s="63"/>
      <c r="Q109" s="63"/>
      <c r="R109" s="64"/>
      <c r="S109" s="64"/>
      <c r="T109" s="64"/>
      <c r="U109" s="64"/>
      <c r="V109" s="64"/>
      <c r="W109" s="64"/>
      <c r="X109" s="64"/>
      <c r="Y109" s="64"/>
    </row>
    <row r="110" spans="1:25" ht="19.5" customHeight="1" x14ac:dyDescent="0.15">
      <c r="A110" s="189"/>
      <c r="B110" s="189"/>
      <c r="C110" s="214"/>
      <c r="D110" s="189"/>
      <c r="K110" s="63"/>
      <c r="L110" s="63"/>
      <c r="M110" s="63"/>
      <c r="N110" s="63"/>
      <c r="O110" s="63"/>
      <c r="P110" s="63"/>
      <c r="Q110" s="63"/>
      <c r="R110" s="64"/>
      <c r="S110" s="64"/>
      <c r="T110" s="64"/>
      <c r="U110" s="64"/>
      <c r="V110" s="64"/>
      <c r="W110" s="64"/>
      <c r="X110" s="64"/>
      <c r="Y110" s="64"/>
    </row>
    <row r="111" spans="1:25" ht="24.75" x14ac:dyDescent="0.15">
      <c r="A111" s="253" t="s">
        <v>639</v>
      </c>
      <c r="X111" s="41"/>
      <c r="Y111" s="41"/>
    </row>
    <row r="112" spans="1:25" x14ac:dyDescent="0.15">
      <c r="W112" s="254"/>
      <c r="X112" s="41"/>
      <c r="Y112" s="41"/>
    </row>
    <row r="113" spans="2:35" x14ac:dyDescent="0.15">
      <c r="B113" s="149" t="s">
        <v>226</v>
      </c>
      <c r="W113" s="254"/>
      <c r="X113" s="41"/>
      <c r="Y113" s="41"/>
    </row>
    <row r="114" spans="2:35" x14ac:dyDescent="0.15">
      <c r="C114" s="255" t="s">
        <v>227</v>
      </c>
      <c r="D114" s="255"/>
      <c r="E114" s="255"/>
      <c r="F114" s="255"/>
      <c r="G114" s="255"/>
      <c r="H114" s="733">
        <v>0.15</v>
      </c>
      <c r="I114" s="733"/>
      <c r="J114" s="255" t="s">
        <v>143</v>
      </c>
      <c r="K114" s="255" t="s">
        <v>228</v>
      </c>
      <c r="L114" s="255"/>
      <c r="M114" s="255"/>
      <c r="W114" s="254"/>
      <c r="X114" s="41"/>
      <c r="Y114" s="41"/>
    </row>
    <row r="115" spans="2:35" x14ac:dyDescent="0.15">
      <c r="W115" s="254"/>
      <c r="X115" s="41"/>
      <c r="Y115" s="41"/>
    </row>
    <row r="116" spans="2:35" x14ac:dyDescent="0.15">
      <c r="B116" s="149" t="s">
        <v>229</v>
      </c>
      <c r="E116" s="376" t="s">
        <v>613</v>
      </c>
      <c r="W116" s="254"/>
      <c r="X116" s="41"/>
      <c r="Y116" s="41"/>
    </row>
    <row r="117" spans="2:35" x14ac:dyDescent="0.15">
      <c r="B117" s="256"/>
      <c r="C117" s="257"/>
      <c r="D117" s="258" t="s">
        <v>230</v>
      </c>
      <c r="E117" s="257">
        <f>F31</f>
        <v>140</v>
      </c>
      <c r="F117" s="256" t="s">
        <v>231</v>
      </c>
      <c r="G117" s="256"/>
      <c r="H117" s="256" t="s">
        <v>232</v>
      </c>
      <c r="I117" s="256" t="s">
        <v>170</v>
      </c>
      <c r="J117" s="708">
        <f>F31*3</f>
        <v>420</v>
      </c>
      <c r="K117" s="708"/>
      <c r="L117" s="256" t="s">
        <v>233</v>
      </c>
      <c r="M117" s="259" t="s">
        <v>170</v>
      </c>
      <c r="N117" s="710">
        <f>J117/1000</f>
        <v>0.42</v>
      </c>
      <c r="O117" s="710"/>
      <c r="P117" s="260" t="s">
        <v>607</v>
      </c>
      <c r="Q117" s="256" t="s">
        <v>234</v>
      </c>
      <c r="R117" s="256"/>
      <c r="S117" s="256"/>
      <c r="T117" s="256"/>
      <c r="U117" s="256"/>
      <c r="V117" s="256"/>
      <c r="W117" s="256"/>
      <c r="X117" s="256"/>
      <c r="AG117" s="41"/>
      <c r="AH117" s="41"/>
      <c r="AI117" s="41"/>
    </row>
    <row r="118" spans="2:35" x14ac:dyDescent="0.15">
      <c r="B118" s="256" t="s">
        <v>235</v>
      </c>
      <c r="C118" s="257"/>
      <c r="D118" s="258"/>
      <c r="E118" s="257"/>
      <c r="F118" s="256"/>
      <c r="G118" s="256"/>
      <c r="H118" s="256"/>
      <c r="I118" s="256"/>
      <c r="J118" s="256"/>
      <c r="K118" s="256"/>
      <c r="L118" s="256"/>
      <c r="M118" s="261"/>
      <c r="N118" s="261"/>
      <c r="O118" s="260"/>
      <c r="P118" s="256"/>
      <c r="Q118" s="256"/>
      <c r="R118" s="256"/>
      <c r="S118" s="256"/>
      <c r="T118" s="256"/>
      <c r="U118" s="256"/>
      <c r="V118" s="256"/>
      <c r="W118" s="256"/>
      <c r="X118" s="256"/>
      <c r="AG118" s="41"/>
      <c r="AH118" s="41"/>
      <c r="AI118" s="41"/>
    </row>
    <row r="119" spans="2:35" x14ac:dyDescent="0.15">
      <c r="B119" s="256"/>
      <c r="C119" s="527" t="s">
        <v>592</v>
      </c>
      <c r="D119" s="527"/>
      <c r="E119" s="527"/>
      <c r="F119" s="526"/>
      <c r="G119" s="526"/>
      <c r="H119" s="259" t="s">
        <v>141</v>
      </c>
      <c r="I119" s="526">
        <v>0.6</v>
      </c>
      <c r="J119" s="526"/>
      <c r="K119" s="367" t="s">
        <v>641</v>
      </c>
      <c r="L119" s="526">
        <v>0.5</v>
      </c>
      <c r="M119" s="526"/>
      <c r="N119" s="367" t="s">
        <v>236</v>
      </c>
      <c r="O119" s="709">
        <f>IF(F119=0,0,H114)</f>
        <v>0</v>
      </c>
      <c r="P119" s="709"/>
      <c r="Q119" s="367" t="s">
        <v>642</v>
      </c>
      <c r="R119" s="706">
        <f>ROUND(F119*I119*(L119-O119),2)</f>
        <v>0</v>
      </c>
      <c r="S119" s="706"/>
      <c r="T119" s="260" t="s">
        <v>603</v>
      </c>
      <c r="U119" s="256"/>
      <c r="V119" s="256"/>
      <c r="W119" s="256"/>
      <c r="X119" s="256"/>
      <c r="AH119" s="41"/>
      <c r="AI119" s="41"/>
    </row>
    <row r="120" spans="2:35" ht="21.75" x14ac:dyDescent="0.15">
      <c r="B120" s="256"/>
      <c r="C120" s="527" t="s">
        <v>593</v>
      </c>
      <c r="D120" s="527"/>
      <c r="E120" s="527"/>
      <c r="F120" s="265"/>
      <c r="G120" s="265"/>
      <c r="H120" s="265"/>
      <c r="I120" s="711">
        <f>IF(ISNUMBER(V120),L120,F36)</f>
        <v>12</v>
      </c>
      <c r="J120" s="711"/>
      <c r="K120" s="259" t="s">
        <v>48</v>
      </c>
      <c r="L120" s="706">
        <f>IF(ISNUMBER(V120),ROUND(V120*V120*PI()/4,2),ROUND(I120,2))</f>
        <v>12</v>
      </c>
      <c r="M120" s="706"/>
      <c r="N120" s="260" t="s">
        <v>513</v>
      </c>
      <c r="O120" s="260"/>
      <c r="P120" s="256"/>
      <c r="Q120" s="260"/>
      <c r="R120" s="256" t="s">
        <v>596</v>
      </c>
      <c r="S120" s="256"/>
      <c r="T120" s="256"/>
      <c r="U120" s="259" t="s">
        <v>594</v>
      </c>
      <c r="V120" s="526"/>
      <c r="W120" s="526"/>
      <c r="X120" s="256" t="s">
        <v>595</v>
      </c>
      <c r="AH120" s="41"/>
      <c r="AI120" s="41"/>
    </row>
    <row r="121" spans="2:35" x14ac:dyDescent="0.15">
      <c r="B121" s="256"/>
      <c r="C121" s="256"/>
      <c r="D121" s="256"/>
      <c r="E121" s="712">
        <f>N117</f>
        <v>0.42</v>
      </c>
      <c r="F121" s="712"/>
      <c r="G121" s="259" t="s">
        <v>236</v>
      </c>
      <c r="H121" s="713">
        <f>R119</f>
        <v>0</v>
      </c>
      <c r="I121" s="713"/>
      <c r="J121" s="259" t="s">
        <v>237</v>
      </c>
      <c r="K121" s="710">
        <f>L120</f>
        <v>12</v>
      </c>
      <c r="L121" s="710"/>
      <c r="M121" s="259" t="s">
        <v>179</v>
      </c>
      <c r="N121" s="707">
        <f>ROUNDUP((E121-H121)/K121,3)</f>
        <v>3.5000000000000003E-2</v>
      </c>
      <c r="O121" s="707"/>
      <c r="P121" s="260" t="s">
        <v>143</v>
      </c>
      <c r="Q121" s="256"/>
      <c r="R121" s="256"/>
      <c r="S121" s="256"/>
      <c r="T121" s="256"/>
      <c r="U121" s="256"/>
      <c r="V121" s="256"/>
      <c r="W121" s="256"/>
      <c r="X121" s="256"/>
      <c r="AH121" s="41"/>
      <c r="AI121" s="41"/>
    </row>
    <row r="122" spans="2:35" x14ac:dyDescent="0.15">
      <c r="B122" s="263"/>
      <c r="C122" s="264" t="str">
        <f>IF(N121&lt;0,"→　計算結果がマイナスとなり 「ｂ」の条件で算出","")</f>
        <v/>
      </c>
      <c r="D122" s="263"/>
      <c r="E122" s="263"/>
      <c r="F122" s="263"/>
      <c r="G122" s="263"/>
      <c r="H122" s="265"/>
      <c r="I122" s="265"/>
      <c r="J122" s="263"/>
      <c r="K122" s="263"/>
      <c r="L122" s="263"/>
      <c r="M122" s="256"/>
      <c r="N122" s="256"/>
      <c r="O122" s="256"/>
      <c r="P122" s="256"/>
      <c r="Q122" s="256"/>
      <c r="R122" s="256"/>
      <c r="S122" s="256"/>
      <c r="T122" s="256"/>
      <c r="U122" s="256"/>
      <c r="V122" s="256"/>
      <c r="W122" s="266"/>
      <c r="X122" s="267"/>
      <c r="Y122" s="41"/>
    </row>
    <row r="123" spans="2:35" x14ac:dyDescent="0.15">
      <c r="B123" s="256" t="str">
        <f>IF(N121&lt;0,"　　ｂ. 起動水位が釜場の有効容量内で起動","")</f>
        <v/>
      </c>
      <c r="C123" s="257"/>
      <c r="D123" s="258"/>
      <c r="E123" s="257"/>
      <c r="F123" s="256"/>
      <c r="G123" s="256"/>
      <c r="H123" s="256"/>
      <c r="I123" s="256"/>
      <c r="J123" s="256"/>
      <c r="K123" s="256"/>
      <c r="L123" s="256"/>
      <c r="M123" s="261"/>
      <c r="N123" s="261"/>
      <c r="O123" s="260"/>
      <c r="P123" s="256"/>
      <c r="Q123" s="256"/>
      <c r="R123" s="256"/>
      <c r="S123" s="256"/>
      <c r="T123" s="256"/>
      <c r="U123" s="256"/>
      <c r="V123" s="256"/>
      <c r="W123" s="256"/>
      <c r="X123" s="256"/>
      <c r="AG123" s="41"/>
      <c r="AH123" s="41"/>
      <c r="AI123" s="41"/>
    </row>
    <row r="124" spans="2:35" x14ac:dyDescent="0.15">
      <c r="B124" s="256"/>
      <c r="C124" s="257"/>
      <c r="D124" s="262" t="str">
        <f>IF(N121&lt;0,"釜場の面積","")</f>
        <v/>
      </c>
      <c r="E124" s="707" t="str">
        <f>IF(N121&lt;0,F119,"")</f>
        <v/>
      </c>
      <c r="F124" s="707"/>
      <c r="G124" s="268" t="str">
        <f>IF(N121&lt;0,"×","")</f>
        <v/>
      </c>
      <c r="H124" s="707" t="str">
        <f>IF(N121&lt;0,I119,"")</f>
        <v/>
      </c>
      <c r="I124" s="707"/>
      <c r="J124" s="259" t="str">
        <f>IF(N121&lt;0,"＝","")</f>
        <v/>
      </c>
      <c r="K124" s="706" t="str">
        <f>IF(N121&lt;0,E124*H124,"")</f>
        <v/>
      </c>
      <c r="L124" s="706"/>
      <c r="M124" s="260" t="str">
        <f>IF(N121&lt;0,"ｍ2","")</f>
        <v/>
      </c>
      <c r="N124" s="706"/>
      <c r="O124" s="706"/>
      <c r="P124" s="260"/>
      <c r="Q124" s="256"/>
      <c r="R124" s="256"/>
      <c r="S124" s="256"/>
      <c r="T124" s="256"/>
      <c r="U124" s="256"/>
      <c r="V124" s="256"/>
      <c r="W124" s="256"/>
      <c r="X124" s="256"/>
      <c r="AH124" s="41"/>
      <c r="AI124" s="41"/>
    </row>
    <row r="125" spans="2:35" x14ac:dyDescent="0.15">
      <c r="B125" s="256"/>
      <c r="C125" s="256"/>
      <c r="D125" s="256"/>
      <c r="E125" s="710" t="str">
        <f>IF(N121&lt;0,N117,"")</f>
        <v/>
      </c>
      <c r="F125" s="710"/>
      <c r="G125" s="259" t="str">
        <f>IF(N121&lt;0,"÷","")</f>
        <v/>
      </c>
      <c r="H125" s="710" t="str">
        <f>IF(N121&lt;0,K124,"")</f>
        <v/>
      </c>
      <c r="I125" s="710"/>
      <c r="J125" s="259" t="str">
        <f>IF(N121&lt;0,"＝","")</f>
        <v/>
      </c>
      <c r="K125" s="707" t="str">
        <f>IF(N121&lt;0,ROUND(E125/H125,3),"")</f>
        <v/>
      </c>
      <c r="L125" s="707"/>
      <c r="M125" s="260" t="str">
        <f>IF(N121&lt;0,"ｍ","")</f>
        <v/>
      </c>
      <c r="N125" s="707"/>
      <c r="O125" s="707"/>
      <c r="P125" s="260"/>
      <c r="Q125" s="256" t="str">
        <f>IF(N121&lt;0,"","")</f>
        <v/>
      </c>
      <c r="R125" s="256"/>
      <c r="S125" s="256"/>
      <c r="T125" s="256"/>
      <c r="U125" s="256"/>
      <c r="V125" s="256"/>
      <c r="W125" s="256"/>
      <c r="X125" s="256"/>
      <c r="AH125" s="41"/>
      <c r="AI125" s="41"/>
    </row>
    <row r="126" spans="2:35" x14ac:dyDescent="0.15">
      <c r="D126" s="255"/>
      <c r="E126" s="285" t="str">
        <f>IF(N121&gt;=0,"釜場からの高さ","")</f>
        <v>釜場からの高さ</v>
      </c>
      <c r="F126" s="255"/>
      <c r="G126" s="255"/>
      <c r="H126" s="485">
        <f>IF(N121&gt;=0,N121,"")</f>
        <v>3.5000000000000003E-2</v>
      </c>
      <c r="I126" s="485"/>
      <c r="J126" s="286" t="str">
        <f>IF(N121&gt;=0,"+ 釜場の有効容量高さ","")</f>
        <v>+ 釜場の有効容量高さ</v>
      </c>
      <c r="K126" s="285"/>
      <c r="N126" s="485">
        <f>IF(N121&gt;=0,(L119-O119),"")</f>
        <v>0.5</v>
      </c>
      <c r="O126" s="485"/>
      <c r="P126" s="260"/>
    </row>
    <row r="127" spans="2:35" x14ac:dyDescent="0.15">
      <c r="C127" s="255" t="s">
        <v>238</v>
      </c>
      <c r="D127" s="255"/>
      <c r="E127" s="255"/>
      <c r="F127" s="255"/>
      <c r="G127" s="255"/>
      <c r="H127" s="727">
        <f>IF(N121&gt;=0,ROUNDUP(H126+N126,2),ROUNDUP(K125,2))</f>
        <v>0.54</v>
      </c>
      <c r="I127" s="727"/>
      <c r="J127" s="350" t="str">
        <f>IF(E116="　（ 釜場及び排水槽の形状から算出。（勾配の計算は省略））","ｍ 上方に設定する。",IF(E116="　（ 基準である３分以内の設定でポンプメーカー仕様等による）","ｍ となるが，ポンプ仕様等により"))</f>
        <v>ｍ となるが，ポンプ仕様等により</v>
      </c>
      <c r="K127" s="255"/>
      <c r="L127" s="255"/>
      <c r="M127" s="255"/>
      <c r="N127" s="348"/>
      <c r="O127" s="348"/>
      <c r="P127" s="714">
        <v>0.2</v>
      </c>
      <c r="Q127" s="714"/>
      <c r="R127" s="349" t="str">
        <f>IF(E116="　（ 釜場及び排水槽の形状から算出。（勾配の計算は省略））","　",IF(E116="　（ 基準である３分以内の設定でポンプメーカー仕様等による）","ｍ 上方に設定する。"))</f>
        <v>ｍ 上方に設定する。</v>
      </c>
      <c r="S127" s="348"/>
    </row>
    <row r="128" spans="2:35" x14ac:dyDescent="0.15">
      <c r="B128" s="149" t="s">
        <v>240</v>
      </c>
    </row>
    <row r="129" spans="2:16" x14ac:dyDescent="0.15">
      <c r="C129" s="255" t="s">
        <v>241</v>
      </c>
      <c r="D129" s="255"/>
      <c r="E129" s="255"/>
      <c r="F129" s="728">
        <v>0.1</v>
      </c>
      <c r="G129" s="728"/>
      <c r="H129" s="255" t="s">
        <v>239</v>
      </c>
      <c r="I129" s="255"/>
      <c r="J129" s="255"/>
    </row>
    <row r="130" spans="2:16" x14ac:dyDescent="0.15">
      <c r="B130" s="149" t="s">
        <v>640</v>
      </c>
    </row>
    <row r="131" spans="2:16" x14ac:dyDescent="0.15">
      <c r="C131" s="255" t="s">
        <v>242</v>
      </c>
      <c r="D131" s="255"/>
      <c r="E131" s="255"/>
      <c r="F131" s="728">
        <v>0.1</v>
      </c>
      <c r="G131" s="728"/>
      <c r="H131" s="255" t="s">
        <v>239</v>
      </c>
      <c r="I131" s="255"/>
      <c r="J131" s="255"/>
      <c r="K131" s="255"/>
    </row>
    <row r="132" spans="2:16" x14ac:dyDescent="0.15">
      <c r="B132" s="149" t="s">
        <v>649</v>
      </c>
    </row>
    <row r="133" spans="2:16" x14ac:dyDescent="0.15">
      <c r="C133" s="149" t="s">
        <v>243</v>
      </c>
      <c r="G133" s="785">
        <f>H34</f>
        <v>0.5</v>
      </c>
      <c r="H133" s="785"/>
      <c r="I133" s="149" t="s">
        <v>244</v>
      </c>
    </row>
    <row r="134" spans="2:16" x14ac:dyDescent="0.15">
      <c r="C134" s="256"/>
      <c r="D134" s="256"/>
      <c r="E134" s="730">
        <f>IF(G133-R119&gt;0,G133,"")</f>
        <v>0.5</v>
      </c>
      <c r="F134" s="730"/>
      <c r="G134" s="258" t="str">
        <f>IF(G133-R119&gt;0,"－","")</f>
        <v>－</v>
      </c>
      <c r="H134" s="710">
        <f>IF(G133-R119&gt;0,R119,IF(G133-R119=0,"",G133))</f>
        <v>0</v>
      </c>
      <c r="I134" s="710"/>
      <c r="J134" s="259" t="str">
        <f>IF(G133-R119&gt;0,"）÷",IF(G133-R119=0,"","÷"))</f>
        <v>）÷</v>
      </c>
      <c r="K134" s="710">
        <f>IF(G133-R119&gt;0,L120,IF(G133-R119=0,"",F119*I119))</f>
        <v>12</v>
      </c>
      <c r="L134" s="710"/>
      <c r="M134" s="259" t="str">
        <f>IF(G133-R119=0,"","=")</f>
        <v>=</v>
      </c>
      <c r="N134" s="707">
        <f>IF(G133-R119&gt;0,ROUND((E134-H134)/K134,3),IF(G133-R119=0,"",ROUND(H134/K134,3)))</f>
        <v>4.2000000000000003E-2</v>
      </c>
      <c r="O134" s="707"/>
      <c r="P134" s="259" t="str">
        <f>IF(G133-R119=0,"","m")</f>
        <v>m</v>
      </c>
    </row>
    <row r="135" spans="2:16" x14ac:dyDescent="0.15">
      <c r="D135" s="255"/>
      <c r="E135" s="285" t="str">
        <f>IF(G133-R119&gt;0,"釜場からの高さ","")</f>
        <v>釜場からの高さ</v>
      </c>
      <c r="F135" s="255"/>
      <c r="G135" s="255"/>
      <c r="H135" s="485">
        <f>IF(G133-R119&gt;0,N134,"")</f>
        <v>4.2000000000000003E-2</v>
      </c>
      <c r="I135" s="485"/>
      <c r="J135" s="286" t="str">
        <f>IF(G133-R119&gt;0,"+ 釜場の有効容量高さ","")</f>
        <v>+ 釜場の有効容量高さ</v>
      </c>
      <c r="K135" s="285"/>
      <c r="N135" s="485">
        <f>IF(G133-R119&gt;0,(L119-O119),"")</f>
        <v>0.5</v>
      </c>
      <c r="O135" s="485"/>
      <c r="P135" s="260"/>
    </row>
    <row r="136" spans="2:16" x14ac:dyDescent="0.15">
      <c r="C136" s="255" t="s">
        <v>238</v>
      </c>
      <c r="H136" s="727">
        <f>IF(G133-R119&gt;0,ROUNDUP(H135+N135,2),IF(G133-R119=0,(L119-O119),ROUNDUP(N134,2)))</f>
        <v>0.55000000000000004</v>
      </c>
      <c r="I136" s="727"/>
      <c r="J136" s="255" t="s">
        <v>518</v>
      </c>
      <c r="K136" s="255"/>
      <c r="L136" s="255"/>
    </row>
  </sheetData>
  <sheetProtection algorithmName="SHA-512" hashValue="gMUcLDhYWGckgO9VO95anAIjiDZd+kRZAOiQCKWaWaM6l0TJoqFr/u6Tgnz3j+s/r7RcNf1MCzd8JYDKMWayzQ==" saltValue="7MFLBlLax6dZUkCjIUPeBA==" spinCount="100000" sheet="1" objects="1" scenarios="1" formatCells="0"/>
  <mergeCells count="153">
    <mergeCell ref="W1:X1"/>
    <mergeCell ref="K134:L134"/>
    <mergeCell ref="N134:O134"/>
    <mergeCell ref="H135:I135"/>
    <mergeCell ref="H127:I127"/>
    <mergeCell ref="F129:G129"/>
    <mergeCell ref="F131:G131"/>
    <mergeCell ref="G133:H133"/>
    <mergeCell ref="E134:F134"/>
    <mergeCell ref="H134:I134"/>
    <mergeCell ref="N135:O135"/>
    <mergeCell ref="E125:F125"/>
    <mergeCell ref="H125:I125"/>
    <mergeCell ref="K125:L125"/>
    <mergeCell ref="N125:O125"/>
    <mergeCell ref="I120:J120"/>
    <mergeCell ref="L120:M120"/>
    <mergeCell ref="E121:F121"/>
    <mergeCell ref="H121:I121"/>
    <mergeCell ref="K121:L121"/>
    <mergeCell ref="N121:O121"/>
    <mergeCell ref="L108:M108"/>
    <mergeCell ref="O108:P108"/>
    <mergeCell ref="H114:I114"/>
    <mergeCell ref="N117:O117"/>
    <mergeCell ref="F119:G119"/>
    <mergeCell ref="I119:J119"/>
    <mergeCell ref="L119:M119"/>
    <mergeCell ref="R119:S119"/>
    <mergeCell ref="E124:F124"/>
    <mergeCell ref="H124:I124"/>
    <mergeCell ref="K124:L124"/>
    <mergeCell ref="N124:O124"/>
    <mergeCell ref="J117:K117"/>
    <mergeCell ref="O119:P119"/>
    <mergeCell ref="G104:I105"/>
    <mergeCell ref="L104:M104"/>
    <mergeCell ref="O104:P104"/>
    <mergeCell ref="L105:M105"/>
    <mergeCell ref="O105:P105"/>
    <mergeCell ref="L106:M106"/>
    <mergeCell ref="N98:O98"/>
    <mergeCell ref="L99:M99"/>
    <mergeCell ref="O100:P100"/>
    <mergeCell ref="L101:M101"/>
    <mergeCell ref="O101:P101"/>
    <mergeCell ref="L102:M102"/>
    <mergeCell ref="W49:Y55"/>
    <mergeCell ref="I50:J50"/>
    <mergeCell ref="L50:M50"/>
    <mergeCell ref="O50:P50"/>
    <mergeCell ref="I51:J51"/>
    <mergeCell ref="A42:D48"/>
    <mergeCell ref="R42:V45"/>
    <mergeCell ref="W42:Y43"/>
    <mergeCell ref="G43:H43"/>
    <mergeCell ref="W44:Y45"/>
    <mergeCell ref="G45:H45"/>
    <mergeCell ref="F48:K48"/>
    <mergeCell ref="I53:J53"/>
    <mergeCell ref="I54:J54"/>
    <mergeCell ref="G55:H55"/>
    <mergeCell ref="A49:D55"/>
    <mergeCell ref="I49:J49"/>
    <mergeCell ref="L49:M49"/>
    <mergeCell ref="O49:P49"/>
    <mergeCell ref="W38:Y41"/>
    <mergeCell ref="G40:H40"/>
    <mergeCell ref="A1:D3"/>
    <mergeCell ref="E1:F3"/>
    <mergeCell ref="A4:D6"/>
    <mergeCell ref="E4:I4"/>
    <mergeCell ref="J4:M4"/>
    <mergeCell ref="N4:P4"/>
    <mergeCell ref="G5:H5"/>
    <mergeCell ref="L5:M5"/>
    <mergeCell ref="N5:O5"/>
    <mergeCell ref="G6:H6"/>
    <mergeCell ref="L6:M6"/>
    <mergeCell ref="N6:O6"/>
    <mergeCell ref="K40:L40"/>
    <mergeCell ref="H41:I41"/>
    <mergeCell ref="A32:D37"/>
    <mergeCell ref="H32:I32"/>
    <mergeCell ref="W32:Y37"/>
    <mergeCell ref="H33:I33"/>
    <mergeCell ref="K33:L33"/>
    <mergeCell ref="N33:O33"/>
    <mergeCell ref="H34:I34"/>
    <mergeCell ref="F36:G36"/>
    <mergeCell ref="J11:K11"/>
    <mergeCell ref="D12:E12"/>
    <mergeCell ref="D13:E13"/>
    <mergeCell ref="W27:Y28"/>
    <mergeCell ref="A29:D31"/>
    <mergeCell ref="R29:V31"/>
    <mergeCell ref="W29:Y31"/>
    <mergeCell ref="H30:I30"/>
    <mergeCell ref="F31:G31"/>
    <mergeCell ref="L17:M17"/>
    <mergeCell ref="D18:E18"/>
    <mergeCell ref="D19:E19"/>
    <mergeCell ref="A27:D28"/>
    <mergeCell ref="E27:Q28"/>
    <mergeCell ref="R27:V28"/>
    <mergeCell ref="H136:I136"/>
    <mergeCell ref="D61:I61"/>
    <mergeCell ref="V120:W120"/>
    <mergeCell ref="C119:E119"/>
    <mergeCell ref="C120:E120"/>
    <mergeCell ref="B65:C65"/>
    <mergeCell ref="J71:K71"/>
    <mergeCell ref="J74:K74"/>
    <mergeCell ref="J78:K78"/>
    <mergeCell ref="N80:O80"/>
    <mergeCell ref="N81:O81"/>
    <mergeCell ref="F64:H64"/>
    <mergeCell ref="O65:P65"/>
    <mergeCell ref="O64:P64"/>
    <mergeCell ref="L89:M89"/>
    <mergeCell ref="L91:M91"/>
    <mergeCell ref="O91:P91"/>
    <mergeCell ref="J95:K95"/>
    <mergeCell ref="N97:O97"/>
    <mergeCell ref="L82:M82"/>
    <mergeCell ref="O83:P83"/>
    <mergeCell ref="L84:M84"/>
    <mergeCell ref="O84:P84"/>
    <mergeCell ref="L85:M85"/>
    <mergeCell ref="K65:L65"/>
    <mergeCell ref="K64:L64"/>
    <mergeCell ref="P127:Q127"/>
    <mergeCell ref="R32:V35"/>
    <mergeCell ref="T37:U37"/>
    <mergeCell ref="R36:V36"/>
    <mergeCell ref="H126:I126"/>
    <mergeCell ref="N126:O126"/>
    <mergeCell ref="A107:E108"/>
    <mergeCell ref="A90:E91"/>
    <mergeCell ref="A38:D41"/>
    <mergeCell ref="R38:V41"/>
    <mergeCell ref="E37:F37"/>
    <mergeCell ref="H37:I37"/>
    <mergeCell ref="K37:L37"/>
    <mergeCell ref="N37:O37"/>
    <mergeCell ref="J36:K36"/>
    <mergeCell ref="N36:O36"/>
    <mergeCell ref="R49:V55"/>
    <mergeCell ref="G87:I88"/>
    <mergeCell ref="L87:M87"/>
    <mergeCell ref="O87:P87"/>
    <mergeCell ref="L88:M88"/>
    <mergeCell ref="O88:P88"/>
  </mergeCells>
  <phoneticPr fontId="3"/>
  <conditionalFormatting sqref="P127:Q127">
    <cfRule type="cellIs" dxfId="2" priority="1" operator="greaterThan">
      <formula>$H$127</formula>
    </cfRule>
  </conditionalFormatting>
  <dataValidations count="5">
    <dataValidation type="list" showDropDown="1" showInputMessage="1" showErrorMessage="1" sqref="L6:M6">
      <formula1>"100％,50％"</formula1>
    </dataValidation>
    <dataValidation type="list" allowBlank="1" showErrorMessage="1" promptTitle="ｄ，ｓ，あ" sqref="C82:C84 C99:C101">
      <formula1>"0,１"</formula1>
    </dataValidation>
    <dataValidation type="list" allowBlank="1" showInputMessage="1" showErrorMessage="1" sqref="F48">
      <formula1>"　,（本件について施主了承済み）"</formula1>
    </dataValidation>
    <dataValidation type="list" allowBlank="1" showInputMessage="1" showErrorMessage="1" sqref="E116">
      <formula1>"　（ 釜場及び排水槽の形状から算出。（勾配の計算は省略））,　（ 基準である３分以内の設定でポンプメーカー仕様等による）"</formula1>
    </dataValidation>
    <dataValidation type="whole" operator="greaterThanOrEqual" allowBlank="1" showInputMessage="1" showErrorMessage="1" sqref="C102:C105 C85:C88">
      <formula1>0</formula1>
    </dataValidation>
  </dataValidations>
  <pageMargins left="0.7" right="0.7" top="0.75" bottom="0.75" header="0.3" footer="0.3"/>
  <pageSetup paperSize="9" scale="58" fitToHeight="2" orientation="portrait" r:id="rId1"/>
  <rowBreaks count="1" manualBreakCount="1">
    <brk id="67" max="24" man="1"/>
  </rowBreaks>
  <ignoredErrors>
    <ignoredError sqref="J36" unlockedFormula="1"/>
  </ignoredErrors>
  <legacy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7A991116-733F-4349-9065-DEE48D892F84}">
            <xm:f>NOT(ISERROR(SEARCH($H$127,P127)))</xm:f>
            <xm:f>$H$127</xm:f>
            <x14:dxf>
              <fill>
                <patternFill>
                  <bgColor rgb="FF66FFFF"/>
                </patternFill>
              </fill>
            </x14:dxf>
          </x14:cfRule>
          <x14:cfRule type="containsText" priority="3" operator="containsText" id="{FB609B4E-C0E1-4678-B94E-E780968158B3}">
            <xm:f>NOT(ISERROR(SEARCH($Q$130,P127)))</xm:f>
            <xm:f>$Q$130</xm:f>
            <x14:dxf>
              <fill>
                <patternFill>
                  <bgColor rgb="FF66FFFF"/>
                </patternFill>
              </fill>
            </x14:dxf>
          </x14:cfRule>
          <xm:sqref>P127:Q127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使用方法 (修正後)</vt:lpstr>
      <vt:lpstr>使用方法 (修正前)</vt:lpstr>
      <vt:lpstr>排水槽一覧表</vt:lpstr>
      <vt:lpstr>汚水槽</vt:lpstr>
      <vt:lpstr>雑排水槽</vt:lpstr>
      <vt:lpstr>雑排水槽 （機械排水系）</vt:lpstr>
      <vt:lpstr>混合槽</vt:lpstr>
      <vt:lpstr>湧水槽 </vt:lpstr>
      <vt:lpstr>雨水槽</vt:lpstr>
      <vt:lpstr>雨水槽!Print_Area</vt:lpstr>
      <vt:lpstr>汚水槽!Print_Area</vt:lpstr>
      <vt:lpstr>混合槽!Print_Area</vt:lpstr>
      <vt:lpstr>雑排水槽!Print_Area</vt:lpstr>
      <vt:lpstr>'雑排水槽 （機械排水系）'!Print_Area</vt:lpstr>
      <vt:lpstr>'使用方法 (修正後)'!Print_Area</vt:lpstr>
      <vt:lpstr>'使用方法 (修正前)'!Print_Area</vt:lpstr>
      <vt:lpstr>排水槽一覧表!Print_Area</vt:lpstr>
      <vt:lpstr>'湧水槽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yamasaki</dc:creator>
  <cp:lastModifiedBy>sc24402</cp:lastModifiedBy>
  <cp:lastPrinted>2019-04-10T23:55:05Z</cp:lastPrinted>
  <dcterms:created xsi:type="dcterms:W3CDTF">2018-09-19T06:32:40Z</dcterms:created>
  <dcterms:modified xsi:type="dcterms:W3CDTF">2025-03-12T07:38:55Z</dcterms:modified>
</cp:coreProperties>
</file>