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11000000)\保険年金担当\☆指導担当☆\賦課ファイル\保険料率算定\試算シート\Ｒ８年度\09_試算シート\01_簡易試算シート\01_最新\HP用\"/>
    </mc:Choice>
  </mc:AlternateContent>
  <xr:revisionPtr revIDLastSave="0" documentId="13_ncr:1_{2DD4B028-F0BF-4425-886E-34A6B5FCF01C}" xr6:coauthVersionLast="47" xr6:coauthVersionMax="47" xr10:uidLastSave="{00000000-0000-0000-0000-000000000000}"/>
  <workbookProtection workbookAlgorithmName="SHA-512" workbookHashValue="i6LgT8HhoflyJgPDj9jKKUuAOl7dl9C/v7pWKz95Rix5GA5MIHw7jPLP+DHIIsIYtNg0PIu33V+dx3VMUBzbqA==" workbookSaltValue="y2gtosYBWotQaAZiznStBQ==" workbookSpinCount="100000" lockStructure="1"/>
  <bookViews>
    <workbookView xWindow="-120" yWindow="-120" windowWidth="20730" windowHeight="11040" tabRatio="690" xr2:uid="{00000000-000D-0000-FFFF-FFFF00000000}"/>
  </bookViews>
  <sheets>
    <sheet name="Ｒ８年度" sheetId="1" r:id="rId1"/>
    <sheet name="１人目" sheetId="3" state="hidden" r:id="rId2"/>
    <sheet name="２人目" sheetId="23" state="hidden" r:id="rId3"/>
    <sheet name="３人目" sheetId="24" state="hidden" r:id="rId4"/>
    <sheet name="４人目" sheetId="25" state="hidden" r:id="rId5"/>
    <sheet name="５人目" sheetId="26" state="hidden" r:id="rId6"/>
    <sheet name="６人目" sheetId="27" state="hidden" r:id="rId7"/>
    <sheet name="７人目" sheetId="28" state="hidden" r:id="rId8"/>
    <sheet name="８人目" sheetId="29" state="hidden" r:id="rId9"/>
    <sheet name="９人目" sheetId="30" state="hidden" r:id="rId10"/>
    <sheet name="10人目" sheetId="31" state="hidden" r:id="rId11"/>
  </sheets>
  <definedNames>
    <definedName name="_xlnm._FilterDatabase" localSheetId="0" hidden="1">'Ｒ８年度'!$D$11:$F$12</definedName>
    <definedName name="_xlnm.Print_Area" localSheetId="10">'10人目'!$B$1:$AF$46</definedName>
    <definedName name="_xlnm.Print_Area" localSheetId="1">'１人目'!$B$1:$AF$46</definedName>
    <definedName name="_xlnm.Print_Area" localSheetId="2">'２人目'!$B$1:$AF$46</definedName>
    <definedName name="_xlnm.Print_Area" localSheetId="3">'３人目'!$B$1:$AF$46</definedName>
    <definedName name="_xlnm.Print_Area" localSheetId="4">'４人目'!$B$1:$AF$46</definedName>
    <definedName name="_xlnm.Print_Area" localSheetId="5">'５人目'!$B$1:$AF$46</definedName>
    <definedName name="_xlnm.Print_Area" localSheetId="6">'６人目'!$B$1:$AF$46</definedName>
    <definedName name="_xlnm.Print_Area" localSheetId="7">'７人目'!$B$1:$AF$46</definedName>
    <definedName name="_xlnm.Print_Area" localSheetId="8">'８人目'!$B$1:$AF$46</definedName>
    <definedName name="_xlnm.Print_Area" localSheetId="9">'９人目'!$B$1:$AF$46</definedName>
    <definedName name="_xlnm.Print_Area" localSheetId="0">'Ｒ８年度'!$B$2:$CF$53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31" l="1"/>
  <c r="P7" i="31"/>
  <c r="P16" i="30"/>
  <c r="P7" i="30"/>
  <c r="P16" i="29"/>
  <c r="P7" i="29"/>
  <c r="P16" i="28"/>
  <c r="P7" i="28"/>
  <c r="P16" i="27"/>
  <c r="P7" i="27"/>
  <c r="P16" i="26"/>
  <c r="P7" i="26"/>
  <c r="P16" i="25"/>
  <c r="P7" i="25"/>
  <c r="P16" i="24"/>
  <c r="P7" i="24"/>
  <c r="P16" i="23"/>
  <c r="P7" i="23"/>
  <c r="CM58" i="1" l="1"/>
  <c r="CV61" i="1" s="1"/>
  <c r="CM49" i="1"/>
  <c r="CM40" i="1"/>
  <c r="CC39" i="1"/>
  <c r="CC40" i="1"/>
  <c r="CC41" i="1"/>
  <c r="CC42" i="1"/>
  <c r="CC43" i="1"/>
  <c r="CC44" i="1"/>
  <c r="CC45" i="1"/>
  <c r="CC46" i="1"/>
  <c r="CC47" i="1"/>
  <c r="CC38" i="1"/>
  <c r="BZ38" i="1"/>
  <c r="BK38" i="1"/>
  <c r="H6" i="3"/>
  <c r="AB44" i="31"/>
  <c r="AB46" i="31" s="1"/>
  <c r="H36" i="31"/>
  <c r="R40" i="31" s="1"/>
  <c r="H24" i="31"/>
  <c r="P26" i="31" s="1"/>
  <c r="H6" i="31"/>
  <c r="AB44" i="30"/>
  <c r="AB46" i="30" s="1"/>
  <c r="H36" i="30"/>
  <c r="R40" i="30" s="1"/>
  <c r="H24" i="30"/>
  <c r="P26" i="30" s="1"/>
  <c r="H6" i="30"/>
  <c r="AB44" i="29"/>
  <c r="AB46" i="29" s="1"/>
  <c r="H36" i="29"/>
  <c r="N37" i="29" s="1"/>
  <c r="H24" i="29"/>
  <c r="R26" i="29" s="1"/>
  <c r="H6" i="29"/>
  <c r="Q7" i="29" s="1"/>
  <c r="AB44" i="28"/>
  <c r="AB46" i="28" s="1"/>
  <c r="H36" i="28"/>
  <c r="N37" i="28" s="1"/>
  <c r="H24" i="28"/>
  <c r="R28" i="28" s="1"/>
  <c r="H6" i="28"/>
  <c r="Q7" i="28" s="1"/>
  <c r="AB44" i="27"/>
  <c r="AB46" i="27" s="1"/>
  <c r="H36" i="27"/>
  <c r="R40" i="27" s="1"/>
  <c r="H24" i="27"/>
  <c r="P26" i="27" s="1"/>
  <c r="H6" i="27"/>
  <c r="AB44" i="26"/>
  <c r="AB46" i="26" s="1"/>
  <c r="H36" i="26"/>
  <c r="R40" i="26" s="1"/>
  <c r="H24" i="26"/>
  <c r="P26" i="26" s="1"/>
  <c r="H6" i="26"/>
  <c r="Q7" i="26" s="1"/>
  <c r="AB44" i="25"/>
  <c r="AB46" i="25" s="1"/>
  <c r="H36" i="25"/>
  <c r="R40" i="25" s="1"/>
  <c r="H24" i="25"/>
  <c r="P26" i="25" s="1"/>
  <c r="H6" i="25"/>
  <c r="AB44" i="24"/>
  <c r="AB46" i="24" s="1"/>
  <c r="H36" i="24"/>
  <c r="R40" i="24" s="1"/>
  <c r="H24" i="24"/>
  <c r="P26" i="24" s="1"/>
  <c r="H6" i="24"/>
  <c r="AB44" i="23"/>
  <c r="AB46" i="23" s="1"/>
  <c r="H36" i="23"/>
  <c r="R40" i="23" s="1"/>
  <c r="H24" i="23"/>
  <c r="P27" i="23" s="1"/>
  <c r="H6" i="23"/>
  <c r="BZ47" i="1"/>
  <c r="BZ46" i="1"/>
  <c r="BZ45" i="1"/>
  <c r="BZ44" i="1"/>
  <c r="BZ43" i="1"/>
  <c r="BZ42" i="1"/>
  <c r="BZ41" i="1"/>
  <c r="BZ40" i="1"/>
  <c r="BZ39" i="1"/>
  <c r="R28" i="31" l="1"/>
  <c r="Q16" i="27"/>
  <c r="L13" i="27"/>
  <c r="Q13" i="27" s="1"/>
  <c r="S7" i="27"/>
  <c r="S15" i="27"/>
  <c r="Q15" i="27"/>
  <c r="S6" i="27"/>
  <c r="N15" i="27"/>
  <c r="P15" i="27" s="1"/>
  <c r="S14" i="27"/>
  <c r="N14" i="27"/>
  <c r="P14" i="27" s="1"/>
  <c r="S16" i="27"/>
  <c r="L14" i="27"/>
  <c r="Q14" i="27" s="1"/>
  <c r="S13" i="27"/>
  <c r="N13" i="27"/>
  <c r="P13" i="27" s="1"/>
  <c r="L13" i="30"/>
  <c r="Q13" i="30" s="1"/>
  <c r="S16" i="30"/>
  <c r="S7" i="30"/>
  <c r="Q16" i="30"/>
  <c r="S6" i="30"/>
  <c r="S15" i="30"/>
  <c r="Q15" i="30"/>
  <c r="N15" i="30"/>
  <c r="P15" i="30" s="1"/>
  <c r="S14" i="30"/>
  <c r="N14" i="30"/>
  <c r="P14" i="30" s="1"/>
  <c r="L14" i="30"/>
  <c r="Q14" i="30" s="1"/>
  <c r="S13" i="30"/>
  <c r="N13" i="30"/>
  <c r="P13" i="30" s="1"/>
  <c r="Q7" i="30"/>
  <c r="S15" i="25"/>
  <c r="S6" i="25"/>
  <c r="Q15" i="25"/>
  <c r="N15" i="25"/>
  <c r="P15" i="25" s="1"/>
  <c r="S14" i="25"/>
  <c r="N14" i="25"/>
  <c r="P14" i="25" s="1"/>
  <c r="L14" i="25"/>
  <c r="Q14" i="25" s="1"/>
  <c r="S13" i="25"/>
  <c r="N13" i="25"/>
  <c r="P13" i="25" s="1"/>
  <c r="S16" i="25"/>
  <c r="L13" i="25"/>
  <c r="Q13" i="25" s="1"/>
  <c r="S7" i="25"/>
  <c r="Q16" i="25"/>
  <c r="S15" i="31"/>
  <c r="S6" i="31"/>
  <c r="Q15" i="31"/>
  <c r="N15" i="31"/>
  <c r="P15" i="31" s="1"/>
  <c r="S14" i="31"/>
  <c r="N14" i="31"/>
  <c r="P14" i="31" s="1"/>
  <c r="L14" i="31"/>
  <c r="Q14" i="31" s="1"/>
  <c r="S13" i="31"/>
  <c r="S16" i="31"/>
  <c r="L13" i="31"/>
  <c r="Q13" i="31" s="1"/>
  <c r="S7" i="31"/>
  <c r="Q16" i="31"/>
  <c r="N13" i="31"/>
  <c r="P13" i="31" s="1"/>
  <c r="Q7" i="25"/>
  <c r="S16" i="24"/>
  <c r="N13" i="24"/>
  <c r="P13" i="24" s="1"/>
  <c r="Q16" i="24"/>
  <c r="L13" i="24"/>
  <c r="Q13" i="24" s="1"/>
  <c r="S7" i="24"/>
  <c r="S15" i="24"/>
  <c r="Q15" i="24"/>
  <c r="S6" i="24"/>
  <c r="N15" i="24"/>
  <c r="P15" i="24" s="1"/>
  <c r="L14" i="24"/>
  <c r="Q14" i="24" s="1"/>
  <c r="S14" i="24"/>
  <c r="N14" i="24"/>
  <c r="P14" i="24" s="1"/>
  <c r="S13" i="24"/>
  <c r="Q7" i="27"/>
  <c r="Q7" i="24"/>
  <c r="N15" i="28"/>
  <c r="P15" i="28" s="1"/>
  <c r="S14" i="28"/>
  <c r="N14" i="28"/>
  <c r="P14" i="28" s="1"/>
  <c r="L14" i="28"/>
  <c r="Q14" i="28" s="1"/>
  <c r="S13" i="28"/>
  <c r="N13" i="28"/>
  <c r="P13" i="28" s="1"/>
  <c r="L13" i="28"/>
  <c r="Q13" i="28" s="1"/>
  <c r="Q16" i="28"/>
  <c r="Q15" i="28"/>
  <c r="S7" i="28"/>
  <c r="S6" i="28"/>
  <c r="S16" i="28"/>
  <c r="S15" i="28"/>
  <c r="Q7" i="31"/>
  <c r="S14" i="23"/>
  <c r="N14" i="23"/>
  <c r="P14" i="23" s="1"/>
  <c r="L14" i="23"/>
  <c r="Q14" i="23" s="1"/>
  <c r="S13" i="23"/>
  <c r="N13" i="23"/>
  <c r="P13" i="23" s="1"/>
  <c r="L13" i="23"/>
  <c r="Q13" i="23" s="1"/>
  <c r="S16" i="23"/>
  <c r="S7" i="23"/>
  <c r="S15" i="23"/>
  <c r="Q15" i="23"/>
  <c r="N15" i="23"/>
  <c r="P15" i="23" s="1"/>
  <c r="S6" i="23"/>
  <c r="Q16" i="23"/>
  <c r="L14" i="26"/>
  <c r="Q14" i="26" s="1"/>
  <c r="S13" i="26"/>
  <c r="S16" i="26"/>
  <c r="N13" i="26"/>
  <c r="P13" i="26" s="1"/>
  <c r="Q16" i="26"/>
  <c r="L13" i="26"/>
  <c r="Q13" i="26" s="1"/>
  <c r="S7" i="26"/>
  <c r="N15" i="26"/>
  <c r="P15" i="26" s="1"/>
  <c r="S14" i="26"/>
  <c r="N14" i="26"/>
  <c r="P14" i="26" s="1"/>
  <c r="S15" i="26"/>
  <c r="Q15" i="26"/>
  <c r="S6" i="26"/>
  <c r="L14" i="29"/>
  <c r="Q14" i="29" s="1"/>
  <c r="S13" i="29"/>
  <c r="N13" i="29"/>
  <c r="P13" i="29" s="1"/>
  <c r="L13" i="29"/>
  <c r="Q13" i="29" s="1"/>
  <c r="S16" i="29"/>
  <c r="S7" i="29"/>
  <c r="Q16" i="29"/>
  <c r="S6" i="29"/>
  <c r="S15" i="29"/>
  <c r="Q15" i="29"/>
  <c r="N15" i="29"/>
  <c r="P15" i="29" s="1"/>
  <c r="S14" i="29"/>
  <c r="N14" i="29"/>
  <c r="P14" i="29" s="1"/>
  <c r="Q7" i="3"/>
  <c r="N13" i="3"/>
  <c r="Q7" i="23"/>
  <c r="S6" i="3"/>
  <c r="CT58" i="1"/>
  <c r="CV62" i="1"/>
  <c r="CV63" i="1"/>
  <c r="CV65" i="1"/>
  <c r="CV64" i="1"/>
  <c r="CV59" i="1"/>
  <c r="CV60" i="1"/>
  <c r="CV58" i="1"/>
  <c r="CO58" i="1"/>
  <c r="CP58" i="1" s="1"/>
  <c r="CO59" i="1"/>
  <c r="CP59" i="1" s="1"/>
  <c r="CO60" i="1"/>
  <c r="CP60" i="1" s="1"/>
  <c r="CO61" i="1"/>
  <c r="CP61" i="1" s="1"/>
  <c r="BZ48" i="1"/>
  <c r="CC48" i="1"/>
  <c r="P39" i="29"/>
  <c r="R40" i="29"/>
  <c r="N38" i="29"/>
  <c r="N26" i="28"/>
  <c r="P26" i="28"/>
  <c r="R26" i="28"/>
  <c r="N25" i="28"/>
  <c r="R28" i="24"/>
  <c r="N37" i="23"/>
  <c r="R41" i="23"/>
  <c r="N38" i="23"/>
  <c r="P39" i="23"/>
  <c r="R28" i="29"/>
  <c r="R28" i="27"/>
  <c r="N26" i="29"/>
  <c r="R28" i="26"/>
  <c r="P27" i="28"/>
  <c r="R28" i="30"/>
  <c r="N25" i="23"/>
  <c r="P39" i="28"/>
  <c r="N26" i="23"/>
  <c r="R28" i="23"/>
  <c r="R29" i="23"/>
  <c r="R40" i="28"/>
  <c r="P26" i="23"/>
  <c r="R28" i="25"/>
  <c r="N38" i="28"/>
  <c r="P27" i="29"/>
  <c r="N25" i="29"/>
  <c r="P26" i="29"/>
  <c r="P25" i="31"/>
  <c r="R27" i="31"/>
  <c r="N29" i="31"/>
  <c r="P37" i="31"/>
  <c r="R39" i="31"/>
  <c r="N41" i="31"/>
  <c r="P38" i="31"/>
  <c r="R26" i="31"/>
  <c r="R38" i="31"/>
  <c r="R25" i="31"/>
  <c r="N28" i="31"/>
  <c r="P29" i="31"/>
  <c r="R37" i="31"/>
  <c r="N40" i="31"/>
  <c r="P41" i="31"/>
  <c r="N27" i="31"/>
  <c r="P28" i="31"/>
  <c r="R29" i="31"/>
  <c r="N39" i="31"/>
  <c r="P40" i="31"/>
  <c r="R41" i="31"/>
  <c r="N26" i="31"/>
  <c r="N38" i="31"/>
  <c r="N25" i="31"/>
  <c r="P27" i="31"/>
  <c r="N37" i="31"/>
  <c r="P39" i="31"/>
  <c r="P25" i="30"/>
  <c r="R27" i="30"/>
  <c r="N29" i="30"/>
  <c r="P37" i="30"/>
  <c r="R39" i="30"/>
  <c r="N41" i="30"/>
  <c r="P38" i="30"/>
  <c r="R26" i="30"/>
  <c r="R38" i="30"/>
  <c r="R25" i="30"/>
  <c r="N28" i="30"/>
  <c r="P29" i="30"/>
  <c r="R37" i="30"/>
  <c r="N40" i="30"/>
  <c r="P41" i="30"/>
  <c r="N27" i="30"/>
  <c r="P28" i="30"/>
  <c r="R29" i="30"/>
  <c r="N39" i="30"/>
  <c r="P40" i="30"/>
  <c r="R41" i="30"/>
  <c r="N26" i="30"/>
  <c r="N38" i="30"/>
  <c r="N25" i="30"/>
  <c r="P27" i="30"/>
  <c r="N37" i="30"/>
  <c r="P39" i="30"/>
  <c r="P38" i="29"/>
  <c r="P25" i="29"/>
  <c r="R27" i="29"/>
  <c r="N29" i="29"/>
  <c r="P37" i="29"/>
  <c r="R39" i="29"/>
  <c r="N41" i="29"/>
  <c r="R25" i="29"/>
  <c r="N28" i="29"/>
  <c r="P29" i="29"/>
  <c r="R37" i="29"/>
  <c r="N40" i="29"/>
  <c r="P41" i="29"/>
  <c r="R38" i="29"/>
  <c r="N27" i="29"/>
  <c r="P28" i="29"/>
  <c r="R29" i="29"/>
  <c r="N39" i="29"/>
  <c r="P40" i="29"/>
  <c r="R41" i="29"/>
  <c r="P25" i="28"/>
  <c r="R27" i="28"/>
  <c r="N29" i="28"/>
  <c r="P37" i="28"/>
  <c r="R39" i="28"/>
  <c r="N41" i="28"/>
  <c r="R25" i="28"/>
  <c r="N28" i="28"/>
  <c r="P29" i="28"/>
  <c r="R37" i="28"/>
  <c r="N40" i="28"/>
  <c r="P41" i="28"/>
  <c r="N27" i="28"/>
  <c r="P28" i="28"/>
  <c r="R29" i="28"/>
  <c r="N39" i="28"/>
  <c r="P40" i="28"/>
  <c r="R41" i="28"/>
  <c r="P38" i="28"/>
  <c r="R38" i="28"/>
  <c r="P25" i="27"/>
  <c r="R27" i="27"/>
  <c r="N29" i="27"/>
  <c r="P37" i="27"/>
  <c r="R39" i="27"/>
  <c r="N41" i="27"/>
  <c r="R26" i="27"/>
  <c r="R38" i="27"/>
  <c r="P38" i="27"/>
  <c r="R25" i="27"/>
  <c r="N28" i="27"/>
  <c r="P29" i="27"/>
  <c r="R37" i="27"/>
  <c r="N40" i="27"/>
  <c r="P41" i="27"/>
  <c r="N27" i="27"/>
  <c r="P28" i="27"/>
  <c r="R29" i="27"/>
  <c r="N39" i="27"/>
  <c r="P40" i="27"/>
  <c r="R41" i="27"/>
  <c r="N26" i="27"/>
  <c r="N38" i="27"/>
  <c r="N25" i="27"/>
  <c r="P27" i="27"/>
  <c r="N37" i="27"/>
  <c r="P39" i="27"/>
  <c r="P25" i="26"/>
  <c r="R27" i="26"/>
  <c r="N29" i="26"/>
  <c r="P37" i="26"/>
  <c r="R39" i="26"/>
  <c r="N41" i="26"/>
  <c r="R26" i="26"/>
  <c r="R38" i="26"/>
  <c r="R25" i="26"/>
  <c r="N28" i="26"/>
  <c r="P29" i="26"/>
  <c r="R37" i="26"/>
  <c r="N40" i="26"/>
  <c r="P41" i="26"/>
  <c r="P38" i="26"/>
  <c r="N27" i="26"/>
  <c r="P28" i="26"/>
  <c r="R29" i="26"/>
  <c r="N39" i="26"/>
  <c r="P40" i="26"/>
  <c r="R41" i="26"/>
  <c r="N26" i="26"/>
  <c r="N38" i="26"/>
  <c r="N25" i="26"/>
  <c r="P27" i="26"/>
  <c r="N37" i="26"/>
  <c r="P39" i="26"/>
  <c r="P38" i="25"/>
  <c r="P25" i="25"/>
  <c r="R27" i="25"/>
  <c r="N29" i="25"/>
  <c r="P37" i="25"/>
  <c r="R39" i="25"/>
  <c r="N41" i="25"/>
  <c r="R26" i="25"/>
  <c r="R38" i="25"/>
  <c r="R25" i="25"/>
  <c r="N28" i="25"/>
  <c r="P29" i="25"/>
  <c r="R37" i="25"/>
  <c r="N40" i="25"/>
  <c r="P41" i="25"/>
  <c r="N27" i="25"/>
  <c r="P28" i="25"/>
  <c r="R29" i="25"/>
  <c r="N39" i="25"/>
  <c r="P40" i="25"/>
  <c r="R41" i="25"/>
  <c r="N26" i="25"/>
  <c r="N38" i="25"/>
  <c r="N25" i="25"/>
  <c r="P27" i="25"/>
  <c r="N37" i="25"/>
  <c r="P39" i="25"/>
  <c r="N29" i="24"/>
  <c r="R26" i="24"/>
  <c r="R38" i="24"/>
  <c r="P38" i="24"/>
  <c r="R27" i="24"/>
  <c r="R39" i="24"/>
  <c r="R25" i="24"/>
  <c r="N28" i="24"/>
  <c r="P29" i="24"/>
  <c r="R37" i="24"/>
  <c r="N40" i="24"/>
  <c r="P41" i="24"/>
  <c r="P25" i="24"/>
  <c r="P37" i="24"/>
  <c r="N41" i="24"/>
  <c r="N39" i="24"/>
  <c r="P40" i="24"/>
  <c r="R41" i="24"/>
  <c r="N27" i="24"/>
  <c r="R29" i="24"/>
  <c r="N26" i="24"/>
  <c r="N38" i="24"/>
  <c r="P28" i="24"/>
  <c r="N25" i="24"/>
  <c r="P27" i="24"/>
  <c r="N37" i="24"/>
  <c r="P39" i="24"/>
  <c r="R26" i="23"/>
  <c r="R38" i="23"/>
  <c r="R25" i="23"/>
  <c r="N28" i="23"/>
  <c r="P29" i="23"/>
  <c r="R37" i="23"/>
  <c r="N40" i="23"/>
  <c r="P41" i="23"/>
  <c r="P38" i="23"/>
  <c r="P25" i="23"/>
  <c r="R27" i="23"/>
  <c r="N29" i="23"/>
  <c r="P37" i="23"/>
  <c r="R39" i="23"/>
  <c r="N41" i="23"/>
  <c r="N27" i="23"/>
  <c r="P28" i="23"/>
  <c r="N39" i="23"/>
  <c r="P40" i="23"/>
  <c r="CX63" i="1" l="1"/>
  <c r="CX61" i="1"/>
  <c r="CW58" i="1"/>
  <c r="CX59" i="1"/>
  <c r="CX58" i="1"/>
  <c r="CY58" i="1" s="1"/>
  <c r="CW64" i="1"/>
  <c r="CX64" i="1" s="1"/>
  <c r="CY64" i="1" s="1"/>
  <c r="CW62" i="1"/>
  <c r="CX62" i="1" s="1"/>
  <c r="CY62" i="1" s="1"/>
  <c r="CW60" i="1"/>
  <c r="CX60" i="1" s="1"/>
  <c r="CX65" i="1"/>
  <c r="CQ60" i="1"/>
  <c r="CQ58" i="1"/>
  <c r="CQ59" i="1"/>
  <c r="CQ61" i="1"/>
  <c r="Z6" i="31"/>
  <c r="W6" i="31"/>
  <c r="V6" i="31"/>
  <c r="Z6" i="30"/>
  <c r="W6" i="30"/>
  <c r="V6" i="30"/>
  <c r="W6" i="29"/>
  <c r="V6" i="29"/>
  <c r="Z6" i="29"/>
  <c r="W6" i="28"/>
  <c r="Z6" i="28"/>
  <c r="V6" i="28"/>
  <c r="Z6" i="27"/>
  <c r="W6" i="27"/>
  <c r="V6" i="27"/>
  <c r="Z6" i="26"/>
  <c r="W6" i="26"/>
  <c r="V6" i="26"/>
  <c r="Z6" i="25"/>
  <c r="W6" i="25"/>
  <c r="V6" i="25"/>
  <c r="Z6" i="24"/>
  <c r="W23" i="24" s="1"/>
  <c r="Y25" i="24" s="1"/>
  <c r="Q26" i="24" s="1"/>
  <c r="V6" i="24"/>
  <c r="W6" i="24"/>
  <c r="V6" i="23"/>
  <c r="Z6" i="23"/>
  <c r="W6" i="23"/>
  <c r="CY60" i="1" l="1"/>
  <c r="W35" i="31"/>
  <c r="W23" i="31"/>
  <c r="W35" i="30"/>
  <c r="W23" i="30"/>
  <c r="W23" i="29"/>
  <c r="W35" i="29"/>
  <c r="W35" i="28"/>
  <c r="W23" i="28"/>
  <c r="W35" i="27"/>
  <c r="W23" i="27"/>
  <c r="W35" i="26"/>
  <c r="W23" i="26"/>
  <c r="W35" i="25"/>
  <c r="W23" i="25"/>
  <c r="W35" i="24"/>
  <c r="W35" i="23"/>
  <c r="W23" i="23"/>
  <c r="Y37" i="31" l="1"/>
  <c r="Y38" i="31"/>
  <c r="Y36" i="31"/>
  <c r="Y25" i="31"/>
  <c r="Y24" i="31"/>
  <c r="Y26" i="31"/>
  <c r="Y37" i="30"/>
  <c r="Y38" i="30"/>
  <c r="Y36" i="30"/>
  <c r="Y25" i="30"/>
  <c r="Y24" i="30"/>
  <c r="Y26" i="30"/>
  <c r="Y37" i="29"/>
  <c r="Y38" i="29"/>
  <c r="Y36" i="29"/>
  <c r="Y25" i="29"/>
  <c r="Y24" i="29"/>
  <c r="Y26" i="29"/>
  <c r="Y37" i="28"/>
  <c r="Y38" i="28"/>
  <c r="Y36" i="28"/>
  <c r="Y25" i="28"/>
  <c r="Y24" i="28"/>
  <c r="Y26" i="28"/>
  <c r="Y25" i="27"/>
  <c r="Y24" i="27"/>
  <c r="Y26" i="27"/>
  <c r="Y37" i="27"/>
  <c r="Y38" i="27"/>
  <c r="Y36" i="27"/>
  <c r="Y25" i="26"/>
  <c r="Y24" i="26"/>
  <c r="Y26" i="26"/>
  <c r="Y37" i="26"/>
  <c r="Y38" i="26"/>
  <c r="Y36" i="26"/>
  <c r="Y25" i="25"/>
  <c r="Y24" i="25"/>
  <c r="Y26" i="25"/>
  <c r="Y37" i="25"/>
  <c r="Y38" i="25"/>
  <c r="Y36" i="25"/>
  <c r="Y24" i="24"/>
  <c r="Y26" i="24"/>
  <c r="Y37" i="24"/>
  <c r="Y38" i="24"/>
  <c r="Y36" i="24"/>
  <c r="Y25" i="23"/>
  <c r="Y24" i="23"/>
  <c r="Y26" i="23"/>
  <c r="Y37" i="23"/>
  <c r="Y38" i="23"/>
  <c r="Y36" i="23"/>
  <c r="S29" i="31" l="1"/>
  <c r="S28" i="31"/>
  <c r="S25" i="31"/>
  <c r="S24" i="31"/>
  <c r="S26" i="31"/>
  <c r="S27" i="31"/>
  <c r="O26" i="31"/>
  <c r="O27" i="31"/>
  <c r="O25" i="31"/>
  <c r="O28" i="31"/>
  <c r="O29" i="31"/>
  <c r="O24" i="31"/>
  <c r="Q28" i="31"/>
  <c r="Q29" i="31"/>
  <c r="Q24" i="31"/>
  <c r="Q25" i="31"/>
  <c r="Q27" i="31"/>
  <c r="Q26" i="31"/>
  <c r="O38" i="31"/>
  <c r="O39" i="31"/>
  <c r="O40" i="31"/>
  <c r="O41" i="31"/>
  <c r="O36" i="31"/>
  <c r="O37" i="31"/>
  <c r="S41" i="31"/>
  <c r="S40" i="31"/>
  <c r="S37" i="31"/>
  <c r="S38" i="31"/>
  <c r="S36" i="31"/>
  <c r="S39" i="31"/>
  <c r="Q40" i="31"/>
  <c r="Q39" i="31"/>
  <c r="Q41" i="31"/>
  <c r="Q37" i="31"/>
  <c r="Q36" i="31"/>
  <c r="Q38" i="31"/>
  <c r="S29" i="30"/>
  <c r="S28" i="30"/>
  <c r="S25" i="30"/>
  <c r="S24" i="30"/>
  <c r="S26" i="30"/>
  <c r="S27" i="30"/>
  <c r="O26" i="30"/>
  <c r="O27" i="30"/>
  <c r="O28" i="30"/>
  <c r="O25" i="30"/>
  <c r="O29" i="30"/>
  <c r="O24" i="30"/>
  <c r="Q28" i="30"/>
  <c r="Q29" i="30"/>
  <c r="Q24" i="30"/>
  <c r="Q25" i="30"/>
  <c r="Q27" i="30"/>
  <c r="Q26" i="30"/>
  <c r="O38" i="30"/>
  <c r="O39" i="30"/>
  <c r="O40" i="30"/>
  <c r="O37" i="30"/>
  <c r="O41" i="30"/>
  <c r="O36" i="30"/>
  <c r="S41" i="30"/>
  <c r="S40" i="30"/>
  <c r="S37" i="30"/>
  <c r="S38" i="30"/>
  <c r="S36" i="30"/>
  <c r="S39" i="30"/>
  <c r="Q40" i="30"/>
  <c r="Q39" i="30"/>
  <c r="Q41" i="30"/>
  <c r="Q37" i="30"/>
  <c r="Q36" i="30"/>
  <c r="Q38" i="30"/>
  <c r="O27" i="29"/>
  <c r="O25" i="29"/>
  <c r="O26" i="29"/>
  <c r="O28" i="29"/>
  <c r="O29" i="29"/>
  <c r="O24" i="29"/>
  <c r="Q28" i="29"/>
  <c r="Q27" i="29"/>
  <c r="Q29" i="29"/>
  <c r="Q25" i="29"/>
  <c r="Q24" i="29"/>
  <c r="Q26" i="29"/>
  <c r="O39" i="29"/>
  <c r="O37" i="29"/>
  <c r="O40" i="29"/>
  <c r="O41" i="29"/>
  <c r="O36" i="29"/>
  <c r="O38" i="29"/>
  <c r="S29" i="29"/>
  <c r="S27" i="29"/>
  <c r="S25" i="29"/>
  <c r="S24" i="29"/>
  <c r="S26" i="29"/>
  <c r="S28" i="29"/>
  <c r="S41" i="29"/>
  <c r="S39" i="29"/>
  <c r="S40" i="29"/>
  <c r="S37" i="29"/>
  <c r="S38" i="29"/>
  <c r="S36" i="29"/>
  <c r="Q40" i="29"/>
  <c r="Q41" i="29"/>
  <c r="Q36" i="29"/>
  <c r="Q37" i="29"/>
  <c r="Q39" i="29"/>
  <c r="Q38" i="29"/>
  <c r="S29" i="28"/>
  <c r="S27" i="28"/>
  <c r="S28" i="28"/>
  <c r="S25" i="28"/>
  <c r="S24" i="28"/>
  <c r="S26" i="28"/>
  <c r="O27" i="28"/>
  <c r="O26" i="28"/>
  <c r="O25" i="28"/>
  <c r="O28" i="28"/>
  <c r="O29" i="28"/>
  <c r="O24" i="28"/>
  <c r="Q28" i="28"/>
  <c r="Q27" i="28"/>
  <c r="Q29" i="28"/>
  <c r="Q24" i="28"/>
  <c r="Q25" i="28"/>
  <c r="Q26" i="28"/>
  <c r="O39" i="28"/>
  <c r="O37" i="28"/>
  <c r="O38" i="28"/>
  <c r="O40" i="28"/>
  <c r="O41" i="28"/>
  <c r="O36" i="28"/>
  <c r="S41" i="28"/>
  <c r="S40" i="28"/>
  <c r="S39" i="28"/>
  <c r="S37" i="28"/>
  <c r="S38" i="28"/>
  <c r="S36" i="28"/>
  <c r="Q40" i="28"/>
  <c r="Q39" i="28"/>
  <c r="Q41" i="28"/>
  <c r="Q37" i="28"/>
  <c r="Q36" i="28"/>
  <c r="Q38" i="28"/>
  <c r="Q40" i="27"/>
  <c r="Q41" i="27"/>
  <c r="Q37" i="27"/>
  <c r="Q36" i="27"/>
  <c r="Q39" i="27"/>
  <c r="Q38" i="27"/>
  <c r="S29" i="27"/>
  <c r="S25" i="27"/>
  <c r="S24" i="27"/>
  <c r="S26" i="27"/>
  <c r="S28" i="27"/>
  <c r="S27" i="27"/>
  <c r="O38" i="27"/>
  <c r="O39" i="27"/>
  <c r="O37" i="27"/>
  <c r="O40" i="27"/>
  <c r="O41" i="27"/>
  <c r="O36" i="27"/>
  <c r="O26" i="27"/>
  <c r="O27" i="27"/>
  <c r="O28" i="27"/>
  <c r="O25" i="27"/>
  <c r="O29" i="27"/>
  <c r="O24" i="27"/>
  <c r="S40" i="27"/>
  <c r="S41" i="27"/>
  <c r="S37" i="27"/>
  <c r="S38" i="27"/>
  <c r="S36" i="27"/>
  <c r="S39" i="27"/>
  <c r="Q28" i="27"/>
  <c r="Q27" i="27"/>
  <c r="Q29" i="27"/>
  <c r="Q24" i="27"/>
  <c r="Q25" i="27"/>
  <c r="Q26" i="27"/>
  <c r="O38" i="26"/>
  <c r="O37" i="26"/>
  <c r="O39" i="26"/>
  <c r="O40" i="26"/>
  <c r="O41" i="26"/>
  <c r="O36" i="26"/>
  <c r="Q40" i="26"/>
  <c r="Q39" i="26"/>
  <c r="Q41" i="26"/>
  <c r="Q37" i="26"/>
  <c r="Q36" i="26"/>
  <c r="Q38" i="26"/>
  <c r="S29" i="26"/>
  <c r="S25" i="26"/>
  <c r="S24" i="26"/>
  <c r="S28" i="26"/>
  <c r="S26" i="26"/>
  <c r="S27" i="26"/>
  <c r="O26" i="26"/>
  <c r="O25" i="26"/>
  <c r="O27" i="26"/>
  <c r="O28" i="26"/>
  <c r="O29" i="26"/>
  <c r="O24" i="26"/>
  <c r="S41" i="26"/>
  <c r="S40" i="26"/>
  <c r="S37" i="26"/>
  <c r="S38" i="26"/>
  <c r="S36" i="26"/>
  <c r="S39" i="26"/>
  <c r="Q28" i="26"/>
  <c r="Q27" i="26"/>
  <c r="Q29" i="26"/>
  <c r="Q24" i="26"/>
  <c r="Q25" i="26"/>
  <c r="Q26" i="26"/>
  <c r="S40" i="25"/>
  <c r="S41" i="25"/>
  <c r="S37" i="25"/>
  <c r="S38" i="25"/>
  <c r="S36" i="25"/>
  <c r="S39" i="25"/>
  <c r="Q40" i="25"/>
  <c r="Q41" i="25"/>
  <c r="Q37" i="25"/>
  <c r="Q36" i="25"/>
  <c r="Q39" i="25"/>
  <c r="Q38" i="25"/>
  <c r="O38" i="25"/>
  <c r="O39" i="25"/>
  <c r="O40" i="25"/>
  <c r="O41" i="25"/>
  <c r="O37" i="25"/>
  <c r="O36" i="25"/>
  <c r="S28" i="25"/>
  <c r="S29" i="25"/>
  <c r="S25" i="25"/>
  <c r="S24" i="25"/>
  <c r="S26" i="25"/>
  <c r="S27" i="25"/>
  <c r="O26" i="25"/>
  <c r="O27" i="25"/>
  <c r="O28" i="25"/>
  <c r="O29" i="25"/>
  <c r="O24" i="25"/>
  <c r="O25" i="25"/>
  <c r="Q28" i="25"/>
  <c r="Q29" i="25"/>
  <c r="Q24" i="25"/>
  <c r="Q25" i="25"/>
  <c r="Q27" i="25"/>
  <c r="Q26" i="25"/>
  <c r="S41" i="24"/>
  <c r="S37" i="24"/>
  <c r="S38" i="24"/>
  <c r="S36" i="24"/>
  <c r="S40" i="24"/>
  <c r="S39" i="24"/>
  <c r="S29" i="24"/>
  <c r="S25" i="24"/>
  <c r="S24" i="24"/>
  <c r="S26" i="24"/>
  <c r="S27" i="24"/>
  <c r="S28" i="24"/>
  <c r="O26" i="24"/>
  <c r="O27" i="24"/>
  <c r="O25" i="24"/>
  <c r="O28" i="24"/>
  <c r="O29" i="24"/>
  <c r="O24" i="24"/>
  <c r="O38" i="24"/>
  <c r="O39" i="24"/>
  <c r="O37" i="24"/>
  <c r="O40" i="24"/>
  <c r="O36" i="24"/>
  <c r="O41" i="24"/>
  <c r="Q40" i="24"/>
  <c r="Q41" i="24"/>
  <c r="Q37" i="24"/>
  <c r="Q36" i="24"/>
  <c r="Q38" i="24"/>
  <c r="Q39" i="24"/>
  <c r="Q28" i="24"/>
  <c r="Q27" i="24"/>
  <c r="Q29" i="24"/>
  <c r="Q24" i="24"/>
  <c r="Q25" i="24"/>
  <c r="Q41" i="23"/>
  <c r="Q38" i="23"/>
  <c r="Q39" i="23"/>
  <c r="Q40" i="23"/>
  <c r="Q37" i="23"/>
  <c r="Q36" i="23"/>
  <c r="S29" i="23"/>
  <c r="S25" i="23"/>
  <c r="S24" i="23"/>
  <c r="S28" i="23"/>
  <c r="S26" i="23"/>
  <c r="S27" i="23"/>
  <c r="O39" i="23"/>
  <c r="O40" i="23"/>
  <c r="O36" i="23"/>
  <c r="O37" i="23"/>
  <c r="O41" i="23"/>
  <c r="O38" i="23"/>
  <c r="O26" i="23"/>
  <c r="O27" i="23"/>
  <c r="O28" i="23"/>
  <c r="O25" i="23"/>
  <c r="O29" i="23"/>
  <c r="O24" i="23"/>
  <c r="S41" i="23"/>
  <c r="S37" i="23"/>
  <c r="S40" i="23"/>
  <c r="S38" i="23"/>
  <c r="S36" i="23"/>
  <c r="S39" i="23"/>
  <c r="Q28" i="23"/>
  <c r="Q29" i="23"/>
  <c r="Q26" i="23"/>
  <c r="Q27" i="23"/>
  <c r="Q24" i="23"/>
  <c r="Q25" i="23"/>
  <c r="Z24" i="27" l="1"/>
  <c r="Z24" i="23"/>
  <c r="Z24" i="26"/>
  <c r="Z36" i="28"/>
  <c r="AA36" i="28" s="1"/>
  <c r="Z36" i="30"/>
  <c r="AA36" i="30" s="1"/>
  <c r="Z36" i="31"/>
  <c r="AA36" i="31" s="1"/>
  <c r="Z24" i="31"/>
  <c r="Z24" i="30"/>
  <c r="Z24" i="29"/>
  <c r="Z36" i="29"/>
  <c r="AA36" i="29" s="1"/>
  <c r="Z24" i="28"/>
  <c r="Z36" i="27"/>
  <c r="AA36" i="27" s="1"/>
  <c r="Z36" i="26"/>
  <c r="AA36" i="26" s="1"/>
  <c r="Z24" i="25"/>
  <c r="Z36" i="25"/>
  <c r="AA36" i="25" s="1"/>
  <c r="Z36" i="24"/>
  <c r="AA36" i="24" s="1"/>
  <c r="Z24" i="24"/>
  <c r="Z36" i="23"/>
  <c r="AA36" i="23" s="1"/>
  <c r="W7" i="27" l="1"/>
  <c r="W5" i="27" s="1"/>
  <c r="Z46" i="27" s="1"/>
  <c r="AE46" i="27" s="1"/>
  <c r="W7" i="26"/>
  <c r="W5" i="26" s="1"/>
  <c r="Z46" i="26" s="1"/>
  <c r="AE46" i="26" s="1"/>
  <c r="W7" i="23"/>
  <c r="W5" i="23" s="1"/>
  <c r="Z46" i="23" s="1"/>
  <c r="AE46" i="23" s="1"/>
  <c r="V7" i="23"/>
  <c r="V5" i="23" s="1"/>
  <c r="AA6" i="23" s="1"/>
  <c r="Z44" i="23" s="1"/>
  <c r="AE44" i="23" s="1"/>
  <c r="W7" i="31"/>
  <c r="W5" i="31" s="1"/>
  <c r="Z46" i="31" s="1"/>
  <c r="AE46" i="31" s="1"/>
  <c r="V7" i="31"/>
  <c r="V5" i="31" s="1"/>
  <c r="AA6" i="31" s="1"/>
  <c r="Z44" i="31" s="1"/>
  <c r="AE44" i="31" s="1"/>
  <c r="W7" i="30"/>
  <c r="W5" i="30" s="1"/>
  <c r="Z46" i="30" s="1"/>
  <c r="AE46" i="30" s="1"/>
  <c r="V7" i="30"/>
  <c r="V5" i="30" s="1"/>
  <c r="AA6" i="30" s="1"/>
  <c r="Z44" i="30" s="1"/>
  <c r="AE44" i="30" s="1"/>
  <c r="W7" i="29"/>
  <c r="W5" i="29" s="1"/>
  <c r="Z46" i="29" s="1"/>
  <c r="AE46" i="29" s="1"/>
  <c r="V7" i="29"/>
  <c r="V5" i="29" s="1"/>
  <c r="AA6" i="29" s="1"/>
  <c r="Z44" i="29" s="1"/>
  <c r="AE44" i="29" s="1"/>
  <c r="W7" i="28"/>
  <c r="W5" i="28" s="1"/>
  <c r="Z46" i="28" s="1"/>
  <c r="AE46" i="28" s="1"/>
  <c r="V7" i="28"/>
  <c r="V5" i="28" s="1"/>
  <c r="AA6" i="28" s="1"/>
  <c r="Z44" i="28" s="1"/>
  <c r="AE44" i="28" s="1"/>
  <c r="V7" i="27"/>
  <c r="V5" i="27" s="1"/>
  <c r="AA6" i="27" s="1"/>
  <c r="Z44" i="27" s="1"/>
  <c r="AE44" i="27" s="1"/>
  <c r="V7" i="26"/>
  <c r="V5" i="26" s="1"/>
  <c r="AA6" i="26" s="1"/>
  <c r="Z44" i="26" s="1"/>
  <c r="AE44" i="26" s="1"/>
  <c r="W7" i="25"/>
  <c r="W5" i="25" s="1"/>
  <c r="Z46" i="25" s="1"/>
  <c r="AE46" i="25" s="1"/>
  <c r="V7" i="25"/>
  <c r="V5" i="25" s="1"/>
  <c r="AA6" i="25" s="1"/>
  <c r="Z44" i="25" s="1"/>
  <c r="AE44" i="25" s="1"/>
  <c r="W7" i="24"/>
  <c r="W5" i="24" s="1"/>
  <c r="Z46" i="24" s="1"/>
  <c r="AE46" i="24" s="1"/>
  <c r="V7" i="24"/>
  <c r="V5" i="24" s="1"/>
  <c r="AA6" i="24" s="1"/>
  <c r="Z44" i="24" s="1"/>
  <c r="AE44" i="24" s="1"/>
  <c r="Z45" i="29" l="1"/>
  <c r="AB45" i="29" s="1"/>
  <c r="AE45" i="29" s="1"/>
  <c r="BA45" i="1" s="1"/>
  <c r="P24" i="1"/>
  <c r="Z45" i="30"/>
  <c r="P25" i="1"/>
  <c r="Z45" i="24"/>
  <c r="AB45" i="24" s="1"/>
  <c r="AE45" i="24" s="1"/>
  <c r="BA40" i="1" s="1"/>
  <c r="P19" i="1"/>
  <c r="Z45" i="26"/>
  <c r="AB45" i="26" s="1"/>
  <c r="AE45" i="26" s="1"/>
  <c r="BA42" i="1" s="1"/>
  <c r="P21" i="1"/>
  <c r="Z45" i="31"/>
  <c r="AB45" i="31" s="1"/>
  <c r="AE45" i="31" s="1"/>
  <c r="BA47" i="1" s="1"/>
  <c r="P26" i="1"/>
  <c r="Z45" i="27"/>
  <c r="AB45" i="27" s="1"/>
  <c r="AE45" i="27" s="1"/>
  <c r="BA43" i="1" s="1"/>
  <c r="P22" i="1"/>
  <c r="Z45" i="25"/>
  <c r="AB45" i="25" s="1"/>
  <c r="AE45" i="25" s="1"/>
  <c r="BA41" i="1" s="1"/>
  <c r="P20" i="1"/>
  <c r="Z45" i="28"/>
  <c r="AB45" i="28" s="1"/>
  <c r="AE45" i="28" s="1"/>
  <c r="BA44" i="1" s="1"/>
  <c r="P23" i="1"/>
  <c r="Z45" i="23"/>
  <c r="AB45" i="23" s="1"/>
  <c r="AE45" i="23" s="1"/>
  <c r="BA39" i="1" s="1"/>
  <c r="P18" i="1"/>
  <c r="AB45" i="30"/>
  <c r="AE45" i="30" s="1"/>
  <c r="BA46" i="1" s="1"/>
  <c r="AB44" i="3" l="1"/>
  <c r="H24" i="3"/>
  <c r="P7" i="3" l="1"/>
  <c r="P16" i="3"/>
  <c r="S7" i="3" l="1"/>
  <c r="Q15" i="3"/>
  <c r="S15" i="3" s="1"/>
  <c r="Q16" i="3"/>
  <c r="S16" i="3" s="1"/>
  <c r="AB46" i="3" l="1"/>
  <c r="P25" i="3"/>
  <c r="N25" i="3" l="1"/>
  <c r="CO42" i="1" l="1"/>
  <c r="CP42" i="1" s="1"/>
  <c r="BK47" i="1"/>
  <c r="BK46" i="1"/>
  <c r="BK45" i="1"/>
  <c r="BK44" i="1"/>
  <c r="BK43" i="1"/>
  <c r="BK42" i="1"/>
  <c r="BK41" i="1"/>
  <c r="BK40" i="1"/>
  <c r="BK39" i="1"/>
  <c r="Y17" i="1"/>
  <c r="CO52" i="1"/>
  <c r="CP52" i="1" s="1"/>
  <c r="CO51" i="1"/>
  <c r="CP51" i="1" s="1"/>
  <c r="CO50" i="1"/>
  <c r="CP50" i="1" s="1"/>
  <c r="CO49" i="1"/>
  <c r="CP49" i="1" s="1"/>
  <c r="CO43" i="1"/>
  <c r="CP43" i="1" s="1"/>
  <c r="CO41" i="1"/>
  <c r="CP41" i="1" s="1"/>
  <c r="CO40" i="1"/>
  <c r="CP40" i="1" s="1"/>
  <c r="CQ40" i="1" s="1"/>
  <c r="BK48" i="1" l="1"/>
  <c r="CQ49" i="1" l="1"/>
  <c r="CQ52" i="1"/>
  <c r="CQ51" i="1"/>
  <c r="CQ50" i="1"/>
  <c r="CQ41" i="1"/>
  <c r="CQ42" i="1"/>
  <c r="CQ43" i="1"/>
  <c r="Y19" i="1" l="1"/>
  <c r="Y20" i="1"/>
  <c r="Y21" i="1"/>
  <c r="Y22" i="1"/>
  <c r="Y23" i="1"/>
  <c r="Y24" i="1"/>
  <c r="Y25" i="1"/>
  <c r="Y26" i="1"/>
  <c r="X26" i="1"/>
  <c r="X19" i="1"/>
  <c r="X20" i="1"/>
  <c r="X21" i="1"/>
  <c r="X22" i="1"/>
  <c r="X23" i="1"/>
  <c r="X24" i="1"/>
  <c r="X25" i="1"/>
  <c r="Y18" i="1"/>
  <c r="X18" i="1"/>
  <c r="X17" i="1"/>
  <c r="Z17" i="1" l="1"/>
  <c r="Z22" i="1"/>
  <c r="W18" i="1"/>
  <c r="W17" i="1"/>
  <c r="BS45" i="1" l="1"/>
  <c r="BS44" i="1" l="1"/>
  <c r="BS47" i="1"/>
  <c r="Z23" i="1"/>
  <c r="Z26" i="1"/>
  <c r="Z24" i="1"/>
  <c r="Z21" i="1"/>
  <c r="Z20" i="1"/>
  <c r="BS43" i="1" l="1"/>
  <c r="BS41" i="1"/>
  <c r="BS46" i="1"/>
  <c r="BS42" i="1"/>
  <c r="BS39" i="1"/>
  <c r="BS40" i="1"/>
  <c r="Z25" i="1"/>
  <c r="Z19" i="1"/>
  <c r="Z18" i="1"/>
  <c r="H36" i="3"/>
  <c r="N40" i="3" s="1"/>
  <c r="C17" i="1"/>
  <c r="C18" i="1"/>
  <c r="BQ28" i="1" l="1"/>
  <c r="BQ30" i="1"/>
  <c r="BQ29" i="1"/>
  <c r="N15" i="3"/>
  <c r="P15" i="3" s="1"/>
  <c r="N14" i="3"/>
  <c r="P14" i="3" s="1"/>
  <c r="P13" i="3"/>
  <c r="R38" i="3"/>
  <c r="N38" i="3"/>
  <c r="P40" i="3"/>
  <c r="N41" i="3"/>
  <c r="R40" i="3"/>
  <c r="P37" i="3"/>
  <c r="R37" i="3"/>
  <c r="N37" i="3"/>
  <c r="P39" i="3"/>
  <c r="P41" i="3"/>
  <c r="N39" i="3"/>
  <c r="P38" i="3"/>
  <c r="R39" i="3"/>
  <c r="R41" i="3"/>
  <c r="N29" i="3"/>
  <c r="P29" i="3"/>
  <c r="R27" i="3"/>
  <c r="N28" i="3"/>
  <c r="R28" i="3"/>
  <c r="N27" i="3"/>
  <c r="R29" i="3"/>
  <c r="P28" i="3"/>
  <c r="R25" i="3"/>
  <c r="N26" i="3"/>
  <c r="P26" i="3"/>
  <c r="R26" i="3"/>
  <c r="P27" i="3"/>
  <c r="L14" i="3"/>
  <c r="Q14" i="3" s="1"/>
  <c r="S14" i="3" s="1"/>
  <c r="L13" i="3"/>
  <c r="S13" i="3" l="1"/>
  <c r="Z6" i="3" s="1"/>
  <c r="Q13" i="3"/>
  <c r="W26" i="1"/>
  <c r="W25" i="1"/>
  <c r="W24" i="1"/>
  <c r="W23" i="1"/>
  <c r="W22" i="1"/>
  <c r="W21" i="1"/>
  <c r="W20" i="1"/>
  <c r="W19" i="1"/>
  <c r="W6" i="3" l="1"/>
  <c r="V6" i="3"/>
  <c r="W23" i="3"/>
  <c r="AZ38" i="1"/>
  <c r="AZ39" i="1"/>
  <c r="W35" i="3" l="1"/>
  <c r="Y36" i="3" s="1"/>
  <c r="Y24" i="3"/>
  <c r="O24" i="3" s="1"/>
  <c r="Y37" i="3" l="1"/>
  <c r="Q40" i="3" s="1"/>
  <c r="Y38" i="3"/>
  <c r="S36" i="3" s="1"/>
  <c r="O40" i="3"/>
  <c r="O38" i="3"/>
  <c r="Y26" i="3"/>
  <c r="S27" i="3" s="1"/>
  <c r="Y25" i="3"/>
  <c r="Q25" i="3" s="1"/>
  <c r="O41" i="3"/>
  <c r="O37" i="3"/>
  <c r="O36" i="3"/>
  <c r="O39" i="3"/>
  <c r="O29" i="3"/>
  <c r="O25" i="3"/>
  <c r="O28" i="3"/>
  <c r="O27" i="3"/>
  <c r="O26" i="3"/>
  <c r="AZ47" i="1"/>
  <c r="AZ46" i="1"/>
  <c r="AZ45" i="1"/>
  <c r="AZ44" i="1"/>
  <c r="AZ43" i="1"/>
  <c r="AZ42" i="1"/>
  <c r="AZ41" i="1"/>
  <c r="AZ40" i="1"/>
  <c r="S39" i="3" l="1"/>
  <c r="S38" i="3"/>
  <c r="Q39" i="3"/>
  <c r="Q37" i="3"/>
  <c r="Q36" i="3"/>
  <c r="Q38" i="3"/>
  <c r="Q41" i="3"/>
  <c r="S40" i="3"/>
  <c r="S41" i="3"/>
  <c r="S37" i="3"/>
  <c r="S24" i="3"/>
  <c r="S29" i="3"/>
  <c r="Q27" i="3"/>
  <c r="S28" i="3"/>
  <c r="S25" i="3"/>
  <c r="S26" i="3"/>
  <c r="Q24" i="3"/>
  <c r="Q26" i="3"/>
  <c r="Q29" i="3"/>
  <c r="Q28" i="3"/>
  <c r="Z36" i="3" l="1"/>
  <c r="AA36" i="3" s="1"/>
  <c r="Z24" i="3"/>
  <c r="C26" i="1"/>
  <c r="C25" i="1"/>
  <c r="C24" i="1"/>
  <c r="C23" i="1"/>
  <c r="C22" i="1"/>
  <c r="C21" i="1"/>
  <c r="C20" i="1"/>
  <c r="C19" i="1"/>
  <c r="V7" i="3" l="1"/>
  <c r="V5" i="3" s="1"/>
  <c r="AA6" i="3" s="1"/>
  <c r="W7" i="3"/>
  <c r="W5" i="3" s="1"/>
  <c r="Z46" i="3" s="1"/>
  <c r="Z44" i="3" l="1"/>
  <c r="AE46" i="3"/>
  <c r="AU38" i="1" s="1"/>
  <c r="AB38" i="1" l="1"/>
  <c r="AE44" i="3"/>
  <c r="P17" i="1" l="1"/>
  <c r="Z45" i="3"/>
  <c r="AB45" i="3" l="1"/>
  <c r="AE45" i="3" s="1"/>
  <c r="BA38" i="1" s="1"/>
  <c r="BS38" i="1" s="1"/>
  <c r="BS48" i="1" s="1"/>
  <c r="BA48" i="1" l="1"/>
  <c r="AU41" i="1" s="1"/>
  <c r="AI45" i="1" s="1"/>
  <c r="AU44" i="1"/>
  <c r="AI47" i="1" s="1"/>
  <c r="AI43" i="1" l="1"/>
  <c r="AI41" i="1"/>
  <c r="A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Kyoto</author>
  </authors>
  <commentList>
    <comment ref="D12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数字のみ入力</t>
        </r>
      </text>
    </comment>
    <comment ref="M15" authorId="1" shapeId="0" xr:uid="{B23DDD3E-E0E7-4FCB-980E-CFDF2FD5682F}">
      <text>
        <r>
          <rPr>
            <sz val="10"/>
            <color indexed="81"/>
            <rFont val="MS P ゴシック"/>
            <family val="3"/>
            <charset val="128"/>
          </rPr>
          <t>令和2年4月2日以降生まれの方について、「1」を入力
平成20年4月2日以降生まれの方について、「２」を入力
(それ以外の方は空欄)</t>
        </r>
      </text>
    </comment>
  </commentList>
</comments>
</file>

<file path=xl/sharedStrings.xml><?xml version="1.0" encoding="utf-8"?>
<sst xmlns="http://schemas.openxmlformats.org/spreadsheetml/2006/main" count="1303" uniqueCount="180">
  <si>
    <t>減額割合</t>
    <rPh sb="0" eb="2">
      <t>ゲンガク</t>
    </rPh>
    <rPh sb="2" eb="4">
      <t>ワリアイ</t>
    </rPh>
    <phoneticPr fontId="2"/>
  </si>
  <si>
    <t>保険料年額（合計）</t>
    <rPh sb="0" eb="3">
      <t>ホケンリョウ</t>
    </rPh>
    <rPh sb="3" eb="5">
      <t>ネンガク</t>
    </rPh>
    <rPh sb="6" eb="8">
      <t>ゴウケイ</t>
    </rPh>
    <phoneticPr fontId="2"/>
  </si>
  <si>
    <t>法　定　減　額　適　用　情　報</t>
    <rPh sb="0" eb="1">
      <t>ホウ</t>
    </rPh>
    <rPh sb="2" eb="3">
      <t>サダム</t>
    </rPh>
    <rPh sb="4" eb="5">
      <t>ゲン</t>
    </rPh>
    <rPh sb="6" eb="7">
      <t>ガク</t>
    </rPh>
    <rPh sb="8" eb="9">
      <t>テキ</t>
    </rPh>
    <rPh sb="10" eb="11">
      <t>ヨウ</t>
    </rPh>
    <rPh sb="12" eb="13">
      <t>ジョウ</t>
    </rPh>
    <rPh sb="14" eb="15">
      <t>ホウ</t>
    </rPh>
    <phoneticPr fontId="5"/>
  </si>
  <si>
    <t>＜入力方法＞</t>
    <rPh sb="1" eb="3">
      <t>ニュウリョク</t>
    </rPh>
    <rPh sb="3" eb="5">
      <t>ホウホウ</t>
    </rPh>
    <phoneticPr fontId="5"/>
  </si>
  <si>
    <t>＜法定減額に関する注意事項＞</t>
    <rPh sb="1" eb="3">
      <t>ホウテイ</t>
    </rPh>
    <rPh sb="3" eb="5">
      <t>ゲンガク</t>
    </rPh>
    <rPh sb="6" eb="7">
      <t>カン</t>
    </rPh>
    <rPh sb="9" eb="11">
      <t>チュウイ</t>
    </rPh>
    <rPh sb="11" eb="13">
      <t>ジコウ</t>
    </rPh>
    <phoneticPr fontId="5"/>
  </si>
  <si>
    <t>●法定減額</t>
    <rPh sb="1" eb="3">
      <t>ホウテイ</t>
    </rPh>
    <rPh sb="3" eb="5">
      <t>ゲンガク</t>
    </rPh>
    <phoneticPr fontId="5"/>
  </si>
  <si>
    <t>所得割基礎額の合計</t>
    <rPh sb="0" eb="3">
      <t>ショトクワリ</t>
    </rPh>
    <rPh sb="3" eb="5">
      <t>キソ</t>
    </rPh>
    <rPh sb="5" eb="6">
      <t>ガク</t>
    </rPh>
    <rPh sb="7" eb="9">
      <t>ゴウケイ</t>
    </rPh>
    <phoneticPr fontId="2"/>
  </si>
  <si>
    <t>計</t>
    <rPh sb="0" eb="1">
      <t>ケイ</t>
    </rPh>
    <phoneticPr fontId="5"/>
  </si>
  <si>
    <t>各々の介護分所得割基礎額（40歳～64歳のみ）</t>
    <rPh sb="0" eb="2">
      <t>オノオノ</t>
    </rPh>
    <rPh sb="3" eb="5">
      <t>カイゴ</t>
    </rPh>
    <rPh sb="5" eb="6">
      <t>ブン</t>
    </rPh>
    <rPh sb="6" eb="9">
      <t>ショトクワリ</t>
    </rPh>
    <rPh sb="9" eb="11">
      <t>キソ</t>
    </rPh>
    <rPh sb="11" eb="12">
      <t>ガク</t>
    </rPh>
    <phoneticPr fontId="2"/>
  </si>
  <si>
    <t>該当者：１</t>
    <rPh sb="0" eb="3">
      <t>ガイトウシャ</t>
    </rPh>
    <phoneticPr fontId="5"/>
  </si>
  <si>
    <t>≪試算結果≫</t>
    <rPh sb="1" eb="3">
      <t>シサン</t>
    </rPh>
    <rPh sb="3" eb="5">
      <t>ケッカ</t>
    </rPh>
    <phoneticPr fontId="5"/>
  </si>
  <si>
    <t>≪入力欄≫</t>
    <rPh sb="1" eb="3">
      <t>ニュウリョク</t>
    </rPh>
    <rPh sb="3" eb="4">
      <t>ラン</t>
    </rPh>
    <phoneticPr fontId="5"/>
  </si>
  <si>
    <t>　　＜代表的なもの＞</t>
    <rPh sb="3" eb="6">
      <t>ダイヒョウテキ</t>
    </rPh>
    <phoneticPr fontId="2"/>
  </si>
  <si>
    <t>　　　事業所得 ・・・ 事業収入金額 － 必要経費</t>
    <rPh sb="3" eb="5">
      <t>ジギョウ</t>
    </rPh>
    <rPh sb="5" eb="7">
      <t>ショトク</t>
    </rPh>
    <rPh sb="12" eb="14">
      <t>ジギョウ</t>
    </rPh>
    <rPh sb="14" eb="16">
      <t>シュウニュウ</t>
    </rPh>
    <rPh sb="16" eb="18">
      <t>キンガク</t>
    </rPh>
    <rPh sb="21" eb="23">
      <t>ヒツヨウ</t>
    </rPh>
    <rPh sb="23" eb="25">
      <t>ケイヒ</t>
    </rPh>
    <phoneticPr fontId="2"/>
  </si>
  <si>
    <r>
      <t>世帯人数</t>
    </r>
    <r>
      <rPr>
        <sz val="8"/>
        <rFont val="ＭＳ Ｐゴシック"/>
        <family val="3"/>
        <charset val="128"/>
      </rPr>
      <t>（加入者数）</t>
    </r>
    <rPh sb="0" eb="2">
      <t>セタイ</t>
    </rPh>
    <rPh sb="2" eb="3">
      <t>ニン</t>
    </rPh>
    <rPh sb="3" eb="4">
      <t>スウ</t>
    </rPh>
    <rPh sb="5" eb="7">
      <t>カニュウ</t>
    </rPh>
    <rPh sb="7" eb="8">
      <t>シャ</t>
    </rPh>
    <rPh sb="8" eb="9">
      <t>スウ</t>
    </rPh>
    <phoneticPr fontId="2"/>
  </si>
  <si>
    <t>①</t>
    <phoneticPr fontId="5"/>
  </si>
  <si>
    <t>　（１）　事業所得の方で専従者控除がある場合</t>
    <rPh sb="5" eb="7">
      <t>ジギョウ</t>
    </rPh>
    <rPh sb="7" eb="9">
      <t>ショトク</t>
    </rPh>
    <rPh sb="10" eb="11">
      <t>カタ</t>
    </rPh>
    <rPh sb="12" eb="15">
      <t>センジュウシャ</t>
    </rPh>
    <rPh sb="15" eb="17">
      <t>コウジョ</t>
    </rPh>
    <rPh sb="20" eb="22">
      <t>バアイ</t>
    </rPh>
    <phoneticPr fontId="5"/>
  </si>
  <si>
    <t>　（２）　専従者給与を受けている場合</t>
    <rPh sb="5" eb="8">
      <t>センジュウシャ</t>
    </rPh>
    <rPh sb="8" eb="10">
      <t>キュウヨ</t>
    </rPh>
    <rPh sb="11" eb="12">
      <t>ウ</t>
    </rPh>
    <rPh sb="16" eb="18">
      <t>バアイ</t>
    </rPh>
    <phoneticPr fontId="5"/>
  </si>
  <si>
    <t>（３）所得割（%）</t>
    <rPh sb="3" eb="6">
      <t>ショトクワリ</t>
    </rPh>
    <phoneticPr fontId="2"/>
  </si>
  <si>
    <t>①
医療分</t>
    <rPh sb="2" eb="4">
      <t>イリョウ</t>
    </rPh>
    <rPh sb="4" eb="5">
      <t>ブン</t>
    </rPh>
    <phoneticPr fontId="2"/>
  </si>
  <si>
    <r>
      <t xml:space="preserve">②
</t>
    </r>
    <r>
      <rPr>
        <sz val="10"/>
        <rFont val="ＭＳ Ｐゴシック"/>
        <family val="3"/>
        <charset val="128"/>
      </rPr>
      <t>後期高齢者
支援分</t>
    </r>
    <rPh sb="2" eb="4">
      <t>コウキ</t>
    </rPh>
    <rPh sb="4" eb="7">
      <t>コウレイシャ</t>
    </rPh>
    <rPh sb="8" eb="10">
      <t>シエン</t>
    </rPh>
    <rPh sb="10" eb="11">
      <t>ブン</t>
    </rPh>
    <phoneticPr fontId="2"/>
  </si>
  <si>
    <t>最高限度額</t>
    <rPh sb="0" eb="2">
      <t>サイコウ</t>
    </rPh>
    <rPh sb="2" eb="4">
      <t>ゲンド</t>
    </rPh>
    <rPh sb="4" eb="5">
      <t>ガク</t>
    </rPh>
    <phoneticPr fontId="2"/>
  </si>
  <si>
    <t>備　　考
（計算方法）</t>
    <rPh sb="0" eb="1">
      <t>ソナエ</t>
    </rPh>
    <rPh sb="3" eb="4">
      <t>コウ</t>
    </rPh>
    <rPh sb="6" eb="8">
      <t>ケイサン</t>
    </rPh>
    <rPh sb="8" eb="10">
      <t>ホウホウ</t>
    </rPh>
    <phoneticPr fontId="5"/>
  </si>
  <si>
    <t>・後期高齢者支援分保険料</t>
    <rPh sb="1" eb="3">
      <t>コウキ</t>
    </rPh>
    <rPh sb="3" eb="6">
      <t>コウレイシャ</t>
    </rPh>
    <rPh sb="6" eb="8">
      <t>シエン</t>
    </rPh>
    <rPh sb="8" eb="9">
      <t>ブン</t>
    </rPh>
    <rPh sb="9" eb="12">
      <t>ホケンリョウ</t>
    </rPh>
    <phoneticPr fontId="5"/>
  </si>
  <si>
    <t>●あなたの世帯における保険料算定基礎額（試算）</t>
    <rPh sb="5" eb="7">
      <t>セタイ</t>
    </rPh>
    <rPh sb="11" eb="14">
      <t>ホケンリョウ</t>
    </rPh>
    <rPh sb="14" eb="16">
      <t>サンテイ</t>
    </rPh>
    <rPh sb="16" eb="18">
      <t>キソ</t>
    </rPh>
    <rPh sb="18" eb="19">
      <t>ガク</t>
    </rPh>
    <rPh sb="20" eb="22">
      <t>シサン</t>
    </rPh>
    <phoneticPr fontId="5"/>
  </si>
  <si>
    <r>
      <t>…　介護保険の第２号被保険者として納めていただく介護保険分の保険料。</t>
    </r>
    <r>
      <rPr>
        <sz val="10"/>
        <color rgb="FFFF0000"/>
        <rFont val="ＭＳ Ｐゴシック"/>
        <family val="3"/>
        <charset val="128"/>
      </rPr>
      <t>４０歳から６４歳の加入者が対象。</t>
    </r>
    <rPh sb="2" eb="4">
      <t>カイゴ</t>
    </rPh>
    <rPh sb="4" eb="6">
      <t>ホケン</t>
    </rPh>
    <rPh sb="7" eb="8">
      <t>ダイ</t>
    </rPh>
    <rPh sb="9" eb="10">
      <t>ゴウ</t>
    </rPh>
    <rPh sb="10" eb="14">
      <t>ヒホケンシャ</t>
    </rPh>
    <rPh sb="17" eb="18">
      <t>オサ</t>
    </rPh>
    <rPh sb="24" eb="26">
      <t>カイゴ</t>
    </rPh>
    <rPh sb="26" eb="28">
      <t>ホケン</t>
    </rPh>
    <rPh sb="28" eb="29">
      <t>ブン</t>
    </rPh>
    <rPh sb="30" eb="33">
      <t>ホケンリョウ</t>
    </rPh>
    <rPh sb="36" eb="37">
      <t>サイ</t>
    </rPh>
    <rPh sb="41" eb="42">
      <t>サイ</t>
    </rPh>
    <rPh sb="43" eb="46">
      <t>カニュウシャ</t>
    </rPh>
    <rPh sb="47" eb="49">
      <t>タイショウ</t>
    </rPh>
    <phoneticPr fontId="5"/>
  </si>
  <si>
    <t>①医療分保険料</t>
    <rPh sb="1" eb="3">
      <t>イリョウ</t>
    </rPh>
    <rPh sb="3" eb="4">
      <t>ブン</t>
    </rPh>
    <rPh sb="4" eb="7">
      <t>ホケンリョウ</t>
    </rPh>
    <phoneticPr fontId="2"/>
  </si>
  <si>
    <t>②後期高齢者支援分保険料</t>
    <rPh sb="1" eb="3">
      <t>コウキ</t>
    </rPh>
    <rPh sb="3" eb="6">
      <t>コウレイシャ</t>
    </rPh>
    <rPh sb="6" eb="8">
      <t>シエン</t>
    </rPh>
    <rPh sb="8" eb="9">
      <t>ブン</t>
    </rPh>
    <rPh sb="9" eb="12">
      <t>ホケンリョウ</t>
    </rPh>
    <phoneticPr fontId="2"/>
  </si>
  <si>
    <t>（１）平等割</t>
    <rPh sb="3" eb="5">
      <t>ビョウドウ</t>
    </rPh>
    <rPh sb="5" eb="6">
      <t>ワリ</t>
    </rPh>
    <phoneticPr fontId="2"/>
  </si>
  <si>
    <t>（２）均等割</t>
    <rPh sb="3" eb="6">
      <t>キントウワリ</t>
    </rPh>
    <phoneticPr fontId="2"/>
  </si>
  <si>
    <t>基準金額</t>
    <rPh sb="0" eb="2">
      <t>キジュン</t>
    </rPh>
    <rPh sb="2" eb="3">
      <t>キン</t>
    </rPh>
    <rPh sb="3" eb="4">
      <t>ガク</t>
    </rPh>
    <phoneticPr fontId="5"/>
  </si>
  <si>
    <t>あなたの世帯における基準金額（試算）</t>
    <rPh sb="4" eb="6">
      <t>セタイ</t>
    </rPh>
    <rPh sb="10" eb="12">
      <t>キジュン</t>
    </rPh>
    <rPh sb="12" eb="13">
      <t>キン</t>
    </rPh>
    <rPh sb="13" eb="14">
      <t>ガク</t>
    </rPh>
    <rPh sb="15" eb="17">
      <t>シサン</t>
    </rPh>
    <phoneticPr fontId="5"/>
  </si>
  <si>
    <t>法定減額に係る
判定所得</t>
    <rPh sb="0" eb="2">
      <t>ホウテイ</t>
    </rPh>
    <rPh sb="2" eb="4">
      <t>ゲンガク</t>
    </rPh>
    <rPh sb="5" eb="6">
      <t>カカ</t>
    </rPh>
    <rPh sb="8" eb="10">
      <t>ハンテイ</t>
    </rPh>
    <rPh sb="10" eb="12">
      <t>ショトク</t>
    </rPh>
    <phoneticPr fontId="2"/>
  </si>
  <si>
    <t>※左記所得割基礎額と同額</t>
    <rPh sb="5" eb="6">
      <t>ワリ</t>
    </rPh>
    <phoneticPr fontId="5"/>
  </si>
  <si>
    <t>介護分所得割基礎額の合計</t>
    <rPh sb="0" eb="2">
      <t>カイゴ</t>
    </rPh>
    <rPh sb="2" eb="3">
      <t>ブン</t>
    </rPh>
    <rPh sb="3" eb="5">
      <t>ショトク</t>
    </rPh>
    <rPh sb="5" eb="6">
      <t>ワリ</t>
    </rPh>
    <rPh sb="6" eb="8">
      <t>キソ</t>
    </rPh>
    <rPh sb="8" eb="9">
      <t>ガク</t>
    </rPh>
    <rPh sb="10" eb="12">
      <t>ゴウケイ</t>
    </rPh>
    <phoneticPr fontId="2"/>
  </si>
  <si>
    <t>（京北地域にお住まいの方は京北出張所）にお問い合わせください。</t>
    <rPh sb="1" eb="3">
      <t>ケイホク</t>
    </rPh>
    <rPh sb="3" eb="5">
      <t>チイキ</t>
    </rPh>
    <rPh sb="7" eb="8">
      <t>ス</t>
    </rPh>
    <rPh sb="11" eb="12">
      <t>カタ</t>
    </rPh>
    <rPh sb="13" eb="15">
      <t>ケイホク</t>
    </rPh>
    <rPh sb="15" eb="17">
      <t>シュッチョウ</t>
    </rPh>
    <rPh sb="17" eb="18">
      <t>ショ</t>
    </rPh>
    <rPh sb="21" eb="22">
      <t>ト</t>
    </rPh>
    <rPh sb="23" eb="24">
      <t>ア</t>
    </rPh>
    <phoneticPr fontId="5"/>
  </si>
  <si>
    <t>…　後期高齢者医療制度を支援するために納めていただく保険料。全ての加入者が対象。</t>
    <rPh sb="2" eb="4">
      <t>コウキ</t>
    </rPh>
    <rPh sb="4" eb="7">
      <t>コウレイシャ</t>
    </rPh>
    <rPh sb="7" eb="9">
      <t>イリョウ</t>
    </rPh>
    <rPh sb="9" eb="11">
      <t>セイド</t>
    </rPh>
    <rPh sb="12" eb="14">
      <t>シエン</t>
    </rPh>
    <rPh sb="19" eb="20">
      <t>オサ</t>
    </rPh>
    <rPh sb="26" eb="29">
      <t>ホケンリョウ</t>
    </rPh>
    <rPh sb="30" eb="31">
      <t>スベ</t>
    </rPh>
    <rPh sb="33" eb="36">
      <t>カニュウシャ</t>
    </rPh>
    <rPh sb="37" eb="39">
      <t>タイショウ</t>
    </rPh>
    <phoneticPr fontId="5"/>
  </si>
  <si>
    <t>給与収入</t>
    <rPh sb="0" eb="2">
      <t>キュウヨ</t>
    </rPh>
    <rPh sb="2" eb="4">
      <t>シュウニュウ</t>
    </rPh>
    <phoneticPr fontId="5"/>
  </si>
  <si>
    <t>年金収入</t>
    <rPh sb="0" eb="2">
      <t>ネンキン</t>
    </rPh>
    <rPh sb="2" eb="4">
      <t>シュウニュウ</t>
    </rPh>
    <phoneticPr fontId="5"/>
  </si>
  <si>
    <t>円以下</t>
    <rPh sb="0" eb="1">
      <t>エン</t>
    </rPh>
    <rPh sb="1" eb="3">
      <t>イカ</t>
    </rPh>
    <phoneticPr fontId="2"/>
  </si>
  <si>
    <t>円</t>
    <rPh sb="0" eb="1">
      <t>エン</t>
    </rPh>
    <phoneticPr fontId="2"/>
  </si>
  <si>
    <t>控除額</t>
    <rPh sb="0" eb="2">
      <t>コウジョ</t>
    </rPh>
    <rPh sb="2" eb="3">
      <t>ガク</t>
    </rPh>
    <phoneticPr fontId="2"/>
  </si>
  <si>
    <t>割合</t>
    <rPh sb="0" eb="2">
      <t>ワリアイ</t>
    </rPh>
    <phoneticPr fontId="2"/>
  </si>
  <si>
    <t>公的年金等の収入金額の合計額</t>
    <rPh sb="0" eb="2">
      <t>コウテキ</t>
    </rPh>
    <rPh sb="2" eb="4">
      <t>ネンキン</t>
    </rPh>
    <rPh sb="4" eb="5">
      <t>トウ</t>
    </rPh>
    <rPh sb="6" eb="8">
      <t>シュウニュウ</t>
    </rPh>
    <rPh sb="8" eb="10">
      <t>キンガク</t>
    </rPh>
    <rPh sb="11" eb="13">
      <t>ゴウケイ</t>
    </rPh>
    <rPh sb="13" eb="14">
      <t>ガク</t>
    </rPh>
    <phoneticPr fontId="2"/>
  </si>
  <si>
    <t>◆65歳以上の年金収入の方</t>
    <rPh sb="3" eb="6">
      <t>サイイジョウ</t>
    </rPh>
    <rPh sb="7" eb="9">
      <t>ネンキン</t>
    </rPh>
    <rPh sb="9" eb="11">
      <t>シュウニュウ</t>
    </rPh>
    <rPh sb="12" eb="13">
      <t>カタ</t>
    </rPh>
    <phoneticPr fontId="2"/>
  </si>
  <si>
    <t>給与所得額</t>
    <rPh sb="0" eb="2">
      <t>キュウヨ</t>
    </rPh>
    <rPh sb="2" eb="4">
      <t>ショトク</t>
    </rPh>
    <rPh sb="4" eb="5">
      <t>ガク</t>
    </rPh>
    <phoneticPr fontId="2"/>
  </si>
  <si>
    <t>控除割合</t>
    <rPh sb="0" eb="2">
      <t>コウジョ</t>
    </rPh>
    <rPh sb="2" eb="4">
      <t>ワリアイ</t>
    </rPh>
    <phoneticPr fontId="2"/>
  </si>
  <si>
    <t>給与等の収入金額</t>
    <rPh sb="0" eb="2">
      <t>キュウヨ</t>
    </rPh>
    <rPh sb="2" eb="3">
      <t>トウ</t>
    </rPh>
    <rPh sb="4" eb="6">
      <t>シュウニュウ</t>
    </rPh>
    <rPh sb="6" eb="8">
      <t>キンガク</t>
    </rPh>
    <phoneticPr fontId="2"/>
  </si>
  <si>
    <t>◆給与収入の方</t>
    <rPh sb="1" eb="3">
      <t>キュウヨ</t>
    </rPh>
    <rPh sb="3" eb="5">
      <t>シュウニュウ</t>
    </rPh>
    <rPh sb="6" eb="7">
      <t>カタ</t>
    </rPh>
    <phoneticPr fontId="2"/>
  </si>
  <si>
    <t>収入</t>
    <rPh sb="0" eb="2">
      <t>シュウニュウ</t>
    </rPh>
    <phoneticPr fontId="5"/>
  </si>
  <si>
    <t>給与・年金
以外の所得</t>
    <rPh sb="0" eb="2">
      <t>キュウヨ</t>
    </rPh>
    <rPh sb="3" eb="5">
      <t>ネンキン</t>
    </rPh>
    <rPh sb="6" eb="8">
      <t>イガイ</t>
    </rPh>
    <rPh sb="9" eb="11">
      <t>ショトク</t>
    </rPh>
    <phoneticPr fontId="5"/>
  </si>
  <si>
    <t>【入力例】</t>
    <rPh sb="1" eb="3">
      <t>ニュウリョク</t>
    </rPh>
    <rPh sb="3" eb="4">
      <t>レイ</t>
    </rPh>
    <phoneticPr fontId="5"/>
  </si>
  <si>
    <t>③</t>
    <phoneticPr fontId="5"/>
  </si>
  <si>
    <t>④</t>
    <phoneticPr fontId="5"/>
  </si>
  <si>
    <t>所得合計</t>
    <rPh sb="0" eb="2">
      <t>ショトク</t>
    </rPh>
    <rPh sb="2" eb="4">
      <t>ゴウケイ</t>
    </rPh>
    <phoneticPr fontId="5"/>
  </si>
  <si>
    <t>区分判定</t>
    <rPh sb="0" eb="2">
      <t>クブン</t>
    </rPh>
    <rPh sb="2" eb="4">
      <t>ハンテイ</t>
    </rPh>
    <phoneticPr fontId="2"/>
  </si>
  <si>
    <t>区分判定</t>
    <rPh sb="0" eb="2">
      <t>クブン</t>
    </rPh>
    <rPh sb="2" eb="4">
      <t>ハンテイ</t>
    </rPh>
    <phoneticPr fontId="5"/>
  </si>
  <si>
    <t>保険料算定シートから転記</t>
    <rPh sb="0" eb="3">
      <t>ホケンリョウ</t>
    </rPh>
    <rPh sb="3" eb="5">
      <t>サンテイ</t>
    </rPh>
    <rPh sb="10" eb="12">
      <t>テンキ</t>
    </rPh>
    <phoneticPr fontId="2"/>
  </si>
  <si>
    <t>基本</t>
    <rPh sb="0" eb="2">
      <t>キホン</t>
    </rPh>
    <phoneticPr fontId="5"/>
  </si>
  <si>
    <t>年金外所得</t>
    <rPh sb="0" eb="2">
      <t>ネンキン</t>
    </rPh>
    <rPh sb="2" eb="3">
      <t>ガイ</t>
    </rPh>
    <rPh sb="3" eb="5">
      <t>ショトク</t>
    </rPh>
    <phoneticPr fontId="5"/>
  </si>
  <si>
    <t>年金外所得の判定</t>
    <rPh sb="0" eb="2">
      <t>ネンキン</t>
    </rPh>
    <rPh sb="2" eb="3">
      <t>ガイ</t>
    </rPh>
    <rPh sb="3" eb="5">
      <t>ショトク</t>
    </rPh>
    <rPh sb="6" eb="8">
      <t>ハンテイ</t>
    </rPh>
    <phoneticPr fontId="5"/>
  </si>
  <si>
    <t>円以下</t>
    <rPh sb="0" eb="1">
      <t>エン</t>
    </rPh>
    <rPh sb="1" eb="3">
      <t>イカ</t>
    </rPh>
    <phoneticPr fontId="5"/>
  </si>
  <si>
    <t>円以上</t>
    <rPh sb="0" eb="1">
      <t>エン</t>
    </rPh>
    <rPh sb="1" eb="3">
      <t>イジョウ</t>
    </rPh>
    <phoneticPr fontId="5"/>
  </si>
  <si>
    <t>OK</t>
    <phoneticPr fontId="5"/>
  </si>
  <si>
    <t>年金所得
（６４歳以下）</t>
    <rPh sb="0" eb="2">
      <t>ネンキン</t>
    </rPh>
    <rPh sb="2" eb="4">
      <t>ショトク</t>
    </rPh>
    <rPh sb="8" eb="9">
      <t>サイ</t>
    </rPh>
    <rPh sb="9" eb="11">
      <t>イカ</t>
    </rPh>
    <phoneticPr fontId="2"/>
  </si>
  <si>
    <t>年金所得
（６５歳以上）</t>
    <rPh sb="0" eb="2">
      <t>ネンキン</t>
    </rPh>
    <rPh sb="2" eb="4">
      <t>ショトク</t>
    </rPh>
    <rPh sb="8" eb="9">
      <t>サイ</t>
    </rPh>
    <rPh sb="9" eb="11">
      <t>イジョウ</t>
    </rPh>
    <phoneticPr fontId="2"/>
  </si>
  <si>
    <t>給与所得</t>
    <rPh sb="0" eb="2">
      <t>キュウヨ</t>
    </rPh>
    <rPh sb="2" eb="4">
      <t>ショトク</t>
    </rPh>
    <phoneticPr fontId="5"/>
  </si>
  <si>
    <t>年金所得</t>
    <rPh sb="0" eb="2">
      <t>ネンキン</t>
    </rPh>
    <rPh sb="2" eb="4">
      <t>ショトク</t>
    </rPh>
    <phoneticPr fontId="5"/>
  </si>
  <si>
    <t>所得金額
調整控除</t>
    <rPh sb="0" eb="2">
      <t>ショトク</t>
    </rPh>
    <rPh sb="2" eb="4">
      <t>キンガク</t>
    </rPh>
    <rPh sb="5" eb="7">
      <t>チョウセイ</t>
    </rPh>
    <rPh sb="7" eb="9">
      <t>コウジョ</t>
    </rPh>
    <phoneticPr fontId="5"/>
  </si>
  <si>
    <r>
      <t xml:space="preserve">給与等の収入金額
</t>
    </r>
    <r>
      <rPr>
        <sz val="18"/>
        <rFont val="ＭＳ Ｐゴシック"/>
        <family val="3"/>
        <charset val="128"/>
      </rPr>
      <t>（各種控除前の金額）</t>
    </r>
    <rPh sb="0" eb="2">
      <t>キュウヨ</t>
    </rPh>
    <rPh sb="2" eb="3">
      <t>トウ</t>
    </rPh>
    <rPh sb="4" eb="6">
      <t>シュウニュウ</t>
    </rPh>
    <rPh sb="6" eb="8">
      <t>キンガク</t>
    </rPh>
    <rPh sb="10" eb="12">
      <t>カクシュ</t>
    </rPh>
    <rPh sb="12" eb="14">
      <t>コウジョ</t>
    </rPh>
    <rPh sb="14" eb="15">
      <t>マエ</t>
    </rPh>
    <rPh sb="16" eb="18">
      <t>キンガク</t>
    </rPh>
    <phoneticPr fontId="2"/>
  </si>
  <si>
    <t>公的年金等の収入金額
（65歳未満）</t>
    <rPh sb="0" eb="2">
      <t>コウテキ</t>
    </rPh>
    <rPh sb="2" eb="4">
      <t>ネンキン</t>
    </rPh>
    <rPh sb="4" eb="5">
      <t>トウ</t>
    </rPh>
    <rPh sb="6" eb="8">
      <t>シュウニュウ</t>
    </rPh>
    <rPh sb="8" eb="10">
      <t>キンガク</t>
    </rPh>
    <phoneticPr fontId="2"/>
  </si>
  <si>
    <t>ＯＫ</t>
    <phoneticPr fontId="5"/>
  </si>
  <si>
    <r>
      <t xml:space="preserve">各々の所得割基礎額
</t>
    </r>
    <r>
      <rPr>
        <sz val="8"/>
        <rFont val="ＭＳ Ｐゴシック"/>
        <family val="3"/>
        <charset val="128"/>
      </rPr>
      <t>（総所得金額等－基礎控除）</t>
    </r>
    <rPh sb="0" eb="2">
      <t>オノオノ</t>
    </rPh>
    <rPh sb="3" eb="6">
      <t>ショトクワリ</t>
    </rPh>
    <rPh sb="6" eb="8">
      <t>キソ</t>
    </rPh>
    <rPh sb="8" eb="9">
      <t>ガク</t>
    </rPh>
    <rPh sb="11" eb="14">
      <t>ソウショトク</t>
    </rPh>
    <rPh sb="14" eb="16">
      <t>キンガク</t>
    </rPh>
    <rPh sb="16" eb="17">
      <t>トウ</t>
    </rPh>
    <rPh sb="18" eb="20">
      <t>キソ</t>
    </rPh>
    <rPh sb="20" eb="22">
      <t>コウジョ</t>
    </rPh>
    <phoneticPr fontId="2"/>
  </si>
  <si>
    <t>給与所得</t>
    <rPh sb="0" eb="2">
      <t>キュウヨ</t>
    </rPh>
    <rPh sb="2" eb="4">
      <t>ショトク</t>
    </rPh>
    <phoneticPr fontId="5"/>
  </si>
  <si>
    <t>年金所得</t>
    <rPh sb="0" eb="2">
      <t>ネンキン</t>
    </rPh>
    <rPh sb="2" eb="4">
      <t>ショトク</t>
    </rPh>
    <phoneticPr fontId="5"/>
  </si>
  <si>
    <t>【軽減分】年金所得</t>
    <rPh sb="1" eb="3">
      <t>ケイゲン</t>
    </rPh>
    <rPh sb="3" eb="4">
      <t>ブン</t>
    </rPh>
    <rPh sb="5" eb="7">
      <t>ネンキン</t>
    </rPh>
    <rPh sb="7" eb="9">
      <t>ショトク</t>
    </rPh>
    <phoneticPr fontId="5"/>
  </si>
  <si>
    <t>（軽減分）</t>
    <rPh sb="1" eb="3">
      <t>ケイゲン</t>
    </rPh>
    <rPh sb="3" eb="4">
      <t>ブン</t>
    </rPh>
    <phoneticPr fontId="5"/>
  </si>
  <si>
    <t>+</t>
    <phoneticPr fontId="5"/>
  </si>
  <si>
    <t>＝</t>
    <phoneticPr fontId="5"/>
  </si>
  <si>
    <t>（所得割基礎）</t>
    <rPh sb="1" eb="3">
      <t>ショトク</t>
    </rPh>
    <rPh sb="3" eb="4">
      <t>ワリ</t>
    </rPh>
    <rPh sb="4" eb="6">
      <t>キソ</t>
    </rPh>
    <phoneticPr fontId="5"/>
  </si>
  <si>
    <t>-</t>
    <phoneticPr fontId="5"/>
  </si>
  <si>
    <t>基礎控除</t>
    <rPh sb="0" eb="2">
      <t>キソ</t>
    </rPh>
    <rPh sb="2" eb="4">
      <t>コウジョ</t>
    </rPh>
    <phoneticPr fontId="5"/>
  </si>
  <si>
    <t>　（３）　土地・建物等の譲渡所得に特別控除がある場合</t>
    <rPh sb="5" eb="7">
      <t>トチ</t>
    </rPh>
    <rPh sb="8" eb="10">
      <t>タテモノ</t>
    </rPh>
    <rPh sb="10" eb="11">
      <t>トウ</t>
    </rPh>
    <rPh sb="12" eb="14">
      <t>ジョウト</t>
    </rPh>
    <rPh sb="14" eb="16">
      <t>ショトク</t>
    </rPh>
    <rPh sb="17" eb="19">
      <t>トクベツ</t>
    </rPh>
    <rPh sb="19" eb="21">
      <t>コウジョ</t>
    </rPh>
    <rPh sb="24" eb="26">
      <t>バアイ</t>
    </rPh>
    <phoneticPr fontId="5"/>
  </si>
  <si>
    <t xml:space="preserve"> </t>
    <phoneticPr fontId="5"/>
  </si>
  <si>
    <t>②</t>
    <phoneticPr fontId="5"/>
  </si>
  <si>
    <t>所得割基礎</t>
    <rPh sb="0" eb="2">
      <t>ショトク</t>
    </rPh>
    <rPh sb="2" eb="3">
      <t>ワリ</t>
    </rPh>
    <rPh sb="3" eb="5">
      <t>キソ</t>
    </rPh>
    <phoneticPr fontId="5"/>
  </si>
  <si>
    <t>軽減判定</t>
    <rPh sb="0" eb="2">
      <t>ケイゲン</t>
    </rPh>
    <rPh sb="2" eb="4">
      <t>ハンテイ</t>
    </rPh>
    <phoneticPr fontId="5"/>
  </si>
  <si>
    <t>　　　できません。</t>
    <phoneticPr fontId="5"/>
  </si>
  <si>
    <t>　　　給与所得 ・・・ 給与支払額　 － 給与所得控除 　－　所得金額調整控除</t>
    <rPh sb="3" eb="5">
      <t>キュウヨ</t>
    </rPh>
    <rPh sb="5" eb="7">
      <t>ショトク</t>
    </rPh>
    <rPh sb="12" eb="14">
      <t>キュウヨ</t>
    </rPh>
    <rPh sb="14" eb="16">
      <t>シハライ</t>
    </rPh>
    <rPh sb="16" eb="17">
      <t>ガク</t>
    </rPh>
    <rPh sb="21" eb="23">
      <t>キュウヨ</t>
    </rPh>
    <rPh sb="23" eb="25">
      <t>ショトク</t>
    </rPh>
    <rPh sb="25" eb="27">
      <t>コウジョ</t>
    </rPh>
    <rPh sb="31" eb="33">
      <t>ショトク</t>
    </rPh>
    <rPh sb="33" eb="35">
      <t>キンガク</t>
    </rPh>
    <rPh sb="35" eb="37">
      <t>チョウセイ</t>
    </rPh>
    <rPh sb="37" eb="39">
      <t>コウジョ</t>
    </rPh>
    <phoneticPr fontId="2"/>
  </si>
  <si>
    <t>　　　年金所得 ・・・ 支払年金額　 － 公的年金等控除</t>
    <rPh sb="3" eb="5">
      <t>ネンキン</t>
    </rPh>
    <rPh sb="5" eb="7">
      <t>ショトク</t>
    </rPh>
    <rPh sb="12" eb="14">
      <t>シハラ</t>
    </rPh>
    <rPh sb="14" eb="17">
      <t>ネンキンガク</t>
    </rPh>
    <rPh sb="21" eb="23">
      <t>コウテキ</t>
    </rPh>
    <rPh sb="23" eb="26">
      <t>ネンキントウ</t>
    </rPh>
    <rPh sb="26" eb="28">
      <t>コウジョ</t>
    </rPh>
    <phoneticPr fontId="2"/>
  </si>
  <si>
    <t>円以上</t>
  </si>
  <si>
    <t>円以上</t>
    <rPh sb="0" eb="1">
      <t>エン</t>
    </rPh>
    <rPh sb="1" eb="3">
      <t>イジョウ</t>
    </rPh>
    <phoneticPr fontId="2"/>
  </si>
  <si>
    <t>該当者：１</t>
    <rPh sb="0" eb="3">
      <t>ガイトウシャ</t>
    </rPh>
    <phoneticPr fontId="5"/>
  </si>
  <si>
    <t>軽減適用率</t>
    <rPh sb="0" eb="2">
      <t>ケイゲン</t>
    </rPh>
    <rPh sb="2" eb="4">
      <t>テキヨウ</t>
    </rPh>
    <rPh sb="4" eb="5">
      <t>リツ</t>
    </rPh>
    <phoneticPr fontId="5"/>
  </si>
  <si>
    <t>７割軽減</t>
    <rPh sb="1" eb="2">
      <t>ワリ</t>
    </rPh>
    <rPh sb="2" eb="4">
      <t>ケイゲン</t>
    </rPh>
    <phoneticPr fontId="5"/>
  </si>
  <si>
    <t>５割軽減</t>
    <rPh sb="1" eb="2">
      <t>ワリ</t>
    </rPh>
    <rPh sb="2" eb="4">
      <t>ケイゲン</t>
    </rPh>
    <phoneticPr fontId="5"/>
  </si>
  <si>
    <t>２割軽減</t>
    <rPh sb="1" eb="2">
      <t>ワリ</t>
    </rPh>
    <rPh sb="2" eb="4">
      <t>ケイゲン</t>
    </rPh>
    <phoneticPr fontId="5"/>
  </si>
  <si>
    <t>軽減なし</t>
    <rPh sb="0" eb="2">
      <t>ケイゲン</t>
    </rPh>
    <phoneticPr fontId="5"/>
  </si>
  <si>
    <t>一人当たりの
均等割額</t>
    <rPh sb="0" eb="2">
      <t>ヒトリ</t>
    </rPh>
    <rPh sb="2" eb="3">
      <t>ア</t>
    </rPh>
    <rPh sb="7" eb="10">
      <t>キントウワリ</t>
    </rPh>
    <rPh sb="10" eb="11">
      <t>ガク</t>
    </rPh>
    <phoneticPr fontId="5"/>
  </si>
  <si>
    <t>未就学児均等割
減額額の世帯合計額</t>
    <rPh sb="0" eb="4">
      <t>ミシュウガクジ</t>
    </rPh>
    <rPh sb="4" eb="7">
      <t>キントウワリ</t>
    </rPh>
    <rPh sb="8" eb="10">
      <t>ゲンガク</t>
    </rPh>
    <rPh sb="10" eb="11">
      <t>ガク</t>
    </rPh>
    <rPh sb="12" eb="14">
      <t>セタイ</t>
    </rPh>
    <rPh sb="14" eb="16">
      <t>ゴウケイ</t>
    </rPh>
    <rPh sb="16" eb="17">
      <t>ガク</t>
    </rPh>
    <phoneticPr fontId="5"/>
  </si>
  <si>
    <t>一人当たりの
軽減額</t>
    <rPh sb="0" eb="2">
      <t>ヒトリ</t>
    </rPh>
    <rPh sb="2" eb="3">
      <t>ア</t>
    </rPh>
    <rPh sb="7" eb="9">
      <t>ケイゲン</t>
    </rPh>
    <rPh sb="9" eb="10">
      <t>ガク</t>
    </rPh>
    <phoneticPr fontId="5"/>
  </si>
  <si>
    <t>一人当たりの
未就学児減額額</t>
    <rPh sb="0" eb="2">
      <t>ヒトリ</t>
    </rPh>
    <rPh sb="2" eb="3">
      <t>ア</t>
    </rPh>
    <rPh sb="7" eb="11">
      <t>ミシュウガクジ</t>
    </rPh>
    <rPh sb="11" eb="13">
      <t>ゲンガク</t>
    </rPh>
    <rPh sb="13" eb="14">
      <t>ガク</t>
    </rPh>
    <phoneticPr fontId="5"/>
  </si>
  <si>
    <t>【医療分】</t>
    <rPh sb="1" eb="3">
      <t>イリョウ</t>
    </rPh>
    <rPh sb="3" eb="4">
      <t>ブン</t>
    </rPh>
    <phoneticPr fontId="5"/>
  </si>
  <si>
    <t>【後期分】</t>
    <rPh sb="1" eb="3">
      <t>コウキ</t>
    </rPh>
    <rPh sb="3" eb="4">
      <t>ブン</t>
    </rPh>
    <phoneticPr fontId="5"/>
  </si>
  <si>
    <r>
      <t>　試算することができます。</t>
    </r>
    <r>
      <rPr>
        <b/>
        <sz val="11"/>
        <color rgb="FFFF0000"/>
        <rFont val="ＭＳ Ｐゴシック"/>
        <family val="3"/>
        <charset val="128"/>
      </rPr>
      <t>試算結果については、実際に賦課される保険料額と異なる場合があります。</t>
    </r>
    <rPh sb="1" eb="3">
      <t>シサン</t>
    </rPh>
    <rPh sb="13" eb="15">
      <t>シサン</t>
    </rPh>
    <rPh sb="15" eb="17">
      <t>ケッカ</t>
    </rPh>
    <rPh sb="23" eb="25">
      <t>ジッサイ</t>
    </rPh>
    <rPh sb="26" eb="28">
      <t>フカ</t>
    </rPh>
    <rPh sb="31" eb="34">
      <t>ホケンリョウ</t>
    </rPh>
    <rPh sb="34" eb="35">
      <t>ガク</t>
    </rPh>
    <rPh sb="36" eb="37">
      <t>コト</t>
    </rPh>
    <rPh sb="39" eb="41">
      <t>バアイ</t>
    </rPh>
    <phoneticPr fontId="5"/>
  </si>
  <si>
    <t>　③　給与収入及び年金収入以外の所得がある場合は、</t>
    <rPh sb="3" eb="5">
      <t>キュウヨ</t>
    </rPh>
    <rPh sb="5" eb="7">
      <t>シュウニュウ</t>
    </rPh>
    <rPh sb="7" eb="8">
      <t>オヨ</t>
    </rPh>
    <rPh sb="9" eb="11">
      <t>ネンキン</t>
    </rPh>
    <rPh sb="11" eb="13">
      <t>シュウニュウ</t>
    </rPh>
    <rPh sb="13" eb="15">
      <t>イガイ</t>
    </rPh>
    <rPh sb="16" eb="18">
      <t>ショトク</t>
    </rPh>
    <rPh sb="21" eb="23">
      <t>バアイ</t>
    </rPh>
    <phoneticPr fontId="5"/>
  </si>
  <si>
    <r>
      <t>　次のような場合は、</t>
    </r>
    <r>
      <rPr>
        <b/>
        <sz val="10"/>
        <color rgb="FFFF0000"/>
        <rFont val="ＭＳ Ｐゴシック"/>
        <family val="3"/>
        <charset val="128"/>
      </rPr>
      <t>法定減額の計算を正しく行うことができません。</t>
    </r>
    <rPh sb="1" eb="2">
      <t>ツギ</t>
    </rPh>
    <rPh sb="6" eb="8">
      <t>バアイ</t>
    </rPh>
    <rPh sb="10" eb="12">
      <t>ホウテイ</t>
    </rPh>
    <rPh sb="12" eb="14">
      <t>ゲンガク</t>
    </rPh>
    <rPh sb="15" eb="17">
      <t>ケイサン</t>
    </rPh>
    <rPh sb="18" eb="19">
      <t>タダ</t>
    </rPh>
    <rPh sb="21" eb="22">
      <t>オコナ</t>
    </rPh>
    <phoneticPr fontId="5"/>
  </si>
  <si>
    <r>
      <t>　国民健康保険の保険料は、</t>
    </r>
    <r>
      <rPr>
        <sz val="10"/>
        <color rgb="FFFF0000"/>
        <rFont val="ＭＳ Ｐゴシック"/>
        <family val="3"/>
        <charset val="128"/>
      </rPr>
      <t>世帯ごと</t>
    </r>
    <r>
      <rPr>
        <sz val="10"/>
        <rFont val="ＭＳ Ｐゴシック"/>
        <family val="3"/>
        <charset val="128"/>
      </rPr>
      <t>にかかります。</t>
    </r>
    <rPh sb="1" eb="3">
      <t>コクミン</t>
    </rPh>
    <rPh sb="3" eb="5">
      <t>ケンコウ</t>
    </rPh>
    <rPh sb="5" eb="7">
      <t>ホケン</t>
    </rPh>
    <rPh sb="8" eb="11">
      <t>ホケンリョウ</t>
    </rPh>
    <rPh sb="13" eb="15">
      <t>セタイ</t>
    </rPh>
    <phoneticPr fontId="5"/>
  </si>
  <si>
    <t>　　未就学児が法定減額（下記参照）適用世帯に属する場合は、法定減額適用後の均等割額からさらに半額を軽減する。</t>
    <rPh sb="2" eb="6">
      <t>ミシュウガクジ</t>
    </rPh>
    <rPh sb="7" eb="9">
      <t>ホウテイ</t>
    </rPh>
    <rPh sb="9" eb="11">
      <t>ゲンガク</t>
    </rPh>
    <rPh sb="12" eb="14">
      <t>カキ</t>
    </rPh>
    <rPh sb="14" eb="16">
      <t>サンショウ</t>
    </rPh>
    <rPh sb="17" eb="19">
      <t>テキヨウ</t>
    </rPh>
    <rPh sb="19" eb="21">
      <t>セタイ</t>
    </rPh>
    <rPh sb="22" eb="23">
      <t>ゾク</t>
    </rPh>
    <rPh sb="25" eb="27">
      <t>バアイ</t>
    </rPh>
    <rPh sb="29" eb="31">
      <t>ホウテイ</t>
    </rPh>
    <rPh sb="31" eb="33">
      <t>ゲンガク</t>
    </rPh>
    <rPh sb="33" eb="35">
      <t>テキヨウ</t>
    </rPh>
    <rPh sb="35" eb="36">
      <t>ゴ</t>
    </rPh>
    <rPh sb="37" eb="40">
      <t>キントウワリ</t>
    </rPh>
    <rPh sb="40" eb="41">
      <t>ガク</t>
    </rPh>
    <rPh sb="46" eb="48">
      <t>ハンガク</t>
    </rPh>
    <rPh sb="49" eb="51">
      <t>ケイゲン</t>
    </rPh>
    <phoneticPr fontId="5"/>
  </si>
  <si>
    <t>　※１　法定減額適用に係る判定の際の所得とは、</t>
    <rPh sb="4" eb="6">
      <t>ホウテイ</t>
    </rPh>
    <rPh sb="6" eb="8">
      <t>ゲンガク</t>
    </rPh>
    <rPh sb="8" eb="10">
      <t>テキヨウ</t>
    </rPh>
    <rPh sb="11" eb="12">
      <t>カカ</t>
    </rPh>
    <rPh sb="13" eb="15">
      <t>ハンテイ</t>
    </rPh>
    <rPh sb="16" eb="17">
      <t>サイ</t>
    </rPh>
    <rPh sb="18" eb="20">
      <t>ショトク</t>
    </rPh>
    <phoneticPr fontId="5"/>
  </si>
  <si>
    <t>⑤</t>
    <phoneticPr fontId="5"/>
  </si>
  <si>
    <t>給与所得者等
（軽減判定用）</t>
    <rPh sb="0" eb="2">
      <t>キュウヨ</t>
    </rPh>
    <rPh sb="2" eb="4">
      <t>ショトク</t>
    </rPh>
    <rPh sb="4" eb="5">
      <t>シャ</t>
    </rPh>
    <rPh sb="5" eb="6">
      <t>ナド</t>
    </rPh>
    <rPh sb="8" eb="12">
      <t>ケイゲンハンテイ</t>
    </rPh>
    <rPh sb="12" eb="13">
      <t>ヨウ</t>
    </rPh>
    <phoneticPr fontId="5"/>
  </si>
  <si>
    <t>現在の
年齢</t>
    <rPh sb="0" eb="2">
      <t>ゲンザイ</t>
    </rPh>
    <rPh sb="4" eb="6">
      <t>ネンレイ</t>
    </rPh>
    <phoneticPr fontId="5"/>
  </si>
  <si>
    <t>・介護分保険料</t>
    <rPh sb="1" eb="3">
      <t>カイゴ</t>
    </rPh>
    <rPh sb="3" eb="4">
      <t>ブン</t>
    </rPh>
    <rPh sb="4" eb="7">
      <t>ホケンリョウ</t>
    </rPh>
    <phoneticPr fontId="5"/>
  </si>
  <si>
    <r>
      <t>※　</t>
    </r>
    <r>
      <rPr>
        <b/>
        <sz val="10"/>
        <color rgb="FFFF0000"/>
        <rFont val="ＭＳ Ｐゴシック"/>
        <family val="3"/>
        <charset val="128"/>
      </rPr>
      <t>総所得金額等とは</t>
    </r>
    <r>
      <rPr>
        <b/>
        <sz val="10"/>
        <rFont val="ＭＳ Ｐゴシック"/>
        <family val="3"/>
        <charset val="128"/>
      </rPr>
      <t>、地方税法上の総所得金額（収入金額から必要経費を引いた額。社会保険料控除などの各種所得控除前。）のほか、山林所得、土地・建物の譲渡所得（特別控除後）、確定申告又は住民税申告をした株式譲渡所得、配当所得など（退職所得は除く。）を合算したものを言います。</t>
    </r>
    <rPh sb="7" eb="8">
      <t>トウ</t>
    </rPh>
    <rPh sb="123" eb="125">
      <t>ガッサン</t>
    </rPh>
    <rPh sb="130" eb="131">
      <t>イ</t>
    </rPh>
    <phoneticPr fontId="2"/>
  </si>
  <si>
    <t>収入／4
（千円未満切捨）</t>
    <rPh sb="0" eb="2">
      <t>シュウニュウ</t>
    </rPh>
    <rPh sb="6" eb="8">
      <t>センエン</t>
    </rPh>
    <rPh sb="8" eb="10">
      <t>ミマン</t>
    </rPh>
    <rPh sb="10" eb="11">
      <t>キリ</t>
    </rPh>
    <rPh sb="11" eb="12">
      <t>シャ</t>
    </rPh>
    <phoneticPr fontId="2"/>
  </si>
  <si>
    <t>年金所得額
（年金外1,000万円以下）</t>
    <rPh sb="0" eb="2">
      <t>ネンキン</t>
    </rPh>
    <rPh sb="2" eb="4">
      <t>ショトク</t>
    </rPh>
    <rPh sb="4" eb="5">
      <t>ガク</t>
    </rPh>
    <rPh sb="7" eb="9">
      <t>ネンキン</t>
    </rPh>
    <rPh sb="9" eb="10">
      <t>ガイ</t>
    </rPh>
    <rPh sb="15" eb="17">
      <t>マンエン</t>
    </rPh>
    <rPh sb="17" eb="19">
      <t>イカ</t>
    </rPh>
    <phoneticPr fontId="2"/>
  </si>
  <si>
    <t>年金所得額
（年金外2,000万円超）</t>
    <rPh sb="0" eb="2">
      <t>ネンキン</t>
    </rPh>
    <rPh sb="2" eb="4">
      <t>ショトク</t>
    </rPh>
    <rPh sb="4" eb="5">
      <t>ガク</t>
    </rPh>
    <rPh sb="15" eb="17">
      <t>マンエン</t>
    </rPh>
    <rPh sb="17" eb="18">
      <t>チョウ</t>
    </rPh>
    <phoneticPr fontId="2"/>
  </si>
  <si>
    <t>年金所得額
（年金外1,000万円超～2,000万円以下）</t>
    <rPh sb="0" eb="2">
      <t>ネンキン</t>
    </rPh>
    <rPh sb="2" eb="4">
      <t>ショトク</t>
    </rPh>
    <rPh sb="4" eb="5">
      <t>ガク</t>
    </rPh>
    <rPh sb="15" eb="17">
      <t>マンエン</t>
    </rPh>
    <rPh sb="17" eb="18">
      <t>チョウ</t>
    </rPh>
    <rPh sb="24" eb="26">
      <t>マンエン</t>
    </rPh>
    <rPh sb="26" eb="28">
      <t>イカ</t>
    </rPh>
    <phoneticPr fontId="2"/>
  </si>
  <si>
    <t>年金所得額
（年金外1,000万円以下）</t>
    <rPh sb="0" eb="2">
      <t>ネンキン</t>
    </rPh>
    <rPh sb="2" eb="4">
      <t>ショトク</t>
    </rPh>
    <rPh sb="4" eb="5">
      <t>ガク</t>
    </rPh>
    <rPh sb="15" eb="17">
      <t>マンエン</t>
    </rPh>
    <rPh sb="17" eb="19">
      <t>イカ</t>
    </rPh>
    <phoneticPr fontId="2"/>
  </si>
  <si>
    <r>
      <t>給与所得
（所得金額調整控除</t>
    </r>
    <r>
      <rPr>
        <b/>
        <sz val="16"/>
        <color rgb="FFFF0000"/>
        <rFont val="ＭＳ Ｐゴシック"/>
        <family val="3"/>
        <charset val="128"/>
        <scheme val="minor"/>
      </rPr>
      <t>前</t>
    </r>
    <r>
      <rPr>
        <b/>
        <sz val="16"/>
        <rFont val="ＭＳ Ｐゴシック"/>
        <family val="3"/>
        <charset val="128"/>
        <scheme val="minor"/>
      </rPr>
      <t>）</t>
    </r>
    <rPh sb="0" eb="2">
      <t>キュウヨ</t>
    </rPh>
    <rPh sb="2" eb="4">
      <t>ショトク</t>
    </rPh>
    <rPh sb="6" eb="8">
      <t>ショトク</t>
    </rPh>
    <rPh sb="8" eb="10">
      <t>キンガク</t>
    </rPh>
    <rPh sb="10" eb="12">
      <t>チョウセイ</t>
    </rPh>
    <rPh sb="12" eb="14">
      <t>コウジョ</t>
    </rPh>
    <rPh sb="14" eb="15">
      <t>マエ</t>
    </rPh>
    <phoneticPr fontId="2"/>
  </si>
  <si>
    <r>
      <t>給与所得
（所得金額調整控除</t>
    </r>
    <r>
      <rPr>
        <b/>
        <sz val="16"/>
        <color rgb="FFFF0000"/>
        <rFont val="ＭＳ Ｐゴシック"/>
        <family val="3"/>
        <charset val="128"/>
        <scheme val="minor"/>
      </rPr>
      <t>後</t>
    </r>
    <r>
      <rPr>
        <b/>
        <sz val="16"/>
        <rFont val="ＭＳ Ｐゴシック"/>
        <family val="3"/>
        <charset val="128"/>
        <scheme val="minor"/>
      </rPr>
      <t>）</t>
    </r>
    <rPh sb="0" eb="2">
      <t>キュウヨ</t>
    </rPh>
    <rPh sb="2" eb="4">
      <t>ショトク</t>
    </rPh>
    <rPh sb="6" eb="8">
      <t>ショトク</t>
    </rPh>
    <rPh sb="8" eb="10">
      <t>キンガク</t>
    </rPh>
    <rPh sb="10" eb="12">
      <t>チョウセイ</t>
    </rPh>
    <rPh sb="12" eb="14">
      <t>コウジョ</t>
    </rPh>
    <rPh sb="14" eb="15">
      <t>ゴ</t>
    </rPh>
    <phoneticPr fontId="5"/>
  </si>
  <si>
    <t>公的年金等の収入金額
（65歳以上）</t>
    <rPh sb="0" eb="2">
      <t>コウテキ</t>
    </rPh>
    <rPh sb="2" eb="4">
      <t>ネンキン</t>
    </rPh>
    <rPh sb="4" eb="5">
      <t>トウ</t>
    </rPh>
    <rPh sb="6" eb="8">
      <t>シュウニュウ</t>
    </rPh>
    <rPh sb="8" eb="10">
      <t>キンガク</t>
    </rPh>
    <phoneticPr fontId="2"/>
  </si>
  <si>
    <t>控除額(A)
（控除割合分）</t>
    <phoneticPr fontId="2"/>
  </si>
  <si>
    <t>控除額(B)
（固定）</t>
    <rPh sb="0" eb="2">
      <t>コウジョ</t>
    </rPh>
    <rPh sb="2" eb="3">
      <t>ガク</t>
    </rPh>
    <rPh sb="8" eb="10">
      <t>コテイ</t>
    </rPh>
    <phoneticPr fontId="2"/>
  </si>
  <si>
    <t>控除額合計
（A+B）</t>
    <rPh sb="0" eb="2">
      <t>コウジョ</t>
    </rPh>
    <rPh sb="2" eb="3">
      <t>ガク</t>
    </rPh>
    <rPh sb="3" eb="5">
      <t>ゴウケイ</t>
    </rPh>
    <phoneticPr fontId="2"/>
  </si>
  <si>
    <t>◆65歳未満の年金収入の方</t>
    <rPh sb="3" eb="4">
      <t>サイ</t>
    </rPh>
    <rPh sb="4" eb="6">
      <t>ミマン</t>
    </rPh>
    <rPh sb="7" eb="9">
      <t>ネンキン</t>
    </rPh>
    <rPh sb="9" eb="11">
      <t>シュウニュウ</t>
    </rPh>
    <rPh sb="12" eb="13">
      <t>カタ</t>
    </rPh>
    <phoneticPr fontId="2"/>
  </si>
  <si>
    <r>
      <t>※【国税庁ＨＰ参照】</t>
    </r>
    <r>
      <rPr>
        <sz val="18"/>
        <color rgb="FF00B0F0"/>
        <rFont val="ＭＳ Ｐゴシック"/>
        <family val="3"/>
        <charset val="128"/>
        <scheme val="minor"/>
      </rPr>
      <t>収入÷４（千円未満切り捨て）</t>
    </r>
    <r>
      <rPr>
        <sz val="18"/>
        <rFont val="ＭＳ Ｐゴシック"/>
        <family val="3"/>
        <charset val="128"/>
        <scheme val="minor"/>
      </rPr>
      <t>×４×</t>
    </r>
    <r>
      <rPr>
        <sz val="18"/>
        <color rgb="FFFF00FF"/>
        <rFont val="ＭＳ Ｐゴシック"/>
        <family val="3"/>
        <charset val="128"/>
        <scheme val="minor"/>
      </rPr>
      <t>控除割合</t>
    </r>
    <r>
      <rPr>
        <sz val="18"/>
        <rFont val="ＭＳ Ｐゴシック"/>
        <family val="3"/>
        <charset val="128"/>
        <scheme val="minor"/>
      </rPr>
      <t>+</t>
    </r>
    <r>
      <rPr>
        <sz val="18"/>
        <color rgb="FF00B050"/>
        <rFont val="ＭＳ Ｐゴシック"/>
        <family val="3"/>
        <charset val="128"/>
        <scheme val="minor"/>
      </rPr>
      <t>控除額</t>
    </r>
    <r>
      <rPr>
        <sz val="18"/>
        <rFont val="ＭＳ Ｐゴシック"/>
        <family val="3"/>
        <charset val="128"/>
        <scheme val="minor"/>
      </rPr>
      <t>（小数点以下切り捨て）</t>
    </r>
    <rPh sb="2" eb="5">
      <t>コクゼイチョウ</t>
    </rPh>
    <rPh sb="7" eb="9">
      <t>サンショウ</t>
    </rPh>
    <rPh sb="10" eb="12">
      <t>シュウニュウ</t>
    </rPh>
    <rPh sb="15" eb="17">
      <t>センエン</t>
    </rPh>
    <rPh sb="17" eb="19">
      <t>ミマン</t>
    </rPh>
    <rPh sb="19" eb="20">
      <t>キ</t>
    </rPh>
    <rPh sb="21" eb="22">
      <t>ス</t>
    </rPh>
    <rPh sb="27" eb="29">
      <t>コウジョ</t>
    </rPh>
    <rPh sb="29" eb="31">
      <t>ワリアイ</t>
    </rPh>
    <rPh sb="32" eb="34">
      <t>コウジョ</t>
    </rPh>
    <rPh sb="34" eb="35">
      <t>ガク</t>
    </rPh>
    <rPh sb="41" eb="42">
      <t>キ</t>
    </rPh>
    <rPh sb="43" eb="44">
      <t>ス</t>
    </rPh>
    <phoneticPr fontId="2"/>
  </si>
  <si>
    <t>控除後の給与所得</t>
    <rPh sb="0" eb="2">
      <t>コウジョ</t>
    </rPh>
    <rPh sb="2" eb="3">
      <t>ゴ</t>
    </rPh>
    <rPh sb="4" eb="8">
      <t>キュウヨショトク</t>
    </rPh>
    <phoneticPr fontId="5"/>
  </si>
  <si>
    <t>⑥</t>
    <phoneticPr fontId="5"/>
  </si>
  <si>
    <t>＜ホームページ掲載時非表示＞</t>
    <rPh sb="7" eb="9">
      <t>ケイサイ</t>
    </rPh>
    <rPh sb="9" eb="10">
      <t>ジ</t>
    </rPh>
    <rPh sb="10" eb="13">
      <t>ヒヒョウジ</t>
    </rPh>
    <phoneticPr fontId="5"/>
  </si>
  <si>
    <r>
      <t>　④　それぞれの</t>
    </r>
    <r>
      <rPr>
        <b/>
        <sz val="10"/>
        <color rgb="FFFF0000"/>
        <rFont val="ＭＳ Ｐゴシック"/>
        <family val="3"/>
        <charset val="128"/>
      </rPr>
      <t>現在の年齢</t>
    </r>
    <r>
      <rPr>
        <b/>
        <sz val="10"/>
        <color theme="3" tint="-0.249977111117893"/>
        <rFont val="ＭＳ Ｐゴシック"/>
        <family val="3"/>
        <charset val="128"/>
      </rPr>
      <t>を入力してください（所得がない方も含む）。</t>
    </r>
    <rPh sb="8" eb="10">
      <t>ゲンザイ</t>
    </rPh>
    <rPh sb="11" eb="13">
      <t>ネンレイ</t>
    </rPh>
    <rPh sb="14" eb="16">
      <t>ニュウリョク</t>
    </rPh>
    <rPh sb="23" eb="25">
      <t>ショトク</t>
    </rPh>
    <rPh sb="28" eb="29">
      <t>カタ</t>
    </rPh>
    <rPh sb="30" eb="31">
      <t>フク</t>
    </rPh>
    <phoneticPr fontId="5"/>
  </si>
  <si>
    <r>
      <t>　①　世帯人数に、</t>
    </r>
    <r>
      <rPr>
        <b/>
        <sz val="10"/>
        <color rgb="FFFF0000"/>
        <rFont val="ＭＳ Ｐゴシック"/>
        <family val="3"/>
        <charset val="128"/>
      </rPr>
      <t>国保に加入する方の人数</t>
    </r>
    <r>
      <rPr>
        <b/>
        <sz val="10"/>
        <color theme="3" tint="-0.249977111117893"/>
        <rFont val="ＭＳ Ｐゴシック"/>
        <family val="3"/>
        <charset val="128"/>
      </rPr>
      <t>を入力してください。</t>
    </r>
    <rPh sb="3" eb="5">
      <t>セタイ</t>
    </rPh>
    <rPh sb="5" eb="6">
      <t>ニン</t>
    </rPh>
    <rPh sb="6" eb="7">
      <t>スウ</t>
    </rPh>
    <rPh sb="9" eb="11">
      <t>コクホ</t>
    </rPh>
    <rPh sb="12" eb="14">
      <t>カニュウ</t>
    </rPh>
    <rPh sb="16" eb="17">
      <t>カタ</t>
    </rPh>
    <rPh sb="18" eb="20">
      <t>ニンズウ</t>
    </rPh>
    <rPh sb="21" eb="23">
      <t>ニュウリョク</t>
    </rPh>
    <phoneticPr fontId="5"/>
  </si>
  <si>
    <t>（所得がない方も含む）。</t>
    <phoneticPr fontId="5"/>
  </si>
  <si>
    <t>　⑧　被保険者の方が１０人以上いる世帯については、正確に計算</t>
    <rPh sb="3" eb="7">
      <t>ヒホケンシャ</t>
    </rPh>
    <rPh sb="8" eb="9">
      <t>カタ</t>
    </rPh>
    <rPh sb="12" eb="13">
      <t>ニン</t>
    </rPh>
    <rPh sb="13" eb="15">
      <t>イジョウ</t>
    </rPh>
    <rPh sb="17" eb="19">
      <t>セタイ</t>
    </rPh>
    <rPh sb="25" eb="27">
      <t>セイカク</t>
    </rPh>
    <rPh sb="28" eb="30">
      <t>ケイサン</t>
    </rPh>
    <phoneticPr fontId="5"/>
  </si>
  <si>
    <t>　⑦　①～⑥までを入力すると自動的に保険料額が計算されます。</t>
    <rPh sb="9" eb="11">
      <t>ニュウリョク</t>
    </rPh>
    <rPh sb="14" eb="17">
      <t>ジドウテキ</t>
    </rPh>
    <rPh sb="18" eb="21">
      <t>ホケンリョウ</t>
    </rPh>
    <rPh sb="21" eb="22">
      <t>ガク</t>
    </rPh>
    <rPh sb="23" eb="25">
      <t>ケイサン</t>
    </rPh>
    <phoneticPr fontId="5"/>
  </si>
  <si>
    <t>令和8年度 京都市国民健康保険料　簡易計算表（１）</t>
    <rPh sb="0" eb="2">
      <t>レイワ</t>
    </rPh>
    <rPh sb="3" eb="5">
      <t>ネンド</t>
    </rPh>
    <rPh sb="5" eb="7">
      <t>ヘイネンド</t>
    </rPh>
    <rPh sb="6" eb="9">
      <t>キョウトシ</t>
    </rPh>
    <rPh sb="9" eb="11">
      <t>コクミン</t>
    </rPh>
    <rPh sb="11" eb="13">
      <t>ケンコウ</t>
    </rPh>
    <rPh sb="13" eb="16">
      <t>ホケンリョウ</t>
    </rPh>
    <rPh sb="17" eb="19">
      <t>カンイ</t>
    </rPh>
    <rPh sb="19" eb="21">
      <t>ケイサン</t>
    </rPh>
    <rPh sb="21" eb="22">
      <t>ヒョウ</t>
    </rPh>
    <phoneticPr fontId="5"/>
  </si>
  <si>
    <t>　　この簡易計算表に「世帯人数・令和7年中の収入等・年齢」等を入力することにより、保険料年額を</t>
    <rPh sb="4" eb="6">
      <t>カンイ</t>
    </rPh>
    <rPh sb="6" eb="8">
      <t>ケイサン</t>
    </rPh>
    <rPh sb="8" eb="9">
      <t>ヒョウ</t>
    </rPh>
    <rPh sb="11" eb="13">
      <t>セタイ</t>
    </rPh>
    <rPh sb="13" eb="14">
      <t>ニン</t>
    </rPh>
    <rPh sb="14" eb="15">
      <t>スウ</t>
    </rPh>
    <rPh sb="16" eb="17">
      <t>レイ</t>
    </rPh>
    <rPh sb="17" eb="18">
      <t>カズ</t>
    </rPh>
    <rPh sb="19" eb="20">
      <t>ネン</t>
    </rPh>
    <rPh sb="20" eb="21">
      <t>チュウ</t>
    </rPh>
    <rPh sb="22" eb="24">
      <t>シュウニュウ</t>
    </rPh>
    <rPh sb="24" eb="25">
      <t>ナド</t>
    </rPh>
    <rPh sb="26" eb="28">
      <t>ネンレイ</t>
    </rPh>
    <rPh sb="29" eb="30">
      <t>トウ</t>
    </rPh>
    <rPh sb="31" eb="33">
      <t>ニュウリョク</t>
    </rPh>
    <rPh sb="41" eb="44">
      <t>ホケンリョウ</t>
    </rPh>
    <rPh sb="44" eb="46">
      <t>ネンガク</t>
    </rPh>
    <phoneticPr fontId="5"/>
  </si>
  <si>
    <t>④
介護分</t>
    <rPh sb="2" eb="4">
      <t>カイゴ</t>
    </rPh>
    <rPh sb="4" eb="5">
      <t>ブン</t>
    </rPh>
    <phoneticPr fontId="2"/>
  </si>
  <si>
    <r>
      <rPr>
        <sz val="10"/>
        <rFont val="ＭＳ Ｐゴシック"/>
        <family val="3"/>
        <charset val="128"/>
      </rPr>
      <t xml:space="preserve">世帯の所得に応じてかかる額。
</t>
    </r>
    <r>
      <rPr>
        <sz val="9"/>
        <rFont val="ＭＳ Ｐゴシック"/>
        <family val="3"/>
        <charset val="128"/>
      </rPr>
      <t>（＝世帯員各々の「令和７年中の総所得金額等－基礎控除」（所得割基礎額）の計×左記料率）
※介護分は、介護保険第２号被保険者である加入者のみ。</t>
    </r>
    <rPh sb="0" eb="2">
      <t>セタイ</t>
    </rPh>
    <rPh sb="3" eb="5">
      <t>ショトク</t>
    </rPh>
    <rPh sb="6" eb="7">
      <t>オウ</t>
    </rPh>
    <rPh sb="12" eb="13">
      <t>ガク</t>
    </rPh>
    <rPh sb="17" eb="20">
      <t>セタイイン</t>
    </rPh>
    <rPh sb="20" eb="22">
      <t>オノオノ</t>
    </rPh>
    <rPh sb="24" eb="26">
      <t>レイワ</t>
    </rPh>
    <rPh sb="27" eb="28">
      <t>ネン</t>
    </rPh>
    <rPh sb="28" eb="29">
      <t>チュウ</t>
    </rPh>
    <rPh sb="29" eb="30">
      <t>ヒラナカ</t>
    </rPh>
    <rPh sb="30" eb="33">
      <t>ソウショトク</t>
    </rPh>
    <rPh sb="33" eb="35">
      <t>キンガク</t>
    </rPh>
    <rPh sb="35" eb="36">
      <t>トウ</t>
    </rPh>
    <rPh sb="37" eb="39">
      <t>キソ</t>
    </rPh>
    <rPh sb="39" eb="41">
      <t>コウジョ</t>
    </rPh>
    <rPh sb="43" eb="45">
      <t>ショトク</t>
    </rPh>
    <rPh sb="45" eb="46">
      <t>ワリ</t>
    </rPh>
    <rPh sb="46" eb="48">
      <t>キソ</t>
    </rPh>
    <rPh sb="48" eb="49">
      <t>ガク</t>
    </rPh>
    <rPh sb="51" eb="52">
      <t>ケイ</t>
    </rPh>
    <rPh sb="53" eb="55">
      <t>サキ</t>
    </rPh>
    <rPh sb="55" eb="57">
      <t>リョウリツ</t>
    </rPh>
    <rPh sb="56" eb="57">
      <t>リツ</t>
    </rPh>
    <phoneticPr fontId="5"/>
  </si>
  <si>
    <t>※ 未就学児（令和2年4月2日以降生まれの被保険者）がいる場合は、未就学児に係る均等割額を半額に軽減する。</t>
    <rPh sb="2" eb="6">
      <t>ミシュウガクジ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イコウ</t>
    </rPh>
    <rPh sb="17" eb="18">
      <t>ウ</t>
    </rPh>
    <rPh sb="21" eb="25">
      <t>ヒホケンシャ</t>
    </rPh>
    <rPh sb="29" eb="31">
      <t>バアイ</t>
    </rPh>
    <rPh sb="33" eb="37">
      <t>ミシュウガクジ</t>
    </rPh>
    <rPh sb="38" eb="39">
      <t>カカ</t>
    </rPh>
    <rPh sb="40" eb="43">
      <t>キントウワリ</t>
    </rPh>
    <rPh sb="43" eb="44">
      <t>ガク</t>
    </rPh>
    <rPh sb="45" eb="47">
      <t>ハンガク</t>
    </rPh>
    <rPh sb="48" eb="50">
      <t>ケイゲン</t>
    </rPh>
    <phoneticPr fontId="5"/>
  </si>
  <si>
    <t>　　　・被保険者でない国保上の世帯主の所得も判定に含まれます。
　　　・事業収入の場合、青色専従者及び事業専従者控除は必要経費に含まれません。
　　　・給与収入の場合、専従者給与額は含まれません。
　　　・公的年金収入の場合、昭和３６年１月１日以前生まれの方は、公的年金等控除に加え、さらに１５万円を控除します。
　　　・土地、建物等の譲渡所得は、譲渡所得に係る特別控除を差し引く前の金額となります。</t>
    <rPh sb="4" eb="8">
      <t>ヒホケンシャ</t>
    </rPh>
    <rPh sb="11" eb="13">
      <t>コクホ</t>
    </rPh>
    <rPh sb="13" eb="14">
      <t>ジョウ</t>
    </rPh>
    <rPh sb="15" eb="18">
      <t>セタイヌシ</t>
    </rPh>
    <rPh sb="19" eb="21">
      <t>ショトク</t>
    </rPh>
    <rPh sb="22" eb="24">
      <t>ハンテイ</t>
    </rPh>
    <rPh sb="25" eb="26">
      <t>フク</t>
    </rPh>
    <rPh sb="36" eb="38">
      <t>ジギョウ</t>
    </rPh>
    <rPh sb="38" eb="40">
      <t>シュウニュウ</t>
    </rPh>
    <rPh sb="41" eb="43">
      <t>バアイ</t>
    </rPh>
    <rPh sb="44" eb="46">
      <t>アオイロ</t>
    </rPh>
    <rPh sb="46" eb="49">
      <t>センジュウシャ</t>
    </rPh>
    <rPh sb="49" eb="50">
      <t>オヨ</t>
    </rPh>
    <rPh sb="51" eb="53">
      <t>ジギョウ</t>
    </rPh>
    <rPh sb="53" eb="56">
      <t>センジュウシャ</t>
    </rPh>
    <rPh sb="56" eb="58">
      <t>コウジョ</t>
    </rPh>
    <rPh sb="59" eb="61">
      <t>ヒツヨウ</t>
    </rPh>
    <rPh sb="61" eb="63">
      <t>ケイヒ</t>
    </rPh>
    <rPh sb="64" eb="65">
      <t>フク</t>
    </rPh>
    <rPh sb="76" eb="78">
      <t>キュウヨ</t>
    </rPh>
    <rPh sb="78" eb="80">
      <t>シュウニュウ</t>
    </rPh>
    <rPh sb="81" eb="83">
      <t>バアイ</t>
    </rPh>
    <rPh sb="84" eb="87">
      <t>センジュウシャ</t>
    </rPh>
    <rPh sb="87" eb="89">
      <t>キュウヨ</t>
    </rPh>
    <rPh sb="89" eb="90">
      <t>ガク</t>
    </rPh>
    <rPh sb="91" eb="92">
      <t>フク</t>
    </rPh>
    <rPh sb="103" eb="105">
      <t>コウテキ</t>
    </rPh>
    <rPh sb="105" eb="107">
      <t>ネンキン</t>
    </rPh>
    <rPh sb="107" eb="109">
      <t>シュウニュウ</t>
    </rPh>
    <rPh sb="110" eb="112">
      <t>バアイ</t>
    </rPh>
    <rPh sb="113" eb="115">
      <t>ショウワ</t>
    </rPh>
    <rPh sb="117" eb="118">
      <t>ネン</t>
    </rPh>
    <rPh sb="119" eb="120">
      <t>ガツ</t>
    </rPh>
    <rPh sb="121" eb="122">
      <t>ニチ</t>
    </rPh>
    <rPh sb="122" eb="124">
      <t>イゼン</t>
    </rPh>
    <rPh sb="124" eb="125">
      <t>ウ</t>
    </rPh>
    <rPh sb="128" eb="129">
      <t>カタ</t>
    </rPh>
    <rPh sb="131" eb="133">
      <t>コウテキ</t>
    </rPh>
    <rPh sb="133" eb="135">
      <t>ネンキン</t>
    </rPh>
    <rPh sb="135" eb="136">
      <t>トウ</t>
    </rPh>
    <rPh sb="136" eb="138">
      <t>コウジョ</t>
    </rPh>
    <rPh sb="139" eb="140">
      <t>クワ</t>
    </rPh>
    <rPh sb="147" eb="149">
      <t>マンエン</t>
    </rPh>
    <rPh sb="150" eb="152">
      <t>コウジョ</t>
    </rPh>
    <rPh sb="161" eb="163">
      <t>トチ</t>
    </rPh>
    <rPh sb="164" eb="166">
      <t>タテモノ</t>
    </rPh>
    <rPh sb="166" eb="167">
      <t>トウ</t>
    </rPh>
    <rPh sb="168" eb="170">
      <t>ジョウト</t>
    </rPh>
    <rPh sb="170" eb="172">
      <t>ショトク</t>
    </rPh>
    <rPh sb="174" eb="176">
      <t>ジョウト</t>
    </rPh>
    <rPh sb="176" eb="178">
      <t>ショトク</t>
    </rPh>
    <rPh sb="179" eb="180">
      <t>カカ</t>
    </rPh>
    <rPh sb="181" eb="183">
      <t>トクベツ</t>
    </rPh>
    <rPh sb="183" eb="185">
      <t>コウジョ</t>
    </rPh>
    <rPh sb="186" eb="187">
      <t>サ</t>
    </rPh>
    <rPh sb="188" eb="189">
      <t>ヒ</t>
    </rPh>
    <rPh sb="190" eb="191">
      <t>マエ</t>
    </rPh>
    <rPh sb="192" eb="194">
      <t>キンガク</t>
    </rPh>
    <phoneticPr fontId="5"/>
  </si>
  <si>
    <r>
      <t>　②　それぞれの</t>
    </r>
    <r>
      <rPr>
        <b/>
        <sz val="10"/>
        <color rgb="FFFF0000"/>
        <rFont val="ＭＳ Ｐゴシック"/>
        <family val="3"/>
        <charset val="128"/>
      </rPr>
      <t>令和７年中の収入金額</t>
    </r>
    <r>
      <rPr>
        <b/>
        <sz val="10"/>
        <color theme="3" tint="-0.249977111117893"/>
        <rFont val="ＭＳ Ｐゴシック"/>
        <family val="3"/>
        <charset val="128"/>
      </rPr>
      <t>を入力してください。</t>
    </r>
    <rPh sb="8" eb="10">
      <t>レイワ</t>
    </rPh>
    <rPh sb="11" eb="12">
      <t>ネン</t>
    </rPh>
    <rPh sb="12" eb="13">
      <t>チュウ</t>
    </rPh>
    <rPh sb="13" eb="14">
      <t>ヒラナカ</t>
    </rPh>
    <rPh sb="14" eb="16">
      <t>シュウニュウ</t>
    </rPh>
    <rPh sb="16" eb="18">
      <t>キンガク</t>
    </rPh>
    <rPh sb="19" eb="21">
      <t>ニュウリョク</t>
    </rPh>
    <phoneticPr fontId="5"/>
  </si>
  <si>
    <r>
      <t>令和７年中の所得金額</t>
    </r>
    <r>
      <rPr>
        <b/>
        <sz val="10"/>
        <color theme="3" tint="-0.249977111117893"/>
        <rFont val="ＭＳ Ｐゴシック"/>
        <family val="3"/>
        <charset val="128"/>
      </rPr>
      <t>を入力してください。</t>
    </r>
    <rPh sb="0" eb="2">
      <t>レイワ</t>
    </rPh>
    <rPh sb="3" eb="4">
      <t>ネン</t>
    </rPh>
    <rPh sb="4" eb="5">
      <t>チュウ</t>
    </rPh>
    <rPh sb="6" eb="8">
      <t>ショトク</t>
    </rPh>
    <rPh sb="8" eb="10">
      <t>キンガク</t>
    </rPh>
    <rPh sb="11" eb="13">
      <t>ニュウリョク</t>
    </rPh>
    <phoneticPr fontId="5"/>
  </si>
  <si>
    <r>
      <t>　⑤　それぞれの</t>
    </r>
    <r>
      <rPr>
        <b/>
        <sz val="10"/>
        <color rgb="FFFF0000"/>
        <rFont val="ＭＳ Ｐゴシック"/>
        <family val="3"/>
        <charset val="128"/>
      </rPr>
      <t>令和８年１月１日時点の年齢</t>
    </r>
    <r>
      <rPr>
        <b/>
        <sz val="10"/>
        <color theme="3" tint="-0.249977111117893"/>
        <rFont val="ＭＳ Ｐゴシック"/>
        <family val="3"/>
        <charset val="128"/>
      </rPr>
      <t>を入力してください</t>
    </r>
    <rPh sb="8" eb="10">
      <t>レイワ</t>
    </rPh>
    <rPh sb="11" eb="12">
      <t>ネン</t>
    </rPh>
    <rPh sb="13" eb="14">
      <t>ガツ</t>
    </rPh>
    <rPh sb="15" eb="16">
      <t>ニチ</t>
    </rPh>
    <rPh sb="16" eb="18">
      <t>ジテン</t>
    </rPh>
    <rPh sb="19" eb="21">
      <t>ネンレイ</t>
    </rPh>
    <phoneticPr fontId="5"/>
  </si>
  <si>
    <t>　正しい法定減額の計算は住所地の区役所・支所保険年金担当</t>
    <rPh sb="1" eb="2">
      <t>タダ</t>
    </rPh>
    <rPh sb="4" eb="6">
      <t>ホウテイ</t>
    </rPh>
    <rPh sb="6" eb="8">
      <t>ゲンガク</t>
    </rPh>
    <rPh sb="9" eb="11">
      <t>ケイサン</t>
    </rPh>
    <rPh sb="12" eb="14">
      <t>ジュウショ</t>
    </rPh>
    <rPh sb="14" eb="15">
      <t>チ</t>
    </rPh>
    <rPh sb="16" eb="19">
      <t>クヤクショ</t>
    </rPh>
    <rPh sb="20" eb="22">
      <t>シショ</t>
    </rPh>
    <rPh sb="22" eb="24">
      <t>ホケン</t>
    </rPh>
    <rPh sb="24" eb="26">
      <t>ネンキン</t>
    </rPh>
    <rPh sb="26" eb="28">
      <t>タントウ</t>
    </rPh>
    <phoneticPr fontId="5"/>
  </si>
  <si>
    <t>令和７年中の
総所得金額等（※）</t>
    <rPh sb="0" eb="2">
      <t>レイワ</t>
    </rPh>
    <rPh sb="3" eb="4">
      <t>ネン</t>
    </rPh>
    <rPh sb="4" eb="5">
      <t>チュウ</t>
    </rPh>
    <rPh sb="5" eb="6">
      <t>ヒラナカ</t>
    </rPh>
    <rPh sb="7" eb="10">
      <t>ソウショトク</t>
    </rPh>
    <rPh sb="10" eb="12">
      <t>キンガク</t>
    </rPh>
    <rPh sb="12" eb="13">
      <t>トウ</t>
    </rPh>
    <phoneticPr fontId="2"/>
  </si>
  <si>
    <t>④介護分保険料</t>
    <rPh sb="1" eb="3">
      <t>カイゴ</t>
    </rPh>
    <rPh sb="3" eb="4">
      <t>ブン</t>
    </rPh>
    <rPh sb="4" eb="7">
      <t>ホケンリョウ</t>
    </rPh>
    <phoneticPr fontId="2"/>
  </si>
  <si>
    <t>【子ども分】</t>
    <rPh sb="1" eb="2">
      <t>コ</t>
    </rPh>
    <rPh sb="4" eb="5">
      <t>ブン</t>
    </rPh>
    <phoneticPr fontId="5"/>
  </si>
  <si>
    <t>未就学児</t>
    <rPh sb="0" eb="4">
      <t>ミシュウガクジ</t>
    </rPh>
    <phoneticPr fontId="5"/>
  </si>
  <si>
    <t>18歳未満</t>
    <rPh sb="2" eb="5">
      <t>サイミマン</t>
    </rPh>
    <phoneticPr fontId="5"/>
  </si>
  <si>
    <t>均等割軽減</t>
    <rPh sb="0" eb="3">
      <t>キントウワリ</t>
    </rPh>
    <rPh sb="3" eb="5">
      <t>ケイゲン</t>
    </rPh>
    <phoneticPr fontId="5"/>
  </si>
  <si>
    <t>★未就学児軽減額★</t>
    <rPh sb="1" eb="5">
      <t>ミシュウガクジ</t>
    </rPh>
    <rPh sb="5" eb="7">
      <t>ケイゲン</t>
    </rPh>
    <rPh sb="7" eb="8">
      <t>ガク</t>
    </rPh>
    <phoneticPr fontId="5"/>
  </si>
  <si>
    <t>★18歳未満軽減額★</t>
    <rPh sb="3" eb="4">
      <t>サイ</t>
    </rPh>
    <rPh sb="4" eb="6">
      <t>ミマン</t>
    </rPh>
    <rPh sb="6" eb="8">
      <t>ケイゲン</t>
    </rPh>
    <rPh sb="8" eb="9">
      <t>ガク</t>
    </rPh>
    <phoneticPr fontId="5"/>
  </si>
  <si>
    <t>７割軽減（未就学）</t>
    <rPh sb="1" eb="2">
      <t>ワリ</t>
    </rPh>
    <rPh sb="2" eb="4">
      <t>ケイゲン</t>
    </rPh>
    <rPh sb="5" eb="8">
      <t>ミシュウガク</t>
    </rPh>
    <phoneticPr fontId="5"/>
  </si>
  <si>
    <t>５割軽減（未就学）</t>
    <rPh sb="1" eb="2">
      <t>ワリ</t>
    </rPh>
    <rPh sb="2" eb="4">
      <t>ケイゲン</t>
    </rPh>
    <rPh sb="5" eb="8">
      <t>ミシュウガク</t>
    </rPh>
    <phoneticPr fontId="5"/>
  </si>
  <si>
    <t>軽減なし（未就学）</t>
    <rPh sb="0" eb="2">
      <t>ケイゲン</t>
    </rPh>
    <rPh sb="5" eb="8">
      <t>ミシュウガク</t>
    </rPh>
    <phoneticPr fontId="5"/>
  </si>
  <si>
    <t>２割軽減（未就学）</t>
    <rPh sb="1" eb="2">
      <t>ワリ</t>
    </rPh>
    <rPh sb="2" eb="4">
      <t>ケイゲン</t>
    </rPh>
    <rPh sb="5" eb="8">
      <t>ミシュウガク</t>
    </rPh>
    <phoneticPr fontId="5"/>
  </si>
  <si>
    <t>一人当たりの
18歳未満減額額</t>
    <rPh sb="0" eb="2">
      <t>ヒトリ</t>
    </rPh>
    <rPh sb="2" eb="3">
      <t>ア</t>
    </rPh>
    <rPh sb="9" eb="10">
      <t>サイ</t>
    </rPh>
    <rPh sb="10" eb="12">
      <t>ミマン</t>
    </rPh>
    <rPh sb="12" eb="14">
      <t>ゲンガク</t>
    </rPh>
    <rPh sb="14" eb="15">
      <t>ガク</t>
    </rPh>
    <phoneticPr fontId="5"/>
  </si>
  <si>
    <t>18歳未満均等割
減額額の世帯合計額</t>
    <rPh sb="2" eb="3">
      <t>サイ</t>
    </rPh>
    <rPh sb="3" eb="5">
      <t>ミマン</t>
    </rPh>
    <rPh sb="5" eb="8">
      <t>キントウワリ</t>
    </rPh>
    <rPh sb="9" eb="11">
      <t>ゲンガク</t>
    </rPh>
    <rPh sb="11" eb="12">
      <t>ガク</t>
    </rPh>
    <rPh sb="13" eb="15">
      <t>セタイ</t>
    </rPh>
    <rPh sb="15" eb="17">
      <t>ゴウケイ</t>
    </rPh>
    <rPh sb="17" eb="18">
      <t>ガク</t>
    </rPh>
    <phoneticPr fontId="5"/>
  </si>
  <si>
    <t>年齢
サイン</t>
    <rPh sb="0" eb="2">
      <t>ネンレイ</t>
    </rPh>
    <phoneticPr fontId="5"/>
  </si>
  <si>
    <r>
      <rPr>
        <b/>
        <sz val="10"/>
        <color rgb="FFFF0000"/>
        <rFont val="ＭＳ Ｐゴシック"/>
        <family val="3"/>
        <charset val="128"/>
        <scheme val="minor"/>
      </rPr>
      <t>2日以降生まれの方は、「２」</t>
    </r>
    <r>
      <rPr>
        <b/>
        <sz val="10"/>
        <color rgb="FF16365C"/>
        <rFont val="ＭＳ Ｐゴシック"/>
        <family val="3"/>
        <charset val="128"/>
        <scheme val="minor"/>
      </rPr>
      <t>を入力してください。それ以外の方は、</t>
    </r>
    <rPh sb="1" eb="2">
      <t>ニチ</t>
    </rPh>
    <rPh sb="2" eb="4">
      <t>イコウ</t>
    </rPh>
    <rPh sb="4" eb="5">
      <t>ウ</t>
    </rPh>
    <rPh sb="8" eb="9">
      <t>カタ</t>
    </rPh>
    <rPh sb="15" eb="17">
      <t>ニュウリョク</t>
    </rPh>
    <rPh sb="26" eb="28">
      <t>イガイ</t>
    </rPh>
    <rPh sb="29" eb="30">
      <t>カタ</t>
    </rPh>
    <phoneticPr fontId="5"/>
  </si>
  <si>
    <t>空欄にしてください。</t>
    <rPh sb="0" eb="1">
      <t>ソラ</t>
    </rPh>
    <phoneticPr fontId="5"/>
  </si>
  <si>
    <r>
      <t>　⑥　</t>
    </r>
    <r>
      <rPr>
        <b/>
        <sz val="10"/>
        <color rgb="FFFF0000"/>
        <rFont val="ＭＳ Ｐゴシック"/>
        <family val="3"/>
        <charset val="128"/>
      </rPr>
      <t>令和2年4月2日以降生まれの方は、「１」</t>
    </r>
    <r>
      <rPr>
        <b/>
        <sz val="10"/>
        <color theme="3" tint="-0.249977111117893"/>
        <rFont val="ＭＳ Ｐゴシック"/>
        <family val="3"/>
        <charset val="128"/>
      </rPr>
      <t>と入力し、</t>
    </r>
    <r>
      <rPr>
        <b/>
        <sz val="10"/>
        <color rgb="FFFF0000"/>
        <rFont val="ＭＳ Ｐゴシック"/>
        <family val="3"/>
        <charset val="128"/>
      </rPr>
      <t>平成20年4月</t>
    </r>
    <rPh sb="3" eb="5">
      <t>レイワ</t>
    </rPh>
    <rPh sb="6" eb="7">
      <t>ネン</t>
    </rPh>
    <rPh sb="8" eb="9">
      <t>ガツ</t>
    </rPh>
    <rPh sb="10" eb="11">
      <t>ニチ</t>
    </rPh>
    <rPh sb="11" eb="13">
      <t>イコウ</t>
    </rPh>
    <rPh sb="13" eb="14">
      <t>ウ</t>
    </rPh>
    <rPh sb="17" eb="18">
      <t>カタ</t>
    </rPh>
    <rPh sb="24" eb="26">
      <t>ニュウリョク</t>
    </rPh>
    <rPh sb="28" eb="30">
      <t>ヘイセイ</t>
    </rPh>
    <rPh sb="32" eb="33">
      <t>ネン</t>
    </rPh>
    <rPh sb="34" eb="35">
      <t>ガツ</t>
    </rPh>
    <phoneticPr fontId="5"/>
  </si>
  <si>
    <t>…　子ども・子育て世帯を支援するために納めていただく保険料。全ての加入者が対象。</t>
    <rPh sb="2" eb="3">
      <t>コ</t>
    </rPh>
    <rPh sb="6" eb="8">
      <t>コソダ</t>
    </rPh>
    <rPh sb="9" eb="11">
      <t>セタイ</t>
    </rPh>
    <rPh sb="12" eb="14">
      <t>シエン</t>
    </rPh>
    <rPh sb="19" eb="20">
      <t>オサ</t>
    </rPh>
    <rPh sb="26" eb="29">
      <t>ホケンリョウ</t>
    </rPh>
    <rPh sb="30" eb="31">
      <t>スベ</t>
    </rPh>
    <rPh sb="33" eb="36">
      <t>カニュウシャ</t>
    </rPh>
    <rPh sb="37" eb="39">
      <t>タイショウ</t>
    </rPh>
    <phoneticPr fontId="5"/>
  </si>
  <si>
    <t>(18歳以上均等割額)</t>
    <rPh sb="3" eb="4">
      <t>サイ</t>
    </rPh>
    <rPh sb="4" eb="6">
      <t>イジョウ</t>
    </rPh>
    <rPh sb="6" eb="9">
      <t>キントウワリ</t>
    </rPh>
    <rPh sb="9" eb="10">
      <t>ガク</t>
    </rPh>
    <phoneticPr fontId="5"/>
  </si>
  <si>
    <t>１世帯あたりにかかる額。（＝左記金額）
※介護分は、介護保険第２号被保険者がいる場合のみ。</t>
    <phoneticPr fontId="5"/>
  </si>
  <si>
    <t>令和８年度 京都市国民健康保険料　簡易計算表（２）</t>
    <rPh sb="0" eb="2">
      <t>レイワ</t>
    </rPh>
    <rPh sb="3" eb="5">
      <t>ネンド</t>
    </rPh>
    <rPh sb="5" eb="7">
      <t>ヘイネンド</t>
    </rPh>
    <rPh sb="6" eb="9">
      <t>キョウトシ</t>
    </rPh>
    <rPh sb="9" eb="11">
      <t>コクミン</t>
    </rPh>
    <rPh sb="11" eb="13">
      <t>ケンコウ</t>
    </rPh>
    <rPh sb="13" eb="16">
      <t>ホケンリョウ</t>
    </rPh>
    <rPh sb="17" eb="19">
      <t>カンイ</t>
    </rPh>
    <rPh sb="19" eb="21">
      <t>ケイサン</t>
    </rPh>
    <rPh sb="21" eb="22">
      <t>ヒョウ</t>
    </rPh>
    <phoneticPr fontId="5"/>
  </si>
  <si>
    <t>●令和８年度の保険料率</t>
    <rPh sb="1" eb="3">
      <t>レイワ</t>
    </rPh>
    <rPh sb="4" eb="6">
      <t>ネンド</t>
    </rPh>
    <rPh sb="6" eb="8">
      <t>ヘイネンド</t>
    </rPh>
    <rPh sb="7" eb="10">
      <t>ホケンリョウ</t>
    </rPh>
    <rPh sb="10" eb="11">
      <t>リツ</t>
    </rPh>
    <phoneticPr fontId="5"/>
  </si>
  <si>
    <t>令和７年中の所得（※１）が左記金額以下の場合、
保険料の平等割と均等割が減額されます。</t>
    <rPh sb="0" eb="2">
      <t>レイワ</t>
    </rPh>
    <rPh sb="3" eb="4">
      <t>ネン</t>
    </rPh>
    <rPh sb="4" eb="5">
      <t>チュウ</t>
    </rPh>
    <rPh sb="5" eb="6">
      <t>ヒラナカ</t>
    </rPh>
    <rPh sb="6" eb="8">
      <t>ショトク</t>
    </rPh>
    <rPh sb="13" eb="15">
      <t>サキ</t>
    </rPh>
    <rPh sb="15" eb="17">
      <t>キンガク</t>
    </rPh>
    <rPh sb="17" eb="19">
      <t>イカ</t>
    </rPh>
    <rPh sb="20" eb="22">
      <t>バアイ</t>
    </rPh>
    <rPh sb="24" eb="27">
      <t>ホケンリョウ</t>
    </rPh>
    <rPh sb="28" eb="30">
      <t>ビョウドウ</t>
    </rPh>
    <rPh sb="30" eb="31">
      <t>ワリ</t>
    </rPh>
    <rPh sb="32" eb="35">
      <t>キントウワ</t>
    </rPh>
    <rPh sb="36" eb="38">
      <t>ゲンガク</t>
    </rPh>
    <phoneticPr fontId="5"/>
  </si>
  <si>
    <t>令和8年1月1日
時点の年齢</t>
    <rPh sb="0" eb="2">
      <t>レイワ</t>
    </rPh>
    <rPh sb="3" eb="4">
      <t>ネン</t>
    </rPh>
    <rPh sb="5" eb="6">
      <t>ガツ</t>
    </rPh>
    <rPh sb="7" eb="8">
      <t>ニチ</t>
    </rPh>
    <rPh sb="9" eb="11">
      <t>ジテン</t>
    </rPh>
    <rPh sb="12" eb="14">
      <t>ネンレイ</t>
    </rPh>
    <phoneticPr fontId="5"/>
  </si>
  <si>
    <t>③子ども・子育て支援分保険料</t>
    <rPh sb="1" eb="2">
      <t>コ</t>
    </rPh>
    <rPh sb="5" eb="7">
      <t>コソダ</t>
    </rPh>
    <rPh sb="8" eb="10">
      <t>シエン</t>
    </rPh>
    <rPh sb="10" eb="11">
      <t>ブン</t>
    </rPh>
    <rPh sb="11" eb="14">
      <t>ホケンリョウ</t>
    </rPh>
    <phoneticPr fontId="2"/>
  </si>
  <si>
    <r>
      <t>　１年間の保険料は、</t>
    </r>
    <r>
      <rPr>
        <sz val="10"/>
        <color rgb="FFFF0000"/>
        <rFont val="ＭＳ Ｐゴシック"/>
        <family val="3"/>
        <charset val="128"/>
      </rPr>
      <t>①医療分保険料、②後期高齢者支援分保険料、③子ども・子育て支援分保険料、④介護分保険料</t>
    </r>
    <r>
      <rPr>
        <sz val="10"/>
        <rFont val="ＭＳ Ｐゴシック"/>
        <family val="3"/>
        <charset val="128"/>
      </rPr>
      <t>を</t>
    </r>
    <r>
      <rPr>
        <sz val="10"/>
        <color rgb="FFFF0000"/>
        <rFont val="ＭＳ Ｐゴシック"/>
        <family val="3"/>
        <charset val="128"/>
      </rPr>
      <t>合算</t>
    </r>
    <r>
      <rPr>
        <sz val="10"/>
        <rFont val="ＭＳ Ｐゴシック"/>
        <family val="3"/>
        <charset val="128"/>
      </rPr>
      <t>したものとなり、内訳は次のとおりです。</t>
    </r>
    <rPh sb="2" eb="4">
      <t>ネンカン</t>
    </rPh>
    <rPh sb="5" eb="8">
      <t>ホケンリョウ</t>
    </rPh>
    <rPh sb="11" eb="13">
      <t>イリョウ</t>
    </rPh>
    <rPh sb="13" eb="14">
      <t>ブン</t>
    </rPh>
    <rPh sb="14" eb="17">
      <t>ホケンリョウ</t>
    </rPh>
    <rPh sb="19" eb="21">
      <t>コウキ</t>
    </rPh>
    <rPh sb="21" eb="24">
      <t>コウレイシャ</t>
    </rPh>
    <rPh sb="24" eb="26">
      <t>シエン</t>
    </rPh>
    <rPh sb="26" eb="27">
      <t>ブン</t>
    </rPh>
    <rPh sb="27" eb="30">
      <t>ホケンリョウ</t>
    </rPh>
    <rPh sb="32" eb="33">
      <t>コ</t>
    </rPh>
    <rPh sb="36" eb="38">
      <t>コソダ</t>
    </rPh>
    <rPh sb="39" eb="41">
      <t>シエン</t>
    </rPh>
    <rPh sb="41" eb="42">
      <t>ブン</t>
    </rPh>
    <rPh sb="42" eb="45">
      <t>ホケンリョウ</t>
    </rPh>
    <rPh sb="47" eb="49">
      <t>カイゴ</t>
    </rPh>
    <rPh sb="49" eb="50">
      <t>ブン</t>
    </rPh>
    <rPh sb="50" eb="53">
      <t>ホケンリョウ</t>
    </rPh>
    <rPh sb="54" eb="56">
      <t>ガッサン</t>
    </rPh>
    <rPh sb="64" eb="66">
      <t>ウチワケ</t>
    </rPh>
    <rPh sb="67" eb="68">
      <t>ツギ</t>
    </rPh>
    <phoneticPr fontId="5"/>
  </si>
  <si>
    <t>・子ども・子育て支援分保険料</t>
    <rPh sb="1" eb="2">
      <t>コ</t>
    </rPh>
    <rPh sb="5" eb="7">
      <t>コソダ</t>
    </rPh>
    <rPh sb="8" eb="10">
      <t>シエン</t>
    </rPh>
    <rPh sb="10" eb="11">
      <t>ブン</t>
    </rPh>
    <rPh sb="11" eb="14">
      <t>ホケンリョウ</t>
    </rPh>
    <phoneticPr fontId="5"/>
  </si>
  <si>
    <r>
      <t>③
子ども・子育
て</t>
    </r>
    <r>
      <rPr>
        <sz val="10"/>
        <rFont val="ＭＳ Ｐゴシック"/>
        <family val="3"/>
        <charset val="128"/>
      </rPr>
      <t>支援分</t>
    </r>
    <rPh sb="2" eb="3">
      <t>コ</t>
    </rPh>
    <rPh sb="6" eb="8">
      <t>コソダ</t>
    </rPh>
    <rPh sb="10" eb="12">
      <t>シエン</t>
    </rPh>
    <rPh sb="12" eb="13">
      <t>ブン</t>
    </rPh>
    <phoneticPr fontId="2"/>
  </si>
  <si>
    <t>①医療分、②後期高齢者支援分、③子ども・子育て支援分、④介護分における、それぞれの最高限度額。</t>
    <rPh sb="1" eb="3">
      <t>イリョウ</t>
    </rPh>
    <rPh sb="3" eb="4">
      <t>ブン</t>
    </rPh>
    <rPh sb="6" eb="8">
      <t>コウキ</t>
    </rPh>
    <rPh sb="8" eb="11">
      <t>コウレイシャ</t>
    </rPh>
    <rPh sb="11" eb="13">
      <t>シエン</t>
    </rPh>
    <rPh sb="13" eb="14">
      <t>ブン</t>
    </rPh>
    <rPh sb="16" eb="17">
      <t>コ</t>
    </rPh>
    <rPh sb="20" eb="22">
      <t>コソダ</t>
    </rPh>
    <rPh sb="23" eb="25">
      <t>シエン</t>
    </rPh>
    <rPh sb="25" eb="26">
      <t>ブン</t>
    </rPh>
    <rPh sb="28" eb="30">
      <t>カイゴ</t>
    </rPh>
    <rPh sb="30" eb="31">
      <t>ブン</t>
    </rPh>
    <rPh sb="41" eb="43">
      <t>サイコウ</t>
    </rPh>
    <rPh sb="43" eb="45">
      <t>ゲンド</t>
    </rPh>
    <rPh sb="45" eb="46">
      <t>ガク</t>
    </rPh>
    <phoneticPr fontId="5"/>
  </si>
  <si>
    <t>世帯の加入者数に応じてかかる額。（＝加入者数×左記金額）
※介護分は、介護保険第２号被保険者である加入者のみ。
※子ども・子育て支援分は、18歳以上の被保険者には下段の18歳以上均等割額も賦課されます。</t>
    <rPh sb="57" eb="58">
      <t>コ</t>
    </rPh>
    <rPh sb="61" eb="63">
      <t>コソダ</t>
    </rPh>
    <rPh sb="64" eb="66">
      <t>シエン</t>
    </rPh>
    <rPh sb="66" eb="67">
      <t>ブン</t>
    </rPh>
    <rPh sb="71" eb="72">
      <t>サイ</t>
    </rPh>
    <rPh sb="72" eb="74">
      <t>イジョウ</t>
    </rPh>
    <rPh sb="75" eb="79">
      <t>ヒホケンシャ</t>
    </rPh>
    <rPh sb="81" eb="83">
      <t>ゲダン</t>
    </rPh>
    <phoneticPr fontId="5"/>
  </si>
  <si>
    <r>
      <t>　世帯全員の令和７年中の所得（※１）の合計が、次表の基準金額以下の場合に、保険料の</t>
    </r>
    <r>
      <rPr>
        <sz val="10"/>
        <color rgb="FFFF0000"/>
        <rFont val="ＭＳ Ｐゴシック"/>
        <family val="3"/>
        <charset val="128"/>
      </rPr>
      <t>平等割、均等割、18歳以上均等割</t>
    </r>
    <r>
      <rPr>
        <sz val="10"/>
        <rFont val="ＭＳ Ｐゴシック"/>
        <family val="3"/>
        <charset val="128"/>
      </rPr>
      <t>が減額されます。</t>
    </r>
    <rPh sb="1" eb="3">
      <t>セタイ</t>
    </rPh>
    <rPh sb="3" eb="5">
      <t>ゼンイン</t>
    </rPh>
    <rPh sb="6" eb="8">
      <t>レイワ</t>
    </rPh>
    <rPh sb="9" eb="10">
      <t>ネン</t>
    </rPh>
    <rPh sb="10" eb="11">
      <t>チュウ</t>
    </rPh>
    <rPh sb="11" eb="12">
      <t>ヒラナカ</t>
    </rPh>
    <rPh sb="12" eb="14">
      <t>ショトク</t>
    </rPh>
    <rPh sb="19" eb="21">
      <t>ゴウケイ</t>
    </rPh>
    <rPh sb="23" eb="25">
      <t>ジヒョウ</t>
    </rPh>
    <rPh sb="26" eb="28">
      <t>キジュン</t>
    </rPh>
    <rPh sb="28" eb="30">
      <t>キンガク</t>
    </rPh>
    <rPh sb="30" eb="32">
      <t>イカ</t>
    </rPh>
    <rPh sb="33" eb="35">
      <t>バアイ</t>
    </rPh>
    <rPh sb="37" eb="40">
      <t>ホケンリョウ</t>
    </rPh>
    <rPh sb="41" eb="43">
      <t>ビョウドウ</t>
    </rPh>
    <rPh sb="43" eb="44">
      <t>ワリ</t>
    </rPh>
    <rPh sb="45" eb="48">
      <t>キントウワ</t>
    </rPh>
    <rPh sb="51" eb="52">
      <t>サイ</t>
    </rPh>
    <rPh sb="52" eb="54">
      <t>イジョウ</t>
    </rPh>
    <rPh sb="54" eb="57">
      <t>キントウワリ</t>
    </rPh>
    <rPh sb="58" eb="60">
      <t>ゲンガク</t>
    </rPh>
    <phoneticPr fontId="5"/>
  </si>
  <si>
    <t>※18歳未満に係る均等割軽減は、子ども・子育て支援分のみに適用されます。</t>
    <rPh sb="3" eb="4">
      <t>サイ</t>
    </rPh>
    <rPh sb="4" eb="6">
      <t>ミマン</t>
    </rPh>
    <rPh sb="7" eb="8">
      <t>カカ</t>
    </rPh>
    <rPh sb="9" eb="12">
      <t>キントウワリ</t>
    </rPh>
    <rPh sb="12" eb="14">
      <t>ケイゲン</t>
    </rPh>
    <rPh sb="16" eb="17">
      <t>コ</t>
    </rPh>
    <rPh sb="20" eb="22">
      <t>コソダ</t>
    </rPh>
    <rPh sb="23" eb="25">
      <t>シエン</t>
    </rPh>
    <rPh sb="25" eb="26">
      <t>ブン</t>
    </rPh>
    <rPh sb="29" eb="31">
      <t>テキヨウ</t>
    </rPh>
    <phoneticPr fontId="5"/>
  </si>
  <si>
    <t>※未就学児に係る均等割軽減は、医療分、後期高齢者支援分、子ども・子育て支援分に適用されます。</t>
    <rPh sb="1" eb="5">
      <t>ミシュウガクジ</t>
    </rPh>
    <rPh sb="6" eb="7">
      <t>カカ</t>
    </rPh>
    <rPh sb="8" eb="11">
      <t>キントウワリ</t>
    </rPh>
    <rPh sb="11" eb="13">
      <t>ケイゲン</t>
    </rPh>
    <rPh sb="15" eb="17">
      <t>イリョウ</t>
    </rPh>
    <rPh sb="17" eb="18">
      <t>ブン</t>
    </rPh>
    <rPh sb="19" eb="21">
      <t>コウキ</t>
    </rPh>
    <rPh sb="21" eb="24">
      <t>コウレイシャ</t>
    </rPh>
    <rPh sb="24" eb="26">
      <t>シエン</t>
    </rPh>
    <rPh sb="26" eb="27">
      <t>ブン</t>
    </rPh>
    <rPh sb="28" eb="29">
      <t>コ</t>
    </rPh>
    <rPh sb="32" eb="34">
      <t>コソダ</t>
    </rPh>
    <rPh sb="35" eb="37">
      <t>シエン</t>
    </rPh>
    <rPh sb="37" eb="38">
      <t>ブン</t>
    </rPh>
    <rPh sb="39" eb="41">
      <t>テキヨウ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</si>
</sst>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&quot;【&quot;#&quot;】&quot;"/>
    <numFmt numFmtId="177" formatCode="##,###&quot;円&quot;"/>
    <numFmt numFmtId="178" formatCode="###,###&quot;円&quot;"/>
    <numFmt numFmtId="179" formatCode="\(###,###&quot;円×被保険者数）&quot;"/>
    <numFmt numFmtId="180" formatCode="#&quot;人&quot;"/>
    <numFmt numFmtId="181" formatCode="&quot;【&quot;#&quot;人&quot;&quot;目&quot;&quot;】&quot;"/>
    <numFmt numFmtId="182" formatCode="#,##0_);[Red]\(#,##0\)"/>
    <numFmt numFmtId="183" formatCode="#,##0_ "/>
    <numFmt numFmtId="184" formatCode="#,###&quot;円&quot;"/>
    <numFmt numFmtId="185" formatCode="##,###&quot;歳&quot;"/>
    <numFmt numFmtId="186" formatCode="&quot;×&quot;#,##0&quot;円&quot;"/>
    <numFmt numFmtId="187" formatCode="\+\(###,###&quot;円×被保険者数）&quot;"/>
    <numFmt numFmtId="188" formatCode="#,##0&quot;割軽減が適用されます。&quot;"/>
    <numFmt numFmtId="189" formatCode="0&quot;人&quot;"/>
    <numFmt numFmtId="190" formatCode="##,##0&quot;円&quot;"/>
    <numFmt numFmtId="191" formatCode="&quot;＋（給与所得者等の数－&quot;#,##0&quot;）&quot;"/>
  </numFmts>
  <fonts count="7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b/>
      <sz val="10"/>
      <color theme="3" tint="-0.249977111117893"/>
      <name val="ＭＳ Ｐゴシック"/>
      <family val="3"/>
      <charset val="128"/>
    </font>
    <font>
      <b/>
      <sz val="18"/>
      <color theme="3" tint="-0.249977111117893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8"/>
      <color theme="3" tint="-0.49998474074526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8"/>
      <color theme="3" tint="-0.49998474074526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i/>
      <sz val="10"/>
      <color theme="4" tint="-0.249977111117893"/>
      <name val="ＭＳ Ｐゴシック"/>
      <family val="3"/>
      <charset val="128"/>
    </font>
    <font>
      <b/>
      <i/>
      <sz val="12"/>
      <color theme="4" tint="-0.249977111117893"/>
      <name val="ＭＳ Ｐゴシック"/>
      <family val="3"/>
      <charset val="128"/>
    </font>
    <font>
      <sz val="26"/>
      <color theme="1"/>
      <name val="ＭＳ Ｐゴシック"/>
      <family val="3"/>
      <charset val="128"/>
      <scheme val="minor"/>
    </font>
    <font>
      <b/>
      <sz val="2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9"/>
      <color theme="3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8"/>
      <color rgb="FF00B0F0"/>
      <name val="ＭＳ Ｐゴシック"/>
      <family val="3"/>
      <charset val="128"/>
      <scheme val="minor"/>
    </font>
    <font>
      <sz val="18"/>
      <color rgb="FFFF00FF"/>
      <name val="ＭＳ Ｐゴシック"/>
      <family val="3"/>
      <charset val="128"/>
      <scheme val="minor"/>
    </font>
    <font>
      <sz val="18"/>
      <color rgb="FF00B050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theme="3" tint="-0.249977111117893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b/>
      <sz val="10"/>
      <color rgb="FF16365C"/>
      <name val="ＭＳ Ｐゴシック"/>
      <family val="3"/>
      <charset val="128"/>
      <scheme val="minor"/>
    </font>
    <font>
      <b/>
      <sz val="10"/>
      <color rgb="FF16365C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725">
    <xf numFmtId="0" fontId="0" fillId="0" borderId="0" xfId="0">
      <alignment vertical="center"/>
    </xf>
    <xf numFmtId="0" fontId="4" fillId="0" borderId="0" xfId="1" applyFont="1">
      <alignment vertical="center"/>
    </xf>
    <xf numFmtId="0" fontId="11" fillId="0" borderId="0" xfId="0" applyFo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0" xfId="1" applyFon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Border="1">
      <alignment vertical="center"/>
    </xf>
    <xf numFmtId="179" fontId="4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wrapText="1"/>
    </xf>
    <xf numFmtId="178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176" fontId="6" fillId="2" borderId="17" xfId="1" applyNumberFormat="1" applyFont="1" applyFill="1" applyBorder="1" applyAlignment="1">
      <alignment horizontal="right" vertical="center" shrinkToFit="1"/>
    </xf>
    <xf numFmtId="176" fontId="6" fillId="2" borderId="18" xfId="1" applyNumberFormat="1" applyFont="1" applyFill="1" applyBorder="1" applyAlignment="1">
      <alignment horizontal="right" vertical="center" shrinkToFit="1"/>
    </xf>
    <xf numFmtId="176" fontId="6" fillId="2" borderId="38" xfId="1" applyNumberFormat="1" applyFont="1" applyFill="1" applyBorder="1" applyAlignment="1">
      <alignment horizontal="right" vertical="center" shrinkToFit="1"/>
    </xf>
    <xf numFmtId="0" fontId="4" fillId="0" borderId="2" xfId="1" applyFont="1" applyBorder="1">
      <alignment vertical="center"/>
    </xf>
    <xf numFmtId="0" fontId="13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4" fillId="0" borderId="8" xfId="1" applyFont="1" applyBorder="1">
      <alignment vertical="center"/>
    </xf>
    <xf numFmtId="0" fontId="1" fillId="0" borderId="0" xfId="1" applyFont="1" applyBorder="1">
      <alignment vertical="center"/>
    </xf>
    <xf numFmtId="0" fontId="4" fillId="0" borderId="1" xfId="1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10" fillId="0" borderId="0" xfId="1" applyFont="1" applyBorder="1">
      <alignment vertical="center"/>
    </xf>
    <xf numFmtId="0" fontId="10" fillId="0" borderId="1" xfId="1" applyFont="1" applyBorder="1">
      <alignment vertical="center"/>
    </xf>
    <xf numFmtId="0" fontId="6" fillId="0" borderId="0" xfId="1" applyFont="1" applyBorder="1">
      <alignment vertical="center"/>
    </xf>
    <xf numFmtId="0" fontId="9" fillId="0" borderId="0" xfId="0" applyFont="1" applyBorder="1">
      <alignment vertical="center"/>
    </xf>
    <xf numFmtId="0" fontId="7" fillId="0" borderId="0" xfId="1" applyFont="1" applyBorder="1">
      <alignment vertical="center"/>
    </xf>
    <xf numFmtId="0" fontId="8" fillId="0" borderId="0" xfId="0" applyFont="1" applyBorder="1">
      <alignment vertical="center"/>
    </xf>
    <xf numFmtId="0" fontId="0" fillId="0" borderId="4" xfId="0" applyBorder="1">
      <alignment vertical="center"/>
    </xf>
    <xf numFmtId="0" fontId="11" fillId="0" borderId="5" xfId="0" applyFont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11" fillId="4" borderId="3" xfId="0" applyFont="1" applyFill="1" applyBorder="1">
      <alignment vertical="center"/>
    </xf>
    <xf numFmtId="0" fontId="11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3" fillId="4" borderId="1" xfId="1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3" fillId="4" borderId="5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4" fillId="5" borderId="2" xfId="1" applyFont="1" applyFill="1" applyBorder="1">
      <alignment vertical="center"/>
    </xf>
    <xf numFmtId="0" fontId="4" fillId="5" borderId="3" xfId="1" applyFont="1" applyFill="1" applyBorder="1">
      <alignment vertical="center"/>
    </xf>
    <xf numFmtId="0" fontId="4" fillId="5" borderId="6" xfId="1" applyFont="1" applyFill="1" applyBorder="1">
      <alignment vertical="center"/>
    </xf>
    <xf numFmtId="0" fontId="4" fillId="5" borderId="8" xfId="1" applyFont="1" applyFill="1" applyBorder="1">
      <alignment vertical="center"/>
    </xf>
    <xf numFmtId="0" fontId="4" fillId="5" borderId="0" xfId="1" applyFont="1" applyFill="1" applyBorder="1">
      <alignment vertical="center"/>
    </xf>
    <xf numFmtId="0" fontId="4" fillId="5" borderId="1" xfId="1" applyFont="1" applyFill="1" applyBorder="1">
      <alignment vertical="center"/>
    </xf>
    <xf numFmtId="0" fontId="4" fillId="6" borderId="2" xfId="1" applyFont="1" applyFill="1" applyBorder="1" applyAlignment="1">
      <alignment vertical="center"/>
    </xf>
    <xf numFmtId="0" fontId="3" fillId="6" borderId="8" xfId="1" applyFont="1" applyFill="1" applyBorder="1" applyAlignment="1">
      <alignment horizontal="center" vertical="center"/>
    </xf>
    <xf numFmtId="0" fontId="1" fillId="6" borderId="8" xfId="1" applyFill="1" applyBorder="1">
      <alignment vertical="center"/>
    </xf>
    <xf numFmtId="0" fontId="4" fillId="6" borderId="8" xfId="1" applyFont="1" applyFill="1" applyBorder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0" borderId="42" xfId="1" applyFont="1" applyBorder="1">
      <alignment vertical="center"/>
    </xf>
    <xf numFmtId="0" fontId="0" fillId="0" borderId="42" xfId="0" applyBorder="1">
      <alignment vertical="center"/>
    </xf>
    <xf numFmtId="0" fontId="22" fillId="0" borderId="0" xfId="1" applyFont="1" applyBorder="1">
      <alignment vertical="center"/>
    </xf>
    <xf numFmtId="0" fontId="26" fillId="0" borderId="0" xfId="1" applyFont="1" applyBorder="1">
      <alignment vertical="center"/>
    </xf>
    <xf numFmtId="0" fontId="27" fillId="0" borderId="0" xfId="1" applyFont="1" applyBorder="1" applyAlignment="1">
      <alignment vertical="top"/>
    </xf>
    <xf numFmtId="0" fontId="27" fillId="0" borderId="0" xfId="1" applyFont="1" applyBorder="1" applyAlignment="1"/>
    <xf numFmtId="0" fontId="24" fillId="0" borderId="0" xfId="1" applyFont="1" applyBorder="1">
      <alignment vertical="center"/>
    </xf>
    <xf numFmtId="0" fontId="28" fillId="0" borderId="0" xfId="0" applyFont="1" applyBorder="1">
      <alignment vertical="center"/>
    </xf>
    <xf numFmtId="0" fontId="26" fillId="0" borderId="1" xfId="1" applyFont="1" applyBorder="1" applyAlignment="1">
      <alignment vertical="center" wrapText="1"/>
    </xf>
    <xf numFmtId="0" fontId="0" fillId="7" borderId="0" xfId="0" applyFill="1">
      <alignment vertical="center"/>
    </xf>
    <xf numFmtId="0" fontId="4" fillId="7" borderId="0" xfId="1" applyFont="1" applyFill="1">
      <alignment vertical="center"/>
    </xf>
    <xf numFmtId="0" fontId="11" fillId="7" borderId="0" xfId="0" applyFont="1" applyFill="1">
      <alignment vertical="center"/>
    </xf>
    <xf numFmtId="0" fontId="13" fillId="7" borderId="0" xfId="0" applyFont="1" applyFill="1">
      <alignment vertical="center"/>
    </xf>
    <xf numFmtId="0" fontId="0" fillId="7" borderId="1" xfId="0" applyFill="1" applyBorder="1">
      <alignment vertical="center"/>
    </xf>
    <xf numFmtId="0" fontId="11" fillId="7" borderId="0" xfId="0" applyFont="1" applyFill="1" applyBorder="1">
      <alignment vertical="center"/>
    </xf>
    <xf numFmtId="0" fontId="3" fillId="7" borderId="0" xfId="1" applyFont="1" applyFill="1" applyBorder="1" applyAlignment="1">
      <alignment horizontal="center" vertical="center"/>
    </xf>
    <xf numFmtId="0" fontId="12" fillId="7" borderId="0" xfId="1" applyFont="1" applyFill="1" applyBorder="1" applyAlignment="1">
      <alignment horizontal="center" vertical="center"/>
    </xf>
    <xf numFmtId="0" fontId="10" fillId="7" borderId="0" xfId="1" applyFont="1" applyFill="1" applyBorder="1">
      <alignment vertical="center"/>
    </xf>
    <xf numFmtId="0" fontId="4" fillId="7" borderId="0" xfId="1" applyFont="1" applyFill="1" applyBorder="1">
      <alignment vertical="center"/>
    </xf>
    <xf numFmtId="0" fontId="0" fillId="7" borderId="0" xfId="0" applyFill="1" applyBorder="1">
      <alignment vertical="center"/>
    </xf>
    <xf numFmtId="0" fontId="3" fillId="7" borderId="0" xfId="1" applyFont="1" applyFill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10" fillId="7" borderId="0" xfId="1" applyFont="1" applyFill="1">
      <alignment vertical="center"/>
    </xf>
    <xf numFmtId="0" fontId="13" fillId="7" borderId="0" xfId="0" applyFont="1" applyFill="1" applyBorder="1">
      <alignment vertical="center"/>
    </xf>
    <xf numFmtId="176" fontId="4" fillId="2" borderId="18" xfId="1" applyNumberFormat="1" applyFont="1" applyFill="1" applyBorder="1" applyAlignment="1">
      <alignment horizontal="center" vertical="center" shrinkToFit="1"/>
    </xf>
    <xf numFmtId="0" fontId="29" fillId="5" borderId="0" xfId="1" applyFont="1" applyFill="1" applyBorder="1">
      <alignment vertical="center"/>
    </xf>
    <xf numFmtId="0" fontId="4" fillId="0" borderId="0" xfId="1" applyFont="1" applyBorder="1" applyAlignment="1">
      <alignment horizontal="left"/>
    </xf>
    <xf numFmtId="181" fontId="6" fillId="6" borderId="8" xfId="1" applyNumberFormat="1" applyFont="1" applyFill="1" applyBorder="1" applyAlignment="1">
      <alignment horizontal="right" vertical="center" shrinkToFit="1"/>
    </xf>
    <xf numFmtId="0" fontId="4" fillId="0" borderId="0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1" fillId="8" borderId="0" xfId="1" applyFont="1" applyFill="1" applyBorder="1" applyAlignment="1">
      <alignment horizontal="left" vertical="center"/>
    </xf>
    <xf numFmtId="0" fontId="26" fillId="0" borderId="0" xfId="1" applyFont="1" applyFill="1" applyBorder="1" applyAlignment="1"/>
    <xf numFmtId="0" fontId="26" fillId="0" borderId="0" xfId="1" applyFont="1" applyFill="1" applyBorder="1">
      <alignment vertical="center"/>
    </xf>
    <xf numFmtId="0" fontId="4" fillId="5" borderId="42" xfId="1" applyFont="1" applyFill="1" applyBorder="1">
      <alignment vertical="center"/>
    </xf>
    <xf numFmtId="0" fontId="22" fillId="0" borderId="0" xfId="1" applyFont="1" applyFill="1" applyBorder="1">
      <alignment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34" fillId="0" borderId="0" xfId="3" applyProtection="1">
      <alignment vertical="center"/>
    </xf>
    <xf numFmtId="0" fontId="34" fillId="9" borderId="0" xfId="3" applyFill="1" applyProtection="1">
      <alignment vertical="center"/>
    </xf>
    <xf numFmtId="0" fontId="34" fillId="8" borderId="5" xfId="3" applyFill="1" applyBorder="1" applyProtection="1">
      <alignment vertical="center"/>
    </xf>
    <xf numFmtId="0" fontId="34" fillId="10" borderId="5" xfId="3" applyFill="1" applyBorder="1" applyProtection="1">
      <alignment vertical="center"/>
    </xf>
    <xf numFmtId="0" fontId="34" fillId="8" borderId="0" xfId="3" applyFill="1" applyBorder="1" applyProtection="1">
      <alignment vertical="center"/>
    </xf>
    <xf numFmtId="0" fontId="39" fillId="2" borderId="12" xfId="3" applyFont="1" applyFill="1" applyBorder="1" applyProtection="1">
      <alignment vertical="center"/>
    </xf>
    <xf numFmtId="182" fontId="34" fillId="8" borderId="0" xfId="3" applyNumberFormat="1" applyFill="1" applyBorder="1" applyAlignment="1" applyProtection="1">
      <alignment horizontal="center" vertical="center"/>
    </xf>
    <xf numFmtId="182" fontId="34" fillId="8" borderId="0" xfId="3" applyNumberFormat="1" applyFill="1" applyBorder="1" applyProtection="1">
      <alignment vertical="center"/>
    </xf>
    <xf numFmtId="0" fontId="4" fillId="6" borderId="0" xfId="1" applyFont="1" applyFill="1" applyBorder="1" applyAlignment="1">
      <alignment horizontal="center" vertical="center"/>
    </xf>
    <xf numFmtId="0" fontId="18" fillId="6" borderId="8" xfId="1" applyFont="1" applyFill="1" applyBorder="1" applyAlignment="1">
      <alignment vertical="center"/>
    </xf>
    <xf numFmtId="0" fontId="18" fillId="6" borderId="0" xfId="1" applyFont="1" applyFill="1" applyBorder="1" applyAlignment="1">
      <alignment vertical="center"/>
    </xf>
    <xf numFmtId="180" fontId="32" fillId="6" borderId="8" xfId="1" applyNumberFormat="1" applyFont="1" applyFill="1" applyBorder="1" applyAlignment="1" applyProtection="1">
      <alignment vertical="center"/>
      <protection locked="0"/>
    </xf>
    <xf numFmtId="180" fontId="32" fillId="6" borderId="0" xfId="1" applyNumberFormat="1" applyFont="1" applyFill="1" applyBorder="1" applyAlignment="1" applyProtection="1">
      <alignment vertical="center"/>
      <protection locked="0"/>
    </xf>
    <xf numFmtId="181" fontId="47" fillId="6" borderId="0" xfId="1" applyNumberFormat="1" applyFont="1" applyFill="1" applyBorder="1" applyAlignment="1">
      <alignment horizontal="right" vertical="center" shrinkToFit="1"/>
    </xf>
    <xf numFmtId="181" fontId="48" fillId="6" borderId="8" xfId="1" applyNumberFormat="1" applyFont="1" applyFill="1" applyBorder="1" applyAlignment="1">
      <alignment horizontal="right" vertical="center" shrinkToFit="1"/>
    </xf>
    <xf numFmtId="181" fontId="49" fillId="6" borderId="0" xfId="1" applyNumberFormat="1" applyFont="1" applyFill="1" applyBorder="1" applyAlignment="1">
      <alignment horizontal="right" vertical="center" shrinkToFit="1"/>
    </xf>
    <xf numFmtId="0" fontId="52" fillId="2" borderId="12" xfId="3" applyFont="1" applyFill="1" applyBorder="1" applyAlignment="1" applyProtection="1">
      <alignment vertical="center" wrapText="1"/>
    </xf>
    <xf numFmtId="0" fontId="52" fillId="3" borderId="12" xfId="3" applyFont="1" applyFill="1" applyBorder="1" applyAlignment="1" applyProtection="1">
      <alignment vertical="center" wrapText="1"/>
    </xf>
    <xf numFmtId="0" fontId="46" fillId="3" borderId="12" xfId="3" applyFont="1" applyFill="1" applyBorder="1" applyProtection="1">
      <alignment vertical="center"/>
    </xf>
    <xf numFmtId="0" fontId="52" fillId="11" borderId="12" xfId="3" applyFont="1" applyFill="1" applyBorder="1" applyAlignment="1" applyProtection="1">
      <alignment vertical="center" wrapText="1"/>
    </xf>
    <xf numFmtId="0" fontId="39" fillId="11" borderId="12" xfId="3" applyFont="1" applyFill="1" applyBorder="1" applyProtection="1">
      <alignment vertical="center"/>
    </xf>
    <xf numFmtId="0" fontId="42" fillId="12" borderId="3" xfId="3" applyFont="1" applyFill="1" applyBorder="1" applyAlignment="1" applyProtection="1">
      <alignment vertical="center"/>
    </xf>
    <xf numFmtId="0" fontId="34" fillId="12" borderId="8" xfId="3" applyFill="1" applyBorder="1" applyProtection="1">
      <alignment vertical="center"/>
    </xf>
    <xf numFmtId="0" fontId="34" fillId="12" borderId="0" xfId="3" applyFill="1" applyBorder="1" applyProtection="1">
      <alignment vertical="center"/>
    </xf>
    <xf numFmtId="0" fontId="39" fillId="12" borderId="0" xfId="3" applyFont="1" applyFill="1" applyBorder="1" applyAlignment="1" applyProtection="1">
      <alignment vertical="center" textRotation="255"/>
    </xf>
    <xf numFmtId="0" fontId="34" fillId="12" borderId="4" xfId="3" applyFill="1" applyBorder="1" applyProtection="1">
      <alignment vertical="center"/>
    </xf>
    <xf numFmtId="0" fontId="34" fillId="12" borderId="5" xfId="3" applyFill="1" applyBorder="1" applyProtection="1">
      <alignment vertical="center"/>
    </xf>
    <xf numFmtId="0" fontId="39" fillId="0" borderId="15" xfId="3" applyFont="1" applyFill="1" applyBorder="1" applyProtection="1">
      <alignment vertical="center"/>
    </xf>
    <xf numFmtId="0" fontId="39" fillId="0" borderId="12" xfId="3" applyFont="1" applyFill="1" applyBorder="1" applyProtection="1">
      <alignment vertical="center"/>
    </xf>
    <xf numFmtId="9" fontId="39" fillId="0" borderId="15" xfId="3" applyNumberFormat="1" applyFont="1" applyFill="1" applyBorder="1" applyProtection="1">
      <alignment vertical="center"/>
    </xf>
    <xf numFmtId="182" fontId="39" fillId="0" borderId="12" xfId="3" applyNumberFormat="1" applyFont="1" applyFill="1" applyBorder="1" applyProtection="1">
      <alignment vertical="center"/>
    </xf>
    <xf numFmtId="9" fontId="46" fillId="0" borderId="15" xfId="3" applyNumberFormat="1" applyFont="1" applyFill="1" applyBorder="1" applyProtection="1">
      <alignment vertical="center"/>
    </xf>
    <xf numFmtId="182" fontId="46" fillId="0" borderId="12" xfId="3" applyNumberFormat="1" applyFont="1" applyFill="1" applyBorder="1" applyProtection="1">
      <alignment vertical="center"/>
    </xf>
    <xf numFmtId="0" fontId="42" fillId="9" borderId="3" xfId="3" applyFont="1" applyFill="1" applyBorder="1" applyAlignment="1" applyProtection="1">
      <alignment vertical="center"/>
    </xf>
    <xf numFmtId="0" fontId="13" fillId="9" borderId="0" xfId="3" applyFont="1" applyFill="1" applyBorder="1" applyProtection="1">
      <alignment vertical="center"/>
    </xf>
    <xf numFmtId="0" fontId="39" fillId="9" borderId="0" xfId="3" applyFont="1" applyFill="1" applyBorder="1" applyProtection="1">
      <alignment vertical="center"/>
    </xf>
    <xf numFmtId="0" fontId="34" fillId="9" borderId="0" xfId="3" applyFill="1" applyBorder="1" applyProtection="1">
      <alignment vertical="center"/>
    </xf>
    <xf numFmtId="0" fontId="34" fillId="9" borderId="3" xfId="3" applyFill="1" applyBorder="1" applyProtection="1">
      <alignment vertical="center"/>
    </xf>
    <xf numFmtId="0" fontId="34" fillId="9" borderId="6" xfId="3" applyFill="1" applyBorder="1" applyProtection="1">
      <alignment vertical="center"/>
    </xf>
    <xf numFmtId="0" fontId="41" fillId="9" borderId="0" xfId="3" applyFont="1" applyFill="1" applyBorder="1" applyAlignment="1" applyProtection="1">
      <alignment vertical="center"/>
    </xf>
    <xf numFmtId="0" fontId="34" fillId="9" borderId="1" xfId="3" applyFill="1" applyBorder="1" applyProtection="1">
      <alignment vertical="center"/>
    </xf>
    <xf numFmtId="0" fontId="36" fillId="9" borderId="0" xfId="3" applyFont="1" applyFill="1" applyBorder="1" applyAlignment="1" applyProtection="1">
      <alignment vertical="center"/>
    </xf>
    <xf numFmtId="183" fontId="38" fillId="9" borderId="0" xfId="3" applyNumberFormat="1" applyFont="1" applyFill="1" applyBorder="1" applyAlignment="1" applyProtection="1">
      <alignment vertical="center"/>
    </xf>
    <xf numFmtId="0" fontId="37" fillId="9" borderId="0" xfId="3" applyFont="1" applyFill="1" applyBorder="1" applyAlignment="1" applyProtection="1">
      <alignment vertical="center"/>
    </xf>
    <xf numFmtId="0" fontId="34" fillId="9" borderId="5" xfId="3" applyFill="1" applyBorder="1" applyProtection="1">
      <alignment vertical="center"/>
    </xf>
    <xf numFmtId="0" fontId="34" fillId="9" borderId="7" xfId="3" applyFill="1" applyBorder="1" applyProtection="1">
      <alignment vertical="center"/>
    </xf>
    <xf numFmtId="0" fontId="34" fillId="9" borderId="8" xfId="3" applyFill="1" applyBorder="1" applyProtection="1">
      <alignment vertical="center"/>
    </xf>
    <xf numFmtId="0" fontId="39" fillId="9" borderId="0" xfId="3" applyFont="1" applyFill="1" applyBorder="1" applyAlignment="1" applyProtection="1">
      <alignment vertical="center" textRotation="255"/>
    </xf>
    <xf numFmtId="0" fontId="34" fillId="9" borderId="4" xfId="3" applyFill="1" applyBorder="1" applyProtection="1">
      <alignment vertical="center"/>
    </xf>
    <xf numFmtId="182" fontId="34" fillId="9" borderId="5" xfId="3" applyNumberFormat="1" applyFill="1" applyBorder="1" applyAlignment="1" applyProtection="1">
      <alignment horizontal="center" vertical="center"/>
    </xf>
    <xf numFmtId="182" fontId="34" fillId="9" borderId="5" xfId="3" applyNumberFormat="1" applyFill="1" applyBorder="1" applyProtection="1">
      <alignment vertical="center"/>
    </xf>
    <xf numFmtId="0" fontId="13" fillId="9" borderId="0" xfId="3" applyFont="1" applyFill="1" applyBorder="1" applyAlignment="1" applyProtection="1">
      <alignment vertical="center" wrapText="1"/>
    </xf>
    <xf numFmtId="0" fontId="39" fillId="9" borderId="0" xfId="3" applyFont="1" applyFill="1" applyBorder="1" applyAlignment="1" applyProtection="1">
      <alignment vertical="center"/>
    </xf>
    <xf numFmtId="0" fontId="13" fillId="12" borderId="0" xfId="3" applyFont="1" applyFill="1" applyBorder="1" applyProtection="1">
      <alignment vertical="center"/>
    </xf>
    <xf numFmtId="0" fontId="53" fillId="9" borderId="0" xfId="3" applyFont="1" applyFill="1" applyBorder="1" applyProtection="1">
      <alignment vertical="center"/>
    </xf>
    <xf numFmtId="0" fontId="46" fillId="11" borderId="12" xfId="3" applyFont="1" applyFill="1" applyBorder="1" applyProtection="1">
      <alignment vertical="center"/>
    </xf>
    <xf numFmtId="0" fontId="46" fillId="2" borderId="12" xfId="3" applyFont="1" applyFill="1" applyBorder="1" applyProtection="1">
      <alignment vertical="center"/>
    </xf>
    <xf numFmtId="0" fontId="53" fillId="9" borderId="0" xfId="3" applyFont="1" applyFill="1" applyBorder="1" applyAlignment="1" applyProtection="1">
      <alignment horizontal="center" vertical="center"/>
    </xf>
    <xf numFmtId="0" fontId="34" fillId="0" borderId="12" xfId="3" applyBorder="1" applyProtection="1">
      <alignment vertical="center"/>
    </xf>
    <xf numFmtId="0" fontId="34" fillId="9" borderId="8" xfId="3" applyFill="1" applyBorder="1" applyAlignment="1" applyProtection="1">
      <alignment vertical="center"/>
    </xf>
    <xf numFmtId="182" fontId="34" fillId="9" borderId="0" xfId="3" applyNumberFormat="1" applyFill="1" applyBorder="1" applyAlignment="1" applyProtection="1">
      <alignment horizontal="center" vertical="center"/>
    </xf>
    <xf numFmtId="182" fontId="34" fillId="9" borderId="0" xfId="3" applyNumberFormat="1" applyFill="1" applyBorder="1" applyProtection="1">
      <alignment vertical="center"/>
    </xf>
    <xf numFmtId="38" fontId="39" fillId="2" borderId="12" xfId="2" applyFont="1" applyFill="1" applyBorder="1" applyProtection="1">
      <alignment vertical="center"/>
    </xf>
    <xf numFmtId="0" fontId="53" fillId="9" borderId="12" xfId="3" applyFont="1" applyFill="1" applyBorder="1" applyAlignment="1" applyProtection="1">
      <alignment vertical="center"/>
    </xf>
    <xf numFmtId="0" fontId="34" fillId="12" borderId="1" xfId="3" applyFill="1" applyBorder="1" applyProtection="1">
      <alignment vertical="center"/>
    </xf>
    <xf numFmtId="0" fontId="34" fillId="12" borderId="7" xfId="3" applyFill="1" applyBorder="1" applyProtection="1">
      <alignment vertical="center"/>
    </xf>
    <xf numFmtId="0" fontId="34" fillId="12" borderId="3" xfId="3" applyFill="1" applyBorder="1" applyProtection="1">
      <alignment vertical="center"/>
    </xf>
    <xf numFmtId="0" fontId="35" fillId="12" borderId="0" xfId="3" applyFont="1" applyFill="1" applyBorder="1" applyAlignment="1" applyProtection="1">
      <alignment vertical="center"/>
    </xf>
    <xf numFmtId="184" fontId="46" fillId="12" borderId="12" xfId="3" applyNumberFormat="1" applyFont="1" applyFill="1" applyBorder="1" applyAlignment="1" applyProtection="1">
      <alignment vertical="center"/>
    </xf>
    <xf numFmtId="0" fontId="13" fillId="12" borderId="0" xfId="3" applyFont="1" applyFill="1" applyBorder="1" applyAlignment="1" applyProtection="1">
      <alignment horizontal="center" vertical="center"/>
    </xf>
    <xf numFmtId="184" fontId="44" fillId="12" borderId="0" xfId="3" applyNumberFormat="1" applyFont="1" applyFill="1" applyBorder="1" applyAlignment="1" applyProtection="1">
      <alignment vertical="center"/>
    </xf>
    <xf numFmtId="184" fontId="43" fillId="12" borderId="0" xfId="3" applyNumberFormat="1" applyFont="1" applyFill="1" applyBorder="1" applyAlignment="1" applyProtection="1">
      <alignment vertical="center"/>
    </xf>
    <xf numFmtId="0" fontId="43" fillId="12" borderId="0" xfId="3" applyFont="1" applyFill="1" applyBorder="1" applyAlignment="1" applyProtection="1">
      <alignment vertical="center"/>
    </xf>
    <xf numFmtId="0" fontId="35" fillId="0" borderId="12" xfId="3" applyFont="1" applyFill="1" applyBorder="1" applyAlignment="1" applyProtection="1">
      <alignment horizontal="center" vertical="center"/>
    </xf>
    <xf numFmtId="0" fontId="34" fillId="12" borderId="6" xfId="3" applyFill="1" applyBorder="1" applyProtection="1">
      <alignment vertical="center"/>
    </xf>
    <xf numFmtId="0" fontId="18" fillId="6" borderId="0" xfId="1" applyFont="1" applyFill="1" applyBorder="1">
      <alignment vertical="center"/>
    </xf>
    <xf numFmtId="0" fontId="18" fillId="6" borderId="0" xfId="1" applyFont="1" applyFill="1" applyBorder="1" applyAlignment="1">
      <alignment horizontal="center" vertical="center"/>
    </xf>
    <xf numFmtId="0" fontId="18" fillId="6" borderId="0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38" fontId="34" fillId="0" borderId="12" xfId="2" applyFont="1" applyBorder="1" applyProtection="1">
      <alignment vertical="center"/>
    </xf>
    <xf numFmtId="0" fontId="23" fillId="6" borderId="6" xfId="1" applyFont="1" applyFill="1" applyBorder="1" applyAlignment="1">
      <alignment horizontal="left" vertical="center"/>
    </xf>
    <xf numFmtId="0" fontId="23" fillId="6" borderId="1" xfId="1" applyFont="1" applyFill="1" applyBorder="1" applyAlignment="1">
      <alignment horizontal="left" vertical="center"/>
    </xf>
    <xf numFmtId="0" fontId="18" fillId="6" borderId="1" xfId="1" applyFont="1" applyFill="1" applyBorder="1" applyAlignment="1">
      <alignment vertical="center"/>
    </xf>
    <xf numFmtId="180" fontId="32" fillId="6" borderId="1" xfId="1" applyNumberFormat="1" applyFont="1" applyFill="1" applyBorder="1" applyAlignment="1" applyProtection="1">
      <alignment vertical="center"/>
      <protection locked="0"/>
    </xf>
    <xf numFmtId="0" fontId="4" fillId="6" borderId="1" xfId="1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/>
    </xf>
    <xf numFmtId="185" fontId="47" fillId="6" borderId="1" xfId="1" applyNumberFormat="1" applyFont="1" applyFill="1" applyBorder="1" applyAlignment="1" applyProtection="1">
      <alignment horizontal="center" vertical="center" shrinkToFit="1"/>
      <protection locked="0"/>
    </xf>
    <xf numFmtId="185" fontId="49" fillId="6" borderId="1" xfId="1" applyNumberFormat="1" applyFont="1" applyFill="1" applyBorder="1" applyAlignment="1">
      <alignment horizontal="center" vertical="center" shrinkToFit="1"/>
    </xf>
    <xf numFmtId="0" fontId="4" fillId="6" borderId="7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180" fontId="32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 wrapText="1"/>
    </xf>
    <xf numFmtId="181" fontId="6" fillId="0" borderId="0" xfId="1" applyNumberFormat="1" applyFont="1" applyFill="1" applyBorder="1" applyAlignment="1">
      <alignment horizontal="right" vertical="center" shrinkToFit="1"/>
    </xf>
    <xf numFmtId="0" fontId="4" fillId="0" borderId="8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177" fontId="49" fillId="5" borderId="52" xfId="1" applyNumberFormat="1" applyFont="1" applyFill="1" applyBorder="1" applyAlignment="1">
      <alignment horizontal="right" vertical="center" shrinkToFit="1"/>
    </xf>
    <xf numFmtId="177" fontId="47" fillId="5" borderId="70" xfId="1" applyNumberFormat="1" applyFont="1" applyFill="1" applyBorder="1" applyAlignment="1" applyProtection="1">
      <alignment horizontal="right" vertical="center" shrinkToFit="1"/>
      <protection locked="0"/>
    </xf>
    <xf numFmtId="177" fontId="47" fillId="5" borderId="71" xfId="1" applyNumberFormat="1" applyFont="1" applyFill="1" applyBorder="1" applyAlignment="1" applyProtection="1">
      <alignment horizontal="right" vertical="center" shrinkToFit="1"/>
      <protection locked="0"/>
    </xf>
    <xf numFmtId="177" fontId="47" fillId="5" borderId="66" xfId="1" applyNumberFormat="1" applyFont="1" applyFill="1" applyBorder="1" applyAlignment="1" applyProtection="1">
      <alignment horizontal="right" vertical="center" shrinkToFit="1"/>
      <protection locked="0"/>
    </xf>
    <xf numFmtId="177" fontId="47" fillId="5" borderId="67" xfId="1" applyNumberFormat="1" applyFont="1" applyFill="1" applyBorder="1" applyAlignment="1" applyProtection="1">
      <alignment horizontal="right" vertical="center" shrinkToFit="1"/>
      <protection locked="0"/>
    </xf>
    <xf numFmtId="177" fontId="47" fillId="5" borderId="74" xfId="1" applyNumberFormat="1" applyFont="1" applyFill="1" applyBorder="1" applyAlignment="1" applyProtection="1">
      <alignment horizontal="right" vertical="center" shrinkToFit="1"/>
      <protection locked="0"/>
    </xf>
    <xf numFmtId="177" fontId="47" fillId="5" borderId="73" xfId="1" applyNumberFormat="1" applyFont="1" applyFill="1" applyBorder="1" applyAlignment="1" applyProtection="1">
      <alignment horizontal="right" vertical="center" shrinkToFit="1"/>
      <protection locked="0"/>
    </xf>
    <xf numFmtId="185" fontId="49" fillId="5" borderId="52" xfId="1" applyNumberFormat="1" applyFont="1" applyFill="1" applyBorder="1" applyAlignment="1">
      <alignment horizontal="center" vertical="center" shrinkToFit="1"/>
    </xf>
    <xf numFmtId="185" fontId="47" fillId="5" borderId="74" xfId="1" applyNumberFormat="1" applyFont="1" applyFill="1" applyBorder="1" applyAlignment="1" applyProtection="1">
      <alignment horizontal="center" vertical="center" shrinkToFit="1"/>
      <protection locked="0"/>
    </xf>
    <xf numFmtId="185" fontId="47" fillId="5" borderId="73" xfId="1" applyNumberFormat="1" applyFont="1" applyFill="1" applyBorder="1" applyAlignment="1" applyProtection="1">
      <alignment horizontal="center" vertical="center" shrinkToFit="1"/>
      <protection locked="0"/>
    </xf>
    <xf numFmtId="0" fontId="18" fillId="2" borderId="70" xfId="1" applyFont="1" applyFill="1" applyBorder="1" applyAlignment="1">
      <alignment horizontal="center" vertical="center"/>
    </xf>
    <xf numFmtId="0" fontId="18" fillId="2" borderId="71" xfId="1" applyFont="1" applyFill="1" applyBorder="1" applyAlignment="1">
      <alignment horizontal="center" vertical="center"/>
    </xf>
    <xf numFmtId="0" fontId="62" fillId="0" borderId="12" xfId="3" applyFont="1" applyFill="1" applyBorder="1" applyAlignment="1" applyProtection="1">
      <alignment horizontal="center" vertical="center" wrapText="1"/>
    </xf>
    <xf numFmtId="0" fontId="34" fillId="8" borderId="3" xfId="3" applyFill="1" applyBorder="1" applyProtection="1">
      <alignment vertical="center"/>
    </xf>
    <xf numFmtId="0" fontId="34" fillId="0" borderId="0" xfId="3" applyFill="1" applyBorder="1" applyProtection="1">
      <alignment vertical="center"/>
    </xf>
    <xf numFmtId="0" fontId="34" fillId="0" borderId="0" xfId="3" applyFill="1" applyProtection="1">
      <alignment vertical="center"/>
    </xf>
    <xf numFmtId="38" fontId="51" fillId="0" borderId="0" xfId="3" applyNumberFormat="1" applyFont="1" applyFill="1" applyBorder="1" applyProtection="1">
      <alignment vertical="center"/>
    </xf>
    <xf numFmtId="0" fontId="50" fillId="0" borderId="0" xfId="3" applyFont="1" applyFill="1" applyProtection="1">
      <alignment vertical="center"/>
    </xf>
    <xf numFmtId="38" fontId="51" fillId="0" borderId="0" xfId="3" applyNumberFormat="1" applyFont="1" applyFill="1" applyProtection="1">
      <alignment vertical="center"/>
    </xf>
    <xf numFmtId="0" fontId="13" fillId="0" borderId="0" xfId="3" applyFont="1" applyFill="1" applyProtection="1">
      <alignment vertical="center"/>
    </xf>
    <xf numFmtId="38" fontId="60" fillId="0" borderId="0" xfId="2" applyFont="1" applyFill="1" applyBorder="1" applyAlignment="1" applyProtection="1">
      <alignment vertical="center"/>
    </xf>
    <xf numFmtId="38" fontId="60" fillId="0" borderId="0" xfId="2" applyFont="1" applyFill="1" applyBorder="1" applyAlignment="1" applyProtection="1">
      <alignment horizontal="center" vertical="center"/>
    </xf>
    <xf numFmtId="0" fontId="60" fillId="0" borderId="0" xfId="3" applyFont="1" applyFill="1" applyProtection="1">
      <alignment vertical="center"/>
    </xf>
    <xf numFmtId="38" fontId="60" fillId="0" borderId="0" xfId="2" applyFont="1" applyFill="1" applyProtection="1">
      <alignment vertical="center"/>
    </xf>
    <xf numFmtId="38" fontId="60" fillId="0" borderId="0" xfId="2" applyFont="1" applyFill="1" applyAlignment="1" applyProtection="1">
      <alignment horizontal="center" vertical="center"/>
    </xf>
    <xf numFmtId="0" fontId="34" fillId="12" borderId="0" xfId="3" applyFill="1" applyProtection="1">
      <alignment vertical="center"/>
    </xf>
    <xf numFmtId="0" fontId="1" fillId="2" borderId="8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1" fillId="2" borderId="30" xfId="1" applyFont="1" applyFill="1" applyBorder="1" applyAlignment="1">
      <alignment horizontal="left"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6" fillId="8" borderId="0" xfId="1" applyFont="1" applyFill="1" applyBorder="1" applyAlignment="1">
      <alignment horizontal="left" vertical="center"/>
    </xf>
    <xf numFmtId="189" fontId="0" fillId="0" borderId="0" xfId="0" applyNumberFormat="1" applyBorder="1" applyAlignment="1">
      <alignment horizontal="center" vertical="center"/>
    </xf>
    <xf numFmtId="38" fontId="0" fillId="0" borderId="12" xfId="2" applyFont="1" applyBorder="1" applyAlignment="1">
      <alignment horizontal="right" vertical="center"/>
    </xf>
    <xf numFmtId="0" fontId="4" fillId="6" borderId="0" xfId="1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59" fillId="2" borderId="71" xfId="0" applyFont="1" applyFill="1" applyBorder="1" applyAlignment="1">
      <alignment horizontal="center" vertical="center"/>
    </xf>
    <xf numFmtId="0" fontId="39" fillId="3" borderId="12" xfId="3" applyFont="1" applyFill="1" applyBorder="1" applyAlignment="1" applyProtection="1">
      <alignment vertical="center" wrapText="1"/>
    </xf>
    <xf numFmtId="0" fontId="39" fillId="2" borderId="12" xfId="3" applyFont="1" applyFill="1" applyBorder="1" applyAlignment="1" applyProtection="1">
      <alignment vertical="center" wrapText="1"/>
    </xf>
    <xf numFmtId="183" fontId="46" fillId="3" borderId="12" xfId="3" applyNumberFormat="1" applyFont="1" applyFill="1" applyBorder="1" applyProtection="1">
      <alignment vertical="center"/>
    </xf>
    <xf numFmtId="183" fontId="46" fillId="3" borderId="12" xfId="2" applyNumberFormat="1" applyFont="1" applyFill="1" applyBorder="1" applyProtection="1">
      <alignment vertical="center"/>
    </xf>
    <xf numFmtId="183" fontId="46" fillId="11" borderId="12" xfId="3" applyNumberFormat="1" applyFont="1" applyFill="1" applyBorder="1" applyProtection="1">
      <alignment vertical="center"/>
    </xf>
    <xf numFmtId="183" fontId="39" fillId="2" borderId="12" xfId="3" applyNumberFormat="1" applyFont="1" applyFill="1" applyBorder="1" applyProtection="1">
      <alignment vertical="center"/>
    </xf>
    <xf numFmtId="183" fontId="39" fillId="2" borderId="12" xfId="2" applyNumberFormat="1" applyFont="1" applyFill="1" applyBorder="1" applyProtection="1">
      <alignment vertical="center"/>
    </xf>
    <xf numFmtId="38" fontId="46" fillId="2" borderId="12" xfId="2" applyFont="1" applyFill="1" applyBorder="1" applyProtection="1">
      <alignment vertical="center"/>
    </xf>
    <xf numFmtId="0" fontId="0" fillId="3" borderId="15" xfId="0" applyFill="1" applyBorder="1" applyAlignment="1" applyProtection="1">
      <alignment horizontal="center" vertical="center"/>
    </xf>
    <xf numFmtId="0" fontId="61" fillId="3" borderId="12" xfId="0" applyFont="1" applyFill="1" applyBorder="1" applyAlignment="1" applyProtection="1">
      <alignment horizontal="center" vertical="center"/>
    </xf>
    <xf numFmtId="0" fontId="0" fillId="3" borderId="71" xfId="0" applyFill="1" applyBorder="1" applyAlignment="1" applyProtection="1">
      <alignment horizontal="center" vertical="center"/>
    </xf>
    <xf numFmtId="0" fontId="0" fillId="3" borderId="83" xfId="0" applyFill="1" applyBorder="1" applyAlignment="1" applyProtection="1">
      <alignment horizontal="center" vertical="center"/>
    </xf>
    <xf numFmtId="0" fontId="61" fillId="3" borderId="81" xfId="0" applyFont="1" applyFill="1" applyBorder="1" applyAlignment="1" applyProtection="1">
      <alignment horizontal="center" vertical="center"/>
    </xf>
    <xf numFmtId="0" fontId="0" fillId="3" borderId="67" xfId="0" applyFill="1" applyBorder="1" applyAlignment="1" applyProtection="1">
      <alignment horizontal="center" vertical="center"/>
    </xf>
    <xf numFmtId="0" fontId="23" fillId="6" borderId="3" xfId="1" applyFont="1" applyFill="1" applyBorder="1" applyAlignment="1">
      <alignment horizontal="left" vertical="center"/>
    </xf>
    <xf numFmtId="0" fontId="23" fillId="6" borderId="0" xfId="1" applyFont="1" applyFill="1" applyBorder="1" applyAlignment="1">
      <alignment horizontal="left" vertical="center"/>
    </xf>
    <xf numFmtId="0" fontId="35" fillId="0" borderId="12" xfId="3" applyFont="1" applyFill="1" applyBorder="1" applyAlignment="1" applyProtection="1">
      <alignment horizontal="center" vertical="center"/>
    </xf>
    <xf numFmtId="38" fontId="60" fillId="0" borderId="0" xfId="2" applyFont="1" applyFill="1" applyBorder="1" applyAlignment="1" applyProtection="1">
      <alignment horizontal="center" vertical="center"/>
    </xf>
    <xf numFmtId="38" fontId="60" fillId="0" borderId="0" xfId="2" applyFont="1" applyFill="1" applyAlignment="1" applyProtection="1">
      <alignment horizontal="center" vertical="center"/>
    </xf>
    <xf numFmtId="0" fontId="54" fillId="0" borderId="12" xfId="3" applyFont="1" applyFill="1" applyBorder="1" applyAlignment="1" applyProtection="1">
      <alignment horizontal="center" vertical="center" wrapText="1"/>
    </xf>
    <xf numFmtId="0" fontId="62" fillId="2" borderId="12" xfId="3" applyFont="1" applyFill="1" applyBorder="1" applyAlignment="1" applyProtection="1">
      <alignment horizontal="center" vertical="center" wrapText="1"/>
    </xf>
    <xf numFmtId="0" fontId="35" fillId="3" borderId="12" xfId="3" applyFont="1" applyFill="1" applyBorder="1" applyAlignment="1" applyProtection="1">
      <alignment horizontal="center" vertical="center"/>
    </xf>
    <xf numFmtId="0" fontId="39" fillId="0" borderId="84" xfId="3" applyFont="1" applyBorder="1" applyProtection="1">
      <alignment vertical="center"/>
    </xf>
    <xf numFmtId="184" fontId="46" fillId="0" borderId="15" xfId="3" applyNumberFormat="1" applyFont="1" applyFill="1" applyBorder="1" applyAlignment="1" applyProtection="1">
      <alignment vertical="center"/>
    </xf>
    <xf numFmtId="184" fontId="39" fillId="0" borderId="12" xfId="3" applyNumberFormat="1" applyFont="1" applyBorder="1" applyProtection="1">
      <alignment vertical="center"/>
    </xf>
    <xf numFmtId="184" fontId="35" fillId="0" borderId="84" xfId="3" applyNumberFormat="1" applyFont="1" applyFill="1" applyBorder="1" applyAlignment="1" applyProtection="1">
      <alignment vertical="center"/>
    </xf>
    <xf numFmtId="9" fontId="46" fillId="0" borderId="15" xfId="3" applyNumberFormat="1" applyFont="1" applyFill="1" applyBorder="1" applyAlignment="1" applyProtection="1">
      <alignment horizontal="center" vertical="center"/>
    </xf>
    <xf numFmtId="184" fontId="46" fillId="0" borderId="12" xfId="3" applyNumberFormat="1" applyFont="1" applyFill="1" applyBorder="1" applyAlignment="1" applyProtection="1">
      <alignment vertical="center"/>
    </xf>
    <xf numFmtId="184" fontId="35" fillId="0" borderId="12" xfId="3" applyNumberFormat="1" applyFont="1" applyFill="1" applyBorder="1" applyAlignment="1" applyProtection="1">
      <alignment vertical="center"/>
    </xf>
    <xf numFmtId="184" fontId="62" fillId="12" borderId="12" xfId="3" applyNumberFormat="1" applyFont="1" applyFill="1" applyBorder="1" applyAlignment="1" applyProtection="1">
      <alignment horizontal="right" vertical="center"/>
    </xf>
    <xf numFmtId="184" fontId="62" fillId="12" borderId="12" xfId="3" applyNumberFormat="1" applyFont="1" applyFill="1" applyBorder="1" applyAlignment="1" applyProtection="1">
      <alignment vertical="center"/>
    </xf>
    <xf numFmtId="0" fontId="53" fillId="12" borderId="12" xfId="3" applyFont="1" applyFill="1" applyBorder="1" applyAlignment="1" applyProtection="1">
      <alignment vertical="center" wrapText="1"/>
    </xf>
    <xf numFmtId="0" fontId="53" fillId="12" borderId="12" xfId="3" applyFont="1" applyFill="1" applyBorder="1" applyProtection="1">
      <alignment vertical="center"/>
    </xf>
    <xf numFmtId="0" fontId="62" fillId="12" borderId="12" xfId="3" applyFont="1" applyFill="1" applyBorder="1" applyAlignment="1" applyProtection="1">
      <alignment horizontal="center" vertical="center"/>
    </xf>
    <xf numFmtId="0" fontId="62" fillId="12" borderId="0" xfId="3" applyFont="1" applyFill="1" applyBorder="1" applyAlignment="1" applyProtection="1">
      <alignment vertical="center"/>
    </xf>
    <xf numFmtId="0" fontId="62" fillId="12" borderId="22" xfId="3" applyFont="1" applyFill="1" applyBorder="1" applyAlignment="1" applyProtection="1">
      <alignment vertical="center"/>
    </xf>
    <xf numFmtId="183" fontId="56" fillId="12" borderId="0" xfId="3" applyNumberFormat="1" applyFont="1" applyFill="1" applyBorder="1" applyAlignment="1" applyProtection="1">
      <alignment horizontal="center" vertical="center"/>
    </xf>
    <xf numFmtId="0" fontId="39" fillId="12" borderId="0" xfId="3" applyFont="1" applyFill="1" applyProtection="1">
      <alignment vertical="center"/>
    </xf>
    <xf numFmtId="182" fontId="46" fillId="12" borderId="12" xfId="3" applyNumberFormat="1" applyFont="1" applyFill="1" applyBorder="1" applyAlignment="1" applyProtection="1">
      <alignment vertical="center"/>
    </xf>
    <xf numFmtId="0" fontId="39" fillId="12" borderId="12" xfId="3" applyFont="1" applyFill="1" applyBorder="1" applyAlignment="1" applyProtection="1">
      <alignment vertical="center"/>
    </xf>
    <xf numFmtId="0" fontId="46" fillId="12" borderId="12" xfId="3" applyFont="1" applyFill="1" applyBorder="1" applyAlignment="1" applyProtection="1">
      <alignment vertical="center"/>
    </xf>
    <xf numFmtId="0" fontId="39" fillId="12" borderId="12" xfId="3" applyFont="1" applyFill="1" applyBorder="1" applyProtection="1">
      <alignment vertical="center"/>
    </xf>
    <xf numFmtId="0" fontId="41" fillId="12" borderId="2" xfId="3" applyFont="1" applyFill="1" applyBorder="1" applyAlignment="1" applyProtection="1">
      <alignment vertical="center"/>
    </xf>
    <xf numFmtId="0" fontId="41" fillId="9" borderId="2" xfId="3" applyFont="1" applyFill="1" applyBorder="1" applyAlignment="1" applyProtection="1">
      <alignment vertical="center"/>
    </xf>
    <xf numFmtId="182" fontId="46" fillId="9" borderId="12" xfId="3" applyNumberFormat="1" applyFont="1" applyFill="1" applyBorder="1" applyAlignment="1" applyProtection="1">
      <alignment vertical="center"/>
    </xf>
    <xf numFmtId="182" fontId="39" fillId="9" borderId="12" xfId="3" applyNumberFormat="1" applyFont="1" applyFill="1" applyBorder="1" applyProtection="1">
      <alignment vertical="center"/>
    </xf>
    <xf numFmtId="182" fontId="39" fillId="9" borderId="12" xfId="3" applyNumberFormat="1" applyFont="1" applyFill="1" applyBorder="1" applyAlignment="1" applyProtection="1">
      <alignment vertical="center"/>
    </xf>
    <xf numFmtId="0" fontId="39" fillId="9" borderId="12" xfId="3" applyFont="1" applyFill="1" applyBorder="1" applyProtection="1">
      <alignment vertical="center"/>
    </xf>
    <xf numFmtId="38" fontId="46" fillId="9" borderId="12" xfId="2" applyFont="1" applyFill="1" applyBorder="1" applyProtection="1">
      <alignment vertical="center"/>
    </xf>
    <xf numFmtId="182" fontId="39" fillId="0" borderId="12" xfId="3" applyNumberFormat="1" applyFont="1" applyBorder="1" applyProtection="1">
      <alignment vertical="center"/>
    </xf>
    <xf numFmtId="182" fontId="41" fillId="0" borderId="12" xfId="3" applyNumberFormat="1" applyFont="1" applyFill="1" applyBorder="1" applyAlignment="1" applyProtection="1">
      <alignment vertical="center"/>
    </xf>
    <xf numFmtId="0" fontId="35" fillId="12" borderId="23" xfId="3" applyFont="1" applyFill="1" applyBorder="1" applyAlignment="1" applyProtection="1">
      <alignment vertical="center"/>
    </xf>
    <xf numFmtId="0" fontId="54" fillId="3" borderId="12" xfId="3" applyFont="1" applyFill="1" applyBorder="1" applyAlignment="1" applyProtection="1">
      <alignment horizontal="center" vertical="center" wrapText="1"/>
    </xf>
    <xf numFmtId="0" fontId="54" fillId="11" borderId="12" xfId="3" applyFont="1" applyFill="1" applyBorder="1" applyAlignment="1" applyProtection="1">
      <alignment horizontal="center" vertical="center" wrapText="1"/>
    </xf>
    <xf numFmtId="0" fontId="47" fillId="5" borderId="74" xfId="1" applyNumberFormat="1" applyFont="1" applyFill="1" applyBorder="1" applyAlignment="1" applyProtection="1">
      <alignment horizontal="center" vertical="center" shrinkToFit="1"/>
      <protection locked="0"/>
    </xf>
    <xf numFmtId="0" fontId="47" fillId="5" borderId="73" xfId="1" applyNumberFormat="1" applyFont="1" applyFill="1" applyBorder="1" applyAlignment="1" applyProtection="1">
      <alignment horizontal="center" vertical="center" shrinkToFit="1"/>
      <protection locked="0"/>
    </xf>
    <xf numFmtId="0" fontId="49" fillId="5" borderId="52" xfId="1" applyNumberFormat="1" applyFont="1" applyFill="1" applyBorder="1" applyAlignment="1">
      <alignment horizontal="center" vertical="center" shrinkToFit="1"/>
    </xf>
    <xf numFmtId="0" fontId="22" fillId="0" borderId="0" xfId="1" applyFont="1" applyBorder="1" applyAlignment="1">
      <alignment horizontal="left" vertical="center"/>
    </xf>
    <xf numFmtId="0" fontId="69" fillId="0" borderId="0" xfId="0" applyFont="1">
      <alignment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/>
    </xf>
    <xf numFmtId="0" fontId="0" fillId="5" borderId="8" xfId="0" applyFill="1" applyBorder="1">
      <alignment vertical="center"/>
    </xf>
    <xf numFmtId="0" fontId="13" fillId="14" borderId="0" xfId="0" applyFont="1" applyFill="1">
      <alignment vertical="center"/>
    </xf>
    <xf numFmtId="0" fontId="0" fillId="15" borderId="0" xfId="0" applyFill="1">
      <alignment vertical="center"/>
    </xf>
    <xf numFmtId="0" fontId="8" fillId="15" borderId="0" xfId="0" applyFont="1" applyFill="1">
      <alignment vertical="center"/>
    </xf>
    <xf numFmtId="0" fontId="13" fillId="15" borderId="0" xfId="0" applyFont="1" applyFill="1">
      <alignment vertical="center"/>
    </xf>
    <xf numFmtId="0" fontId="4" fillId="15" borderId="8" xfId="1" applyFont="1" applyFill="1" applyBorder="1">
      <alignment vertical="center"/>
    </xf>
    <xf numFmtId="0" fontId="4" fillId="15" borderId="0" xfId="1" applyFont="1" applyFill="1" applyBorder="1">
      <alignment vertical="center"/>
    </xf>
    <xf numFmtId="0" fontId="13" fillId="15" borderId="0" xfId="0" applyFont="1" applyFill="1" applyBorder="1">
      <alignment vertical="center"/>
    </xf>
    <xf numFmtId="0" fontId="0" fillId="15" borderId="0" xfId="0" applyFill="1" applyBorder="1">
      <alignment vertical="center"/>
    </xf>
    <xf numFmtId="0" fontId="0" fillId="15" borderId="1" xfId="0" applyFill="1" applyBorder="1">
      <alignment vertical="center"/>
    </xf>
    <xf numFmtId="0" fontId="11" fillId="0" borderId="42" xfId="0" applyFont="1" applyBorder="1">
      <alignment vertical="center"/>
    </xf>
    <xf numFmtId="0" fontId="13" fillId="15" borderId="42" xfId="0" applyFont="1" applyFill="1" applyBorder="1">
      <alignment vertical="center"/>
    </xf>
    <xf numFmtId="0" fontId="0" fillId="15" borderId="5" xfId="0" applyFill="1" applyBorder="1">
      <alignment vertical="center"/>
    </xf>
    <xf numFmtId="0" fontId="4" fillId="15" borderId="5" xfId="1" applyFont="1" applyFill="1" applyBorder="1">
      <alignment vertical="center"/>
    </xf>
    <xf numFmtId="0" fontId="13" fillId="15" borderId="1" xfId="0" applyFont="1" applyFill="1" applyBorder="1">
      <alignment vertical="center"/>
    </xf>
    <xf numFmtId="0" fontId="11" fillId="15" borderId="0" xfId="0" applyFont="1" applyFill="1" applyBorder="1">
      <alignment vertical="center"/>
    </xf>
    <xf numFmtId="0" fontId="13" fillId="0" borderId="7" xfId="0" applyFont="1" applyBorder="1">
      <alignment vertical="center"/>
    </xf>
    <xf numFmtId="0" fontId="0" fillId="15" borderId="8" xfId="0" applyFill="1" applyBorder="1">
      <alignment vertical="center"/>
    </xf>
    <xf numFmtId="0" fontId="4" fillId="15" borderId="4" xfId="1" applyFont="1" applyFill="1" applyBorder="1">
      <alignment vertical="center"/>
    </xf>
    <xf numFmtId="0" fontId="13" fillId="15" borderId="5" xfId="0" applyFont="1" applyFill="1" applyBorder="1">
      <alignment vertical="center"/>
    </xf>
    <xf numFmtId="0" fontId="0" fillId="15" borderId="7" xfId="0" applyFill="1" applyBorder="1">
      <alignment vertical="center"/>
    </xf>
    <xf numFmtId="0" fontId="4" fillId="0" borderId="0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71" fillId="0" borderId="0" xfId="0" applyFont="1">
      <alignment vertical="center"/>
    </xf>
    <xf numFmtId="0" fontId="72" fillId="0" borderId="0" xfId="1" applyFont="1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 vertical="center"/>
    </xf>
    <xf numFmtId="0" fontId="73" fillId="0" borderId="0" xfId="0" applyFont="1">
      <alignment vertical="center"/>
    </xf>
    <xf numFmtId="182" fontId="39" fillId="0" borderId="84" xfId="3" applyNumberFormat="1" applyFont="1" applyBorder="1" applyProtection="1">
      <alignment vertical="center"/>
    </xf>
    <xf numFmtId="0" fontId="39" fillId="0" borderId="84" xfId="3" applyFont="1" applyBorder="1" applyAlignment="1" applyProtection="1">
      <alignment vertical="center"/>
    </xf>
    <xf numFmtId="0" fontId="46" fillId="0" borderId="84" xfId="3" applyNumberFormat="1" applyFont="1" applyFill="1" applyBorder="1" applyAlignment="1" applyProtection="1">
      <alignment vertical="center"/>
    </xf>
    <xf numFmtId="0" fontId="46" fillId="0" borderId="84" xfId="3" applyNumberFormat="1" applyFont="1" applyFill="1" applyBorder="1" applyAlignment="1" applyProtection="1">
      <alignment horizontal="center" vertical="center"/>
    </xf>
    <xf numFmtId="190" fontId="39" fillId="0" borderId="12" xfId="3" applyNumberFormat="1" applyFont="1" applyBorder="1" applyAlignment="1" applyProtection="1">
      <alignment vertical="center"/>
    </xf>
    <xf numFmtId="184" fontId="39" fillId="0" borderId="12" xfId="3" applyNumberFormat="1" applyFont="1" applyBorder="1" applyAlignment="1" applyProtection="1">
      <alignment vertical="center"/>
    </xf>
    <xf numFmtId="184" fontId="46" fillId="0" borderId="85" xfId="3" applyNumberFormat="1" applyFont="1" applyFill="1" applyBorder="1" applyAlignment="1" applyProtection="1">
      <alignment vertical="center"/>
    </xf>
    <xf numFmtId="0" fontId="35" fillId="0" borderId="84" xfId="3" applyFont="1" applyFill="1" applyBorder="1" applyAlignment="1" applyProtection="1">
      <alignment vertical="center" wrapText="1"/>
    </xf>
    <xf numFmtId="184" fontId="4" fillId="0" borderId="37" xfId="1" applyNumberFormat="1" applyFont="1" applyFill="1" applyBorder="1" applyAlignment="1">
      <alignment vertical="center"/>
    </xf>
    <xf numFmtId="191" fontId="4" fillId="0" borderId="35" xfId="1" applyNumberFormat="1" applyFont="1" applyFill="1" applyBorder="1" applyAlignment="1">
      <alignment vertical="center" shrinkToFit="1"/>
    </xf>
    <xf numFmtId="0" fontId="11" fillId="5" borderId="8" xfId="0" applyFont="1" applyFill="1" applyBorder="1">
      <alignment vertical="center"/>
    </xf>
    <xf numFmtId="0" fontId="0" fillId="5" borderId="42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4" fillId="5" borderId="5" xfId="1" applyFont="1" applyFill="1" applyBorder="1">
      <alignment vertical="center"/>
    </xf>
    <xf numFmtId="0" fontId="11" fillId="5" borderId="5" xfId="0" applyFont="1" applyFill="1" applyBorder="1">
      <alignment vertical="center"/>
    </xf>
    <xf numFmtId="0" fontId="11" fillId="5" borderId="7" xfId="0" applyFont="1" applyFill="1" applyBorder="1">
      <alignment vertical="center"/>
    </xf>
    <xf numFmtId="187" fontId="4" fillId="0" borderId="20" xfId="1" applyNumberFormat="1" applyFont="1" applyFill="1" applyBorder="1" applyAlignment="1">
      <alignment horizontal="center" vertical="center" shrinkToFit="1"/>
    </xf>
    <xf numFmtId="191" fontId="13" fillId="0" borderId="20" xfId="0" applyNumberFormat="1" applyFont="1" applyBorder="1" applyAlignment="1">
      <alignment horizontal="center" vertical="center" shrinkToFit="1"/>
    </xf>
    <xf numFmtId="186" fontId="13" fillId="0" borderId="20" xfId="0" applyNumberFormat="1" applyFont="1" applyBorder="1" applyAlignment="1">
      <alignment horizontal="center" vertical="center" shrinkToFit="1"/>
    </xf>
    <xf numFmtId="186" fontId="13" fillId="0" borderId="21" xfId="0" applyNumberFormat="1" applyFont="1" applyBorder="1" applyAlignment="1">
      <alignment horizontal="center" vertical="center" shrinkToFit="1"/>
    </xf>
    <xf numFmtId="186" fontId="13" fillId="0" borderId="35" xfId="0" applyNumberFormat="1" applyFont="1" applyBorder="1" applyAlignment="1">
      <alignment horizontal="center" vertical="center" shrinkToFit="1"/>
    </xf>
    <xf numFmtId="186" fontId="13" fillId="0" borderId="36" xfId="0" applyNumberFormat="1" applyFont="1" applyBorder="1" applyAlignment="1">
      <alignment horizontal="center" vertical="center" shrinkToFit="1"/>
    </xf>
    <xf numFmtId="191" fontId="4" fillId="0" borderId="35" xfId="1" applyNumberFormat="1" applyFont="1" applyFill="1" applyBorder="1" applyAlignment="1">
      <alignment horizontal="center" vertical="center" shrinkToFit="1"/>
    </xf>
    <xf numFmtId="178" fontId="6" fillId="6" borderId="24" xfId="1" applyNumberFormat="1" applyFont="1" applyFill="1" applyBorder="1" applyAlignment="1">
      <alignment horizontal="right" vertical="center" indent="2"/>
    </xf>
    <xf numFmtId="178" fontId="6" fillId="6" borderId="35" xfId="1" applyNumberFormat="1" applyFont="1" applyFill="1" applyBorder="1" applyAlignment="1">
      <alignment horizontal="right" vertical="center" indent="2"/>
    </xf>
    <xf numFmtId="178" fontId="6" fillId="6" borderId="36" xfId="1" applyNumberFormat="1" applyFont="1" applyFill="1" applyBorder="1" applyAlignment="1">
      <alignment horizontal="right" vertical="center" indent="2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6" borderId="25" xfId="1" applyFont="1" applyFill="1" applyBorder="1" applyAlignment="1">
      <alignment horizontal="center" vertical="center"/>
    </xf>
    <xf numFmtId="0" fontId="6" fillId="6" borderId="37" xfId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center" vertical="center"/>
    </xf>
    <xf numFmtId="38" fontId="0" fillId="0" borderId="12" xfId="2" applyFont="1" applyBorder="1" applyAlignment="1">
      <alignment horizontal="center" vertical="center"/>
    </xf>
    <xf numFmtId="38" fontId="0" fillId="0" borderId="61" xfId="2" applyFont="1" applyBorder="1" applyAlignment="1">
      <alignment horizontal="right" vertical="center"/>
    </xf>
    <xf numFmtId="38" fontId="0" fillId="0" borderId="52" xfId="2" applyFont="1" applyBorder="1" applyAlignment="1">
      <alignment horizontal="right" vertical="center"/>
    </xf>
    <xf numFmtId="0" fontId="6" fillId="6" borderId="24" xfId="1" applyFont="1" applyFill="1" applyBorder="1" applyAlignment="1">
      <alignment horizontal="center" vertical="center"/>
    </xf>
    <xf numFmtId="0" fontId="6" fillId="6" borderId="35" xfId="1" applyFont="1" applyFill="1" applyBorder="1" applyAlignment="1">
      <alignment horizontal="center" vertical="center"/>
    </xf>
    <xf numFmtId="0" fontId="1" fillId="2" borderId="45" xfId="1" applyFont="1" applyFill="1" applyBorder="1" applyAlignment="1">
      <alignment horizontal="left" vertical="center"/>
    </xf>
    <xf numFmtId="0" fontId="1" fillId="2" borderId="43" xfId="1" applyFont="1" applyFill="1" applyBorder="1" applyAlignment="1">
      <alignment horizontal="left" vertical="center"/>
    </xf>
    <xf numFmtId="0" fontId="1" fillId="2" borderId="51" xfId="1" applyFont="1" applyFill="1" applyBorder="1" applyAlignment="1">
      <alignment horizontal="left" vertical="center"/>
    </xf>
    <xf numFmtId="0" fontId="1" fillId="2" borderId="55" xfId="1" applyFont="1" applyFill="1" applyBorder="1" applyAlignment="1">
      <alignment horizontal="center" vertical="center" shrinkToFit="1"/>
    </xf>
    <xf numFmtId="0" fontId="1" fillId="2" borderId="40" xfId="1" applyFont="1" applyFill="1" applyBorder="1" applyAlignment="1">
      <alignment horizontal="center" vertical="center" shrinkToFit="1"/>
    </xf>
    <xf numFmtId="0" fontId="1" fillId="2" borderId="41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6" fillId="6" borderId="36" xfId="1" applyFont="1" applyFill="1" applyBorder="1" applyAlignment="1">
      <alignment horizontal="center" vertical="center"/>
    </xf>
    <xf numFmtId="184" fontId="4" fillId="0" borderId="24" xfId="1" applyNumberFormat="1" applyFont="1" applyFill="1" applyBorder="1" applyAlignment="1">
      <alignment horizontal="center" vertical="center"/>
    </xf>
    <xf numFmtId="184" fontId="4" fillId="0" borderId="35" xfId="1" applyNumberFormat="1" applyFont="1" applyFill="1" applyBorder="1" applyAlignment="1">
      <alignment horizontal="center" vertical="center"/>
    </xf>
    <xf numFmtId="184" fontId="4" fillId="0" borderId="25" xfId="1" applyNumberFormat="1" applyFont="1" applyFill="1" applyBorder="1" applyAlignment="1">
      <alignment horizontal="center" vertical="center"/>
    </xf>
    <xf numFmtId="184" fontId="4" fillId="0" borderId="37" xfId="1" applyNumberFormat="1" applyFont="1" applyFill="1" applyBorder="1" applyAlignment="1">
      <alignment horizontal="center" vertical="center"/>
    </xf>
    <xf numFmtId="184" fontId="4" fillId="0" borderId="19" xfId="1" applyNumberFormat="1" applyFont="1" applyFill="1" applyBorder="1" applyAlignment="1">
      <alignment horizontal="center" vertical="center"/>
    </xf>
    <xf numFmtId="184" fontId="4" fillId="0" borderId="20" xfId="1" applyNumberFormat="1" applyFont="1" applyFill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0" fontId="13" fillId="0" borderId="50" xfId="1" applyNumberFormat="1" applyFont="1" applyFill="1" applyBorder="1" applyAlignment="1">
      <alignment horizontal="center" vertical="center"/>
    </xf>
    <xf numFmtId="0" fontId="13" fillId="0" borderId="43" xfId="1" applyNumberFormat="1" applyFont="1" applyFill="1" applyBorder="1" applyAlignment="1">
      <alignment horizontal="center" vertical="center"/>
    </xf>
    <xf numFmtId="0" fontId="13" fillId="0" borderId="51" xfId="1" applyNumberFormat="1" applyFont="1" applyFill="1" applyBorder="1" applyAlignment="1">
      <alignment horizontal="center" vertical="center"/>
    </xf>
    <xf numFmtId="0" fontId="13" fillId="0" borderId="59" xfId="1" applyNumberFormat="1" applyFont="1" applyFill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center" vertical="center"/>
    </xf>
    <xf numFmtId="0" fontId="13" fillId="0" borderId="58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177" fontId="13" fillId="0" borderId="43" xfId="1" applyNumberFormat="1" applyFont="1" applyFill="1" applyBorder="1" applyAlignment="1">
      <alignment horizontal="center" vertical="center"/>
    </xf>
    <xf numFmtId="177" fontId="13" fillId="0" borderId="51" xfId="1" applyNumberFormat="1" applyFont="1" applyFill="1" applyBorder="1" applyAlignment="1">
      <alignment horizontal="center" vertical="center"/>
    </xf>
    <xf numFmtId="177" fontId="13" fillId="0" borderId="39" xfId="1" applyNumberFormat="1" applyFont="1" applyFill="1" applyBorder="1" applyAlignment="1">
      <alignment horizontal="center" vertical="center"/>
    </xf>
    <xf numFmtId="177" fontId="13" fillId="0" borderId="40" xfId="1" applyNumberFormat="1" applyFont="1" applyFill="1" applyBorder="1" applyAlignment="1">
      <alignment horizontal="center" vertical="center"/>
    </xf>
    <xf numFmtId="177" fontId="13" fillId="0" borderId="41" xfId="1" applyNumberFormat="1" applyFont="1" applyFill="1" applyBorder="1" applyAlignment="1">
      <alignment horizontal="center" vertical="center"/>
    </xf>
    <xf numFmtId="186" fontId="13" fillId="0" borderId="37" xfId="0" applyNumberFormat="1" applyFont="1" applyBorder="1" applyAlignment="1">
      <alignment horizontal="center" vertical="center" shrinkToFit="1"/>
    </xf>
    <xf numFmtId="186" fontId="13" fillId="0" borderId="26" xfId="0" applyNumberFormat="1" applyFont="1" applyBorder="1" applyAlignment="1">
      <alignment horizontal="center" vertical="center" shrinkToFit="1"/>
    </xf>
    <xf numFmtId="191" fontId="13" fillId="0" borderId="37" xfId="0" applyNumberFormat="1" applyFont="1" applyBorder="1" applyAlignment="1">
      <alignment horizontal="center" vertical="center" shrinkToFit="1"/>
    </xf>
    <xf numFmtId="0" fontId="6" fillId="6" borderId="19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189" fontId="6" fillId="6" borderId="13" xfId="1" applyNumberFormat="1" applyFont="1" applyFill="1" applyBorder="1" applyAlignment="1">
      <alignment horizontal="center" vertical="center"/>
    </xf>
    <xf numFmtId="189" fontId="6" fillId="6" borderId="14" xfId="1" applyNumberFormat="1" applyFont="1" applyFill="1" applyBorder="1" applyAlignment="1">
      <alignment horizontal="center" vertical="center"/>
    </xf>
    <xf numFmtId="0" fontId="6" fillId="6" borderId="21" xfId="1" applyFont="1" applyFill="1" applyBorder="1" applyAlignment="1">
      <alignment horizontal="center" vertical="center"/>
    </xf>
    <xf numFmtId="189" fontId="6" fillId="6" borderId="15" xfId="1" applyNumberFormat="1" applyFont="1" applyFill="1" applyBorder="1" applyAlignment="1">
      <alignment horizontal="center" vertical="center"/>
    </xf>
    <xf numFmtId="0" fontId="1" fillId="2" borderId="6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5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77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1" fillId="2" borderId="49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178" fontId="6" fillId="6" borderId="19" xfId="1" applyNumberFormat="1" applyFont="1" applyFill="1" applyBorder="1" applyAlignment="1">
      <alignment horizontal="right" vertical="center" indent="2"/>
    </xf>
    <xf numFmtId="178" fontId="6" fillId="6" borderId="20" xfId="1" applyNumberFormat="1" applyFont="1" applyFill="1" applyBorder="1" applyAlignment="1">
      <alignment horizontal="right" vertical="center" indent="2"/>
    </xf>
    <xf numFmtId="178" fontId="6" fillId="6" borderId="21" xfId="1" applyNumberFormat="1" applyFont="1" applyFill="1" applyBorder="1" applyAlignment="1">
      <alignment horizontal="right" vertical="center" indent="2"/>
    </xf>
    <xf numFmtId="178" fontId="6" fillId="6" borderId="40" xfId="1" applyNumberFormat="1" applyFont="1" applyFill="1" applyBorder="1" applyAlignment="1">
      <alignment horizontal="right" vertical="center" indent="2"/>
    </xf>
    <xf numFmtId="178" fontId="6" fillId="6" borderId="41" xfId="1" applyNumberFormat="1" applyFont="1" applyFill="1" applyBorder="1" applyAlignment="1">
      <alignment horizontal="right" vertical="center" indent="2"/>
    </xf>
    <xf numFmtId="178" fontId="6" fillId="6" borderId="25" xfId="1" applyNumberFormat="1" applyFont="1" applyFill="1" applyBorder="1" applyAlignment="1">
      <alignment horizontal="right" vertical="center" indent="2"/>
    </xf>
    <xf numFmtId="178" fontId="6" fillId="6" borderId="37" xfId="1" applyNumberFormat="1" applyFont="1" applyFill="1" applyBorder="1" applyAlignment="1">
      <alignment horizontal="right" vertical="center" indent="2"/>
    </xf>
    <xf numFmtId="178" fontId="6" fillId="6" borderId="26" xfId="1" applyNumberFormat="1" applyFont="1" applyFill="1" applyBorder="1" applyAlignment="1">
      <alignment horizontal="right" vertical="center" indent="2"/>
    </xf>
    <xf numFmtId="178" fontId="6" fillId="6" borderId="65" xfId="1" applyNumberFormat="1" applyFont="1" applyFill="1" applyBorder="1" applyAlignment="1">
      <alignment horizontal="right" vertical="center" indent="2"/>
    </xf>
    <xf numFmtId="0" fontId="6" fillId="6" borderId="75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vertical="center" wrapText="1"/>
    </xf>
    <xf numFmtId="0" fontId="16" fillId="0" borderId="43" xfId="1" applyFont="1" applyFill="1" applyBorder="1" applyAlignment="1">
      <alignment vertical="center"/>
    </xf>
    <xf numFmtId="0" fontId="16" fillId="0" borderId="51" xfId="1" applyFont="1" applyFill="1" applyBorder="1" applyAlignment="1">
      <alignment vertical="center"/>
    </xf>
    <xf numFmtId="0" fontId="16" fillId="0" borderId="22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13" fillId="0" borderId="44" xfId="1" applyNumberFormat="1" applyFont="1" applyFill="1" applyBorder="1" applyAlignment="1">
      <alignment horizontal="center" vertical="center"/>
    </xf>
    <xf numFmtId="0" fontId="13" fillId="0" borderId="7" xfId="1" applyNumberFormat="1" applyFont="1" applyFill="1" applyBorder="1" applyAlignment="1">
      <alignment horizontal="center" vertical="center"/>
    </xf>
    <xf numFmtId="178" fontId="6" fillId="6" borderId="24" xfId="1" applyNumberFormat="1" applyFont="1" applyFill="1" applyBorder="1" applyAlignment="1">
      <alignment horizontal="center" vertical="center"/>
    </xf>
    <xf numFmtId="178" fontId="6" fillId="6" borderId="35" xfId="1" applyNumberFormat="1" applyFont="1" applyFill="1" applyBorder="1" applyAlignment="1">
      <alignment horizontal="center" vertical="center"/>
    </xf>
    <xf numFmtId="178" fontId="6" fillId="6" borderId="86" xfId="1" applyNumberFormat="1" applyFont="1" applyFill="1" applyBorder="1" applyAlignment="1">
      <alignment horizontal="center" vertical="center"/>
    </xf>
    <xf numFmtId="178" fontId="6" fillId="6" borderId="33" xfId="1" applyNumberFormat="1" applyFont="1" applyFill="1" applyBorder="1" applyAlignment="1">
      <alignment horizontal="center" vertical="center"/>
    </xf>
    <xf numFmtId="178" fontId="6" fillId="6" borderId="34" xfId="1" applyNumberFormat="1" applyFont="1" applyFill="1" applyBorder="1" applyAlignment="1">
      <alignment horizontal="center" vertical="center"/>
    </xf>
    <xf numFmtId="176" fontId="4" fillId="8" borderId="0" xfId="1" applyNumberFormat="1" applyFont="1" applyFill="1" applyBorder="1" applyAlignment="1">
      <alignment horizontal="left" vertical="center" shrinkToFit="1"/>
    </xf>
    <xf numFmtId="178" fontId="6" fillId="6" borderId="53" xfId="1" applyNumberFormat="1" applyFont="1" applyFill="1" applyBorder="1" applyAlignment="1">
      <alignment horizontal="right" vertical="center" indent="2"/>
    </xf>
    <xf numFmtId="178" fontId="6" fillId="6" borderId="22" xfId="1" applyNumberFormat="1" applyFont="1" applyFill="1" applyBorder="1" applyAlignment="1">
      <alignment horizontal="right" vertical="center" indent="2"/>
    </xf>
    <xf numFmtId="178" fontId="6" fillId="6" borderId="32" xfId="1" applyNumberFormat="1" applyFont="1" applyFill="1" applyBorder="1" applyAlignment="1">
      <alignment horizontal="right" vertical="center" indent="2"/>
    </xf>
    <xf numFmtId="0" fontId="4" fillId="2" borderId="20" xfId="1" applyFont="1" applyFill="1" applyBorder="1" applyAlignment="1">
      <alignment horizontal="center" vertical="center" wrapText="1" shrinkToFit="1"/>
    </xf>
    <xf numFmtId="0" fontId="4" fillId="2" borderId="21" xfId="1" applyFont="1" applyFill="1" applyBorder="1" applyAlignment="1">
      <alignment horizontal="center" vertical="center" wrapText="1" shrinkToFi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6" fillId="6" borderId="60" xfId="1" applyFont="1" applyFill="1" applyBorder="1" applyAlignment="1">
      <alignment horizontal="center" vertical="center"/>
    </xf>
    <xf numFmtId="0" fontId="6" fillId="6" borderId="48" xfId="1" applyFont="1" applyFill="1" applyBorder="1" applyAlignment="1">
      <alignment horizontal="center" vertical="center"/>
    </xf>
    <xf numFmtId="0" fontId="6" fillId="6" borderId="64" xfId="1" applyFont="1" applyFill="1" applyBorder="1" applyAlignment="1">
      <alignment horizontal="center" vertical="center"/>
    </xf>
    <xf numFmtId="180" fontId="6" fillId="6" borderId="13" xfId="1" applyNumberFormat="1" applyFont="1" applyFill="1" applyBorder="1" applyAlignment="1">
      <alignment horizontal="center" vertical="center"/>
    </xf>
    <xf numFmtId="180" fontId="6" fillId="6" borderId="14" xfId="1" applyNumberFormat="1" applyFont="1" applyFill="1" applyBorder="1" applyAlignment="1">
      <alignment horizontal="center" vertical="center"/>
    </xf>
    <xf numFmtId="180" fontId="6" fillId="6" borderId="47" xfId="1" applyNumberFormat="1" applyFont="1" applyFill="1" applyBorder="1" applyAlignment="1">
      <alignment horizontal="center" vertical="center"/>
    </xf>
    <xf numFmtId="182" fontId="20" fillId="0" borderId="30" xfId="1" applyNumberFormat="1" applyFont="1" applyFill="1" applyBorder="1" applyAlignment="1">
      <alignment horizontal="right" vertical="center" wrapText="1"/>
    </xf>
    <xf numFmtId="182" fontId="20" fillId="0" borderId="62" xfId="1" applyNumberFormat="1" applyFont="1" applyFill="1" applyBorder="1" applyAlignment="1">
      <alignment horizontal="right" vertical="center" wrapText="1"/>
    </xf>
    <xf numFmtId="182" fontId="20" fillId="0" borderId="23" xfId="1" applyNumberFormat="1" applyFont="1" applyFill="1" applyBorder="1" applyAlignment="1">
      <alignment horizontal="right" vertical="center" wrapText="1"/>
    </xf>
    <xf numFmtId="0" fontId="26" fillId="0" borderId="0" xfId="1" applyFont="1" applyBorder="1" applyAlignment="1">
      <alignment horizontal="left" vertical="center" wrapText="1"/>
    </xf>
    <xf numFmtId="178" fontId="18" fillId="3" borderId="45" xfId="1" applyNumberFormat="1" applyFont="1" applyFill="1" applyBorder="1" applyAlignment="1">
      <alignment horizontal="center" vertical="center"/>
    </xf>
    <xf numFmtId="178" fontId="18" fillId="3" borderId="43" xfId="1" applyNumberFormat="1" applyFont="1" applyFill="1" applyBorder="1" applyAlignment="1">
      <alignment horizontal="center" vertical="center"/>
    </xf>
    <xf numFmtId="178" fontId="18" fillId="3" borderId="44" xfId="1" applyNumberFormat="1" applyFont="1" applyFill="1" applyBorder="1" applyAlignment="1">
      <alignment horizontal="center" vertical="center"/>
    </xf>
    <xf numFmtId="178" fontId="18" fillId="3" borderId="8" xfId="1" applyNumberFormat="1" applyFont="1" applyFill="1" applyBorder="1" applyAlignment="1">
      <alignment horizontal="center" vertical="center"/>
    </xf>
    <xf numFmtId="178" fontId="18" fillId="3" borderId="0" xfId="1" applyNumberFormat="1" applyFont="1" applyFill="1" applyBorder="1" applyAlignment="1">
      <alignment horizontal="center" vertical="center"/>
    </xf>
    <xf numFmtId="178" fontId="18" fillId="3" borderId="1" xfId="1" applyNumberFormat="1" applyFont="1" applyFill="1" applyBorder="1" applyAlignment="1">
      <alignment horizontal="center" vertical="center"/>
    </xf>
    <xf numFmtId="187" fontId="4" fillId="0" borderId="37" xfId="1" applyNumberFormat="1" applyFont="1" applyFill="1" applyBorder="1" applyAlignment="1">
      <alignment horizontal="center" vertical="center" shrinkToFit="1"/>
    </xf>
    <xf numFmtId="0" fontId="30" fillId="4" borderId="2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/>
    </xf>
    <xf numFmtId="0" fontId="30" fillId="4" borderId="6" xfId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 vertical="center"/>
    </xf>
    <xf numFmtId="0" fontId="30" fillId="4" borderId="4" xfId="1" applyFont="1" applyFill="1" applyBorder="1" applyAlignment="1">
      <alignment horizontal="center" vertical="center"/>
    </xf>
    <xf numFmtId="0" fontId="30" fillId="4" borderId="5" xfId="1" applyFont="1" applyFill="1" applyBorder="1" applyAlignment="1">
      <alignment horizontal="center" vertical="center"/>
    </xf>
    <xf numFmtId="0" fontId="30" fillId="4" borderId="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52" xfId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177" fontId="13" fillId="0" borderId="30" xfId="1" applyNumberFormat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/>
    </xf>
    <xf numFmtId="177" fontId="13" fillId="0" borderId="57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30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0" fontId="1" fillId="2" borderId="56" xfId="1" applyFont="1" applyFill="1" applyBorder="1" applyAlignment="1">
      <alignment horizontal="left" vertical="center"/>
    </xf>
    <xf numFmtId="0" fontId="1" fillId="2" borderId="48" xfId="1" applyFont="1" applyFill="1" applyBorder="1" applyAlignment="1">
      <alignment horizontal="left" vertical="center"/>
    </xf>
    <xf numFmtId="0" fontId="1" fillId="2" borderId="49" xfId="1" applyFont="1" applyFill="1" applyBorder="1" applyAlignment="1">
      <alignment horizontal="left" vertical="center"/>
    </xf>
    <xf numFmtId="0" fontId="1" fillId="2" borderId="55" xfId="1" applyFont="1" applyFill="1" applyBorder="1" applyAlignment="1">
      <alignment horizontal="left" vertical="center"/>
    </xf>
    <xf numFmtId="0" fontId="1" fillId="2" borderId="40" xfId="1" applyFont="1" applyFill="1" applyBorder="1" applyAlignment="1">
      <alignment horizontal="left" vertical="center"/>
    </xf>
    <xf numFmtId="0" fontId="1" fillId="2" borderId="41" xfId="1" applyFont="1" applyFill="1" applyBorder="1" applyAlignment="1">
      <alignment horizontal="left" vertical="center"/>
    </xf>
    <xf numFmtId="177" fontId="13" fillId="0" borderId="60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177" fontId="13" fillId="0" borderId="76" xfId="1" applyNumberFormat="1" applyFont="1" applyFill="1" applyBorder="1" applyAlignment="1">
      <alignment horizontal="center" vertical="center"/>
    </xf>
    <xf numFmtId="0" fontId="18" fillId="2" borderId="68" xfId="1" applyFont="1" applyFill="1" applyBorder="1" applyAlignment="1">
      <alignment horizontal="center" vertical="center"/>
    </xf>
    <xf numFmtId="0" fontId="18" fillId="2" borderId="69" xfId="1" applyFont="1" applyFill="1" applyBorder="1" applyAlignment="1">
      <alignment horizontal="center" vertical="center"/>
    </xf>
    <xf numFmtId="180" fontId="32" fillId="5" borderId="2" xfId="1" applyNumberFormat="1" applyFont="1" applyFill="1" applyBorder="1" applyAlignment="1" applyProtection="1">
      <alignment horizontal="center" vertical="center"/>
      <protection locked="0"/>
    </xf>
    <xf numFmtId="180" fontId="32" fillId="5" borderId="6" xfId="1" applyNumberFormat="1" applyFont="1" applyFill="1" applyBorder="1" applyAlignment="1" applyProtection="1">
      <alignment horizontal="center" vertical="center"/>
      <protection locked="0"/>
    </xf>
    <xf numFmtId="180" fontId="32" fillId="5" borderId="4" xfId="1" applyNumberFormat="1" applyFont="1" applyFill="1" applyBorder="1" applyAlignment="1" applyProtection="1">
      <alignment horizontal="center" vertical="center"/>
      <protection locked="0"/>
    </xf>
    <xf numFmtId="180" fontId="32" fillId="5" borderId="7" xfId="1" applyNumberFormat="1" applyFont="1" applyFill="1" applyBorder="1" applyAlignment="1" applyProtection="1">
      <alignment horizontal="center" vertical="center"/>
      <protection locked="0"/>
    </xf>
    <xf numFmtId="182" fontId="18" fillId="3" borderId="70" xfId="1" applyNumberFormat="1" applyFont="1" applyFill="1" applyBorder="1" applyAlignment="1" applyProtection="1">
      <alignment horizontal="right" vertical="center"/>
    </xf>
    <xf numFmtId="182" fontId="18" fillId="3" borderId="12" xfId="1" applyNumberFormat="1" applyFont="1" applyFill="1" applyBorder="1" applyAlignment="1" applyProtection="1">
      <alignment horizontal="right" vertical="center"/>
    </xf>
    <xf numFmtId="182" fontId="18" fillId="3" borderId="13" xfId="1" applyNumberFormat="1" applyFont="1" applyFill="1" applyBorder="1" applyAlignment="1" applyProtection="1">
      <alignment horizontal="right" vertical="center"/>
    </xf>
    <xf numFmtId="178" fontId="6" fillId="6" borderId="27" xfId="1" applyNumberFormat="1" applyFont="1" applyFill="1" applyBorder="1" applyAlignment="1">
      <alignment horizontal="center" vertical="center"/>
    </xf>
    <xf numFmtId="178" fontId="6" fillId="6" borderId="28" xfId="1" applyNumberFormat="1" applyFont="1" applyFill="1" applyBorder="1" applyAlignment="1">
      <alignment horizontal="center" vertical="center"/>
    </xf>
    <xf numFmtId="0" fontId="1" fillId="6" borderId="42" xfId="1" applyFont="1" applyFill="1" applyBorder="1" applyAlignment="1">
      <alignment horizontal="right" vertical="center"/>
    </xf>
    <xf numFmtId="0" fontId="23" fillId="6" borderId="3" xfId="1" applyFont="1" applyFill="1" applyBorder="1" applyAlignment="1">
      <alignment horizontal="left" vertical="center"/>
    </xf>
    <xf numFmtId="0" fontId="23" fillId="6" borderId="0" xfId="1" applyFont="1" applyFill="1" applyBorder="1" applyAlignment="1">
      <alignment horizontal="left" vertical="center"/>
    </xf>
    <xf numFmtId="0" fontId="4" fillId="2" borderId="60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  <xf numFmtId="0" fontId="4" fillId="2" borderId="5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1" fillId="2" borderId="63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54" xfId="1" applyFont="1" applyFill="1" applyBorder="1" applyAlignment="1">
      <alignment horizontal="center" vertical="center" wrapText="1" shrinkToFit="1"/>
    </xf>
    <xf numFmtId="0" fontId="1" fillId="2" borderId="23" xfId="1" applyFont="1" applyFill="1" applyBorder="1" applyAlignment="1">
      <alignment horizontal="center" vertical="center" wrapText="1" shrinkToFit="1"/>
    </xf>
    <xf numFmtId="0" fontId="1" fillId="2" borderId="0" xfId="1" applyFont="1" applyFill="1" applyBorder="1" applyAlignment="1">
      <alignment horizontal="center" vertical="center" wrapText="1" shrinkToFit="1"/>
    </xf>
    <xf numFmtId="0" fontId="1" fillId="2" borderId="30" xfId="1" applyFont="1" applyFill="1" applyBorder="1" applyAlignment="1">
      <alignment horizontal="center" vertical="center" wrapText="1" shrinkToFit="1"/>
    </xf>
    <xf numFmtId="0" fontId="1" fillId="2" borderId="53" xfId="1" applyFont="1" applyFill="1" applyBorder="1" applyAlignment="1">
      <alignment horizontal="center" vertical="center" wrapText="1" shrinkToFit="1"/>
    </xf>
    <xf numFmtId="0" fontId="1" fillId="2" borderId="22" xfId="1" applyFont="1" applyFill="1" applyBorder="1" applyAlignment="1">
      <alignment horizontal="center" vertical="center" wrapText="1" shrinkToFit="1"/>
    </xf>
    <xf numFmtId="0" fontId="1" fillId="2" borderId="32" xfId="1" applyFont="1" applyFill="1" applyBorder="1" applyAlignment="1">
      <alignment horizontal="center" vertical="center" wrapText="1" shrinkToFit="1"/>
    </xf>
    <xf numFmtId="0" fontId="21" fillId="4" borderId="13" xfId="1" applyFont="1" applyFill="1" applyBorder="1" applyAlignment="1">
      <alignment horizontal="center" vertical="center"/>
    </xf>
    <xf numFmtId="0" fontId="21" fillId="4" borderId="14" xfId="1" applyFont="1" applyFill="1" applyBorder="1" applyAlignment="1">
      <alignment horizontal="center" vertical="center"/>
    </xf>
    <xf numFmtId="0" fontId="21" fillId="4" borderId="15" xfId="1" applyFont="1" applyFill="1" applyBorder="1" applyAlignment="1">
      <alignment horizontal="center" vertical="center"/>
    </xf>
    <xf numFmtId="0" fontId="31" fillId="4" borderId="13" xfId="1" applyFont="1" applyFill="1" applyBorder="1" applyAlignment="1">
      <alignment horizontal="center" vertical="center"/>
    </xf>
    <xf numFmtId="0" fontId="31" fillId="4" borderId="14" xfId="1" applyFont="1" applyFill="1" applyBorder="1" applyAlignment="1">
      <alignment horizontal="center" vertical="center"/>
    </xf>
    <xf numFmtId="0" fontId="31" fillId="4" borderId="15" xfId="1" applyFont="1" applyFill="1" applyBorder="1" applyAlignment="1">
      <alignment horizontal="center" vertical="center"/>
    </xf>
    <xf numFmtId="0" fontId="18" fillId="2" borderId="72" xfId="1" applyFont="1" applyFill="1" applyBorder="1" applyAlignment="1">
      <alignment horizontal="center" vertical="center" wrapText="1"/>
    </xf>
    <xf numFmtId="0" fontId="18" fillId="2" borderId="74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4" fillId="2" borderId="72" xfId="1" applyFont="1" applyFill="1" applyBorder="1" applyAlignment="1">
      <alignment horizontal="center" vertical="center" wrapText="1"/>
    </xf>
    <xf numFmtId="0" fontId="4" fillId="2" borderId="74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16" fillId="2" borderId="78" xfId="1" applyFont="1" applyFill="1" applyBorder="1" applyAlignment="1">
      <alignment horizontal="center" vertical="center" wrapText="1"/>
    </xf>
    <xf numFmtId="0" fontId="16" fillId="2" borderId="79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0" fontId="18" fillId="2" borderId="54" xfId="1" applyFont="1" applyFill="1" applyBorder="1" applyAlignment="1">
      <alignment horizontal="center" vertical="center"/>
    </xf>
    <xf numFmtId="0" fontId="18" fillId="2" borderId="80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18" fillId="2" borderId="32" xfId="1" applyFont="1" applyFill="1" applyBorder="1" applyAlignment="1">
      <alignment horizontal="center" vertical="center"/>
    </xf>
    <xf numFmtId="0" fontId="1" fillId="2" borderId="54" xfId="1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70" fillId="0" borderId="0" xfId="1" applyFont="1" applyBorder="1" applyAlignment="1">
      <alignment horizontal="left" indent="2"/>
    </xf>
    <xf numFmtId="0" fontId="4" fillId="0" borderId="5" xfId="1" applyFont="1" applyBorder="1" applyAlignment="1">
      <alignment horizontal="left" indent="2"/>
    </xf>
    <xf numFmtId="0" fontId="1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2" borderId="54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 vertical="center"/>
    </xf>
    <xf numFmtId="0" fontId="1" fillId="2" borderId="30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1" fillId="2" borderId="58" xfId="1" applyFont="1" applyFill="1" applyBorder="1" applyAlignment="1">
      <alignment horizontal="left" vertical="center"/>
    </xf>
    <xf numFmtId="0" fontId="26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indent="2"/>
    </xf>
    <xf numFmtId="0" fontId="4" fillId="2" borderId="12" xfId="1" applyFont="1" applyFill="1" applyBorder="1" applyAlignment="1">
      <alignment horizontal="center" vertical="center" wrapText="1"/>
    </xf>
    <xf numFmtId="0" fontId="18" fillId="2" borderId="74" xfId="1" applyFont="1" applyFill="1" applyBorder="1" applyAlignment="1">
      <alignment horizontal="center" vertical="center"/>
    </xf>
    <xf numFmtId="188" fontId="4" fillId="2" borderId="17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top" wrapText="1"/>
    </xf>
    <xf numFmtId="188" fontId="4" fillId="2" borderId="16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 wrapText="1" shrinkToFit="1"/>
    </xf>
    <xf numFmtId="0" fontId="16" fillId="2" borderId="35" xfId="1" applyFont="1" applyFill="1" applyBorder="1" applyAlignment="1">
      <alignment horizontal="center" vertical="center" wrapText="1" shrinkToFit="1"/>
    </xf>
    <xf numFmtId="0" fontId="4" fillId="0" borderId="53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32" xfId="1" applyFont="1" applyFill="1" applyBorder="1" applyAlignment="1">
      <alignment horizontal="left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88" fontId="4" fillId="2" borderId="18" xfId="1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2" xfId="0" applyFont="1" applyFill="1" applyBorder="1" applyAlignment="1">
      <alignment horizontal="left" vertical="center" wrapText="1"/>
    </xf>
    <xf numFmtId="0" fontId="9" fillId="6" borderId="32" xfId="0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182" fontId="18" fillId="3" borderId="66" xfId="1" applyNumberFormat="1" applyFont="1" applyFill="1" applyBorder="1" applyAlignment="1" applyProtection="1">
      <alignment horizontal="right" vertical="center"/>
    </xf>
    <xf numFmtId="182" fontId="18" fillId="3" borderId="81" xfId="1" applyNumberFormat="1" applyFont="1" applyFill="1" applyBorder="1" applyAlignment="1" applyProtection="1">
      <alignment horizontal="right" vertical="center"/>
    </xf>
    <xf numFmtId="182" fontId="18" fillId="3" borderId="82" xfId="1" applyNumberFormat="1" applyFont="1" applyFill="1" applyBorder="1" applyAlignment="1" applyProtection="1">
      <alignment horizontal="right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178" fontId="17" fillId="3" borderId="2" xfId="1" applyNumberFormat="1" applyFont="1" applyFill="1" applyBorder="1" applyAlignment="1">
      <alignment horizontal="center" vertical="center"/>
    </xf>
    <xf numFmtId="178" fontId="17" fillId="3" borderId="3" xfId="1" applyNumberFormat="1" applyFont="1" applyFill="1" applyBorder="1" applyAlignment="1">
      <alignment horizontal="center" vertical="center"/>
    </xf>
    <xf numFmtId="178" fontId="17" fillId="3" borderId="6" xfId="1" applyNumberFormat="1" applyFont="1" applyFill="1" applyBorder="1" applyAlignment="1">
      <alignment horizontal="center" vertical="center"/>
    </xf>
    <xf numFmtId="178" fontId="17" fillId="3" borderId="4" xfId="1" applyNumberFormat="1" applyFont="1" applyFill="1" applyBorder="1" applyAlignment="1">
      <alignment horizontal="center" vertical="center"/>
    </xf>
    <xf numFmtId="178" fontId="17" fillId="3" borderId="5" xfId="1" applyNumberFormat="1" applyFont="1" applyFill="1" applyBorder="1" applyAlignment="1">
      <alignment horizontal="center" vertical="center"/>
    </xf>
    <xf numFmtId="178" fontId="17" fillId="3" borderId="7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178" fontId="6" fillId="6" borderId="12" xfId="1" applyNumberFormat="1" applyFont="1" applyFill="1" applyBorder="1" applyAlignment="1">
      <alignment horizontal="center" vertical="center"/>
    </xf>
    <xf numFmtId="178" fontId="6" fillId="6" borderId="13" xfId="1" applyNumberFormat="1" applyFont="1" applyFill="1" applyBorder="1" applyAlignment="1">
      <alignment horizontal="center" vertical="center"/>
    </xf>
    <xf numFmtId="178" fontId="6" fillId="6" borderId="14" xfId="1" applyNumberFormat="1" applyFont="1" applyFill="1" applyBorder="1" applyAlignment="1">
      <alignment horizontal="center" vertical="center"/>
    </xf>
    <xf numFmtId="178" fontId="6" fillId="6" borderId="15" xfId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left" vertical="center"/>
    </xf>
    <xf numFmtId="0" fontId="4" fillId="2" borderId="43" xfId="1" applyFont="1" applyFill="1" applyBorder="1" applyAlignment="1">
      <alignment horizontal="left" vertical="center"/>
    </xf>
    <xf numFmtId="0" fontId="4" fillId="2" borderId="44" xfId="1" applyFont="1" applyFill="1" applyBorder="1" applyAlignment="1">
      <alignment horizontal="left" vertical="center"/>
    </xf>
    <xf numFmtId="0" fontId="4" fillId="2" borderId="55" xfId="1" applyFont="1" applyFill="1" applyBorder="1" applyAlignment="1">
      <alignment horizontal="left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57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178" fontId="18" fillId="3" borderId="2" xfId="1" applyNumberFormat="1" applyFont="1" applyFill="1" applyBorder="1" applyAlignment="1">
      <alignment horizontal="center" vertical="center"/>
    </xf>
    <xf numFmtId="178" fontId="18" fillId="3" borderId="3" xfId="1" applyNumberFormat="1" applyFont="1" applyFill="1" applyBorder="1" applyAlignment="1">
      <alignment horizontal="center" vertical="center"/>
    </xf>
    <xf numFmtId="178" fontId="18" fillId="3" borderId="6" xfId="1" applyNumberFormat="1" applyFont="1" applyFill="1" applyBorder="1" applyAlignment="1">
      <alignment horizontal="center" vertical="center"/>
    </xf>
    <xf numFmtId="178" fontId="18" fillId="3" borderId="4" xfId="1" applyNumberFormat="1" applyFont="1" applyFill="1" applyBorder="1" applyAlignment="1">
      <alignment horizontal="center" vertical="center"/>
    </xf>
    <xf numFmtId="178" fontId="18" fillId="3" borderId="5" xfId="1" applyNumberFormat="1" applyFont="1" applyFill="1" applyBorder="1" applyAlignment="1">
      <alignment horizontal="center" vertical="center"/>
    </xf>
    <xf numFmtId="178" fontId="18" fillId="3" borderId="7" xfId="1" applyNumberFormat="1" applyFont="1" applyFill="1" applyBorder="1" applyAlignment="1">
      <alignment horizontal="center" vertical="center"/>
    </xf>
    <xf numFmtId="178" fontId="18" fillId="3" borderId="55" xfId="1" applyNumberFormat="1" applyFont="1" applyFill="1" applyBorder="1" applyAlignment="1">
      <alignment horizontal="center" vertical="center"/>
    </xf>
    <xf numFmtId="178" fontId="18" fillId="3" borderId="40" xfId="1" applyNumberFormat="1" applyFont="1" applyFill="1" applyBorder="1" applyAlignment="1">
      <alignment horizontal="center" vertical="center"/>
    </xf>
    <xf numFmtId="178" fontId="18" fillId="3" borderId="57" xfId="1" applyNumberFormat="1" applyFont="1" applyFill="1" applyBorder="1" applyAlignment="1">
      <alignment horizontal="center" vertical="center"/>
    </xf>
    <xf numFmtId="188" fontId="19" fillId="3" borderId="2" xfId="1" applyNumberFormat="1" applyFont="1" applyFill="1" applyBorder="1" applyAlignment="1" applyProtection="1">
      <alignment horizontal="center" vertical="center"/>
    </xf>
    <xf numFmtId="188" fontId="19" fillId="3" borderId="3" xfId="1" applyNumberFormat="1" applyFont="1" applyFill="1" applyBorder="1" applyAlignment="1" applyProtection="1">
      <alignment horizontal="center" vertical="center"/>
    </xf>
    <xf numFmtId="188" fontId="19" fillId="3" borderId="6" xfId="1" applyNumberFormat="1" applyFont="1" applyFill="1" applyBorder="1" applyAlignment="1" applyProtection="1">
      <alignment horizontal="center" vertical="center"/>
    </xf>
    <xf numFmtId="188" fontId="19" fillId="3" borderId="4" xfId="1" applyNumberFormat="1" applyFont="1" applyFill="1" applyBorder="1" applyAlignment="1" applyProtection="1">
      <alignment horizontal="center" vertical="center"/>
    </xf>
    <xf numFmtId="188" fontId="19" fillId="3" borderId="5" xfId="1" applyNumberFormat="1" applyFont="1" applyFill="1" applyBorder="1" applyAlignment="1" applyProtection="1">
      <alignment horizontal="center" vertical="center"/>
    </xf>
    <xf numFmtId="188" fontId="19" fillId="3" borderId="7" xfId="1" applyNumberFormat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176" fontId="4" fillId="8" borderId="48" xfId="1" applyNumberFormat="1" applyFont="1" applyFill="1" applyBorder="1" applyAlignment="1">
      <alignment horizontal="left" vertical="center" shrinkToFit="1"/>
    </xf>
    <xf numFmtId="0" fontId="34" fillId="0" borderId="12" xfId="3" applyBorder="1" applyAlignment="1" applyProtection="1">
      <alignment horizontal="center" vertical="center"/>
    </xf>
    <xf numFmtId="0" fontId="50" fillId="0" borderId="0" xfId="3" applyFont="1" applyFill="1" applyBorder="1" applyAlignment="1" applyProtection="1">
      <alignment horizontal="center" vertical="center"/>
    </xf>
    <xf numFmtId="0" fontId="41" fillId="0" borderId="12" xfId="3" applyFont="1" applyFill="1" applyBorder="1" applyAlignment="1" applyProtection="1">
      <alignment horizontal="center" vertical="center"/>
    </xf>
    <xf numFmtId="183" fontId="38" fillId="3" borderId="12" xfId="3" applyNumberFormat="1" applyFont="1" applyFill="1" applyBorder="1" applyAlignment="1" applyProtection="1">
      <alignment horizontal="center" vertical="center"/>
    </xf>
    <xf numFmtId="183" fontId="54" fillId="9" borderId="13" xfId="3" applyNumberFormat="1" applyFont="1" applyFill="1" applyBorder="1" applyAlignment="1" applyProtection="1">
      <alignment horizontal="center" vertical="center"/>
    </xf>
    <xf numFmtId="183" fontId="54" fillId="9" borderId="15" xfId="3" applyNumberFormat="1" applyFont="1" applyFill="1" applyBorder="1" applyAlignment="1" applyProtection="1">
      <alignment horizontal="center" vertical="center"/>
    </xf>
    <xf numFmtId="0" fontId="42" fillId="8" borderId="12" xfId="3" applyFont="1" applyFill="1" applyBorder="1" applyAlignment="1" applyProtection="1">
      <alignment horizontal="center" vertical="center" wrapText="1"/>
    </xf>
    <xf numFmtId="0" fontId="42" fillId="8" borderId="12" xfId="3" applyFont="1" applyFill="1" applyBorder="1" applyAlignment="1" applyProtection="1">
      <alignment horizontal="center" vertical="center"/>
    </xf>
    <xf numFmtId="183" fontId="56" fillId="3" borderId="61" xfId="3" applyNumberFormat="1" applyFont="1" applyFill="1" applyBorder="1" applyAlignment="1" applyProtection="1">
      <alignment horizontal="center" vertical="center"/>
    </xf>
    <xf numFmtId="183" fontId="56" fillId="3" borderId="62" xfId="3" applyNumberFormat="1" applyFont="1" applyFill="1" applyBorder="1" applyAlignment="1" applyProtection="1">
      <alignment horizontal="center" vertical="center"/>
    </xf>
    <xf numFmtId="183" fontId="56" fillId="3" borderId="52" xfId="3" applyNumberFormat="1" applyFont="1" applyFill="1" applyBorder="1" applyAlignment="1" applyProtection="1">
      <alignment horizontal="center" vertical="center"/>
    </xf>
    <xf numFmtId="183" fontId="56" fillId="3" borderId="60" xfId="3" applyNumberFormat="1" applyFont="1" applyFill="1" applyBorder="1" applyAlignment="1" applyProtection="1">
      <alignment horizontal="center" vertical="center"/>
    </xf>
    <xf numFmtId="183" fontId="56" fillId="3" borderId="48" xfId="3" applyNumberFormat="1" applyFont="1" applyFill="1" applyBorder="1" applyAlignment="1" applyProtection="1">
      <alignment horizontal="center" vertical="center"/>
    </xf>
    <xf numFmtId="183" fontId="56" fillId="3" borderId="49" xfId="3" applyNumberFormat="1" applyFont="1" applyFill="1" applyBorder="1" applyAlignment="1" applyProtection="1">
      <alignment horizontal="center" vertical="center"/>
    </xf>
    <xf numFmtId="183" fontId="56" fillId="3" borderId="23" xfId="3" applyNumberFormat="1" applyFont="1" applyFill="1" applyBorder="1" applyAlignment="1" applyProtection="1">
      <alignment horizontal="center" vertical="center"/>
    </xf>
    <xf numFmtId="183" fontId="56" fillId="3" borderId="0" xfId="3" applyNumberFormat="1" applyFont="1" applyFill="1" applyBorder="1" applyAlignment="1" applyProtection="1">
      <alignment horizontal="center" vertical="center"/>
    </xf>
    <xf numFmtId="183" fontId="56" fillId="3" borderId="30" xfId="3" applyNumberFormat="1" applyFont="1" applyFill="1" applyBorder="1" applyAlignment="1" applyProtection="1">
      <alignment horizontal="center" vertical="center"/>
    </xf>
    <xf numFmtId="183" fontId="56" fillId="3" borderId="53" xfId="3" applyNumberFormat="1" applyFont="1" applyFill="1" applyBorder="1" applyAlignment="1" applyProtection="1">
      <alignment horizontal="center" vertical="center"/>
    </xf>
    <xf numFmtId="183" fontId="56" fillId="3" borderId="22" xfId="3" applyNumberFormat="1" applyFont="1" applyFill="1" applyBorder="1" applyAlignment="1" applyProtection="1">
      <alignment horizontal="center" vertical="center"/>
    </xf>
    <xf numFmtId="183" fontId="56" fillId="3" borderId="32" xfId="3" applyNumberFormat="1" applyFont="1" applyFill="1" applyBorder="1" applyAlignment="1" applyProtection="1">
      <alignment horizontal="center" vertical="center"/>
    </xf>
    <xf numFmtId="38" fontId="60" fillId="0" borderId="0" xfId="2" applyFont="1" applyFill="1" applyBorder="1" applyAlignment="1" applyProtection="1">
      <alignment horizontal="center" vertical="center"/>
    </xf>
    <xf numFmtId="38" fontId="60" fillId="0" borderId="0" xfId="2" applyFont="1" applyFill="1" applyAlignment="1" applyProtection="1">
      <alignment horizontal="center" vertical="center"/>
    </xf>
    <xf numFmtId="0" fontId="50" fillId="0" borderId="0" xfId="3" applyFont="1" applyFill="1" applyBorder="1" applyAlignment="1" applyProtection="1">
      <alignment horizontal="center" vertical="center" shrinkToFit="1"/>
    </xf>
    <xf numFmtId="38" fontId="55" fillId="9" borderId="48" xfId="2" applyFont="1" applyFill="1" applyBorder="1" applyAlignment="1" applyProtection="1">
      <alignment horizontal="center" vertical="center"/>
    </xf>
    <xf numFmtId="38" fontId="55" fillId="9" borderId="0" xfId="2" applyFont="1" applyFill="1" applyBorder="1" applyAlignment="1" applyProtection="1">
      <alignment horizontal="center" vertical="center"/>
    </xf>
    <xf numFmtId="0" fontId="41" fillId="8" borderId="12" xfId="3" applyFont="1" applyFill="1" applyBorder="1" applyAlignment="1" applyProtection="1">
      <alignment horizontal="center" vertical="center" wrapText="1"/>
    </xf>
    <xf numFmtId="0" fontId="41" fillId="8" borderId="12" xfId="3" applyFont="1" applyFill="1" applyBorder="1" applyAlignment="1" applyProtection="1">
      <alignment horizontal="center" vertical="center"/>
    </xf>
    <xf numFmtId="183" fontId="56" fillId="3" borderId="12" xfId="3" applyNumberFormat="1" applyFont="1" applyFill="1" applyBorder="1" applyAlignment="1" applyProtection="1">
      <alignment horizontal="center" vertical="center"/>
    </xf>
    <xf numFmtId="182" fontId="39" fillId="9" borderId="13" xfId="3" applyNumberFormat="1" applyFont="1" applyFill="1" applyBorder="1" applyAlignment="1" applyProtection="1">
      <alignment horizontal="center" vertical="center"/>
    </xf>
    <xf numFmtId="182" fontId="39" fillId="9" borderId="14" xfId="3" applyNumberFormat="1" applyFont="1" applyFill="1" applyBorder="1" applyAlignment="1" applyProtection="1">
      <alignment horizontal="center" vertical="center"/>
    </xf>
    <xf numFmtId="182" fontId="39" fillId="9" borderId="15" xfId="3" applyNumberFormat="1" applyFont="1" applyFill="1" applyBorder="1" applyAlignment="1" applyProtection="1">
      <alignment horizontal="center" vertical="center"/>
    </xf>
    <xf numFmtId="0" fontId="45" fillId="9" borderId="13" xfId="3" applyFont="1" applyFill="1" applyBorder="1" applyAlignment="1" applyProtection="1">
      <alignment horizontal="center" vertical="center" wrapText="1"/>
    </xf>
    <xf numFmtId="0" fontId="45" fillId="9" borderId="14" xfId="3" applyFont="1" applyFill="1" applyBorder="1" applyAlignment="1" applyProtection="1">
      <alignment horizontal="center" vertical="center" wrapText="1"/>
    </xf>
    <xf numFmtId="0" fontId="45" fillId="9" borderId="15" xfId="3" applyFont="1" applyFill="1" applyBorder="1" applyAlignment="1" applyProtection="1">
      <alignment horizontal="center" vertical="center" wrapText="1"/>
    </xf>
    <xf numFmtId="0" fontId="41" fillId="9" borderId="60" xfId="3" applyFont="1" applyFill="1" applyBorder="1" applyAlignment="1" applyProtection="1">
      <alignment horizontal="center" vertical="center"/>
    </xf>
    <xf numFmtId="0" fontId="41" fillId="9" borderId="48" xfId="3" applyFont="1" applyFill="1" applyBorder="1" applyAlignment="1" applyProtection="1">
      <alignment horizontal="center" vertical="center"/>
    </xf>
    <xf numFmtId="0" fontId="41" fillId="9" borderId="49" xfId="3" applyFont="1" applyFill="1" applyBorder="1" applyAlignment="1" applyProtection="1">
      <alignment horizontal="center" vertical="center"/>
    </xf>
    <xf numFmtId="0" fontId="41" fillId="9" borderId="53" xfId="3" applyFont="1" applyFill="1" applyBorder="1" applyAlignment="1" applyProtection="1">
      <alignment horizontal="center" vertical="center"/>
    </xf>
    <xf numFmtId="0" fontId="41" fillId="9" borderId="22" xfId="3" applyFont="1" applyFill="1" applyBorder="1" applyAlignment="1" applyProtection="1">
      <alignment horizontal="center" vertical="center"/>
    </xf>
    <xf numFmtId="0" fontId="41" fillId="9" borderId="32" xfId="3" applyFont="1" applyFill="1" applyBorder="1" applyAlignment="1" applyProtection="1">
      <alignment horizontal="center" vertical="center"/>
    </xf>
    <xf numFmtId="0" fontId="13" fillId="9" borderId="12" xfId="3" applyFont="1" applyFill="1" applyBorder="1" applyAlignment="1" applyProtection="1">
      <alignment horizontal="center" vertical="center" wrapText="1"/>
    </xf>
    <xf numFmtId="0" fontId="35" fillId="0" borderId="12" xfId="3" applyFont="1" applyFill="1" applyBorder="1" applyAlignment="1" applyProtection="1">
      <alignment horizontal="center" vertical="center"/>
    </xf>
    <xf numFmtId="0" fontId="13" fillId="8" borderId="12" xfId="3" applyFont="1" applyFill="1" applyBorder="1" applyAlignment="1" applyProtection="1">
      <alignment horizontal="left"/>
    </xf>
    <xf numFmtId="183" fontId="40" fillId="9" borderId="60" xfId="3" applyNumberFormat="1" applyFont="1" applyFill="1" applyBorder="1" applyAlignment="1" applyProtection="1">
      <alignment horizontal="center" vertical="center"/>
      <protection locked="0"/>
    </xf>
    <xf numFmtId="183" fontId="40" fillId="9" borderId="48" xfId="3" applyNumberFormat="1" applyFont="1" applyFill="1" applyBorder="1" applyAlignment="1" applyProtection="1">
      <alignment horizontal="center" vertical="center"/>
      <protection locked="0"/>
    </xf>
    <xf numFmtId="183" fontId="40" fillId="9" borderId="49" xfId="3" applyNumberFormat="1" applyFont="1" applyFill="1" applyBorder="1" applyAlignment="1" applyProtection="1">
      <alignment horizontal="center" vertical="center"/>
      <protection locked="0"/>
    </xf>
    <xf numFmtId="183" fontId="40" fillId="9" borderId="23" xfId="3" applyNumberFormat="1" applyFont="1" applyFill="1" applyBorder="1" applyAlignment="1" applyProtection="1">
      <alignment horizontal="center" vertical="center"/>
      <protection locked="0"/>
    </xf>
    <xf numFmtId="183" fontId="40" fillId="9" borderId="0" xfId="3" applyNumberFormat="1" applyFont="1" applyFill="1" applyBorder="1" applyAlignment="1" applyProtection="1">
      <alignment horizontal="center" vertical="center"/>
      <protection locked="0"/>
    </xf>
    <xf numFmtId="183" fontId="40" fillId="9" borderId="30" xfId="3" applyNumberFormat="1" applyFont="1" applyFill="1" applyBorder="1" applyAlignment="1" applyProtection="1">
      <alignment horizontal="center" vertical="center"/>
      <protection locked="0"/>
    </xf>
    <xf numFmtId="183" fontId="40" fillId="9" borderId="53" xfId="3" applyNumberFormat="1" applyFont="1" applyFill="1" applyBorder="1" applyAlignment="1" applyProtection="1">
      <alignment horizontal="center" vertical="center"/>
      <protection locked="0"/>
    </xf>
    <xf numFmtId="183" fontId="40" fillId="9" borderId="22" xfId="3" applyNumberFormat="1" applyFont="1" applyFill="1" applyBorder="1" applyAlignment="1" applyProtection="1">
      <alignment horizontal="center" vertical="center"/>
      <protection locked="0"/>
    </xf>
    <xf numFmtId="183" fontId="40" fillId="9" borderId="32" xfId="3" applyNumberFormat="1" applyFont="1" applyFill="1" applyBorder="1" applyAlignment="1" applyProtection="1">
      <alignment horizontal="center" vertical="center"/>
      <protection locked="0"/>
    </xf>
    <xf numFmtId="0" fontId="36" fillId="9" borderId="61" xfId="3" applyFont="1" applyFill="1" applyBorder="1" applyAlignment="1" applyProtection="1">
      <alignment horizontal="center" vertical="center"/>
    </xf>
    <xf numFmtId="0" fontId="36" fillId="9" borderId="62" xfId="3" applyFont="1" applyFill="1" applyBorder="1" applyAlignment="1" applyProtection="1">
      <alignment horizontal="center" vertical="center"/>
    </xf>
    <xf numFmtId="0" fontId="36" fillId="9" borderId="52" xfId="3" applyFont="1" applyFill="1" applyBorder="1" applyAlignment="1" applyProtection="1">
      <alignment horizontal="center" vertical="center"/>
    </xf>
    <xf numFmtId="0" fontId="41" fillId="9" borderId="12" xfId="3" applyFont="1" applyFill="1" applyBorder="1" applyAlignment="1" applyProtection="1">
      <alignment horizontal="center" vertical="center"/>
    </xf>
    <xf numFmtId="183" fontId="40" fillId="9" borderId="12" xfId="3" applyNumberFormat="1" applyFont="1" applyFill="1" applyBorder="1" applyAlignment="1" applyProtection="1">
      <alignment horizontal="center" vertical="center"/>
      <protection locked="0"/>
    </xf>
    <xf numFmtId="0" fontId="36" fillId="9" borderId="12" xfId="3" applyFont="1" applyFill="1" applyBorder="1" applyAlignment="1" applyProtection="1">
      <alignment horizontal="center" vertical="center"/>
    </xf>
    <xf numFmtId="183" fontId="36" fillId="12" borderId="12" xfId="3" applyNumberFormat="1" applyFont="1" applyFill="1" applyBorder="1" applyAlignment="1" applyProtection="1">
      <alignment horizontal="center" vertical="center"/>
    </xf>
    <xf numFmtId="0" fontId="39" fillId="12" borderId="13" xfId="3" applyFont="1" applyFill="1" applyBorder="1" applyAlignment="1" applyProtection="1">
      <alignment horizontal="center" vertical="center"/>
    </xf>
    <xf numFmtId="0" fontId="39" fillId="12" borderId="14" xfId="3" applyFont="1" applyFill="1" applyBorder="1" applyAlignment="1" applyProtection="1">
      <alignment horizontal="center" vertical="center"/>
    </xf>
    <xf numFmtId="0" fontId="39" fillId="12" borderId="15" xfId="3" applyFont="1" applyFill="1" applyBorder="1" applyAlignment="1" applyProtection="1">
      <alignment horizontal="center" vertical="center"/>
    </xf>
    <xf numFmtId="0" fontId="39" fillId="9" borderId="13" xfId="3" applyFont="1" applyFill="1" applyBorder="1" applyAlignment="1" applyProtection="1">
      <alignment horizontal="center" vertical="center"/>
    </xf>
    <xf numFmtId="0" fontId="39" fillId="9" borderId="14" xfId="3" applyFont="1" applyFill="1" applyBorder="1" applyAlignment="1" applyProtection="1">
      <alignment horizontal="center" vertical="center"/>
    </xf>
    <xf numFmtId="0" fontId="39" fillId="9" borderId="15" xfId="3" applyFont="1" applyFill="1" applyBorder="1" applyAlignment="1" applyProtection="1">
      <alignment horizontal="center" vertical="center"/>
    </xf>
    <xf numFmtId="0" fontId="45" fillId="9" borderId="12" xfId="3" applyFont="1" applyFill="1" applyBorder="1" applyAlignment="1" applyProtection="1">
      <alignment horizontal="center" vertical="center" wrapText="1"/>
    </xf>
    <xf numFmtId="0" fontId="41" fillId="12" borderId="60" xfId="3" applyFont="1" applyFill="1" applyBorder="1" applyAlignment="1" applyProtection="1">
      <alignment horizontal="center" vertical="center"/>
    </xf>
    <xf numFmtId="0" fontId="41" fillId="12" borderId="48" xfId="3" applyFont="1" applyFill="1" applyBorder="1" applyAlignment="1" applyProtection="1">
      <alignment horizontal="center" vertical="center"/>
    </xf>
    <xf numFmtId="0" fontId="41" fillId="12" borderId="49" xfId="3" applyFont="1" applyFill="1" applyBorder="1" applyAlignment="1" applyProtection="1">
      <alignment horizontal="center" vertical="center"/>
    </xf>
    <xf numFmtId="0" fontId="41" fillId="12" borderId="53" xfId="3" applyFont="1" applyFill="1" applyBorder="1" applyAlignment="1" applyProtection="1">
      <alignment horizontal="center" vertical="center"/>
    </xf>
    <xf numFmtId="0" fontId="41" fillId="12" borderId="22" xfId="3" applyFont="1" applyFill="1" applyBorder="1" applyAlignment="1" applyProtection="1">
      <alignment horizontal="center" vertical="center"/>
    </xf>
    <xf numFmtId="0" fontId="41" fillId="12" borderId="32" xfId="3" applyFont="1" applyFill="1" applyBorder="1" applyAlignment="1" applyProtection="1">
      <alignment horizontal="center" vertical="center"/>
    </xf>
    <xf numFmtId="0" fontId="45" fillId="12" borderId="13" xfId="3" applyFont="1" applyFill="1" applyBorder="1" applyAlignment="1" applyProtection="1">
      <alignment horizontal="center" vertical="center" wrapText="1"/>
    </xf>
    <xf numFmtId="0" fontId="45" fillId="12" borderId="14" xfId="3" applyFont="1" applyFill="1" applyBorder="1" applyAlignment="1" applyProtection="1">
      <alignment horizontal="center" vertical="center" wrapText="1"/>
    </xf>
    <xf numFmtId="0" fontId="45" fillId="12" borderId="15" xfId="3" applyFont="1" applyFill="1" applyBorder="1" applyAlignment="1" applyProtection="1">
      <alignment horizontal="center" vertical="center" wrapText="1"/>
    </xf>
    <xf numFmtId="184" fontId="46" fillId="12" borderId="13" xfId="3" applyNumberFormat="1" applyFont="1" applyFill="1" applyBorder="1" applyAlignment="1" applyProtection="1">
      <alignment horizontal="right" vertical="center"/>
    </xf>
    <xf numFmtId="184" fontId="46" fillId="12" borderId="15" xfId="3" applyNumberFormat="1" applyFont="1" applyFill="1" applyBorder="1" applyAlignment="1" applyProtection="1">
      <alignment horizontal="right" vertical="center"/>
    </xf>
    <xf numFmtId="184" fontId="62" fillId="12" borderId="13" xfId="3" applyNumberFormat="1" applyFont="1" applyFill="1" applyBorder="1" applyAlignment="1" applyProtection="1">
      <alignment horizontal="right" vertical="center"/>
    </xf>
    <xf numFmtId="184" fontId="62" fillId="12" borderId="15" xfId="3" applyNumberFormat="1" applyFont="1" applyFill="1" applyBorder="1" applyAlignment="1" applyProtection="1">
      <alignment horizontal="right" vertical="center"/>
    </xf>
    <xf numFmtId="0" fontId="62" fillId="12" borderId="12" xfId="3" applyFont="1" applyFill="1" applyBorder="1" applyAlignment="1" applyProtection="1">
      <alignment horizontal="center" vertical="center"/>
    </xf>
    <xf numFmtId="183" fontId="40" fillId="12" borderId="12" xfId="3" applyNumberFormat="1" applyFont="1" applyFill="1" applyBorder="1" applyAlignment="1" applyProtection="1">
      <alignment horizontal="center" vertical="center"/>
      <protection locked="0"/>
    </xf>
  </cellXfs>
  <cellStyles count="4">
    <cellStyle name="桁区切り" xfId="2" builtinId="6"/>
    <cellStyle name="標準" xfId="0" builtinId="0"/>
    <cellStyle name="標準 2" xfId="1" xr:uid="{00000000-0005-0000-0000-000001000000}"/>
    <cellStyle name="標準 3" xfId="3" xr:uid="{66674CD1-4E2A-4E23-951C-DDF5B1FA0035}"/>
  </cellStyles>
  <dxfs count="0"/>
  <tableStyles count="0" defaultTableStyle="TableStyleMedium9" defaultPivotStyle="PivotStyleLight16"/>
  <colors>
    <mruColors>
      <color rgb="FFFFFF99"/>
      <color rgb="FF16365C"/>
      <color rgb="FFCCFFFF"/>
      <color rgb="FFFFFFFF"/>
      <color rgb="FFA6A6A6"/>
      <color rgb="FFFF00FF"/>
      <color rgb="FF99FF66"/>
      <color rgb="FFFFDD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157110</xdr:colOff>
      <xdr:row>16</xdr:row>
      <xdr:rowOff>180033</xdr:rowOff>
    </xdr:from>
    <xdr:to>
      <xdr:col>48</xdr:col>
      <xdr:colOff>328560</xdr:colOff>
      <xdr:row>17</xdr:row>
      <xdr:rowOff>94308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82302" y="3906297"/>
          <a:ext cx="171450" cy="165484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＋</a:t>
          </a:r>
        </a:p>
      </xdr:txBody>
    </xdr:sp>
    <xdr:clientData/>
  </xdr:twoCellAnchor>
  <xdr:twoCellAnchor>
    <xdr:from>
      <xdr:col>48</xdr:col>
      <xdr:colOff>157110</xdr:colOff>
      <xdr:row>18</xdr:row>
      <xdr:rowOff>180033</xdr:rowOff>
    </xdr:from>
    <xdr:to>
      <xdr:col>48</xdr:col>
      <xdr:colOff>328560</xdr:colOff>
      <xdr:row>19</xdr:row>
      <xdr:rowOff>94308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082302" y="4408714"/>
          <a:ext cx="171450" cy="165484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＋</a:t>
          </a:r>
        </a:p>
      </xdr:txBody>
    </xdr:sp>
    <xdr:clientData/>
  </xdr:twoCellAnchor>
  <xdr:twoCellAnchor>
    <xdr:from>
      <xdr:col>51</xdr:col>
      <xdr:colOff>171450</xdr:colOff>
      <xdr:row>13</xdr:row>
      <xdr:rowOff>168625</xdr:rowOff>
    </xdr:from>
    <xdr:to>
      <xdr:col>52</xdr:col>
      <xdr:colOff>85725</xdr:colOff>
      <xdr:row>14</xdr:row>
      <xdr:rowOff>93366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028208" y="3151729"/>
          <a:ext cx="186418" cy="175950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＋</a:t>
          </a:r>
        </a:p>
      </xdr:txBody>
    </xdr:sp>
    <xdr:clientData/>
  </xdr:twoCellAnchor>
  <xdr:twoCellAnchor>
    <xdr:from>
      <xdr:col>57</xdr:col>
      <xdr:colOff>190500</xdr:colOff>
      <xdr:row>13</xdr:row>
      <xdr:rowOff>158157</xdr:rowOff>
    </xdr:from>
    <xdr:to>
      <xdr:col>58</xdr:col>
      <xdr:colOff>83736</xdr:colOff>
      <xdr:row>14</xdr:row>
      <xdr:rowOff>94203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5C5308-EBC8-4B0C-862D-B7818D51D27C}"/>
            </a:ext>
          </a:extLst>
        </xdr:cNvPr>
        <xdr:cNvSpPr txBox="1"/>
      </xdr:nvSpPr>
      <xdr:spPr>
        <a:xfrm>
          <a:off x="19680115" y="3141261"/>
          <a:ext cx="165379" cy="187255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＋</a:t>
          </a:r>
        </a:p>
      </xdr:txBody>
    </xdr:sp>
    <xdr:clientData/>
  </xdr:twoCellAnchor>
  <xdr:twoCellAnchor>
    <xdr:from>
      <xdr:col>54</xdr:col>
      <xdr:colOff>171450</xdr:colOff>
      <xdr:row>13</xdr:row>
      <xdr:rowOff>168625</xdr:rowOff>
    </xdr:from>
    <xdr:to>
      <xdr:col>55</xdr:col>
      <xdr:colOff>85725</xdr:colOff>
      <xdr:row>14</xdr:row>
      <xdr:rowOff>93366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0D83C4-9F80-41C5-8F82-960AAE3A0A32}"/>
            </a:ext>
          </a:extLst>
        </xdr:cNvPr>
        <xdr:cNvSpPr txBox="1"/>
      </xdr:nvSpPr>
      <xdr:spPr>
        <a:xfrm>
          <a:off x="18844637" y="3151729"/>
          <a:ext cx="186418" cy="175950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5FD527E9-C303-4B2D-92C4-BA2B6862FFBC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258C85DD-8E5C-49DF-AF76-E22C64F79605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559BE4BE-FF06-4CDC-83AE-6EB0FFED4493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097EEFAE-6D33-4367-826C-E4295DAD0A20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FB057137-283A-45D3-A363-6A76F5E1C821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E003BD9-F9C4-46BC-B1C4-7B66C12B79BF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8" name="右矢印 12">
          <a:extLst>
            <a:ext uri="{FF2B5EF4-FFF2-40B4-BE49-F238E27FC236}">
              <a16:creationId xmlns:a16="http://schemas.microsoft.com/office/drawing/2014/main" id="{D3466F6F-9E99-4875-9DF6-1EF537E6CA24}"/>
            </a:ext>
          </a:extLst>
        </xdr:cNvPr>
        <xdr:cNvSpPr/>
      </xdr:nvSpPr>
      <xdr:spPr>
        <a:xfrm>
          <a:off x="18859501" y="8401050"/>
          <a:ext cx="1127124" cy="425450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12" name="右矢印 15">
          <a:extLst>
            <a:ext uri="{FF2B5EF4-FFF2-40B4-BE49-F238E27FC236}">
              <a16:creationId xmlns:a16="http://schemas.microsoft.com/office/drawing/2014/main" id="{C931CDA0-774D-48CE-B8E5-6FC099B37875}"/>
            </a:ext>
          </a:extLst>
        </xdr:cNvPr>
        <xdr:cNvSpPr/>
      </xdr:nvSpPr>
      <xdr:spPr>
        <a:xfrm>
          <a:off x="18811877" y="5195094"/>
          <a:ext cx="104774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1171BF4A-EC0E-413F-B061-C29839BCDFA9}"/>
            </a:ext>
          </a:extLst>
        </xdr:cNvPr>
        <xdr:cNvSpPr/>
      </xdr:nvSpPr>
      <xdr:spPr>
        <a:xfrm>
          <a:off x="15431436" y="2561712"/>
          <a:ext cx="920748" cy="381700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EB8C653F-11A0-4D97-A533-B2D9407A67BE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5E77D8EE-50A9-4FEB-8F72-80BF9F227CAB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693FDB10-D936-4301-B90B-BFBF628294A6}"/>
            </a:ext>
          </a:extLst>
        </xdr:cNvPr>
        <xdr:cNvSpPr/>
      </xdr:nvSpPr>
      <xdr:spPr>
        <a:xfrm>
          <a:off x="16939476" y="2565108"/>
          <a:ext cx="920748" cy="38102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5CB8DBBD-5F2C-4ABB-96C2-E75A496CF428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EF2E2CB7-5FB6-4B10-A579-D91FF88E3E07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9A4D0E7A-4784-4474-A5E2-D73869397C2A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AF68C335-14CF-4B40-BE28-13B2C3A1E9E5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66307D9A-F4B5-49CF-B5AA-203E4AD5A77E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0D6E7B37-A4AC-4C00-A9A4-76A3A77F571A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91AE903D-E9CD-4A4A-AECA-8EF4D9F944B4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07FAFEA9-4F21-4E98-A065-D450A1F7BC4D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CBBC6E6F-F860-439E-9828-FAC570C5716B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FC2BABCB-3D29-4513-8684-2A51764710A3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4209AB5B-811A-4F20-B942-56C05FDEF3E0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3879389D-35B2-40BA-BDCF-6AF01F7E22A9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861608ED-E2E3-44E4-B84F-135169F63729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3E800942-1267-4266-ACD7-86EDA3B0E08C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B470C950-8765-4DAC-AD22-136AB5C94536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174626</xdr:colOff>
      <xdr:row>34</xdr:row>
      <xdr:rowOff>542925</xdr:rowOff>
    </xdr:from>
    <xdr:to>
      <xdr:col>20</xdr:col>
      <xdr:colOff>857250</xdr:colOff>
      <xdr:row>36</xdr:row>
      <xdr:rowOff>79375</xdr:rowOff>
    </xdr:to>
    <xdr:sp macro="" textlink="">
      <xdr:nvSpPr>
        <xdr:cNvPr id="2" name="右矢印 12">
          <a:extLst>
            <a:ext uri="{FF2B5EF4-FFF2-40B4-BE49-F238E27FC236}">
              <a16:creationId xmlns:a16="http://schemas.microsoft.com/office/drawing/2014/main" id="{26860CCE-57B5-47AB-A1A7-50E1EF62FBD8}"/>
            </a:ext>
          </a:extLst>
        </xdr:cNvPr>
        <xdr:cNvSpPr/>
      </xdr:nvSpPr>
      <xdr:spPr>
        <a:xfrm>
          <a:off x="19643726" y="9639300"/>
          <a:ext cx="968374" cy="422275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127002</xdr:colOff>
      <xdr:row>23</xdr:row>
      <xdr:rowOff>83344</xdr:rowOff>
    </xdr:from>
    <xdr:to>
      <xdr:col>20</xdr:col>
      <xdr:colOff>730250</xdr:colOff>
      <xdr:row>24</xdr:row>
      <xdr:rowOff>222250</xdr:rowOff>
    </xdr:to>
    <xdr:sp macro="" textlink="">
      <xdr:nvSpPr>
        <xdr:cNvPr id="3" name="右矢印 15">
          <a:extLst>
            <a:ext uri="{FF2B5EF4-FFF2-40B4-BE49-F238E27FC236}">
              <a16:creationId xmlns:a16="http://schemas.microsoft.com/office/drawing/2014/main" id="{9FA7523A-59E9-49E0-8544-34D402304BB6}"/>
            </a:ext>
          </a:extLst>
        </xdr:cNvPr>
        <xdr:cNvSpPr/>
      </xdr:nvSpPr>
      <xdr:spPr>
        <a:xfrm>
          <a:off x="19596102" y="6436519"/>
          <a:ext cx="927098" cy="377031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210112</xdr:colOff>
      <xdr:row>8</xdr:row>
      <xdr:rowOff>227153</xdr:rowOff>
    </xdr:from>
    <xdr:to>
      <xdr:col>17</xdr:col>
      <xdr:colOff>1130860</xdr:colOff>
      <xdr:row>10</xdr:row>
      <xdr:rowOff>123265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52B2BA8E-0C00-43D6-AE9F-42715D2C403E}"/>
            </a:ext>
          </a:extLst>
        </xdr:cNvPr>
        <xdr:cNvSpPr/>
      </xdr:nvSpPr>
      <xdr:spPr>
        <a:xfrm>
          <a:off x="16993162" y="2560778"/>
          <a:ext cx="920748" cy="372362"/>
        </a:xfrm>
        <a:prstGeom prst="rightArrow">
          <a:avLst>
            <a:gd name="adj1" fmla="val 38235"/>
            <a:gd name="adj2" fmla="val 91176"/>
          </a:avLst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D81"/>
  <sheetViews>
    <sheetView showGridLines="0" tabSelected="1" view="pageBreakPreview" zoomScale="91" zoomScaleNormal="100" zoomScaleSheetLayoutView="85" workbookViewId="0">
      <selection activeCell="AA19" sqref="AA19"/>
    </sheetView>
  </sheetViews>
  <sheetFormatPr defaultRowHeight="13.5"/>
  <cols>
    <col min="1" max="1" width="1.625" customWidth="1"/>
    <col min="2" max="2" width="3.25" customWidth="1"/>
    <col min="3" max="3" width="9" customWidth="1"/>
    <col min="4" max="4" width="10.5" customWidth="1"/>
    <col min="5" max="5" width="11.375" customWidth="1"/>
    <col min="6" max="6" width="1.875" customWidth="1"/>
    <col min="7" max="7" width="12.375" customWidth="1"/>
    <col min="8" max="8" width="2" customWidth="1"/>
    <col min="9" max="9" width="9.75" customWidth="1"/>
    <col min="10" max="10" width="2" customWidth="1"/>
    <col min="11" max="11" width="13.375" customWidth="1"/>
    <col min="12" max="12" width="2" customWidth="1"/>
    <col min="13" max="13" width="9.75" customWidth="1"/>
    <col min="14" max="14" width="8" customWidth="1"/>
    <col min="15" max="15" width="6.125" customWidth="1"/>
    <col min="16" max="23" width="3" hidden="1" customWidth="1"/>
    <col min="24" max="25" width="7.5" hidden="1" customWidth="1"/>
    <col min="26" max="26" width="7.75" customWidth="1"/>
    <col min="27" max="39" width="3.625" customWidth="1"/>
    <col min="40" max="42" width="3.25" style="2" customWidth="1"/>
    <col min="43" max="43" width="3.625" style="6" customWidth="1"/>
    <col min="44" max="45" width="1.5" style="6" customWidth="1"/>
    <col min="46" max="46" width="2.625" style="6" customWidth="1"/>
    <col min="47" max="47" width="3.625" style="6" customWidth="1"/>
    <col min="48" max="48" width="3.875" style="6" customWidth="1"/>
    <col min="49" max="49" width="5.125" style="6" customWidth="1"/>
    <col min="50" max="58" width="3.625" style="6" customWidth="1"/>
    <col min="59" max="61" width="3.5" style="6" customWidth="1"/>
    <col min="62" max="75" width="3.625" style="6" customWidth="1"/>
    <col min="76" max="82" width="3.625" customWidth="1"/>
    <col min="83" max="83" width="3.5" customWidth="1"/>
    <col min="84" max="86" width="3.625" customWidth="1"/>
    <col min="87" max="87" width="3.75" hidden="1" customWidth="1"/>
    <col min="88" max="90" width="3.125" hidden="1" customWidth="1"/>
    <col min="91" max="91" width="15.125" hidden="1" customWidth="1"/>
    <col min="92" max="93" width="13.25" hidden="1" customWidth="1"/>
    <col min="94" max="94" width="16.625" hidden="1" customWidth="1"/>
    <col min="95" max="95" width="19.75" hidden="1" customWidth="1"/>
    <col min="96" max="97" width="3.125" hidden="1" customWidth="1"/>
    <col min="98" max="98" width="15.125" hidden="1" customWidth="1"/>
    <col min="99" max="99" width="15.625" hidden="1" customWidth="1"/>
    <col min="100" max="100" width="13.125" hidden="1" customWidth="1"/>
    <col min="101" max="102" width="16.625" hidden="1" customWidth="1"/>
    <col min="103" max="103" width="19.75" hidden="1" customWidth="1"/>
    <col min="104" max="108" width="3.125" hidden="1" customWidth="1"/>
    <col min="109" max="116" width="0" hidden="1" customWidth="1"/>
  </cols>
  <sheetData>
    <row r="1" spans="1:89" ht="13.5" customHeight="1" thickBo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8"/>
      <c r="AO1" s="68"/>
      <c r="AP1" s="68"/>
      <c r="AQ1" s="67"/>
      <c r="AR1" s="67"/>
      <c r="AS1" s="67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</row>
    <row r="2" spans="1:89" ht="13.5" customHeight="1">
      <c r="A2" s="66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8"/>
      <c r="AO2" s="38"/>
      <c r="AP2" s="38"/>
      <c r="AQ2" s="39"/>
      <c r="AR2" s="71"/>
      <c r="AS2" s="68"/>
      <c r="AT2" s="468" t="s">
        <v>167</v>
      </c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69"/>
      <c r="BF2" s="469"/>
      <c r="BG2" s="469"/>
      <c r="BH2" s="469"/>
      <c r="BI2" s="469"/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70"/>
      <c r="CG2" s="66"/>
      <c r="CH2" s="66"/>
    </row>
    <row r="3" spans="1:89" ht="13.5" customHeight="1">
      <c r="A3" s="66"/>
      <c r="B3" s="40"/>
      <c r="C3" s="472" t="s">
        <v>136</v>
      </c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1"/>
      <c r="AR3" s="72"/>
      <c r="AS3" s="68"/>
      <c r="AT3" s="471"/>
      <c r="AU3" s="472"/>
      <c r="AV3" s="472"/>
      <c r="AW3" s="472"/>
      <c r="AX3" s="472"/>
      <c r="AY3" s="472"/>
      <c r="AZ3" s="472"/>
      <c r="BA3" s="472"/>
      <c r="BB3" s="472"/>
      <c r="BC3" s="472"/>
      <c r="BD3" s="472"/>
      <c r="BE3" s="472"/>
      <c r="BF3" s="472"/>
      <c r="BG3" s="472"/>
      <c r="BH3" s="472"/>
      <c r="BI3" s="472"/>
      <c r="BJ3" s="472"/>
      <c r="BK3" s="472"/>
      <c r="BL3" s="472"/>
      <c r="BM3" s="472"/>
      <c r="BN3" s="472"/>
      <c r="BO3" s="472"/>
      <c r="BP3" s="472"/>
      <c r="BQ3" s="472"/>
      <c r="BR3" s="472"/>
      <c r="BS3" s="472"/>
      <c r="BT3" s="472"/>
      <c r="BU3" s="472"/>
      <c r="BV3" s="472"/>
      <c r="BW3" s="472"/>
      <c r="BX3" s="472"/>
      <c r="BY3" s="472"/>
      <c r="BZ3" s="472"/>
      <c r="CA3" s="472"/>
      <c r="CB3" s="472"/>
      <c r="CC3" s="472"/>
      <c r="CD3" s="472"/>
      <c r="CE3" s="472"/>
      <c r="CF3" s="473"/>
      <c r="CG3" s="66"/>
      <c r="CH3" s="66"/>
    </row>
    <row r="4" spans="1:89" ht="13.5" customHeight="1">
      <c r="A4" s="66"/>
      <c r="B4" s="40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1"/>
      <c r="AR4" s="72"/>
      <c r="AS4" s="77"/>
      <c r="AT4" s="471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3"/>
      <c r="CG4" s="66"/>
      <c r="CH4" s="66"/>
    </row>
    <row r="5" spans="1:89" ht="13.5" customHeight="1">
      <c r="A5" s="66"/>
      <c r="B5" s="40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  <c r="AO5" s="472"/>
      <c r="AP5" s="472"/>
      <c r="AQ5" s="41"/>
      <c r="AR5" s="72"/>
      <c r="AS5" s="77"/>
      <c r="AT5" s="471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72"/>
      <c r="BM5" s="472"/>
      <c r="BN5" s="472"/>
      <c r="BO5" s="472"/>
      <c r="BP5" s="472"/>
      <c r="BQ5" s="472"/>
      <c r="BR5" s="472"/>
      <c r="BS5" s="472"/>
      <c r="BT5" s="472"/>
      <c r="BU5" s="472"/>
      <c r="BV5" s="472"/>
      <c r="BW5" s="472"/>
      <c r="BX5" s="472"/>
      <c r="BY5" s="472"/>
      <c r="BZ5" s="472"/>
      <c r="CA5" s="472"/>
      <c r="CB5" s="472"/>
      <c r="CC5" s="472"/>
      <c r="CD5" s="472"/>
      <c r="CE5" s="472"/>
      <c r="CF5" s="473"/>
      <c r="CG5" s="66"/>
      <c r="CH5" s="66"/>
    </row>
    <row r="6" spans="1:89" ht="13.5" customHeight="1" thickBot="1">
      <c r="A6" s="66"/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44"/>
      <c r="AP6" s="44"/>
      <c r="AQ6" s="45"/>
      <c r="AR6" s="73"/>
      <c r="AS6" s="77"/>
      <c r="AT6" s="474"/>
      <c r="AU6" s="475"/>
      <c r="AV6" s="475"/>
      <c r="AW6" s="475"/>
      <c r="AX6" s="475"/>
      <c r="AY6" s="475"/>
      <c r="AZ6" s="475"/>
      <c r="BA6" s="475"/>
      <c r="BB6" s="475"/>
      <c r="BC6" s="475"/>
      <c r="BD6" s="475"/>
      <c r="BE6" s="475"/>
      <c r="BF6" s="475"/>
      <c r="BG6" s="475"/>
      <c r="BH6" s="475"/>
      <c r="BI6" s="475"/>
      <c r="BJ6" s="475"/>
      <c r="BK6" s="475"/>
      <c r="BL6" s="475"/>
      <c r="BM6" s="475"/>
      <c r="BN6" s="475"/>
      <c r="BO6" s="475"/>
      <c r="BP6" s="475"/>
      <c r="BQ6" s="475"/>
      <c r="BR6" s="475"/>
      <c r="BS6" s="475"/>
      <c r="BT6" s="475"/>
      <c r="BU6" s="475"/>
      <c r="BV6" s="475"/>
      <c r="BW6" s="475"/>
      <c r="BX6" s="475"/>
      <c r="BY6" s="475"/>
      <c r="BZ6" s="475"/>
      <c r="CA6" s="475"/>
      <c r="CB6" s="475"/>
      <c r="CC6" s="475"/>
      <c r="CD6" s="475"/>
      <c r="CE6" s="475"/>
      <c r="CF6" s="476"/>
      <c r="CG6" s="66"/>
      <c r="CH6" s="66"/>
    </row>
    <row r="7" spans="1:89" ht="25.5" customHeight="1">
      <c r="A7" s="70"/>
      <c r="B7" s="62" t="s">
        <v>137</v>
      </c>
      <c r="P7" s="22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4"/>
      <c r="AN7" s="28"/>
      <c r="AO7" s="28"/>
      <c r="AP7" s="28"/>
      <c r="AQ7" s="29"/>
      <c r="AR7" s="74"/>
      <c r="AS7" s="78"/>
      <c r="AT7" s="15"/>
      <c r="AU7" s="564" t="s">
        <v>168</v>
      </c>
      <c r="AV7" s="564"/>
      <c r="AW7" s="564"/>
      <c r="AX7" s="564"/>
      <c r="AY7" s="564"/>
      <c r="AZ7" s="564"/>
      <c r="BA7" s="564"/>
      <c r="BB7" s="564"/>
      <c r="BC7" s="564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7"/>
      <c r="BZ7" s="17"/>
      <c r="CA7" s="17"/>
      <c r="CB7" s="17"/>
      <c r="CC7" s="17"/>
      <c r="CD7" s="17"/>
      <c r="CE7" s="17"/>
      <c r="CF7" s="18"/>
      <c r="CG7" s="66"/>
      <c r="CH7" s="66"/>
    </row>
    <row r="8" spans="1:89" ht="25.5" customHeight="1" thickBot="1">
      <c r="A8" s="70"/>
      <c r="B8" s="61" t="s">
        <v>104</v>
      </c>
      <c r="O8" s="22"/>
      <c r="P8" s="27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529" t="s">
        <v>3</v>
      </c>
      <c r="AC8" s="530"/>
      <c r="AD8" s="530"/>
      <c r="AE8" s="531"/>
      <c r="AF8" s="26"/>
      <c r="AG8" s="26"/>
      <c r="AH8" s="26"/>
      <c r="AI8" s="26"/>
      <c r="AJ8" s="26"/>
      <c r="AK8" s="26"/>
      <c r="AL8" s="26"/>
      <c r="AM8" s="4"/>
      <c r="AN8" s="28"/>
      <c r="AO8" s="28"/>
      <c r="AP8" s="28"/>
      <c r="AQ8" s="29"/>
      <c r="AR8" s="74"/>
      <c r="AS8" s="79"/>
      <c r="AT8" s="19"/>
      <c r="AU8" s="325" t="s">
        <v>107</v>
      </c>
      <c r="AV8" s="325"/>
      <c r="AW8" s="325"/>
      <c r="AX8" s="325"/>
      <c r="AY8" s="325"/>
      <c r="AZ8" s="325"/>
      <c r="BA8" s="325"/>
      <c r="BB8" s="325"/>
      <c r="BC8" s="325"/>
      <c r="BD8" s="296"/>
      <c r="BE8" s="296"/>
      <c r="BF8" s="296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20"/>
      <c r="BX8" s="20"/>
      <c r="BY8" s="20"/>
      <c r="BZ8" s="20"/>
      <c r="CA8" s="20"/>
      <c r="CB8" s="20"/>
      <c r="CC8" s="20"/>
      <c r="CD8" s="20"/>
      <c r="CE8" s="20"/>
      <c r="CF8" s="23"/>
      <c r="CG8" s="66"/>
      <c r="CH8" s="66"/>
    </row>
    <row r="9" spans="1:89" ht="21.75" customHeight="1">
      <c r="A9" s="66"/>
      <c r="B9" s="25"/>
      <c r="C9" s="52"/>
      <c r="D9" s="512" t="s">
        <v>11</v>
      </c>
      <c r="E9" s="512"/>
      <c r="F9" s="512"/>
      <c r="G9" s="512"/>
      <c r="H9" s="512"/>
      <c r="I9" s="512"/>
      <c r="J9" s="512"/>
      <c r="K9" s="512"/>
      <c r="L9" s="250"/>
      <c r="M9" s="250"/>
      <c r="N9" s="176"/>
      <c r="O9" s="185"/>
      <c r="P9" s="186"/>
      <c r="Q9" s="186"/>
      <c r="R9" s="186"/>
      <c r="S9" s="186"/>
      <c r="T9" s="186"/>
      <c r="U9" s="187"/>
      <c r="V9" s="187"/>
      <c r="W9" s="187"/>
      <c r="X9" s="187"/>
      <c r="Y9" s="187"/>
      <c r="Z9" s="187"/>
      <c r="AA9" s="187"/>
      <c r="AB9" s="59" t="s">
        <v>132</v>
      </c>
      <c r="AC9" s="4"/>
      <c r="AD9" s="4"/>
      <c r="AE9" s="4"/>
      <c r="AF9" s="326"/>
      <c r="AG9" s="326"/>
      <c r="AH9" s="326"/>
      <c r="AI9" s="326"/>
      <c r="AJ9" s="326"/>
      <c r="AK9" s="326"/>
      <c r="AL9" s="326"/>
      <c r="AM9" s="4"/>
      <c r="AN9" s="28"/>
      <c r="AO9" s="28"/>
      <c r="AP9" s="28"/>
      <c r="AQ9" s="29"/>
      <c r="AR9" s="74"/>
      <c r="AS9" s="79"/>
      <c r="AT9" s="19"/>
      <c r="AU9" s="85" t="s">
        <v>172</v>
      </c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20"/>
      <c r="BX9" s="20"/>
      <c r="BY9" s="20"/>
      <c r="BZ9" s="20"/>
      <c r="CA9" s="20"/>
      <c r="CB9" s="20"/>
      <c r="CC9" s="20"/>
      <c r="CD9" s="20"/>
      <c r="CE9" s="20"/>
      <c r="CF9" s="23"/>
      <c r="CG9" s="66"/>
      <c r="CH9" s="66"/>
    </row>
    <row r="10" spans="1:89" ht="21" customHeight="1" thickBot="1">
      <c r="A10" s="66"/>
      <c r="B10" s="25"/>
      <c r="C10" s="53"/>
      <c r="D10" s="513"/>
      <c r="E10" s="513"/>
      <c r="F10" s="513"/>
      <c r="G10" s="513"/>
      <c r="H10" s="513"/>
      <c r="I10" s="513"/>
      <c r="J10" s="513"/>
      <c r="K10" s="513"/>
      <c r="L10" s="251"/>
      <c r="M10" s="251"/>
      <c r="N10" s="177"/>
      <c r="O10" s="185"/>
      <c r="P10" s="186"/>
      <c r="Q10" s="186"/>
      <c r="R10" s="186"/>
      <c r="S10" s="186"/>
      <c r="T10" s="186"/>
      <c r="U10" s="187"/>
      <c r="V10" s="187"/>
      <c r="W10" s="187"/>
      <c r="X10" s="187"/>
      <c r="Y10" s="173"/>
      <c r="Z10" s="173"/>
      <c r="AA10" s="187"/>
      <c r="AB10" s="59" t="s">
        <v>142</v>
      </c>
      <c r="AC10" s="4"/>
      <c r="AD10" s="4"/>
      <c r="AE10" s="4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29"/>
      <c r="AR10" s="74"/>
      <c r="AS10" s="79"/>
      <c r="AT10" s="19"/>
      <c r="AU10" s="565" t="s">
        <v>23</v>
      </c>
      <c r="AV10" s="565"/>
      <c r="AW10" s="565"/>
      <c r="AX10" s="565"/>
      <c r="AY10" s="565"/>
      <c r="AZ10" s="565"/>
      <c r="BA10" s="565"/>
      <c r="BB10" s="83" t="s">
        <v>36</v>
      </c>
      <c r="BC10" s="83"/>
      <c r="BD10" s="83"/>
      <c r="BE10" s="83"/>
      <c r="BF10" s="83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20"/>
      <c r="BX10" s="20"/>
      <c r="BY10" s="20"/>
      <c r="BZ10" s="20"/>
      <c r="CA10" s="20"/>
      <c r="CB10" s="20"/>
      <c r="CC10" s="20"/>
      <c r="CD10" s="20"/>
      <c r="CE10" s="20"/>
      <c r="CF10" s="23"/>
      <c r="CG10" s="66"/>
      <c r="CH10" s="66"/>
    </row>
    <row r="11" spans="1:89" ht="21" customHeight="1" thickBot="1">
      <c r="A11" s="66"/>
      <c r="B11" s="25"/>
      <c r="C11" s="54"/>
      <c r="D11" s="537" t="s">
        <v>14</v>
      </c>
      <c r="E11" s="538"/>
      <c r="F11" s="103"/>
      <c r="G11" s="104"/>
      <c r="H11" s="104"/>
      <c r="I11" s="104"/>
      <c r="J11" s="104"/>
      <c r="K11" s="104"/>
      <c r="L11" s="104"/>
      <c r="M11" s="104"/>
      <c r="N11" s="178"/>
      <c r="O11" s="188"/>
      <c r="P11" s="186"/>
      <c r="Q11" s="186"/>
      <c r="R11" s="186"/>
      <c r="S11" s="186"/>
      <c r="T11" s="186"/>
      <c r="U11" s="187"/>
      <c r="V11" s="187"/>
      <c r="W11" s="187"/>
      <c r="X11" s="187"/>
      <c r="Y11" s="173"/>
      <c r="Z11" s="173"/>
      <c r="AA11" s="187"/>
      <c r="AB11" s="293" t="s">
        <v>105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29"/>
      <c r="AR11" s="74"/>
      <c r="AS11" s="79"/>
      <c r="AT11" s="19"/>
      <c r="AU11" s="553" t="s">
        <v>173</v>
      </c>
      <c r="AV11" s="553"/>
      <c r="AW11" s="553"/>
      <c r="AX11" s="553"/>
      <c r="AY11" s="553"/>
      <c r="AZ11" s="553"/>
      <c r="BA11" s="553"/>
      <c r="BB11" s="83" t="s">
        <v>164</v>
      </c>
      <c r="BC11" s="83"/>
      <c r="BD11" s="83"/>
      <c r="BE11" s="83"/>
      <c r="BF11" s="83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20"/>
      <c r="BX11" s="20"/>
      <c r="BY11" s="20"/>
      <c r="BZ11" s="20"/>
      <c r="CA11" s="20"/>
      <c r="CB11" s="20"/>
      <c r="CC11" s="20"/>
      <c r="CD11" s="20"/>
      <c r="CE11" s="20"/>
      <c r="CF11" s="23"/>
      <c r="CG11" s="66"/>
      <c r="CH11" s="66"/>
    </row>
    <row r="12" spans="1:89" ht="21" customHeight="1" thickBot="1">
      <c r="A12" s="66"/>
      <c r="B12" s="25"/>
      <c r="C12" s="511" t="s">
        <v>15</v>
      </c>
      <c r="D12" s="502"/>
      <c r="E12" s="503"/>
      <c r="F12" s="105"/>
      <c r="G12" s="106"/>
      <c r="H12" s="106"/>
      <c r="I12" s="106"/>
      <c r="J12" s="106"/>
      <c r="K12" s="106"/>
      <c r="L12" s="106"/>
      <c r="M12" s="106"/>
      <c r="N12" s="179"/>
      <c r="O12" s="189"/>
      <c r="P12" s="186"/>
      <c r="Q12" s="186"/>
      <c r="R12" s="186"/>
      <c r="S12" s="186"/>
      <c r="T12" s="186"/>
      <c r="U12" s="187"/>
      <c r="V12" s="187"/>
      <c r="W12" s="187"/>
      <c r="X12" s="187"/>
      <c r="Y12" s="173"/>
      <c r="Z12" s="173"/>
      <c r="AA12" s="187"/>
      <c r="AB12" s="59"/>
      <c r="AC12" s="63" t="s">
        <v>143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29"/>
      <c r="AR12" s="74"/>
      <c r="AS12" s="79"/>
      <c r="AT12" s="19"/>
      <c r="AU12" s="554" t="s">
        <v>113</v>
      </c>
      <c r="AV12" s="554"/>
      <c r="AW12" s="554"/>
      <c r="AX12" s="554"/>
      <c r="AY12" s="554"/>
      <c r="AZ12" s="554"/>
      <c r="BA12" s="554"/>
      <c r="BB12" s="318" t="s">
        <v>25</v>
      </c>
      <c r="BC12" s="83"/>
      <c r="BD12" s="83"/>
      <c r="BE12" s="83"/>
      <c r="BF12" s="83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20"/>
      <c r="BX12" s="20"/>
      <c r="BY12" s="20"/>
      <c r="BZ12" s="20"/>
      <c r="CA12" s="20"/>
      <c r="CB12" s="20"/>
      <c r="CC12" s="20"/>
      <c r="CD12" s="20"/>
      <c r="CE12" s="20"/>
      <c r="CF12" s="23"/>
      <c r="CG12" s="66"/>
      <c r="CH12" s="66"/>
    </row>
    <row r="13" spans="1:89" ht="21" customHeight="1" thickBot="1">
      <c r="A13" s="66"/>
      <c r="B13" s="25"/>
      <c r="C13" s="511"/>
      <c r="D13" s="504"/>
      <c r="E13" s="505"/>
      <c r="F13" s="106"/>
      <c r="G13" s="106"/>
      <c r="H13" s="106"/>
      <c r="I13" s="106"/>
      <c r="J13" s="106"/>
      <c r="K13" s="106"/>
      <c r="L13" s="106"/>
      <c r="M13" s="106"/>
      <c r="N13" s="179"/>
      <c r="O13" s="189"/>
      <c r="P13" s="551" t="s">
        <v>130</v>
      </c>
      <c r="Q13" s="551"/>
      <c r="R13" s="551"/>
      <c r="S13" s="551"/>
      <c r="T13" s="551"/>
      <c r="U13" s="551"/>
      <c r="V13" s="551"/>
      <c r="W13" s="551"/>
      <c r="X13" s="551"/>
      <c r="Y13" s="551"/>
      <c r="Z13" s="173"/>
      <c r="AA13" s="187"/>
      <c r="AB13" s="59" t="s">
        <v>131</v>
      </c>
      <c r="AC13" s="30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29"/>
      <c r="AR13" s="74"/>
      <c r="AS13" s="79"/>
      <c r="AT13" s="19"/>
      <c r="AU13" s="555"/>
      <c r="AV13" s="556"/>
      <c r="AW13" s="557"/>
      <c r="AX13" s="407" t="s">
        <v>19</v>
      </c>
      <c r="AY13" s="408"/>
      <c r="AZ13" s="550"/>
      <c r="BA13" s="520" t="s">
        <v>20</v>
      </c>
      <c r="BB13" s="521"/>
      <c r="BC13" s="522"/>
      <c r="BD13" s="520" t="s">
        <v>174</v>
      </c>
      <c r="BE13" s="521"/>
      <c r="BF13" s="522"/>
      <c r="BG13" s="407" t="s">
        <v>138</v>
      </c>
      <c r="BH13" s="408"/>
      <c r="BI13" s="409"/>
      <c r="BJ13" s="416" t="s">
        <v>22</v>
      </c>
      <c r="BK13" s="416"/>
      <c r="BL13" s="416"/>
      <c r="BM13" s="416"/>
      <c r="BN13" s="416"/>
      <c r="BO13" s="416"/>
      <c r="BP13" s="416"/>
      <c r="BQ13" s="416"/>
      <c r="BR13" s="416"/>
      <c r="BS13" s="416"/>
      <c r="BT13" s="416"/>
      <c r="BU13" s="416"/>
      <c r="BV13" s="416"/>
      <c r="BW13" s="416"/>
      <c r="BX13" s="416"/>
      <c r="BY13" s="416"/>
      <c r="BZ13" s="416"/>
      <c r="CA13" s="416"/>
      <c r="CB13" s="416"/>
      <c r="CC13" s="416"/>
      <c r="CD13" s="416"/>
      <c r="CE13" s="417"/>
      <c r="CF13" s="23"/>
      <c r="CG13" s="66"/>
      <c r="CH13" s="66"/>
    </row>
    <row r="14" spans="1:89" ht="19.5" customHeight="1" thickBot="1">
      <c r="A14" s="66"/>
      <c r="B14" s="25"/>
      <c r="C14" s="55"/>
      <c r="D14" s="541" t="s">
        <v>84</v>
      </c>
      <c r="E14" s="541"/>
      <c r="F14" s="102"/>
      <c r="G14" s="102" t="s">
        <v>52</v>
      </c>
      <c r="H14" s="232"/>
      <c r="I14" s="232" t="s">
        <v>53</v>
      </c>
      <c r="J14" s="102"/>
      <c r="K14" s="102" t="s">
        <v>110</v>
      </c>
      <c r="L14" s="232"/>
      <c r="M14" s="232" t="s">
        <v>129</v>
      </c>
      <c r="N14" s="180"/>
      <c r="O14" s="5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173"/>
      <c r="AA14" s="187"/>
      <c r="AB14" s="59" t="s">
        <v>144</v>
      </c>
      <c r="AC14" s="327"/>
      <c r="AD14" s="327"/>
      <c r="AE14" s="32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29"/>
      <c r="AR14" s="74"/>
      <c r="AS14" s="79"/>
      <c r="AT14" s="19"/>
      <c r="AU14" s="558"/>
      <c r="AV14" s="559"/>
      <c r="AW14" s="560"/>
      <c r="AX14" s="410"/>
      <c r="AY14" s="411"/>
      <c r="AZ14" s="418"/>
      <c r="BA14" s="523"/>
      <c r="BB14" s="524"/>
      <c r="BC14" s="525"/>
      <c r="BD14" s="523"/>
      <c r="BE14" s="524"/>
      <c r="BF14" s="525"/>
      <c r="BG14" s="410"/>
      <c r="BH14" s="411"/>
      <c r="BI14" s="412"/>
      <c r="BJ14" s="411"/>
      <c r="BK14" s="411"/>
      <c r="BL14" s="411"/>
      <c r="BM14" s="411"/>
      <c r="BN14" s="411"/>
      <c r="BO14" s="411"/>
      <c r="BP14" s="411"/>
      <c r="BQ14" s="411"/>
      <c r="BR14" s="411"/>
      <c r="BS14" s="411"/>
      <c r="BT14" s="411"/>
      <c r="BU14" s="411"/>
      <c r="BV14" s="411"/>
      <c r="BW14" s="411"/>
      <c r="BX14" s="411"/>
      <c r="BY14" s="411"/>
      <c r="BZ14" s="411"/>
      <c r="CA14" s="411"/>
      <c r="CB14" s="411"/>
      <c r="CC14" s="411"/>
      <c r="CD14" s="411"/>
      <c r="CE14" s="418"/>
      <c r="CF14" s="23"/>
      <c r="CG14" s="66"/>
      <c r="CH14" s="66"/>
      <c r="CI14" s="1"/>
      <c r="CJ14" s="1"/>
      <c r="CK14" s="1"/>
    </row>
    <row r="15" spans="1:89" ht="19.5" customHeight="1">
      <c r="A15" s="66"/>
      <c r="B15" s="25"/>
      <c r="C15" s="55"/>
      <c r="D15" s="500" t="s">
        <v>49</v>
      </c>
      <c r="E15" s="501"/>
      <c r="F15" s="169"/>
      <c r="G15" s="535" t="s">
        <v>50</v>
      </c>
      <c r="H15" s="170"/>
      <c r="I15" s="535" t="s">
        <v>112</v>
      </c>
      <c r="J15" s="170"/>
      <c r="K15" s="539" t="s">
        <v>170</v>
      </c>
      <c r="L15" s="170"/>
      <c r="M15" s="535" t="s">
        <v>160</v>
      </c>
      <c r="N15" s="181"/>
      <c r="O15" s="190"/>
      <c r="P15" s="544" t="s">
        <v>146</v>
      </c>
      <c r="Q15" s="545"/>
      <c r="R15" s="545"/>
      <c r="S15" s="545"/>
      <c r="T15" s="545"/>
      <c r="U15" s="545"/>
      <c r="V15" s="545"/>
      <c r="W15" s="546"/>
      <c r="X15" s="542" t="s">
        <v>111</v>
      </c>
      <c r="Y15" s="543"/>
      <c r="Z15" s="194"/>
      <c r="AA15" s="26"/>
      <c r="AB15" s="327"/>
      <c r="AC15" s="294" t="s">
        <v>133</v>
      </c>
      <c r="AD15" s="327"/>
      <c r="AE15" s="327"/>
      <c r="AF15" s="327"/>
      <c r="AG15" s="327"/>
      <c r="AH15" s="327"/>
      <c r="AI15" s="327"/>
      <c r="AJ15" s="4"/>
      <c r="AK15" s="4"/>
      <c r="AL15" s="4"/>
      <c r="AM15" s="4"/>
      <c r="AN15" s="4"/>
      <c r="AO15" s="4"/>
      <c r="AP15" s="4"/>
      <c r="AQ15" s="29"/>
      <c r="AR15" s="74"/>
      <c r="AS15" s="79"/>
      <c r="AT15" s="19"/>
      <c r="AU15" s="223"/>
      <c r="AV15" s="224"/>
      <c r="AW15" s="225"/>
      <c r="AX15" s="413"/>
      <c r="AY15" s="414"/>
      <c r="AZ15" s="419"/>
      <c r="BA15" s="526"/>
      <c r="BB15" s="527"/>
      <c r="BC15" s="528"/>
      <c r="BD15" s="526"/>
      <c r="BE15" s="527"/>
      <c r="BF15" s="528"/>
      <c r="BG15" s="413"/>
      <c r="BH15" s="414"/>
      <c r="BI15" s="415"/>
      <c r="BJ15" s="414"/>
      <c r="BK15" s="414"/>
      <c r="BL15" s="414"/>
      <c r="BM15" s="414"/>
      <c r="BN15" s="414"/>
      <c r="BO15" s="414"/>
      <c r="BP15" s="414"/>
      <c r="BQ15" s="414"/>
      <c r="BR15" s="414"/>
      <c r="BS15" s="414"/>
      <c r="BT15" s="414"/>
      <c r="BU15" s="414"/>
      <c r="BV15" s="414"/>
      <c r="BW15" s="414"/>
      <c r="BX15" s="414"/>
      <c r="BY15" s="414"/>
      <c r="BZ15" s="414"/>
      <c r="CA15" s="414"/>
      <c r="CB15" s="414"/>
      <c r="CC15" s="414"/>
      <c r="CD15" s="414"/>
      <c r="CE15" s="419"/>
      <c r="CF15" s="23"/>
      <c r="CG15" s="66"/>
      <c r="CH15" s="66"/>
      <c r="CI15" s="1"/>
      <c r="CJ15" s="1"/>
      <c r="CK15" s="1"/>
    </row>
    <row r="16" spans="1:89" ht="19.5" customHeight="1">
      <c r="A16" s="66"/>
      <c r="B16" s="25"/>
      <c r="C16" s="92"/>
      <c r="D16" s="207" t="s">
        <v>37</v>
      </c>
      <c r="E16" s="208" t="s">
        <v>38</v>
      </c>
      <c r="F16" s="170"/>
      <c r="G16" s="536"/>
      <c r="H16" s="171"/>
      <c r="I16" s="567"/>
      <c r="J16" s="171"/>
      <c r="K16" s="540"/>
      <c r="L16" s="171"/>
      <c r="M16" s="536"/>
      <c r="N16" s="181"/>
      <c r="O16" s="191"/>
      <c r="P16" s="547"/>
      <c r="Q16" s="548"/>
      <c r="R16" s="548"/>
      <c r="S16" s="548"/>
      <c r="T16" s="548"/>
      <c r="U16" s="548"/>
      <c r="V16" s="548"/>
      <c r="W16" s="549"/>
      <c r="X16" s="172" t="s">
        <v>73</v>
      </c>
      <c r="Y16" s="235" t="s">
        <v>74</v>
      </c>
      <c r="Z16" s="195"/>
      <c r="AA16" s="26"/>
      <c r="AB16" s="59" t="s">
        <v>163</v>
      </c>
      <c r="AC16" s="327"/>
      <c r="AD16" s="327"/>
      <c r="AE16" s="327"/>
      <c r="AF16" s="327"/>
      <c r="AG16" s="327"/>
      <c r="AH16" s="327"/>
      <c r="AI16" s="327"/>
      <c r="AJ16" s="4"/>
      <c r="AK16" s="4"/>
      <c r="AL16" s="4"/>
      <c r="AM16" s="4"/>
      <c r="AN16" s="4"/>
      <c r="AO16" s="4"/>
      <c r="AP16" s="4"/>
      <c r="AQ16" s="29"/>
      <c r="AR16" s="74"/>
      <c r="AS16" s="79"/>
      <c r="AT16" s="19"/>
      <c r="AU16" s="491" t="s">
        <v>28</v>
      </c>
      <c r="AV16" s="492"/>
      <c r="AW16" s="493"/>
      <c r="AX16" s="481">
        <v>17930</v>
      </c>
      <c r="AY16" s="482"/>
      <c r="AZ16" s="483"/>
      <c r="BA16" s="481">
        <v>6180</v>
      </c>
      <c r="BB16" s="482"/>
      <c r="BC16" s="483"/>
      <c r="BD16" s="481">
        <v>660</v>
      </c>
      <c r="BE16" s="482"/>
      <c r="BF16" s="483"/>
      <c r="BG16" s="497">
        <v>5370</v>
      </c>
      <c r="BH16" s="498"/>
      <c r="BI16" s="499"/>
      <c r="BJ16" s="486" t="s">
        <v>166</v>
      </c>
      <c r="BK16" s="487"/>
      <c r="BL16" s="487"/>
      <c r="BM16" s="487"/>
      <c r="BN16" s="487"/>
      <c r="BO16" s="487"/>
      <c r="BP16" s="487"/>
      <c r="BQ16" s="487"/>
      <c r="BR16" s="487"/>
      <c r="BS16" s="487"/>
      <c r="BT16" s="487"/>
      <c r="BU16" s="487"/>
      <c r="BV16" s="487"/>
      <c r="BW16" s="487"/>
      <c r="BX16" s="487"/>
      <c r="BY16" s="487"/>
      <c r="BZ16" s="487"/>
      <c r="CA16" s="487"/>
      <c r="CB16" s="487"/>
      <c r="CC16" s="487"/>
      <c r="CD16" s="487"/>
      <c r="CE16" s="488"/>
      <c r="CF16" s="23"/>
      <c r="CG16" s="66"/>
      <c r="CH16" s="66"/>
      <c r="CI16" s="1"/>
    </row>
    <row r="17" spans="1:94" ht="19.5" customHeight="1">
      <c r="A17" s="66"/>
      <c r="B17" s="25"/>
      <c r="C17" s="84" t="str">
        <f>IF(D12=0,"",1)</f>
        <v/>
      </c>
      <c r="D17" s="198"/>
      <c r="E17" s="199"/>
      <c r="F17" s="107"/>
      <c r="G17" s="202"/>
      <c r="H17" s="107"/>
      <c r="I17" s="205"/>
      <c r="J17" s="107"/>
      <c r="K17" s="205"/>
      <c r="L17" s="107"/>
      <c r="M17" s="290"/>
      <c r="N17" s="182"/>
      <c r="O17" s="192"/>
      <c r="P17" s="506">
        <f>'１人目'!AE44</f>
        <v>0</v>
      </c>
      <c r="Q17" s="507"/>
      <c r="R17" s="507"/>
      <c r="S17" s="507"/>
      <c r="T17" s="507"/>
      <c r="U17" s="507"/>
      <c r="V17" s="508"/>
      <c r="W17" s="244" t="str">
        <f>IF(D12=0,"","円")</f>
        <v/>
      </c>
      <c r="X17" s="245" t="str">
        <f>IF(ISNUMBER(D17),IF(D17&gt;550000,"○",""),"")</f>
        <v/>
      </c>
      <c r="Y17" s="246" t="str">
        <f>IF(ISNUMBER(E17),IF(K17&gt;=65,(IF(E17&gt;1250000,"○","")),(IF(E17&gt;600000,"○",""))),"")</f>
        <v/>
      </c>
      <c r="Z17" s="173" t="str">
        <f>IF(AND(X17="○",Y17="○"),"＊"," ")</f>
        <v xml:space="preserve"> </v>
      </c>
      <c r="AA17" s="26"/>
      <c r="AB17" s="327"/>
      <c r="AC17" s="321" t="s">
        <v>161</v>
      </c>
      <c r="AD17" s="327"/>
      <c r="AE17" s="32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29"/>
      <c r="AR17" s="74"/>
      <c r="AS17" s="79"/>
      <c r="AT17" s="19"/>
      <c r="AU17" s="494"/>
      <c r="AV17" s="495"/>
      <c r="AW17" s="496"/>
      <c r="AX17" s="395"/>
      <c r="AY17" s="396"/>
      <c r="AZ17" s="397"/>
      <c r="BA17" s="395"/>
      <c r="BB17" s="396"/>
      <c r="BC17" s="397"/>
      <c r="BD17" s="395"/>
      <c r="BE17" s="396"/>
      <c r="BF17" s="397"/>
      <c r="BG17" s="395"/>
      <c r="BH17" s="396"/>
      <c r="BI17" s="485"/>
      <c r="BJ17" s="489"/>
      <c r="BK17" s="489"/>
      <c r="BL17" s="489"/>
      <c r="BM17" s="489"/>
      <c r="BN17" s="489"/>
      <c r="BO17" s="489"/>
      <c r="BP17" s="489"/>
      <c r="BQ17" s="489"/>
      <c r="BR17" s="489"/>
      <c r="BS17" s="489"/>
      <c r="BT17" s="489"/>
      <c r="BU17" s="489"/>
      <c r="BV17" s="489"/>
      <c r="BW17" s="489"/>
      <c r="BX17" s="489"/>
      <c r="BY17" s="489"/>
      <c r="BZ17" s="489"/>
      <c r="CA17" s="489"/>
      <c r="CB17" s="489"/>
      <c r="CC17" s="489"/>
      <c r="CD17" s="489"/>
      <c r="CE17" s="490"/>
      <c r="CF17" s="23"/>
      <c r="CG17" s="66"/>
      <c r="CH17" s="66"/>
      <c r="CI17" s="1"/>
    </row>
    <row r="18" spans="1:94" ht="19.5" customHeight="1">
      <c r="A18" s="66"/>
      <c r="B18" s="25"/>
      <c r="C18" s="84" t="str">
        <f>IF(D12&gt;1,2,"")</f>
        <v/>
      </c>
      <c r="D18" s="198"/>
      <c r="E18" s="199"/>
      <c r="F18" s="107"/>
      <c r="G18" s="202"/>
      <c r="H18" s="107"/>
      <c r="I18" s="205"/>
      <c r="J18" s="107"/>
      <c r="K18" s="205"/>
      <c r="L18" s="107"/>
      <c r="M18" s="290"/>
      <c r="N18" s="182"/>
      <c r="O18" s="192"/>
      <c r="P18" s="506">
        <f>'２人目'!AE44</f>
        <v>0</v>
      </c>
      <c r="Q18" s="507"/>
      <c r="R18" s="507"/>
      <c r="S18" s="507"/>
      <c r="T18" s="507"/>
      <c r="U18" s="507"/>
      <c r="V18" s="508"/>
      <c r="W18" s="244" t="str">
        <f>IF(D12&gt;1,"円","")</f>
        <v/>
      </c>
      <c r="X18" s="245" t="str">
        <f>IF(ISNUMBER(D18),IF(D18&gt;550000,"○",""),"")</f>
        <v/>
      </c>
      <c r="Y18" s="246" t="str">
        <f>IF(ISNUMBER(E18),IF(K18&gt;=65,(IF(E18&gt;1250000,"○","")),(IF(E18&gt;600000,"○",""))),"")</f>
        <v/>
      </c>
      <c r="Z18" s="173" t="str">
        <f t="shared" ref="Z18:Z26" si="0">IF(AND(X18="○",Y18="○"),"＊"," ")</f>
        <v xml:space="preserve"> </v>
      </c>
      <c r="AA18" s="26"/>
      <c r="AB18" s="59"/>
      <c r="AC18" s="322" t="s">
        <v>162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29"/>
      <c r="AR18" s="74"/>
      <c r="AS18" s="79"/>
      <c r="AT18" s="19"/>
      <c r="AU18" s="368" t="s">
        <v>29</v>
      </c>
      <c r="AV18" s="369"/>
      <c r="AW18" s="370"/>
      <c r="AX18" s="481">
        <v>30080</v>
      </c>
      <c r="AY18" s="482"/>
      <c r="AZ18" s="483"/>
      <c r="BA18" s="481">
        <v>10360</v>
      </c>
      <c r="BB18" s="482"/>
      <c r="BC18" s="483"/>
      <c r="BD18" s="392">
        <v>1110</v>
      </c>
      <c r="BE18" s="393"/>
      <c r="BF18" s="394"/>
      <c r="BG18" s="481">
        <v>11090</v>
      </c>
      <c r="BH18" s="482"/>
      <c r="BI18" s="484"/>
      <c r="BJ18" s="486" t="s">
        <v>176</v>
      </c>
      <c r="BK18" s="487"/>
      <c r="BL18" s="487"/>
      <c r="BM18" s="487"/>
      <c r="BN18" s="487"/>
      <c r="BO18" s="487"/>
      <c r="BP18" s="487"/>
      <c r="BQ18" s="487"/>
      <c r="BR18" s="487"/>
      <c r="BS18" s="487"/>
      <c r="BT18" s="487"/>
      <c r="BU18" s="487"/>
      <c r="BV18" s="487"/>
      <c r="BW18" s="487"/>
      <c r="BX18" s="487"/>
      <c r="BY18" s="487"/>
      <c r="BZ18" s="487"/>
      <c r="CA18" s="487"/>
      <c r="CB18" s="487"/>
      <c r="CC18" s="487"/>
      <c r="CD18" s="487"/>
      <c r="CE18" s="488"/>
      <c r="CF18" s="23"/>
      <c r="CG18" s="66"/>
      <c r="CH18" s="66"/>
      <c r="CI18" s="1"/>
    </row>
    <row r="19" spans="1:94" ht="19.5" customHeight="1">
      <c r="A19" s="66"/>
      <c r="B19" s="25"/>
      <c r="C19" s="84" t="str">
        <f>IF(D12&gt;2,3,"")</f>
        <v/>
      </c>
      <c r="D19" s="198"/>
      <c r="E19" s="199"/>
      <c r="F19" s="107"/>
      <c r="G19" s="202"/>
      <c r="H19" s="107"/>
      <c r="I19" s="205"/>
      <c r="J19" s="107"/>
      <c r="K19" s="205"/>
      <c r="L19" s="107"/>
      <c r="M19" s="290"/>
      <c r="N19" s="182"/>
      <c r="O19" s="192"/>
      <c r="P19" s="506">
        <f>'３人目'!AE44</f>
        <v>0</v>
      </c>
      <c r="Q19" s="507"/>
      <c r="R19" s="507"/>
      <c r="S19" s="507"/>
      <c r="T19" s="507"/>
      <c r="U19" s="507"/>
      <c r="V19" s="508"/>
      <c r="W19" s="244" t="str">
        <f>IF(D12&gt;2,"円","")</f>
        <v/>
      </c>
      <c r="X19" s="245" t="str">
        <f t="shared" ref="X19:X26" si="1">IF(ISNUMBER(D19),IF(D19&gt;550000,"○",""),"")</f>
        <v/>
      </c>
      <c r="Y19" s="246" t="str">
        <f t="shared" ref="Y19:Y26" si="2">IF(ISNUMBER(E19),IF(K19&gt;=65,(IF(E19&gt;1250000,"○","")),(IF(E19&gt;600000,"○",""))),"")</f>
        <v/>
      </c>
      <c r="Z19" s="173" t="str">
        <f t="shared" si="0"/>
        <v xml:space="preserve"> </v>
      </c>
      <c r="AA19" s="26"/>
      <c r="AB19" s="59" t="s">
        <v>135</v>
      </c>
      <c r="AC19" s="30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29"/>
      <c r="AR19" s="74"/>
      <c r="AS19" s="79"/>
      <c r="AT19" s="19"/>
      <c r="AU19" s="371" t="s">
        <v>165</v>
      </c>
      <c r="AV19" s="372"/>
      <c r="AW19" s="373"/>
      <c r="AX19" s="395"/>
      <c r="AY19" s="396"/>
      <c r="AZ19" s="397"/>
      <c r="BA19" s="395"/>
      <c r="BB19" s="396"/>
      <c r="BC19" s="397"/>
      <c r="BD19" s="395">
        <v>60</v>
      </c>
      <c r="BE19" s="396"/>
      <c r="BF19" s="397"/>
      <c r="BG19" s="395"/>
      <c r="BH19" s="396"/>
      <c r="BI19" s="485"/>
      <c r="BJ19" s="489"/>
      <c r="BK19" s="489"/>
      <c r="BL19" s="489"/>
      <c r="BM19" s="489"/>
      <c r="BN19" s="489"/>
      <c r="BO19" s="489"/>
      <c r="BP19" s="489"/>
      <c r="BQ19" s="489"/>
      <c r="BR19" s="489"/>
      <c r="BS19" s="489"/>
      <c r="BT19" s="489"/>
      <c r="BU19" s="489"/>
      <c r="BV19" s="489"/>
      <c r="BW19" s="489"/>
      <c r="BX19" s="489"/>
      <c r="BY19" s="489"/>
      <c r="BZ19" s="489"/>
      <c r="CA19" s="489"/>
      <c r="CB19" s="489"/>
      <c r="CC19" s="489"/>
      <c r="CD19" s="489"/>
      <c r="CE19" s="490"/>
      <c r="CF19" s="23"/>
      <c r="CG19" s="66"/>
      <c r="CH19" s="66"/>
    </row>
    <row r="20" spans="1:94" ht="19.5" customHeight="1">
      <c r="A20" s="66"/>
      <c r="B20" s="25"/>
      <c r="C20" s="84" t="str">
        <f>IF(D12&gt;3,4,"")</f>
        <v/>
      </c>
      <c r="D20" s="198"/>
      <c r="E20" s="199"/>
      <c r="F20" s="107"/>
      <c r="G20" s="202"/>
      <c r="H20" s="107"/>
      <c r="I20" s="205"/>
      <c r="J20" s="107"/>
      <c r="K20" s="205"/>
      <c r="L20" s="107"/>
      <c r="M20" s="290"/>
      <c r="N20" s="182"/>
      <c r="O20" s="192"/>
      <c r="P20" s="506">
        <f>'４人目'!AE44</f>
        <v>0</v>
      </c>
      <c r="Q20" s="507"/>
      <c r="R20" s="507"/>
      <c r="S20" s="507"/>
      <c r="T20" s="507"/>
      <c r="U20" s="507"/>
      <c r="V20" s="508"/>
      <c r="W20" s="244" t="str">
        <f>IF(D12&gt;3,"円","")</f>
        <v/>
      </c>
      <c r="X20" s="245" t="str">
        <f t="shared" si="1"/>
        <v/>
      </c>
      <c r="Y20" s="246" t="str">
        <f t="shared" si="2"/>
        <v/>
      </c>
      <c r="Z20" s="173" t="str">
        <f t="shared" si="0"/>
        <v xml:space="preserve"> </v>
      </c>
      <c r="AA20" s="26"/>
      <c r="AB20" s="59" t="s">
        <v>134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29"/>
      <c r="AR20" s="74"/>
      <c r="AS20" s="79"/>
      <c r="AT20" s="19"/>
      <c r="AU20" s="368" t="s">
        <v>18</v>
      </c>
      <c r="AV20" s="369"/>
      <c r="AW20" s="370"/>
      <c r="AX20" s="386">
        <v>7.94</v>
      </c>
      <c r="AY20" s="387"/>
      <c r="AZ20" s="388"/>
      <c r="BA20" s="386">
        <v>2.66</v>
      </c>
      <c r="BB20" s="387"/>
      <c r="BC20" s="388"/>
      <c r="BD20" s="386">
        <v>0.28000000000000003</v>
      </c>
      <c r="BE20" s="387"/>
      <c r="BF20" s="388"/>
      <c r="BG20" s="386">
        <v>2.5099999999999998</v>
      </c>
      <c r="BH20" s="387"/>
      <c r="BI20" s="435"/>
      <c r="BJ20" s="430" t="s">
        <v>139</v>
      </c>
      <c r="BK20" s="431"/>
      <c r="BL20" s="431"/>
      <c r="BM20" s="431"/>
      <c r="BN20" s="431"/>
      <c r="BO20" s="431"/>
      <c r="BP20" s="431"/>
      <c r="BQ20" s="431"/>
      <c r="BR20" s="431"/>
      <c r="BS20" s="431"/>
      <c r="BT20" s="431"/>
      <c r="BU20" s="431"/>
      <c r="BV20" s="431"/>
      <c r="BW20" s="431"/>
      <c r="BX20" s="431"/>
      <c r="BY20" s="431"/>
      <c r="BZ20" s="431"/>
      <c r="CA20" s="431"/>
      <c r="CB20" s="431"/>
      <c r="CC20" s="431"/>
      <c r="CD20" s="431"/>
      <c r="CE20" s="432"/>
      <c r="CF20" s="23"/>
      <c r="CG20" s="66"/>
      <c r="CH20" s="66"/>
    </row>
    <row r="21" spans="1:94" ht="21.75" thickBot="1">
      <c r="A21" s="66"/>
      <c r="B21" s="25"/>
      <c r="C21" s="84" t="str">
        <f>IF(D12&gt;4,5,"")</f>
        <v/>
      </c>
      <c r="D21" s="198"/>
      <c r="E21" s="199"/>
      <c r="F21" s="107"/>
      <c r="G21" s="202"/>
      <c r="H21" s="107"/>
      <c r="I21" s="205"/>
      <c r="J21" s="107"/>
      <c r="K21" s="205"/>
      <c r="L21" s="107"/>
      <c r="M21" s="290"/>
      <c r="N21" s="182"/>
      <c r="O21" s="192"/>
      <c r="P21" s="506">
        <f>'５人目'!AE44</f>
        <v>0</v>
      </c>
      <c r="Q21" s="507"/>
      <c r="R21" s="507"/>
      <c r="S21" s="507"/>
      <c r="T21" s="507"/>
      <c r="U21" s="507"/>
      <c r="V21" s="508"/>
      <c r="W21" s="244" t="str">
        <f>IF(D12&gt;4,"円","")</f>
        <v/>
      </c>
      <c r="X21" s="245" t="str">
        <f t="shared" si="1"/>
        <v/>
      </c>
      <c r="Y21" s="246" t="str">
        <f t="shared" si="2"/>
        <v/>
      </c>
      <c r="Z21" s="173" t="str">
        <f t="shared" si="0"/>
        <v xml:space="preserve"> </v>
      </c>
      <c r="AA21" s="26"/>
      <c r="AB21" s="59" t="s">
        <v>87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29"/>
      <c r="AR21" s="74"/>
      <c r="AS21" s="79"/>
      <c r="AT21" s="19"/>
      <c r="AU21" s="561"/>
      <c r="AV21" s="562"/>
      <c r="AW21" s="563"/>
      <c r="AX21" s="389"/>
      <c r="AY21" s="390"/>
      <c r="AZ21" s="391"/>
      <c r="BA21" s="389"/>
      <c r="BB21" s="390"/>
      <c r="BC21" s="391"/>
      <c r="BD21" s="389"/>
      <c r="BE21" s="390"/>
      <c r="BF21" s="391"/>
      <c r="BG21" s="389"/>
      <c r="BH21" s="390"/>
      <c r="BI21" s="436"/>
      <c r="BJ21" s="433"/>
      <c r="BK21" s="433"/>
      <c r="BL21" s="433"/>
      <c r="BM21" s="433"/>
      <c r="BN21" s="433"/>
      <c r="BO21" s="433"/>
      <c r="BP21" s="433"/>
      <c r="BQ21" s="433"/>
      <c r="BR21" s="433"/>
      <c r="BS21" s="433"/>
      <c r="BT21" s="433"/>
      <c r="BU21" s="433"/>
      <c r="BV21" s="433"/>
      <c r="BW21" s="433"/>
      <c r="BX21" s="433"/>
      <c r="BY21" s="433"/>
      <c r="BZ21" s="433"/>
      <c r="CA21" s="433"/>
      <c r="CB21" s="433"/>
      <c r="CC21" s="433"/>
      <c r="CD21" s="433"/>
      <c r="CE21" s="434"/>
      <c r="CF21" s="23"/>
      <c r="CG21" s="66"/>
      <c r="CH21" s="66"/>
    </row>
    <row r="22" spans="1:94" ht="21">
      <c r="A22" s="66"/>
      <c r="B22" s="25"/>
      <c r="C22" s="84" t="str">
        <f>IF(D12&gt;5,6,"")</f>
        <v/>
      </c>
      <c r="D22" s="198"/>
      <c r="E22" s="199"/>
      <c r="F22" s="107"/>
      <c r="G22" s="202"/>
      <c r="H22" s="107"/>
      <c r="I22" s="205"/>
      <c r="J22" s="107"/>
      <c r="K22" s="205"/>
      <c r="L22" s="107"/>
      <c r="M22" s="290"/>
      <c r="N22" s="182"/>
      <c r="O22" s="192"/>
      <c r="P22" s="506">
        <f>'６人目'!AE44</f>
        <v>0</v>
      </c>
      <c r="Q22" s="507"/>
      <c r="R22" s="507"/>
      <c r="S22" s="507"/>
      <c r="T22" s="507"/>
      <c r="U22" s="507"/>
      <c r="V22" s="508"/>
      <c r="W22" s="244" t="str">
        <f>IF(D12&gt;5,"円","")</f>
        <v/>
      </c>
      <c r="X22" s="245" t="str">
        <f t="shared" si="1"/>
        <v/>
      </c>
      <c r="Y22" s="246" t="str">
        <f t="shared" si="2"/>
        <v/>
      </c>
      <c r="Z22" s="173" t="str">
        <f>IF(AND(X22="○",Y22="○"),"＊"," ")</f>
        <v xml:space="preserve"> </v>
      </c>
      <c r="AA22" s="26"/>
      <c r="AB22" s="532" t="s">
        <v>4</v>
      </c>
      <c r="AC22" s="533"/>
      <c r="AD22" s="533"/>
      <c r="AE22" s="533"/>
      <c r="AF22" s="533"/>
      <c r="AG22" s="533"/>
      <c r="AH22" s="533"/>
      <c r="AI22" s="534"/>
      <c r="AJ22" s="4"/>
      <c r="AK22" s="4"/>
      <c r="AL22" s="4"/>
      <c r="AM22" s="4"/>
      <c r="AN22" s="4"/>
      <c r="AO22" s="4"/>
      <c r="AP22" s="4"/>
      <c r="AQ22" s="29"/>
      <c r="AR22" s="74"/>
      <c r="AS22" s="79"/>
      <c r="AT22" s="19"/>
      <c r="AU22" s="480" t="s">
        <v>21</v>
      </c>
      <c r="AV22" s="480"/>
      <c r="AW22" s="480"/>
      <c r="AX22" s="385">
        <v>670000</v>
      </c>
      <c r="AY22" s="385"/>
      <c r="AZ22" s="385"/>
      <c r="BA22" s="385">
        <v>260000</v>
      </c>
      <c r="BB22" s="385"/>
      <c r="BC22" s="385"/>
      <c r="BD22" s="385">
        <v>30000</v>
      </c>
      <c r="BE22" s="385"/>
      <c r="BF22" s="385"/>
      <c r="BG22" s="385">
        <v>170000</v>
      </c>
      <c r="BH22" s="385"/>
      <c r="BI22" s="385"/>
      <c r="BJ22" s="575" t="s">
        <v>175</v>
      </c>
      <c r="BK22" s="576"/>
      <c r="BL22" s="576"/>
      <c r="BM22" s="576"/>
      <c r="BN22" s="576"/>
      <c r="BO22" s="576"/>
      <c r="BP22" s="576"/>
      <c r="BQ22" s="576"/>
      <c r="BR22" s="576"/>
      <c r="BS22" s="576"/>
      <c r="BT22" s="576"/>
      <c r="BU22" s="576"/>
      <c r="BV22" s="576"/>
      <c r="BW22" s="576"/>
      <c r="BX22" s="576"/>
      <c r="BY22" s="576"/>
      <c r="BZ22" s="576"/>
      <c r="CA22" s="576"/>
      <c r="CB22" s="576"/>
      <c r="CC22" s="576"/>
      <c r="CD22" s="576"/>
      <c r="CE22" s="577"/>
      <c r="CF22" s="23"/>
      <c r="CG22" s="66"/>
      <c r="CH22" s="66"/>
    </row>
    <row r="23" spans="1:94" ht="21">
      <c r="A23" s="66"/>
      <c r="B23" s="25"/>
      <c r="C23" s="84" t="str">
        <f>IF(D12&gt;6,7,"")</f>
        <v/>
      </c>
      <c r="D23" s="198"/>
      <c r="E23" s="199"/>
      <c r="F23" s="107"/>
      <c r="G23" s="202"/>
      <c r="H23" s="107"/>
      <c r="I23" s="205"/>
      <c r="J23" s="107"/>
      <c r="K23" s="205"/>
      <c r="L23" s="107"/>
      <c r="M23" s="290"/>
      <c r="N23" s="182"/>
      <c r="O23" s="192"/>
      <c r="P23" s="506">
        <f>'７人目'!AE44</f>
        <v>0</v>
      </c>
      <c r="Q23" s="507"/>
      <c r="R23" s="507"/>
      <c r="S23" s="507"/>
      <c r="T23" s="507"/>
      <c r="U23" s="507"/>
      <c r="V23" s="508"/>
      <c r="W23" s="244" t="str">
        <f>IF(D12&gt;6,"円","")</f>
        <v/>
      </c>
      <c r="X23" s="245" t="str">
        <f t="shared" si="1"/>
        <v/>
      </c>
      <c r="Y23" s="246" t="str">
        <f t="shared" si="2"/>
        <v/>
      </c>
      <c r="Z23" s="173" t="str">
        <f t="shared" si="0"/>
        <v xml:space="preserve"> </v>
      </c>
      <c r="AA23" s="26"/>
      <c r="AB23" s="59" t="s">
        <v>106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29"/>
      <c r="AR23" s="74"/>
      <c r="AS23" s="79"/>
      <c r="AT23" s="19"/>
      <c r="AU23" s="229" t="s">
        <v>140</v>
      </c>
      <c r="AV23" s="87"/>
      <c r="AW23" s="87"/>
      <c r="AX23" s="174"/>
      <c r="AY23" s="226"/>
      <c r="AZ23" s="226"/>
      <c r="BA23" s="226"/>
      <c r="BB23" s="226"/>
      <c r="BC23" s="226"/>
      <c r="BD23" s="295"/>
      <c r="BE23" s="295"/>
      <c r="BF23" s="295"/>
      <c r="BG23" s="226"/>
      <c r="BH23" s="226"/>
      <c r="BI23" s="22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23"/>
      <c r="CG23" s="66"/>
      <c r="CH23" s="66"/>
    </row>
    <row r="24" spans="1:94" ht="21">
      <c r="A24" s="66"/>
      <c r="B24" s="25"/>
      <c r="C24" s="84" t="str">
        <f>IF(D12&gt;7,8,"")</f>
        <v/>
      </c>
      <c r="D24" s="198"/>
      <c r="E24" s="199"/>
      <c r="F24" s="107"/>
      <c r="G24" s="202"/>
      <c r="H24" s="107"/>
      <c r="I24" s="205"/>
      <c r="J24" s="107"/>
      <c r="K24" s="205"/>
      <c r="L24" s="107"/>
      <c r="M24" s="290"/>
      <c r="N24" s="182"/>
      <c r="O24" s="192"/>
      <c r="P24" s="506">
        <f>'８人目'!AE44</f>
        <v>0</v>
      </c>
      <c r="Q24" s="507"/>
      <c r="R24" s="507"/>
      <c r="S24" s="507"/>
      <c r="T24" s="507"/>
      <c r="U24" s="507"/>
      <c r="V24" s="508"/>
      <c r="W24" s="244" t="str">
        <f>IF(D12&gt;7,"円","")</f>
        <v/>
      </c>
      <c r="X24" s="245" t="str">
        <f t="shared" si="1"/>
        <v/>
      </c>
      <c r="Y24" s="246" t="str">
        <f t="shared" si="2"/>
        <v/>
      </c>
      <c r="Z24" s="173" t="str">
        <f t="shared" si="0"/>
        <v xml:space="preserve"> </v>
      </c>
      <c r="AA24" s="26"/>
      <c r="AB24" s="59" t="s">
        <v>145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29"/>
      <c r="AR24" s="74"/>
      <c r="AS24" s="79"/>
      <c r="AT24" s="19"/>
      <c r="AU24" s="229" t="s">
        <v>108</v>
      </c>
      <c r="AV24" s="87"/>
      <c r="AW24" s="87"/>
      <c r="AX24" s="174"/>
      <c r="AY24" s="226"/>
      <c r="AZ24" s="226"/>
      <c r="BA24" s="226"/>
      <c r="BB24" s="226"/>
      <c r="BC24" s="226"/>
      <c r="BD24" s="295"/>
      <c r="BE24" s="295"/>
      <c r="BF24" s="295"/>
      <c r="BG24" s="226"/>
      <c r="BH24" s="226"/>
      <c r="BI24" s="22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23"/>
      <c r="CG24" s="66"/>
      <c r="CH24" s="66"/>
    </row>
    <row r="25" spans="1:94" ht="21">
      <c r="A25" s="66"/>
      <c r="B25" s="25"/>
      <c r="C25" s="84" t="str">
        <f>IF(D12&gt;8,9,"")</f>
        <v/>
      </c>
      <c r="D25" s="198"/>
      <c r="E25" s="199"/>
      <c r="F25" s="107"/>
      <c r="G25" s="202"/>
      <c r="H25" s="107"/>
      <c r="I25" s="205"/>
      <c r="J25" s="107"/>
      <c r="K25" s="205"/>
      <c r="L25" s="107"/>
      <c r="M25" s="290"/>
      <c r="N25" s="182"/>
      <c r="O25" s="192"/>
      <c r="P25" s="506">
        <f>'９人目'!AE44</f>
        <v>0</v>
      </c>
      <c r="Q25" s="507"/>
      <c r="R25" s="507"/>
      <c r="S25" s="507"/>
      <c r="T25" s="507"/>
      <c r="U25" s="507"/>
      <c r="V25" s="508"/>
      <c r="W25" s="244" t="str">
        <f>IF(D12&gt;8,"円","")</f>
        <v/>
      </c>
      <c r="X25" s="245" t="str">
        <f t="shared" si="1"/>
        <v/>
      </c>
      <c r="Y25" s="246" t="str">
        <f t="shared" si="2"/>
        <v/>
      </c>
      <c r="Z25" s="173" t="str">
        <f t="shared" si="0"/>
        <v xml:space="preserve"> </v>
      </c>
      <c r="AA25" s="26"/>
      <c r="AB25" s="59" t="s">
        <v>35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29"/>
      <c r="AR25" s="74"/>
      <c r="AS25" s="79"/>
      <c r="AT25" s="19"/>
      <c r="AU25" s="88" t="s">
        <v>5</v>
      </c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23"/>
      <c r="CG25" s="67"/>
      <c r="CH25" s="66"/>
    </row>
    <row r="26" spans="1:94" ht="21.75" thickBot="1">
      <c r="A26" s="66"/>
      <c r="B26" s="25"/>
      <c r="C26" s="84" t="str">
        <f>IF(D12&gt;9,10,"")</f>
        <v/>
      </c>
      <c r="D26" s="200"/>
      <c r="E26" s="201"/>
      <c r="F26" s="107"/>
      <c r="G26" s="203"/>
      <c r="H26" s="107"/>
      <c r="I26" s="206"/>
      <c r="J26" s="107"/>
      <c r="K26" s="206"/>
      <c r="L26" s="107"/>
      <c r="M26" s="291"/>
      <c r="N26" s="182"/>
      <c r="O26" s="192"/>
      <c r="P26" s="591">
        <f>'10人目'!AE44</f>
        <v>0</v>
      </c>
      <c r="Q26" s="592"/>
      <c r="R26" s="592"/>
      <c r="S26" s="592"/>
      <c r="T26" s="592"/>
      <c r="U26" s="592"/>
      <c r="V26" s="593"/>
      <c r="W26" s="247" t="str">
        <f>IF(D12&gt;9,"円","")</f>
        <v/>
      </c>
      <c r="X26" s="248" t="str">
        <f t="shared" si="1"/>
        <v/>
      </c>
      <c r="Y26" s="249" t="str">
        <f t="shared" si="2"/>
        <v/>
      </c>
      <c r="Z26" s="173" t="str">
        <f t="shared" si="0"/>
        <v xml:space="preserve"> </v>
      </c>
      <c r="AA26" s="26"/>
      <c r="AB26" s="91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29"/>
      <c r="AR26" s="74"/>
      <c r="AS26" s="79"/>
      <c r="AT26" s="19"/>
      <c r="AU26" s="227" t="s">
        <v>177</v>
      </c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21"/>
      <c r="CG26" s="67"/>
      <c r="CH26" s="66"/>
    </row>
    <row r="27" spans="1:94" ht="21.75" customHeight="1">
      <c r="A27" s="66"/>
      <c r="B27" s="25"/>
      <c r="C27" s="108" t="s">
        <v>51</v>
      </c>
      <c r="D27" s="197">
        <v>900000</v>
      </c>
      <c r="E27" s="197">
        <v>1300000</v>
      </c>
      <c r="F27" s="109"/>
      <c r="G27" s="197">
        <v>300000</v>
      </c>
      <c r="H27" s="109"/>
      <c r="I27" s="204">
        <v>65</v>
      </c>
      <c r="J27" s="109"/>
      <c r="K27" s="204">
        <v>64</v>
      </c>
      <c r="L27" s="109"/>
      <c r="M27" s="292"/>
      <c r="N27" s="183"/>
      <c r="O27" s="192"/>
      <c r="P27" s="457"/>
      <c r="Q27" s="458"/>
      <c r="R27" s="458"/>
      <c r="S27" s="458"/>
      <c r="T27" s="458"/>
      <c r="U27" s="458"/>
      <c r="V27" s="459"/>
      <c r="W27" s="233"/>
      <c r="X27" s="234"/>
      <c r="Y27" s="173"/>
      <c r="Z27" s="173"/>
      <c r="AA27" s="26"/>
      <c r="AB27" s="63" t="s">
        <v>16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29"/>
      <c r="AR27" s="74"/>
      <c r="AS27" s="79"/>
      <c r="AT27" s="19"/>
      <c r="AU27" s="377" t="s">
        <v>0</v>
      </c>
      <c r="AV27" s="377"/>
      <c r="AW27" s="377"/>
      <c r="AX27" s="377"/>
      <c r="AY27" s="377"/>
      <c r="AZ27" s="377"/>
      <c r="BA27" s="578" t="s">
        <v>30</v>
      </c>
      <c r="BB27" s="579"/>
      <c r="BC27" s="579"/>
      <c r="BD27" s="579"/>
      <c r="BE27" s="579"/>
      <c r="BF27" s="579"/>
      <c r="BG27" s="579"/>
      <c r="BH27" s="579"/>
      <c r="BI27" s="579"/>
      <c r="BJ27" s="579"/>
      <c r="BK27" s="579"/>
      <c r="BL27" s="579"/>
      <c r="BM27" s="579"/>
      <c r="BN27" s="579"/>
      <c r="BO27" s="579"/>
      <c r="BP27" s="580"/>
      <c r="BQ27" s="588" t="s">
        <v>31</v>
      </c>
      <c r="BR27" s="589"/>
      <c r="BS27" s="589"/>
      <c r="BT27" s="589"/>
      <c r="BU27" s="589"/>
      <c r="BV27" s="589"/>
      <c r="BW27" s="589"/>
      <c r="BX27" s="589"/>
      <c r="BY27" s="589"/>
      <c r="BZ27" s="589"/>
      <c r="CA27" s="589"/>
      <c r="CB27" s="589"/>
      <c r="CC27" s="589"/>
      <c r="CD27" s="589"/>
      <c r="CE27" s="590"/>
      <c r="CF27" s="21"/>
      <c r="CG27" s="67"/>
      <c r="CH27" s="66"/>
    </row>
    <row r="28" spans="1:94" ht="21.75" thickBot="1">
      <c r="A28" s="66"/>
      <c r="B28" s="25"/>
      <c r="C28" s="56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184"/>
      <c r="O28" s="193"/>
      <c r="P28" s="196"/>
      <c r="Q28" s="196"/>
      <c r="R28" s="196"/>
      <c r="S28" s="196"/>
      <c r="T28" s="196"/>
      <c r="U28" s="196"/>
      <c r="V28" s="196"/>
      <c r="W28" s="196"/>
      <c r="X28" s="196"/>
      <c r="Y28" s="173"/>
      <c r="Z28" s="173"/>
      <c r="AA28" s="26"/>
      <c r="AB28" s="63" t="s">
        <v>17</v>
      </c>
      <c r="AC28" s="4"/>
      <c r="AD28" s="4"/>
      <c r="AE28" s="4"/>
      <c r="AF28" s="4"/>
      <c r="AG28" s="4"/>
      <c r="AH28" s="4"/>
      <c r="AI28" s="4"/>
      <c r="AM28" s="4"/>
      <c r="AN28" s="4"/>
      <c r="AO28" s="4"/>
      <c r="AP28" s="4"/>
      <c r="AQ28" s="29"/>
      <c r="AR28" s="74"/>
      <c r="AS28" s="79"/>
      <c r="AT28" s="19"/>
      <c r="AU28" s="570">
        <v>7</v>
      </c>
      <c r="AV28" s="570"/>
      <c r="AW28" s="570"/>
      <c r="AX28" s="570"/>
      <c r="AY28" s="570"/>
      <c r="AZ28" s="570"/>
      <c r="BA28" s="379">
        <v>430000</v>
      </c>
      <c r="BB28" s="380"/>
      <c r="BC28" s="380"/>
      <c r="BD28" s="336"/>
      <c r="BE28" s="336"/>
      <c r="BF28" s="336"/>
      <c r="BG28" s="337"/>
      <c r="BH28" s="337"/>
      <c r="BI28" s="351">
        <v>1</v>
      </c>
      <c r="BJ28" s="351"/>
      <c r="BK28" s="351"/>
      <c r="BL28" s="351"/>
      <c r="BM28" s="351"/>
      <c r="BN28" s="349">
        <v>100000</v>
      </c>
      <c r="BO28" s="349"/>
      <c r="BP28" s="350"/>
      <c r="BQ28" s="437">
        <f>BA28+MAX(COUNTIF(X17:X26,"○")+COUNTIF(Y17:Y26,"○")-COUNTIF(Z17:Z26,"＊")-BI28,0)*BN28</f>
        <v>430000</v>
      </c>
      <c r="BR28" s="438"/>
      <c r="BS28" s="439"/>
      <c r="BT28" s="582" t="s">
        <v>169</v>
      </c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4"/>
      <c r="CF28" s="21"/>
      <c r="CG28" s="67"/>
      <c r="CH28" s="66"/>
    </row>
    <row r="29" spans="1:94" ht="21" customHeight="1">
      <c r="A29" s="66"/>
      <c r="B29" s="2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4"/>
      <c r="Q29" s="4"/>
      <c r="R29" s="4"/>
      <c r="S29" s="4"/>
      <c r="T29" s="4"/>
      <c r="U29" s="4"/>
      <c r="V29" s="4"/>
      <c r="W29" s="4"/>
      <c r="X29" s="4"/>
      <c r="AA29" s="26"/>
      <c r="AB29" s="64" t="s">
        <v>82</v>
      </c>
      <c r="AC29" s="4"/>
      <c r="AD29" s="4"/>
      <c r="AE29" s="4"/>
      <c r="AF29" s="4"/>
      <c r="AG29" s="4"/>
      <c r="AH29" s="4"/>
      <c r="AI29" s="4"/>
      <c r="AN29"/>
      <c r="AO29"/>
      <c r="AP29"/>
      <c r="AQ29" s="29"/>
      <c r="AR29" s="74"/>
      <c r="AS29" s="79"/>
      <c r="AT29" s="19"/>
      <c r="AU29" s="568">
        <v>5</v>
      </c>
      <c r="AV29" s="568"/>
      <c r="AW29" s="568"/>
      <c r="AX29" s="568"/>
      <c r="AY29" s="568"/>
      <c r="AZ29" s="568"/>
      <c r="BA29" s="381">
        <v>430000</v>
      </c>
      <c r="BB29" s="382"/>
      <c r="BC29" s="382"/>
      <c r="BD29" s="467">
        <v>310000</v>
      </c>
      <c r="BE29" s="467"/>
      <c r="BF29" s="467"/>
      <c r="BG29" s="467"/>
      <c r="BH29" s="467"/>
      <c r="BI29" s="400">
        <v>1</v>
      </c>
      <c r="BJ29" s="400"/>
      <c r="BK29" s="400"/>
      <c r="BL29" s="400"/>
      <c r="BM29" s="400"/>
      <c r="BN29" s="398">
        <v>100000</v>
      </c>
      <c r="BO29" s="398"/>
      <c r="BP29" s="399"/>
      <c r="BQ29" s="440">
        <f>BA29+MAX(COUNTIF(X17:X26,"○")+COUNTIF(Y17:Y26,"○")-COUNTIF(Z17:Z26,"＊")-BI29,0)*BN29+BD29*D12</f>
        <v>430000</v>
      </c>
      <c r="BR29" s="441"/>
      <c r="BS29" s="441"/>
      <c r="BT29" s="582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4"/>
      <c r="CF29" s="21"/>
      <c r="CG29" s="66"/>
      <c r="CH29" s="66"/>
    </row>
    <row r="30" spans="1:94" ht="33" customHeight="1">
      <c r="A30" s="66"/>
      <c r="B30" s="25"/>
      <c r="C30" s="460" t="s">
        <v>114</v>
      </c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0"/>
      <c r="AI30" s="460"/>
      <c r="AJ30" s="460"/>
      <c r="AK30" s="460"/>
      <c r="AL30" s="460"/>
      <c r="AM30" s="460"/>
      <c r="AN30" s="460"/>
      <c r="AO30" s="460"/>
      <c r="AP30" s="460"/>
      <c r="AQ30" s="65"/>
      <c r="AR30" s="74"/>
      <c r="AS30" s="79"/>
      <c r="AT30" s="19"/>
      <c r="AU30" s="581">
        <v>2</v>
      </c>
      <c r="AV30" s="581"/>
      <c r="AW30" s="581"/>
      <c r="AX30" s="581"/>
      <c r="AY30" s="581"/>
      <c r="AZ30" s="581"/>
      <c r="BA30" s="383">
        <v>430000</v>
      </c>
      <c r="BB30" s="384"/>
      <c r="BC30" s="384"/>
      <c r="BD30" s="345">
        <v>570000</v>
      </c>
      <c r="BE30" s="345"/>
      <c r="BF30" s="345"/>
      <c r="BG30" s="345"/>
      <c r="BH30" s="345"/>
      <c r="BI30" s="346">
        <v>1</v>
      </c>
      <c r="BJ30" s="346"/>
      <c r="BK30" s="346"/>
      <c r="BL30" s="346"/>
      <c r="BM30" s="346"/>
      <c r="BN30" s="347">
        <v>100000</v>
      </c>
      <c r="BO30" s="347"/>
      <c r="BP30" s="348"/>
      <c r="BQ30" s="509">
        <f>BA30+MAX(COUNTIF(X17:X26,"○")+COUNTIF(Y17:Y26,"○")-COUNTIF(Z17:Z26,"＊")-BI30,0)*BN30+BD30*D12</f>
        <v>430000</v>
      </c>
      <c r="BR30" s="510"/>
      <c r="BS30" s="510"/>
      <c r="BT30" s="585"/>
      <c r="BU30" s="586"/>
      <c r="BV30" s="586"/>
      <c r="BW30" s="586"/>
      <c r="BX30" s="586"/>
      <c r="BY30" s="586"/>
      <c r="BZ30" s="586"/>
      <c r="CA30" s="586"/>
      <c r="CB30" s="586"/>
      <c r="CC30" s="586"/>
      <c r="CD30" s="586"/>
      <c r="CE30" s="587"/>
      <c r="CF30" s="21"/>
      <c r="CG30" s="66"/>
      <c r="CH30" s="66"/>
      <c r="CP30" s="228"/>
    </row>
    <row r="31" spans="1:94" ht="33" customHeight="1">
      <c r="A31" s="66"/>
      <c r="B31" s="25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60"/>
      <c r="AF31" s="460"/>
      <c r="AG31" s="460"/>
      <c r="AH31" s="460"/>
      <c r="AI31" s="460"/>
      <c r="AJ31" s="460"/>
      <c r="AK31" s="460"/>
      <c r="AL31" s="460"/>
      <c r="AM31" s="460"/>
      <c r="AN31" s="460"/>
      <c r="AO31" s="460"/>
      <c r="AP31" s="460"/>
      <c r="AQ31" s="65"/>
      <c r="AR31" s="74"/>
      <c r="AS31" s="79"/>
      <c r="AT31" s="19"/>
      <c r="AU31" s="227" t="s">
        <v>109</v>
      </c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8"/>
      <c r="BH31" s="7"/>
      <c r="BI31" s="7"/>
      <c r="BJ31" s="7"/>
      <c r="BK31" s="7"/>
      <c r="BL31" s="7"/>
      <c r="BM31" s="7"/>
      <c r="BN31" s="7"/>
      <c r="BO31" s="7"/>
      <c r="BP31" s="8"/>
      <c r="BQ31" s="7"/>
      <c r="BR31" s="7"/>
      <c r="BS31" s="10"/>
      <c r="BT31" s="11"/>
      <c r="BU31" s="11"/>
      <c r="BV31" s="11"/>
      <c r="BW31" s="11"/>
      <c r="BX31" s="11"/>
      <c r="BY31" s="4"/>
      <c r="BZ31" s="4"/>
      <c r="CA31" s="4"/>
      <c r="CB31" s="4"/>
      <c r="CC31" s="4"/>
      <c r="CD31" s="4"/>
      <c r="CE31" s="4"/>
      <c r="CF31" s="21"/>
      <c r="CG31" s="66"/>
      <c r="CH31" s="66"/>
      <c r="CP31" s="230"/>
    </row>
    <row r="32" spans="1:94" ht="27" customHeight="1">
      <c r="A32" s="66"/>
      <c r="B32" s="25"/>
      <c r="C32" s="60" t="s">
        <v>12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4"/>
      <c r="Q32" s="4"/>
      <c r="R32" s="4"/>
      <c r="S32" s="4"/>
      <c r="T32" s="4"/>
      <c r="U32" s="4"/>
      <c r="V32" s="4"/>
      <c r="W32" s="4"/>
      <c r="X32" s="4"/>
      <c r="Y32" s="31"/>
      <c r="Z32" s="31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28"/>
      <c r="AO32" s="28"/>
      <c r="AP32" s="28"/>
      <c r="AQ32" s="29"/>
      <c r="AR32" s="74"/>
      <c r="AS32" s="79"/>
      <c r="AT32" s="19"/>
      <c r="AU32" s="569" t="s">
        <v>141</v>
      </c>
      <c r="AV32" s="569"/>
      <c r="AW32" s="569"/>
      <c r="AX32" s="569"/>
      <c r="AY32" s="569"/>
      <c r="AZ32" s="569"/>
      <c r="BA32" s="569"/>
      <c r="BB32" s="569"/>
      <c r="BC32" s="569"/>
      <c r="BD32" s="569"/>
      <c r="BE32" s="569"/>
      <c r="BF32" s="569"/>
      <c r="BG32" s="569"/>
      <c r="BH32" s="569"/>
      <c r="BI32" s="569"/>
      <c r="BJ32" s="569"/>
      <c r="BK32" s="569"/>
      <c r="BL32" s="569"/>
      <c r="BM32" s="569"/>
      <c r="BN32" s="569"/>
      <c r="BO32" s="569"/>
      <c r="BP32" s="569"/>
      <c r="BQ32" s="569"/>
      <c r="BR32" s="569"/>
      <c r="BS32" s="569"/>
      <c r="BT32" s="569"/>
      <c r="BU32" s="569"/>
      <c r="BV32" s="569"/>
      <c r="BW32" s="569"/>
      <c r="BX32" s="569"/>
      <c r="BY32" s="569"/>
      <c r="BZ32" s="569"/>
      <c r="CA32" s="569"/>
      <c r="CB32" s="569"/>
      <c r="CC32" s="569"/>
      <c r="CD32" s="569"/>
      <c r="CE32" s="569"/>
      <c r="CF32" s="21"/>
      <c r="CG32" s="66"/>
      <c r="CH32" s="66"/>
      <c r="CP32" s="22"/>
    </row>
    <row r="33" spans="1:96" ht="21" customHeight="1" thickBot="1">
      <c r="A33" s="66"/>
      <c r="B33" s="25"/>
      <c r="C33" s="63" t="s">
        <v>13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28"/>
      <c r="AO33" s="28"/>
      <c r="AP33" s="28"/>
      <c r="AQ33" s="29"/>
      <c r="AR33" s="75"/>
      <c r="AS33" s="79"/>
      <c r="AT33" s="19"/>
      <c r="AU33" s="569"/>
      <c r="AV33" s="569"/>
      <c r="AW33" s="569"/>
      <c r="AX33" s="569"/>
      <c r="AY33" s="569"/>
      <c r="AZ33" s="569"/>
      <c r="BA33" s="569"/>
      <c r="BB33" s="569"/>
      <c r="BC33" s="569"/>
      <c r="BD33" s="569"/>
      <c r="BE33" s="569"/>
      <c r="BF33" s="569"/>
      <c r="BG33" s="569"/>
      <c r="BH33" s="569"/>
      <c r="BI33" s="569"/>
      <c r="BJ33" s="569"/>
      <c r="BK33" s="569"/>
      <c r="BL33" s="569"/>
      <c r="BM33" s="569"/>
      <c r="BN33" s="569"/>
      <c r="BO33" s="569"/>
      <c r="BP33" s="569"/>
      <c r="BQ33" s="569"/>
      <c r="BR33" s="569"/>
      <c r="BS33" s="569"/>
      <c r="BT33" s="569"/>
      <c r="BU33" s="569"/>
      <c r="BV33" s="569"/>
      <c r="BW33" s="569"/>
      <c r="BX33" s="569"/>
      <c r="BY33" s="569"/>
      <c r="BZ33" s="569"/>
      <c r="CA33" s="569"/>
      <c r="CB33" s="569"/>
      <c r="CC33" s="569"/>
      <c r="CD33" s="569"/>
      <c r="CE33" s="569"/>
      <c r="CF33" s="21"/>
      <c r="CG33" s="67"/>
      <c r="CH33" s="66"/>
      <c r="CP33" s="22"/>
    </row>
    <row r="34" spans="1:96" ht="21" customHeight="1" thickBot="1">
      <c r="A34" s="66"/>
      <c r="B34" s="25"/>
      <c r="C34" s="63" t="s">
        <v>88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6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  <c r="AQ34" s="57"/>
      <c r="AR34" s="75"/>
      <c r="AS34" s="79"/>
      <c r="AT34" s="19"/>
      <c r="AU34" s="569"/>
      <c r="AV34" s="569"/>
      <c r="AW34" s="569"/>
      <c r="AX34" s="569"/>
      <c r="AY34" s="569"/>
      <c r="AZ34" s="569"/>
      <c r="BA34" s="569"/>
      <c r="BB34" s="569"/>
      <c r="BC34" s="569"/>
      <c r="BD34" s="569"/>
      <c r="BE34" s="569"/>
      <c r="BF34" s="569"/>
      <c r="BG34" s="569"/>
      <c r="BH34" s="569"/>
      <c r="BI34" s="569"/>
      <c r="BJ34" s="569"/>
      <c r="BK34" s="569"/>
      <c r="BL34" s="569"/>
      <c r="BM34" s="569"/>
      <c r="BN34" s="569"/>
      <c r="BO34" s="569"/>
      <c r="BP34" s="569"/>
      <c r="BQ34" s="569"/>
      <c r="BR34" s="569"/>
      <c r="BS34" s="569"/>
      <c r="BT34" s="569"/>
      <c r="BU34" s="569"/>
      <c r="BV34" s="569"/>
      <c r="BW34" s="569"/>
      <c r="BX34" s="569"/>
      <c r="BY34" s="569"/>
      <c r="BZ34" s="569"/>
      <c r="CA34" s="569"/>
      <c r="CB34" s="569"/>
      <c r="CC34" s="569"/>
      <c r="CD34" s="569"/>
      <c r="CE34" s="569"/>
      <c r="CF34" s="23"/>
      <c r="CG34" s="67"/>
      <c r="CH34" s="66"/>
      <c r="CP34" s="22"/>
    </row>
    <row r="35" spans="1:96" ht="19.5" customHeight="1">
      <c r="A35" s="66"/>
      <c r="B35" s="25"/>
      <c r="C35" s="63" t="s">
        <v>89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9"/>
      <c r="AB35" s="82" t="s">
        <v>10</v>
      </c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1"/>
      <c r="AQ35" s="57"/>
      <c r="AR35" s="75"/>
      <c r="AS35" s="79"/>
      <c r="AT35" s="19"/>
      <c r="AU35" s="89" t="s">
        <v>24</v>
      </c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4"/>
      <c r="BT35" s="4"/>
      <c r="BU35" s="4"/>
      <c r="BV35" s="4"/>
      <c r="BW35" s="4"/>
      <c r="BX35" s="4"/>
      <c r="BY35" s="4"/>
      <c r="BZ35" s="377" t="s">
        <v>151</v>
      </c>
      <c r="CA35" s="377"/>
      <c r="CB35" s="377"/>
      <c r="CC35" s="377"/>
      <c r="CD35" s="377"/>
      <c r="CE35" s="377"/>
      <c r="CF35" s="23"/>
      <c r="CG35" s="67"/>
      <c r="CH35" s="66"/>
      <c r="CL35" s="323"/>
      <c r="CM35" s="17" t="s">
        <v>152</v>
      </c>
      <c r="CN35" s="17"/>
      <c r="CO35" s="17"/>
      <c r="CP35" s="17"/>
      <c r="CQ35" s="17"/>
      <c r="CR35" s="18"/>
    </row>
    <row r="36" spans="1:96" ht="19.5" customHeight="1" thickBot="1">
      <c r="A36" s="66"/>
      <c r="B36" s="2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9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1"/>
      <c r="AQ36" s="57"/>
      <c r="AR36" s="75"/>
      <c r="AS36" s="79"/>
      <c r="AT36" s="19"/>
      <c r="AU36" s="566" t="s">
        <v>32</v>
      </c>
      <c r="AV36" s="566"/>
      <c r="AW36" s="566"/>
      <c r="AX36" s="566"/>
      <c r="AY36" s="9"/>
      <c r="AZ36" s="571"/>
      <c r="BA36" s="514" t="s">
        <v>72</v>
      </c>
      <c r="BB36" s="515"/>
      <c r="BC36" s="515"/>
      <c r="BD36" s="515"/>
      <c r="BE36" s="515"/>
      <c r="BF36" s="515"/>
      <c r="BG36" s="515"/>
      <c r="BH36" s="515"/>
      <c r="BI36" s="515"/>
      <c r="BJ36" s="516"/>
      <c r="BK36" s="573" t="s">
        <v>8</v>
      </c>
      <c r="BL36" s="574"/>
      <c r="BM36" s="574"/>
      <c r="BN36" s="574"/>
      <c r="BO36" s="574"/>
      <c r="BP36" s="574"/>
      <c r="BQ36" s="574"/>
      <c r="BR36" s="574"/>
      <c r="BS36" s="574"/>
      <c r="BT36" s="574"/>
      <c r="BU36" s="574"/>
      <c r="BV36" s="574"/>
      <c r="BW36" s="574"/>
      <c r="BX36" s="574"/>
      <c r="BY36" s="574"/>
      <c r="BZ36" s="374" t="s">
        <v>149</v>
      </c>
      <c r="CA36" s="375"/>
      <c r="CB36" s="376"/>
      <c r="CC36" s="374" t="s">
        <v>150</v>
      </c>
      <c r="CD36" s="375"/>
      <c r="CE36" s="376"/>
      <c r="CF36" s="23"/>
      <c r="CG36" s="67"/>
      <c r="CH36" s="66"/>
      <c r="CL36" s="25"/>
      <c r="CM36" s="22" t="s">
        <v>102</v>
      </c>
      <c r="CN36" s="22"/>
      <c r="CO36" s="22"/>
      <c r="CP36" s="22"/>
      <c r="CQ36" s="22"/>
      <c r="CR36" s="23"/>
    </row>
    <row r="37" spans="1:96" ht="21" customHeight="1" thickBot="1">
      <c r="A37" s="66"/>
      <c r="B37" s="2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9"/>
      <c r="AB37" s="477" t="s">
        <v>2</v>
      </c>
      <c r="AC37" s="478"/>
      <c r="AD37" s="478"/>
      <c r="AE37" s="478"/>
      <c r="AF37" s="478"/>
      <c r="AG37" s="478"/>
      <c r="AH37" s="478"/>
      <c r="AI37" s="478"/>
      <c r="AJ37" s="478"/>
      <c r="AK37" s="478"/>
      <c r="AL37" s="478"/>
      <c r="AM37" s="478"/>
      <c r="AN37" s="478"/>
      <c r="AO37" s="479"/>
      <c r="AP37" s="51"/>
      <c r="AQ37" s="57"/>
      <c r="AR37" s="75"/>
      <c r="AS37" s="79"/>
      <c r="AT37" s="19"/>
      <c r="AU37" s="566"/>
      <c r="AV37" s="566"/>
      <c r="AW37" s="566"/>
      <c r="AX37" s="566"/>
      <c r="AY37" s="9"/>
      <c r="AZ37" s="572"/>
      <c r="BA37" s="517"/>
      <c r="BB37" s="518"/>
      <c r="BC37" s="518"/>
      <c r="BD37" s="518"/>
      <c r="BE37" s="518"/>
      <c r="BF37" s="518"/>
      <c r="BG37" s="518"/>
      <c r="BH37" s="518"/>
      <c r="BI37" s="518"/>
      <c r="BJ37" s="519"/>
      <c r="BK37" s="448" t="s">
        <v>9</v>
      </c>
      <c r="BL37" s="449"/>
      <c r="BM37" s="449"/>
      <c r="BN37" s="449"/>
      <c r="BO37" s="449"/>
      <c r="BP37" s="449"/>
      <c r="BQ37" s="449"/>
      <c r="BR37" s="450"/>
      <c r="BS37" s="446" t="s">
        <v>33</v>
      </c>
      <c r="BT37" s="446"/>
      <c r="BU37" s="446"/>
      <c r="BV37" s="446"/>
      <c r="BW37" s="446"/>
      <c r="BX37" s="446"/>
      <c r="BY37" s="447"/>
      <c r="BZ37" s="572" t="s">
        <v>92</v>
      </c>
      <c r="CA37" s="572"/>
      <c r="CB37" s="572"/>
      <c r="CC37" s="572"/>
      <c r="CD37" s="572"/>
      <c r="CE37" s="572"/>
      <c r="CF37" s="23"/>
      <c r="CG37" s="66"/>
      <c r="CH37" s="66"/>
      <c r="CL37" s="25"/>
      <c r="CM37" s="358" t="s">
        <v>98</v>
      </c>
      <c r="CN37" s="359" t="s">
        <v>93</v>
      </c>
      <c r="CO37" s="355" t="s">
        <v>100</v>
      </c>
      <c r="CP37" s="358" t="s">
        <v>101</v>
      </c>
      <c r="CQ37" s="358" t="s">
        <v>99</v>
      </c>
      <c r="CR37" s="23"/>
    </row>
    <row r="38" spans="1:96" ht="15.95" customHeight="1">
      <c r="A38" s="66"/>
      <c r="B38" s="2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9"/>
      <c r="AB38" s="634" t="str">
        <f>IF(D12="","",(IF(AU38&lt;=BQ28,AU28,(IF(AU38&lt;=BQ29,AU29,(IF(AU38&lt;=BQ30,AU30,"法定減額は適用されません。")))))))</f>
        <v/>
      </c>
      <c r="AC38" s="635"/>
      <c r="AD38" s="635"/>
      <c r="AE38" s="635"/>
      <c r="AF38" s="635"/>
      <c r="AG38" s="635"/>
      <c r="AH38" s="635"/>
      <c r="AI38" s="635"/>
      <c r="AJ38" s="635"/>
      <c r="AK38" s="635"/>
      <c r="AL38" s="635"/>
      <c r="AM38" s="635"/>
      <c r="AN38" s="635"/>
      <c r="AO38" s="636"/>
      <c r="AP38" s="51"/>
      <c r="AQ38" s="57"/>
      <c r="AR38" s="75"/>
      <c r="AS38" s="79"/>
      <c r="AT38" s="19"/>
      <c r="AU38" s="609">
        <f>'１人目'!AE46+'２人目'!AE46+'３人目'!AE46+'４人目'!AE46+'５人目'!AE46+'６人目'!AE46+'７人目'!AE46+'８人目'!AE46+'９人目'!AE46+'10人目'!AE46</f>
        <v>0</v>
      </c>
      <c r="AV38" s="609"/>
      <c r="AW38" s="609"/>
      <c r="AX38" s="609"/>
      <c r="AY38" s="3"/>
      <c r="AZ38" s="14" t="str">
        <f>IF(D12=0,"",1)</f>
        <v/>
      </c>
      <c r="BA38" s="352">
        <f>'１人目'!AE45</f>
        <v>0</v>
      </c>
      <c r="BB38" s="353"/>
      <c r="BC38" s="353"/>
      <c r="BD38" s="353"/>
      <c r="BE38" s="353"/>
      <c r="BF38" s="353"/>
      <c r="BG38" s="353"/>
      <c r="BH38" s="353"/>
      <c r="BI38" s="353"/>
      <c r="BJ38" s="354"/>
      <c r="BK38" s="451">
        <f>IF(ISNUMBER(I17),IF($D$12=0,0,IF(AND(40&lt;=I17,I17&lt;65),1,0)),0)</f>
        <v>0</v>
      </c>
      <c r="BL38" s="452"/>
      <c r="BM38" s="452"/>
      <c r="BN38" s="452"/>
      <c r="BO38" s="452"/>
      <c r="BP38" s="452"/>
      <c r="BQ38" s="452"/>
      <c r="BR38" s="453"/>
      <c r="BS38" s="423">
        <f>IF(BK38=0,0,BA38)</f>
        <v>0</v>
      </c>
      <c r="BT38" s="423"/>
      <c r="BU38" s="423"/>
      <c r="BV38" s="423"/>
      <c r="BW38" s="423"/>
      <c r="BX38" s="423"/>
      <c r="BY38" s="424"/>
      <c r="BZ38" s="366">
        <f>IF(ISNUMBER(M17),IF($D$12=0,0,IF(M17=1,1,0)),0)</f>
        <v>0</v>
      </c>
      <c r="CA38" s="367"/>
      <c r="CB38" s="367"/>
      <c r="CC38" s="366">
        <f>IF(ISNUMBER(M17),IF($D$12=0,0,IF(M17=2,2/2,IF(M17=1,1,0))),0)</f>
        <v>0</v>
      </c>
      <c r="CD38" s="367"/>
      <c r="CE38" s="378"/>
      <c r="CF38" s="23"/>
      <c r="CG38" s="66"/>
      <c r="CH38" s="66"/>
      <c r="CL38" s="25"/>
      <c r="CM38" s="358"/>
      <c r="CN38" s="359"/>
      <c r="CO38" s="356"/>
      <c r="CP38" s="358"/>
      <c r="CQ38" s="358"/>
      <c r="CR38" s="23"/>
    </row>
    <row r="39" spans="1:96" ht="15.95" customHeight="1" thickBot="1">
      <c r="A39" s="66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7"/>
      <c r="Q39" s="27"/>
      <c r="R39" s="27"/>
      <c r="S39" s="27"/>
      <c r="T39" s="27"/>
      <c r="U39" s="27"/>
      <c r="V39" s="27"/>
      <c r="W39" s="27"/>
      <c r="X39" s="27"/>
      <c r="Y39" s="4"/>
      <c r="Z39" s="4"/>
      <c r="AA39" s="49"/>
      <c r="AB39" s="637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  <c r="AN39" s="638"/>
      <c r="AO39" s="639"/>
      <c r="AP39" s="51"/>
      <c r="AQ39" s="57"/>
      <c r="AR39" s="75"/>
      <c r="AS39" s="79"/>
      <c r="AT39" s="19"/>
      <c r="AU39" s="7"/>
      <c r="AV39" s="7"/>
      <c r="AW39" s="7"/>
      <c r="AX39" s="7"/>
      <c r="AY39" s="7"/>
      <c r="AZ39" s="12" t="str">
        <f>IF(D12&gt;1,2,"")</f>
        <v/>
      </c>
      <c r="BA39" s="425">
        <f>'２人目'!AE45</f>
        <v>0</v>
      </c>
      <c r="BB39" s="426"/>
      <c r="BC39" s="426"/>
      <c r="BD39" s="426"/>
      <c r="BE39" s="426"/>
      <c r="BF39" s="426"/>
      <c r="BG39" s="426"/>
      <c r="BH39" s="426"/>
      <c r="BI39" s="426"/>
      <c r="BJ39" s="427"/>
      <c r="BK39" s="360">
        <f>IF(ISNUMBER(I18),IF($D$12=0,0,IF(AND(40&lt;=I18,I18&lt;65),1,0)),0)</f>
        <v>0</v>
      </c>
      <c r="BL39" s="361"/>
      <c r="BM39" s="361"/>
      <c r="BN39" s="361"/>
      <c r="BO39" s="361"/>
      <c r="BP39" s="361"/>
      <c r="BQ39" s="361"/>
      <c r="BR39" s="429"/>
      <c r="BS39" s="423">
        <f>IF(BK39=0,0,BA39)</f>
        <v>0</v>
      </c>
      <c r="BT39" s="423"/>
      <c r="BU39" s="423"/>
      <c r="BV39" s="423"/>
      <c r="BW39" s="423"/>
      <c r="BX39" s="423"/>
      <c r="BY39" s="424"/>
      <c r="BZ39" s="360">
        <f t="shared" ref="BZ39:BZ47" si="3">IF(ISNUMBER(M18),IF($D$12=0,0,IF(M18=1,1,0)),0)</f>
        <v>0</v>
      </c>
      <c r="CA39" s="361"/>
      <c r="CB39" s="361"/>
      <c r="CC39" s="360">
        <f t="shared" ref="CC39:CC47" si="4">IF(ISNUMBER(M18),IF($D$12=0,0,IF(M18=2,2/2,IF(M18=1,1,0))),0)</f>
        <v>0</v>
      </c>
      <c r="CD39" s="361"/>
      <c r="CE39" s="362"/>
      <c r="CF39" s="23"/>
      <c r="CG39" s="66"/>
      <c r="CH39" s="66"/>
      <c r="CL39" s="25"/>
      <c r="CM39" s="358"/>
      <c r="CN39" s="359"/>
      <c r="CO39" s="357"/>
      <c r="CP39" s="358"/>
      <c r="CQ39" s="358"/>
      <c r="CR39" s="23"/>
    </row>
    <row r="40" spans="1:96" ht="15.95" customHeight="1" thickBot="1">
      <c r="A40" s="66"/>
      <c r="B40" s="2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9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1"/>
      <c r="AQ40" s="57"/>
      <c r="AR40" s="75"/>
      <c r="AS40" s="79"/>
      <c r="AT40" s="19"/>
      <c r="AU40" s="377" t="s">
        <v>6</v>
      </c>
      <c r="AV40" s="377"/>
      <c r="AW40" s="377"/>
      <c r="AX40" s="377"/>
      <c r="AY40" s="3"/>
      <c r="AZ40" s="12" t="str">
        <f>IF(D12&gt;2,3,"")</f>
        <v/>
      </c>
      <c r="BA40" s="425">
        <f>'３人目'!AE45</f>
        <v>0</v>
      </c>
      <c r="BB40" s="426"/>
      <c r="BC40" s="426"/>
      <c r="BD40" s="426"/>
      <c r="BE40" s="426"/>
      <c r="BF40" s="426"/>
      <c r="BG40" s="426"/>
      <c r="BH40" s="426"/>
      <c r="BI40" s="426"/>
      <c r="BJ40" s="427"/>
      <c r="BK40" s="360">
        <f>IF(ISNUMBER(I19),IF($D$12=0,0,IF(AND(40&lt;=I19,I19&lt;65),1,0)),0)</f>
        <v>0</v>
      </c>
      <c r="BL40" s="361"/>
      <c r="BM40" s="361"/>
      <c r="BN40" s="361"/>
      <c r="BO40" s="361"/>
      <c r="BP40" s="361"/>
      <c r="BQ40" s="361"/>
      <c r="BR40" s="429"/>
      <c r="BS40" s="423">
        <f>IF(BK40=0,0,BA40)</f>
        <v>0</v>
      </c>
      <c r="BT40" s="423"/>
      <c r="BU40" s="423"/>
      <c r="BV40" s="423"/>
      <c r="BW40" s="423"/>
      <c r="BX40" s="423"/>
      <c r="BY40" s="424"/>
      <c r="BZ40" s="360">
        <f t="shared" si="3"/>
        <v>0</v>
      </c>
      <c r="CA40" s="361"/>
      <c r="CB40" s="361"/>
      <c r="CC40" s="360">
        <f t="shared" si="4"/>
        <v>0</v>
      </c>
      <c r="CD40" s="361"/>
      <c r="CE40" s="362"/>
      <c r="CF40" s="23"/>
      <c r="CG40" s="66"/>
      <c r="CH40" s="66"/>
      <c r="CL40" s="25"/>
      <c r="CM40" s="363">
        <f>AX18</f>
        <v>30080</v>
      </c>
      <c r="CN40" s="320" t="s">
        <v>94</v>
      </c>
      <c r="CO40" s="231">
        <f>ROUNDUP($CM$40*0.7,0)</f>
        <v>21056</v>
      </c>
      <c r="CP40" s="231">
        <f>ROUNDUP(($CM$40-CO40)*0.5,0)</f>
        <v>4512</v>
      </c>
      <c r="CQ40" s="231">
        <f>CP40*$BZ$48</f>
        <v>0</v>
      </c>
      <c r="CR40" s="23"/>
    </row>
    <row r="41" spans="1:96" ht="15.95" customHeight="1">
      <c r="A41" s="66"/>
      <c r="B41" s="2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90"/>
      <c r="AB41" s="640" t="s">
        <v>26</v>
      </c>
      <c r="AC41" s="641"/>
      <c r="AD41" s="641"/>
      <c r="AE41" s="641"/>
      <c r="AF41" s="641"/>
      <c r="AG41" s="641"/>
      <c r="AH41" s="642"/>
      <c r="AI41" s="625" t="str">
        <f>IF(D12=0,"",IF(AU38&lt;=BQ28,IF((AX16+AX18*D12)-((ROUNDUP((AX16+AX18*D12)*AU28/10,0))+CQ40)+(ROUNDDOWN(AU41*AX20/100,-1))&gt;AX22,AX22,(AX16+AX18*D12)-((ROUNDUP((AX16+AX18*D12)*AU28/10,0))+CQ40)+(ROUNDDOWN(AU41*AX20/100,-1))),IF(AU38&lt;=BQ29,IF((AX16+AX18*D12)-((ROUNDUP((AX16+AX18*D12)*AU29/10,0))+CQ41)+(ROUNDDOWN(AU41*AX20/100,-1))&gt;AX22,AX22,(AX16+AX18*D12)-((ROUNDUP((AX16+AX18*D12)*AU29/10,0))+CQ41)+(ROUNDDOWN(AU41*AX20/100,-1))),IF(AU38&lt;=BQ30,IF((AX16+AX18*D12)-((ROUNDUP((AX16+AX18*D12)*AU30/10,0))+CQ42)+(ROUNDDOWN(AU41*AX20/100,-1))&gt;AX22,AX22,(AX16+AX18*D12)-((ROUNDUP((AX16+AX18*D12)*AU30/10,0))+CQ42)+(ROUNDDOWN(AU41*AX20/100,-1))),IF(((AX16+AX18*D12)-CQ43)+(ROUNDDOWN(AU41*AX20/100,-1))&gt;AX22,AX22,((AX16+AX18*D12)-CQ43)+(ROUNDDOWN(AU41*AX20/100,-1)))))))</f>
        <v/>
      </c>
      <c r="AJ41" s="626"/>
      <c r="AK41" s="626"/>
      <c r="AL41" s="626"/>
      <c r="AM41" s="626"/>
      <c r="AN41" s="626"/>
      <c r="AO41" s="627"/>
      <c r="AP41" s="51"/>
      <c r="AQ41" s="57"/>
      <c r="AR41" s="75"/>
      <c r="AS41" s="79"/>
      <c r="AT41" s="19"/>
      <c r="AU41" s="609">
        <f>BA48</f>
        <v>0</v>
      </c>
      <c r="AV41" s="609"/>
      <c r="AW41" s="609"/>
      <c r="AX41" s="609"/>
      <c r="AY41" s="3"/>
      <c r="AZ41" s="12" t="str">
        <f>IF(D12&gt;3,4,"")</f>
        <v/>
      </c>
      <c r="BA41" s="425">
        <f>'４人目'!AE45</f>
        <v>0</v>
      </c>
      <c r="BB41" s="426"/>
      <c r="BC41" s="426"/>
      <c r="BD41" s="426"/>
      <c r="BE41" s="426"/>
      <c r="BF41" s="426"/>
      <c r="BG41" s="426"/>
      <c r="BH41" s="426"/>
      <c r="BI41" s="426"/>
      <c r="BJ41" s="427"/>
      <c r="BK41" s="360">
        <f t="shared" ref="BK41:BK46" si="5">IF(ISNUMBER(I20),IF($D$12=0,0,IF(AND(40&lt;=I20,I20&lt;65),1,0)),0)</f>
        <v>0</v>
      </c>
      <c r="BL41" s="361"/>
      <c r="BM41" s="361"/>
      <c r="BN41" s="361"/>
      <c r="BO41" s="361"/>
      <c r="BP41" s="361"/>
      <c r="BQ41" s="361"/>
      <c r="BR41" s="429"/>
      <c r="BS41" s="423">
        <f t="shared" ref="BS41:BS47" si="6">IF(BK41=0,0,BA41)</f>
        <v>0</v>
      </c>
      <c r="BT41" s="423"/>
      <c r="BU41" s="423"/>
      <c r="BV41" s="423"/>
      <c r="BW41" s="423"/>
      <c r="BX41" s="423"/>
      <c r="BY41" s="424"/>
      <c r="BZ41" s="360">
        <f t="shared" si="3"/>
        <v>0</v>
      </c>
      <c r="CA41" s="361"/>
      <c r="CB41" s="361"/>
      <c r="CC41" s="360">
        <f t="shared" si="4"/>
        <v>0</v>
      </c>
      <c r="CD41" s="361"/>
      <c r="CE41" s="362"/>
      <c r="CF41" s="23"/>
      <c r="CG41" s="66"/>
      <c r="CH41" s="66"/>
      <c r="CL41" s="25"/>
      <c r="CM41" s="363"/>
      <c r="CN41" s="320" t="s">
        <v>95</v>
      </c>
      <c r="CO41" s="231">
        <f>ROUNDUP($CM$40*0.5,0)</f>
        <v>15040</v>
      </c>
      <c r="CP41" s="231">
        <f>ROUNDUP(($CM$40-CO41)*0.5,0)</f>
        <v>7520</v>
      </c>
      <c r="CQ41" s="231">
        <f t="shared" ref="CQ41:CQ43" si="7">CP41*$BZ$48</f>
        <v>0</v>
      </c>
      <c r="CR41" s="23"/>
    </row>
    <row r="42" spans="1:96" ht="15.95" customHeight="1">
      <c r="A42" s="66"/>
      <c r="B42" s="2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90"/>
      <c r="AB42" s="616"/>
      <c r="AC42" s="617"/>
      <c r="AD42" s="617"/>
      <c r="AE42" s="617"/>
      <c r="AF42" s="617"/>
      <c r="AG42" s="617"/>
      <c r="AH42" s="618"/>
      <c r="AI42" s="464"/>
      <c r="AJ42" s="465"/>
      <c r="AK42" s="465"/>
      <c r="AL42" s="465"/>
      <c r="AM42" s="465"/>
      <c r="AN42" s="465"/>
      <c r="AO42" s="466"/>
      <c r="AP42" s="51"/>
      <c r="AQ42" s="57"/>
      <c r="AR42" s="75"/>
      <c r="AS42" s="79"/>
      <c r="AT42" s="19"/>
      <c r="AU42" s="7"/>
      <c r="AV42" s="7"/>
      <c r="AW42" s="7"/>
      <c r="AX42" s="7"/>
      <c r="AY42" s="7"/>
      <c r="AZ42" s="12" t="str">
        <f>IF(D12&gt;4,5,"")</f>
        <v/>
      </c>
      <c r="BA42" s="425">
        <f>'５人目'!AE45</f>
        <v>0</v>
      </c>
      <c r="BB42" s="426"/>
      <c r="BC42" s="426"/>
      <c r="BD42" s="426"/>
      <c r="BE42" s="426"/>
      <c r="BF42" s="426"/>
      <c r="BG42" s="426"/>
      <c r="BH42" s="426"/>
      <c r="BI42" s="426"/>
      <c r="BJ42" s="427"/>
      <c r="BK42" s="360">
        <f t="shared" si="5"/>
        <v>0</v>
      </c>
      <c r="BL42" s="361"/>
      <c r="BM42" s="361"/>
      <c r="BN42" s="361"/>
      <c r="BO42" s="361"/>
      <c r="BP42" s="361"/>
      <c r="BQ42" s="361"/>
      <c r="BR42" s="429"/>
      <c r="BS42" s="423">
        <f t="shared" si="6"/>
        <v>0</v>
      </c>
      <c r="BT42" s="423"/>
      <c r="BU42" s="423"/>
      <c r="BV42" s="423"/>
      <c r="BW42" s="423"/>
      <c r="BX42" s="423"/>
      <c r="BY42" s="424"/>
      <c r="BZ42" s="360">
        <f t="shared" si="3"/>
        <v>0</v>
      </c>
      <c r="CA42" s="361"/>
      <c r="CB42" s="361"/>
      <c r="CC42" s="360">
        <f t="shared" si="4"/>
        <v>0</v>
      </c>
      <c r="CD42" s="361"/>
      <c r="CE42" s="362"/>
      <c r="CF42" s="23"/>
      <c r="CG42" s="66"/>
      <c r="CH42" s="66"/>
      <c r="CL42" s="25"/>
      <c r="CM42" s="363"/>
      <c r="CN42" s="320" t="s">
        <v>96</v>
      </c>
      <c r="CO42" s="231">
        <f>ROUNDUP($CM$40*0.2,0)</f>
        <v>6016</v>
      </c>
      <c r="CP42" s="231">
        <f>ROUNDUP(($CM$40-CO42)*0.5,0)</f>
        <v>12032</v>
      </c>
      <c r="CQ42" s="231">
        <f t="shared" si="7"/>
        <v>0</v>
      </c>
      <c r="CR42" s="23"/>
    </row>
    <row r="43" spans="1:96" ht="15.95" customHeight="1">
      <c r="A43" s="66"/>
      <c r="B43" s="2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90"/>
      <c r="AB43" s="613" t="s">
        <v>27</v>
      </c>
      <c r="AC43" s="614"/>
      <c r="AD43" s="614"/>
      <c r="AE43" s="614"/>
      <c r="AF43" s="614"/>
      <c r="AG43" s="614"/>
      <c r="AH43" s="615"/>
      <c r="AI43" s="461" t="str">
        <f>IF(D12=0,"",IF(AU38&lt;=BQ28,IF((BA16+BA18*D12)-((ROUNDUP((BA16+BA18*D12)*AU28/10,0))+CQ49)+(ROUNDDOWN(AU41*BA20/100,-1))&gt;BA22,BA22,(BA16+BA18*D12)-((ROUNDUP((BA16+BA18*D12)*AU28/10,0))+CQ49)+(ROUNDDOWN(AU41*BA20/100,-1))),IF(AU38&lt;=BQ29,IF((BA16+BA18*D12)-((ROUNDUP((BA16+BA18*D12)*AU29/10,0))+CQ50)+(ROUNDDOWN(AU41*BA20/100,-1))&gt;BA22,BA22,(BA16+BA18*D12)-((ROUNDUP((BA16+BA18*D12)*AU29/10,0))+CQ50)+(ROUNDDOWN(AU41*BA20/100,-1))),IF(AU38&lt;=BQ30,IF((BA16+BA18*D12)-((ROUNDUP((BA16+BA18*D12)*AU30/10,0))+CQ51)+(ROUNDDOWN(AU41*BA20/100,-1))&gt;BA22,BA22,(BA16+BA18*D12)-((ROUNDUP((BA16+BA18*D12)*AU30/10,0))+CQ51)+(ROUNDDOWN(AU41*BA20/100,-1))),IF(((BA16+BA18*D12)-CQ52)+(ROUNDDOWN(AU41*BA20/100,-1))&gt;BA22,BA22,((BA16+BA18*D12)-CQ52)+(ROUNDDOWN(AU41*BA20/100,-1)))))))</f>
        <v/>
      </c>
      <c r="AJ43" s="462"/>
      <c r="AK43" s="462"/>
      <c r="AL43" s="462"/>
      <c r="AM43" s="462"/>
      <c r="AN43" s="462"/>
      <c r="AO43" s="463"/>
      <c r="AP43" s="51"/>
      <c r="AQ43" s="57"/>
      <c r="AR43" s="75"/>
      <c r="AS43" s="79"/>
      <c r="AT43" s="19"/>
      <c r="AU43" s="606" t="s">
        <v>34</v>
      </c>
      <c r="AV43" s="607"/>
      <c r="AW43" s="607"/>
      <c r="AX43" s="608"/>
      <c r="AY43" s="3"/>
      <c r="AZ43" s="12" t="str">
        <f>IF(D12&gt;5,6,"")</f>
        <v/>
      </c>
      <c r="BA43" s="425">
        <f>'６人目'!AE45</f>
        <v>0</v>
      </c>
      <c r="BB43" s="426"/>
      <c r="BC43" s="426"/>
      <c r="BD43" s="426"/>
      <c r="BE43" s="426"/>
      <c r="BF43" s="426"/>
      <c r="BG43" s="426"/>
      <c r="BH43" s="426"/>
      <c r="BI43" s="426"/>
      <c r="BJ43" s="427"/>
      <c r="BK43" s="360">
        <f t="shared" si="5"/>
        <v>0</v>
      </c>
      <c r="BL43" s="361"/>
      <c r="BM43" s="361"/>
      <c r="BN43" s="361"/>
      <c r="BO43" s="361"/>
      <c r="BP43" s="361"/>
      <c r="BQ43" s="361"/>
      <c r="BR43" s="429"/>
      <c r="BS43" s="423">
        <f t="shared" si="6"/>
        <v>0</v>
      </c>
      <c r="BT43" s="423"/>
      <c r="BU43" s="423"/>
      <c r="BV43" s="423"/>
      <c r="BW43" s="423"/>
      <c r="BX43" s="423"/>
      <c r="BY43" s="424"/>
      <c r="BZ43" s="360">
        <f t="shared" si="3"/>
        <v>0</v>
      </c>
      <c r="CA43" s="361"/>
      <c r="CB43" s="361"/>
      <c r="CC43" s="360">
        <f t="shared" si="4"/>
        <v>0</v>
      </c>
      <c r="CD43" s="361"/>
      <c r="CE43" s="362"/>
      <c r="CF43" s="23"/>
      <c r="CG43" s="66"/>
      <c r="CH43" s="66"/>
      <c r="CL43" s="25"/>
      <c r="CM43" s="363"/>
      <c r="CN43" s="320" t="s">
        <v>97</v>
      </c>
      <c r="CO43" s="231">
        <f>ROUNDUP($CM$40*0,0)</f>
        <v>0</v>
      </c>
      <c r="CP43" s="231">
        <f>ROUNDUP(($CM$40-CO43)*0.5,0)</f>
        <v>15040</v>
      </c>
      <c r="CQ43" s="231">
        <f t="shared" si="7"/>
        <v>0</v>
      </c>
      <c r="CR43" s="23"/>
    </row>
    <row r="44" spans="1:96" ht="15.95" customHeight="1">
      <c r="A44" s="66"/>
      <c r="B44" s="2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0"/>
      <c r="AB44" s="616"/>
      <c r="AC44" s="617"/>
      <c r="AD44" s="617"/>
      <c r="AE44" s="617"/>
      <c r="AF44" s="617"/>
      <c r="AG44" s="617"/>
      <c r="AH44" s="618"/>
      <c r="AI44" s="631"/>
      <c r="AJ44" s="632"/>
      <c r="AK44" s="632"/>
      <c r="AL44" s="632"/>
      <c r="AM44" s="632"/>
      <c r="AN44" s="632"/>
      <c r="AO44" s="633"/>
      <c r="AP44" s="51"/>
      <c r="AQ44" s="57"/>
      <c r="AR44" s="75"/>
      <c r="AS44" s="79"/>
      <c r="AT44" s="19"/>
      <c r="AU44" s="610">
        <f>BS48</f>
        <v>0</v>
      </c>
      <c r="AV44" s="611"/>
      <c r="AW44" s="611"/>
      <c r="AX44" s="612"/>
      <c r="AY44" s="3"/>
      <c r="AZ44" s="12" t="str">
        <f>IF(D12&gt;6,7,"")</f>
        <v/>
      </c>
      <c r="BA44" s="425">
        <f>'７人目'!AE45</f>
        <v>0</v>
      </c>
      <c r="BB44" s="426"/>
      <c r="BC44" s="426"/>
      <c r="BD44" s="426"/>
      <c r="BE44" s="426"/>
      <c r="BF44" s="426"/>
      <c r="BG44" s="426"/>
      <c r="BH44" s="426"/>
      <c r="BI44" s="426"/>
      <c r="BJ44" s="427"/>
      <c r="BK44" s="360">
        <f t="shared" si="5"/>
        <v>0</v>
      </c>
      <c r="BL44" s="361"/>
      <c r="BM44" s="361"/>
      <c r="BN44" s="361"/>
      <c r="BO44" s="361"/>
      <c r="BP44" s="361"/>
      <c r="BQ44" s="361"/>
      <c r="BR44" s="429"/>
      <c r="BS44" s="423">
        <f t="shared" si="6"/>
        <v>0</v>
      </c>
      <c r="BT44" s="423"/>
      <c r="BU44" s="423"/>
      <c r="BV44" s="423"/>
      <c r="BW44" s="423"/>
      <c r="BX44" s="423"/>
      <c r="BY44" s="424"/>
      <c r="BZ44" s="360">
        <f t="shared" si="3"/>
        <v>0</v>
      </c>
      <c r="CA44" s="361"/>
      <c r="CB44" s="361"/>
      <c r="CC44" s="360">
        <f t="shared" si="4"/>
        <v>0</v>
      </c>
      <c r="CD44" s="361"/>
      <c r="CE44" s="362"/>
      <c r="CF44" s="23"/>
      <c r="CG44" s="66"/>
      <c r="CH44" s="66"/>
      <c r="CL44" s="25"/>
      <c r="CM44" s="22"/>
      <c r="CN44" s="22"/>
      <c r="CO44" s="22"/>
      <c r="CP44" s="22"/>
      <c r="CQ44" s="22"/>
      <c r="CR44" s="23"/>
    </row>
    <row r="45" spans="1:96" ht="15.95" customHeight="1">
      <c r="A45" s="66"/>
      <c r="B45" s="2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90"/>
      <c r="AB45" s="619" t="s">
        <v>171</v>
      </c>
      <c r="AC45" s="620"/>
      <c r="AD45" s="620"/>
      <c r="AE45" s="620"/>
      <c r="AF45" s="620"/>
      <c r="AG45" s="620"/>
      <c r="AH45" s="621"/>
      <c r="AI45" s="461" t="str">
        <f>IF(D12=0,"",IF(AU38&lt;=BQ28,IF((BD16+(BD18*D12)+(BD19*(D12-CC48)))-((ROUNDUP((BD16+(BD18*D12)+(BD19*(D12-CC48)))*AU28/10,0))+CQ58+CY58)+(ROUNDDOWN(AU41*BD20/100,-1))&gt;BD22,BD22,(BD16+(BD18*D12)+(BD19*(D12-CC48)))-((ROUNDUP((BD16+(BD18*D12)+(BD19*(D12-CC48)))*AU28/10,0))+CQ58+CY58)+(ROUNDDOWN(AU41*BD20/100,-1))),IF(AU38&lt;=BQ29,IF((BD16+(BD18*D12)+(BD19*(D12-CC48)))-((ROUNDUP((BD16+(BD18*D12)+(BD19*(D12-CC48)))*AU29/10,0))+CQ59+CY60)+(ROUNDDOWN(AU41*BD20/100,-1))&gt;BD22,BD22,(BD16+(BD18*D12)+(BD19*(D12-CC48)))-((ROUNDUP((BD16+(BD18*D12)+(BD19*(D12-CC48)))*AU29/10,0))+CQ59+CY60)+(ROUNDDOWN(AU41*BD20/100,-1))),IF(AU38&lt;=BQ30,IF((BD16+(BD18*D12)+(BD19*(D12-CC48)))-((ROUNDUP((BD16+(BD18*D12)+(BD19*(D12-CC48)))*AU30/10,0))+CQ60+CY62)+(ROUNDDOWN(AU41*BD20/100,-1))&gt;BD22,BD22,(BD16+(BD18*D12)+(BD19*(D12-CC48)))-((ROUNDUP((BD16+(BD18*D12)+(BD19*(D12-CC48)))*AU30/10,0))+CQ60+CY62)+(ROUNDDOWN(AU41*BD20/100,-1))),IF(((BD16+(BD18*D12)+(BD19*(D12-CC48)))-CQ61-CY64)+(ROUNDDOWN(AU41*BD20/100,-1))&gt;BD22,BD22,((BD16+(BD18*D12)+(BD19*(D12-CC48)))-CQ61-CY64)+(ROUNDDOWN(AU41*BD20/100,-1)))))))</f>
        <v/>
      </c>
      <c r="AJ45" s="462"/>
      <c r="AK45" s="462"/>
      <c r="AL45" s="462"/>
      <c r="AM45" s="462"/>
      <c r="AN45" s="462"/>
      <c r="AO45" s="463"/>
      <c r="AP45" s="51"/>
      <c r="AQ45" s="57"/>
      <c r="AR45" s="75"/>
      <c r="AS45" s="79"/>
      <c r="AT45" s="19"/>
      <c r="AU45" s="5"/>
      <c r="AV45" s="5"/>
      <c r="AW45" s="5"/>
      <c r="AX45" s="5"/>
      <c r="AY45" s="5"/>
      <c r="AZ45" s="12" t="str">
        <f>IF(D12&gt;7,8,"")</f>
        <v/>
      </c>
      <c r="BA45" s="425">
        <f>'８人目'!AE45</f>
        <v>0</v>
      </c>
      <c r="BB45" s="426"/>
      <c r="BC45" s="426"/>
      <c r="BD45" s="426"/>
      <c r="BE45" s="426"/>
      <c r="BF45" s="426"/>
      <c r="BG45" s="426"/>
      <c r="BH45" s="426"/>
      <c r="BI45" s="426"/>
      <c r="BJ45" s="427"/>
      <c r="BK45" s="360">
        <f t="shared" si="5"/>
        <v>0</v>
      </c>
      <c r="BL45" s="361"/>
      <c r="BM45" s="361"/>
      <c r="BN45" s="361"/>
      <c r="BO45" s="361"/>
      <c r="BP45" s="361"/>
      <c r="BQ45" s="361"/>
      <c r="BR45" s="429"/>
      <c r="BS45" s="423">
        <f t="shared" si="6"/>
        <v>0</v>
      </c>
      <c r="BT45" s="423"/>
      <c r="BU45" s="423"/>
      <c r="BV45" s="423"/>
      <c r="BW45" s="423"/>
      <c r="BX45" s="423"/>
      <c r="BY45" s="424"/>
      <c r="BZ45" s="360">
        <f t="shared" si="3"/>
        <v>0</v>
      </c>
      <c r="CA45" s="361"/>
      <c r="CB45" s="361"/>
      <c r="CC45" s="360">
        <f t="shared" si="4"/>
        <v>0</v>
      </c>
      <c r="CD45" s="361"/>
      <c r="CE45" s="362"/>
      <c r="CF45" s="23"/>
      <c r="CG45" s="66"/>
      <c r="CH45" s="66"/>
      <c r="CL45" s="25"/>
      <c r="CM45" s="22" t="s">
        <v>103</v>
      </c>
      <c r="CN45" s="22"/>
      <c r="CO45" s="22"/>
      <c r="CP45" s="22"/>
      <c r="CQ45" s="22"/>
      <c r="CR45" s="23"/>
    </row>
    <row r="46" spans="1:96" ht="15.95" customHeight="1">
      <c r="A46" s="66"/>
      <c r="B46" s="25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22"/>
      <c r="Q46" s="22"/>
      <c r="R46" s="22"/>
      <c r="S46" s="22"/>
      <c r="T46" s="22"/>
      <c r="U46" s="22"/>
      <c r="V46" s="22"/>
      <c r="W46" s="22"/>
      <c r="X46" s="22"/>
      <c r="Y46" s="4"/>
      <c r="Z46" s="4"/>
      <c r="AA46" s="90"/>
      <c r="AB46" s="619"/>
      <c r="AC46" s="620"/>
      <c r="AD46" s="620"/>
      <c r="AE46" s="620"/>
      <c r="AF46" s="620"/>
      <c r="AG46" s="620"/>
      <c r="AH46" s="621"/>
      <c r="AI46" s="464"/>
      <c r="AJ46" s="465"/>
      <c r="AK46" s="465"/>
      <c r="AL46" s="465"/>
      <c r="AM46" s="465"/>
      <c r="AN46" s="465"/>
      <c r="AO46" s="466"/>
      <c r="AP46" s="51"/>
      <c r="AQ46" s="57"/>
      <c r="AR46" s="75"/>
      <c r="AS46" s="79"/>
      <c r="AT46" s="19"/>
      <c r="AU46" s="5"/>
      <c r="AV46" s="5"/>
      <c r="AW46" s="5"/>
      <c r="AX46" s="5"/>
      <c r="AY46" s="5"/>
      <c r="AZ46" s="12" t="str">
        <f>IF(D12&gt;8,9,"")</f>
        <v/>
      </c>
      <c r="BA46" s="425">
        <f>'９人目'!AE45</f>
        <v>0</v>
      </c>
      <c r="BB46" s="426"/>
      <c r="BC46" s="426"/>
      <c r="BD46" s="426"/>
      <c r="BE46" s="426"/>
      <c r="BF46" s="426"/>
      <c r="BG46" s="426"/>
      <c r="BH46" s="426"/>
      <c r="BI46" s="426"/>
      <c r="BJ46" s="427"/>
      <c r="BK46" s="360">
        <f t="shared" si="5"/>
        <v>0</v>
      </c>
      <c r="BL46" s="361"/>
      <c r="BM46" s="361"/>
      <c r="BN46" s="361"/>
      <c r="BO46" s="361"/>
      <c r="BP46" s="361"/>
      <c r="BQ46" s="361"/>
      <c r="BR46" s="429"/>
      <c r="BS46" s="423">
        <f t="shared" si="6"/>
        <v>0</v>
      </c>
      <c r="BT46" s="423"/>
      <c r="BU46" s="423"/>
      <c r="BV46" s="423"/>
      <c r="BW46" s="423"/>
      <c r="BX46" s="423"/>
      <c r="BY46" s="424"/>
      <c r="BZ46" s="360">
        <f t="shared" si="3"/>
        <v>0</v>
      </c>
      <c r="CA46" s="361"/>
      <c r="CB46" s="361"/>
      <c r="CC46" s="360">
        <f t="shared" si="4"/>
        <v>0</v>
      </c>
      <c r="CD46" s="361"/>
      <c r="CE46" s="362"/>
      <c r="CF46" s="23"/>
      <c r="CG46" s="66"/>
      <c r="CH46" s="66"/>
      <c r="CL46" s="25"/>
      <c r="CM46" s="358" t="s">
        <v>98</v>
      </c>
      <c r="CN46" s="359" t="s">
        <v>93</v>
      </c>
      <c r="CO46" s="355" t="s">
        <v>100</v>
      </c>
      <c r="CP46" s="358" t="s">
        <v>101</v>
      </c>
      <c r="CQ46" s="358" t="s">
        <v>99</v>
      </c>
      <c r="CR46" s="23"/>
    </row>
    <row r="47" spans="1:96" ht="15.95" customHeight="1">
      <c r="A47" s="66"/>
      <c r="B47" s="2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22"/>
      <c r="Q47" s="22"/>
      <c r="R47" s="22"/>
      <c r="S47" s="22"/>
      <c r="T47" s="22"/>
      <c r="U47" s="22"/>
      <c r="V47" s="22"/>
      <c r="W47" s="22"/>
      <c r="X47" s="22"/>
      <c r="Y47" s="4"/>
      <c r="Z47" s="4"/>
      <c r="AA47" s="90"/>
      <c r="AB47" s="613" t="s">
        <v>147</v>
      </c>
      <c r="AC47" s="614"/>
      <c r="AD47" s="614"/>
      <c r="AE47" s="614"/>
      <c r="AF47" s="614"/>
      <c r="AG47" s="614"/>
      <c r="AH47" s="615"/>
      <c r="AI47" s="461" t="str">
        <f>IF(BK48=0,"",IF(AU38&lt;=BQ28,IF((BG16+BG18*BK48)-(ROUNDUP((BG16+BG18*BK48)*AU28/10,0))+(ROUNDDOWN(AU44*BG20/100,-1))&gt;BG22,BG22,(BG16+BG18*BK48)-(ROUNDUP((BG16+BG18*BK48)*AU28/10,0))+(ROUNDDOWN(AU44*BG20/100,-1))),IF(AU38&lt;=BQ29,IF((BG16+BG18*BK48)-(ROUNDUP((BG16+BG18*BK48)*AU29/10,0))+(ROUNDDOWN(AU44*BG20/100,-1))&gt;BG22,BG22,(BG16+BG18*BK48)-(ROUNDUP((BG16+BG18*BK48)*AU29/10,0))+(ROUNDDOWN(AU44*BG20/100,-1))),IF(AU38&lt;=BQ30,IF((BG16+BG18*BK48)-(ROUNDUP((BG16+BG18*BK48)*AU30/10,0))+(ROUNDDOWN(AU44*BG20/100,-1))&gt;BG22,BG22,(BG16+BG18*BK48)-(ROUNDUP((BG16+BG18*BK48)*AU30/10,0))+(ROUNDDOWN(AU44*BG20/100,-1))),IF((BG16+BG18*BK48)+(ROUNDDOWN(AU44*BG20/100,-1))&gt;BG22,BG22,(BG16+BG18*BK48)+(ROUNDDOWN(AU44*BG20/100,-1)))))))</f>
        <v/>
      </c>
      <c r="AJ47" s="462"/>
      <c r="AK47" s="462"/>
      <c r="AL47" s="462"/>
      <c r="AM47" s="462"/>
      <c r="AN47" s="462"/>
      <c r="AO47" s="463"/>
      <c r="AP47" s="51"/>
      <c r="AQ47" s="57"/>
      <c r="AR47" s="76"/>
      <c r="AS47" s="79"/>
      <c r="AT47" s="19"/>
      <c r="AU47" s="5"/>
      <c r="AV47" s="5"/>
      <c r="AW47" s="5"/>
      <c r="AX47" s="5"/>
      <c r="AY47" s="5"/>
      <c r="AZ47" s="13" t="str">
        <f>IF(D12&gt;9,10,"")</f>
        <v/>
      </c>
      <c r="BA47" s="420">
        <f>'10人目'!AE45</f>
        <v>0</v>
      </c>
      <c r="BB47" s="421"/>
      <c r="BC47" s="421"/>
      <c r="BD47" s="421"/>
      <c r="BE47" s="421"/>
      <c r="BF47" s="421"/>
      <c r="BG47" s="421"/>
      <c r="BH47" s="421"/>
      <c r="BI47" s="421"/>
      <c r="BJ47" s="422"/>
      <c r="BK47" s="360">
        <f>IF(ISNUMBER(I26),IF($D$12=0,0,IF(AND(40&lt;=I26,I26&lt;65),1,0)),0)</f>
        <v>0</v>
      </c>
      <c r="BL47" s="361"/>
      <c r="BM47" s="361"/>
      <c r="BN47" s="361"/>
      <c r="BO47" s="361"/>
      <c r="BP47" s="361"/>
      <c r="BQ47" s="361"/>
      <c r="BR47" s="429"/>
      <c r="BS47" s="428">
        <f t="shared" si="6"/>
        <v>0</v>
      </c>
      <c r="BT47" s="421"/>
      <c r="BU47" s="421"/>
      <c r="BV47" s="421"/>
      <c r="BW47" s="421"/>
      <c r="BX47" s="421"/>
      <c r="BY47" s="422"/>
      <c r="BZ47" s="401">
        <f t="shared" si="3"/>
        <v>0</v>
      </c>
      <c r="CA47" s="402"/>
      <c r="CB47" s="402"/>
      <c r="CC47" s="401">
        <f t="shared" si="4"/>
        <v>0</v>
      </c>
      <c r="CD47" s="402"/>
      <c r="CE47" s="405"/>
      <c r="CF47" s="23"/>
      <c r="CG47" s="66"/>
      <c r="CH47" s="66"/>
      <c r="CL47" s="25"/>
      <c r="CM47" s="358"/>
      <c r="CN47" s="359"/>
      <c r="CO47" s="356"/>
      <c r="CP47" s="358"/>
      <c r="CQ47" s="358"/>
      <c r="CR47" s="23"/>
    </row>
    <row r="48" spans="1:96" ht="15.75" customHeight="1" thickBot="1">
      <c r="A48" s="66"/>
      <c r="B48" s="25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22"/>
      <c r="Q48" s="22"/>
      <c r="R48" s="22"/>
      <c r="S48" s="22"/>
      <c r="T48" s="22"/>
      <c r="U48" s="22"/>
      <c r="V48" s="22"/>
      <c r="W48" s="22"/>
      <c r="X48" s="22"/>
      <c r="Y48" s="4"/>
      <c r="Z48" s="4"/>
      <c r="AA48" s="90"/>
      <c r="AB48" s="622"/>
      <c r="AC48" s="623"/>
      <c r="AD48" s="623"/>
      <c r="AE48" s="623"/>
      <c r="AF48" s="623"/>
      <c r="AG48" s="623"/>
      <c r="AH48" s="624"/>
      <c r="AI48" s="628"/>
      <c r="AJ48" s="629"/>
      <c r="AK48" s="629"/>
      <c r="AL48" s="629"/>
      <c r="AM48" s="629"/>
      <c r="AN48" s="629"/>
      <c r="AO48" s="630"/>
      <c r="AP48" s="51"/>
      <c r="AQ48" s="58"/>
      <c r="AR48" s="76"/>
      <c r="AS48" s="79"/>
      <c r="AT48" s="19"/>
      <c r="AU48" s="5"/>
      <c r="AV48" s="5"/>
      <c r="AW48" s="5"/>
      <c r="AX48" s="5"/>
      <c r="AY48" s="5"/>
      <c r="AZ48" s="81" t="s">
        <v>7</v>
      </c>
      <c r="BA48" s="443">
        <f>SUM(BA38:BJ47)</f>
        <v>0</v>
      </c>
      <c r="BB48" s="444"/>
      <c r="BC48" s="444"/>
      <c r="BD48" s="444"/>
      <c r="BE48" s="444"/>
      <c r="BF48" s="444"/>
      <c r="BG48" s="444"/>
      <c r="BH48" s="444"/>
      <c r="BI48" s="444"/>
      <c r="BJ48" s="445"/>
      <c r="BK48" s="454">
        <f>SUM(BK38:BR47)</f>
        <v>0</v>
      </c>
      <c r="BL48" s="455"/>
      <c r="BM48" s="455"/>
      <c r="BN48" s="455"/>
      <c r="BO48" s="455"/>
      <c r="BP48" s="455"/>
      <c r="BQ48" s="455"/>
      <c r="BR48" s="456"/>
      <c r="BS48" s="444">
        <f>SUM(BS38:BY47)</f>
        <v>0</v>
      </c>
      <c r="BT48" s="444"/>
      <c r="BU48" s="444"/>
      <c r="BV48" s="444"/>
      <c r="BW48" s="444"/>
      <c r="BX48" s="444"/>
      <c r="BY48" s="445"/>
      <c r="BZ48" s="403">
        <f>SUM(BZ38:CB47)</f>
        <v>0</v>
      </c>
      <c r="CA48" s="404"/>
      <c r="CB48" s="404"/>
      <c r="CC48" s="403">
        <f>SUM(CC38:CE47)</f>
        <v>0</v>
      </c>
      <c r="CD48" s="404"/>
      <c r="CE48" s="406"/>
      <c r="CF48" s="23"/>
      <c r="CG48" s="66"/>
      <c r="CH48" s="66"/>
      <c r="CL48" s="25"/>
      <c r="CM48" s="358"/>
      <c r="CN48" s="359"/>
      <c r="CO48" s="357"/>
      <c r="CP48" s="358"/>
      <c r="CQ48" s="358"/>
      <c r="CR48" s="23"/>
    </row>
    <row r="49" spans="1:104">
      <c r="A49" s="66"/>
      <c r="B49" s="25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97"/>
      <c r="AB49" s="594" t="s">
        <v>1</v>
      </c>
      <c r="AC49" s="595"/>
      <c r="AD49" s="595"/>
      <c r="AE49" s="595"/>
      <c r="AF49" s="595"/>
      <c r="AG49" s="595"/>
      <c r="AH49" s="596"/>
      <c r="AI49" s="600" t="str">
        <f>IF(D12=0,"",SUM(AI41:AO48))</f>
        <v/>
      </c>
      <c r="AJ49" s="601"/>
      <c r="AK49" s="601"/>
      <c r="AL49" s="601"/>
      <c r="AM49" s="601"/>
      <c r="AN49" s="601"/>
      <c r="AO49" s="602"/>
      <c r="AP49" s="51"/>
      <c r="AQ49" s="58"/>
      <c r="AR49" s="71"/>
      <c r="AS49" s="68"/>
      <c r="AT49" s="19"/>
      <c r="AU49" s="5"/>
      <c r="AV49" s="5"/>
      <c r="AW49" s="5"/>
      <c r="AX49" s="5"/>
      <c r="AY49" s="5"/>
      <c r="AZ49" s="643" t="s">
        <v>179</v>
      </c>
      <c r="BA49" s="643"/>
      <c r="BB49" s="643"/>
      <c r="BC49" s="643"/>
      <c r="BD49" s="643"/>
      <c r="BE49" s="643"/>
      <c r="BF49" s="643"/>
      <c r="BG49" s="643"/>
      <c r="BH49" s="643"/>
      <c r="BI49" s="643"/>
      <c r="BJ49" s="643"/>
      <c r="BK49" s="643"/>
      <c r="BL49" s="643"/>
      <c r="BM49" s="643"/>
      <c r="BN49" s="643"/>
      <c r="BO49" s="643"/>
      <c r="BP49" s="643"/>
      <c r="BQ49" s="643"/>
      <c r="BR49" s="643"/>
      <c r="BS49" s="643"/>
      <c r="BT49" s="643"/>
      <c r="BU49" s="643"/>
      <c r="BV49" s="643"/>
      <c r="BW49" s="643"/>
      <c r="BX49" s="643"/>
      <c r="BY49" s="643"/>
      <c r="BZ49" s="643"/>
      <c r="CA49" s="643"/>
      <c r="CB49" s="643"/>
      <c r="CC49" s="643"/>
      <c r="CD49" s="643"/>
      <c r="CE49" s="643"/>
      <c r="CF49" s="23"/>
      <c r="CG49" s="66"/>
      <c r="CH49" s="66"/>
      <c r="CL49" s="25"/>
      <c r="CM49" s="363">
        <f>BA18</f>
        <v>10360</v>
      </c>
      <c r="CN49" s="320" t="s">
        <v>94</v>
      </c>
      <c r="CO49" s="231">
        <f>ROUNDUP($CM$49*0.7,0)</f>
        <v>7252</v>
      </c>
      <c r="CP49" s="231">
        <f>ROUNDUP(($CM$49-CO49)*0.5,0)</f>
        <v>1554</v>
      </c>
      <c r="CQ49" s="231">
        <f>CP49*$BZ$48</f>
        <v>0</v>
      </c>
      <c r="CR49" s="23"/>
    </row>
    <row r="50" spans="1:104" ht="14.25" thickBot="1">
      <c r="A50" s="66"/>
      <c r="B50" s="25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339"/>
      <c r="AB50" s="597"/>
      <c r="AC50" s="598"/>
      <c r="AD50" s="598"/>
      <c r="AE50" s="598"/>
      <c r="AF50" s="598"/>
      <c r="AG50" s="598"/>
      <c r="AH50" s="599"/>
      <c r="AI50" s="603"/>
      <c r="AJ50" s="604"/>
      <c r="AK50" s="604"/>
      <c r="AL50" s="604"/>
      <c r="AM50" s="604"/>
      <c r="AN50" s="604"/>
      <c r="AO50" s="605"/>
      <c r="AP50" s="338"/>
      <c r="AQ50" s="307"/>
      <c r="AR50" s="69"/>
      <c r="AS50" s="68"/>
      <c r="AT50" s="302"/>
      <c r="AU50" s="303"/>
      <c r="AV50" s="303"/>
      <c r="AW50" s="303"/>
      <c r="AX50" s="303"/>
      <c r="AY50" s="303"/>
      <c r="AZ50" s="442" t="s">
        <v>178</v>
      </c>
      <c r="BA50" s="442"/>
      <c r="BB50" s="442"/>
      <c r="BC50" s="442"/>
      <c r="BD50" s="442"/>
      <c r="BE50" s="442"/>
      <c r="BF50" s="442"/>
      <c r="BG50" s="442"/>
      <c r="BH50" s="442"/>
      <c r="BI50" s="442"/>
      <c r="BJ50" s="442"/>
      <c r="BK50" s="442"/>
      <c r="BL50" s="442"/>
      <c r="BM50" s="442"/>
      <c r="BN50" s="442"/>
      <c r="BO50" s="442"/>
      <c r="BP50" s="442"/>
      <c r="BQ50" s="442"/>
      <c r="BR50" s="442"/>
      <c r="BS50" s="442"/>
      <c r="BT50" s="442"/>
      <c r="BU50" s="442"/>
      <c r="BV50" s="442"/>
      <c r="BW50" s="442"/>
      <c r="BX50" s="442"/>
      <c r="BY50" s="442"/>
      <c r="BZ50" s="442"/>
      <c r="CA50" s="442"/>
      <c r="CB50" s="442"/>
      <c r="CC50" s="442"/>
      <c r="CD50" s="442"/>
      <c r="CE50" s="442"/>
      <c r="CF50" s="306"/>
      <c r="CG50" s="66"/>
      <c r="CH50" s="66"/>
      <c r="CL50" s="25"/>
      <c r="CM50" s="363"/>
      <c r="CN50" s="320" t="s">
        <v>95</v>
      </c>
      <c r="CO50" s="231">
        <f>ROUNDUP($CM$49*0.5,0)</f>
        <v>5180</v>
      </c>
      <c r="CP50" s="231">
        <f>ROUNDUP(($CM$49-CO50)*0.5,0)</f>
        <v>2590</v>
      </c>
      <c r="CQ50" s="231">
        <f t="shared" ref="CQ50:CQ52" si="8">CP50*$BZ$48</f>
        <v>0</v>
      </c>
      <c r="CR50" s="23"/>
    </row>
    <row r="51" spans="1:104" ht="14.25" thickBot="1">
      <c r="A51" s="66"/>
      <c r="B51" s="314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299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340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2"/>
      <c r="AM51" s="341"/>
      <c r="AN51" s="343"/>
      <c r="AO51" s="343"/>
      <c r="AP51" s="344"/>
      <c r="AQ51" s="308"/>
      <c r="AR51" s="69"/>
      <c r="AS51" s="68"/>
      <c r="AT51" s="302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3"/>
      <c r="BH51" s="303"/>
      <c r="BI51" s="303"/>
      <c r="BJ51" s="303"/>
      <c r="BK51" s="303"/>
      <c r="BL51" s="303"/>
      <c r="BM51" s="303"/>
      <c r="BN51" s="303"/>
      <c r="BO51" s="303"/>
      <c r="BP51" s="303"/>
      <c r="BQ51" s="303"/>
      <c r="BR51" s="303"/>
      <c r="BS51" s="303"/>
      <c r="BT51" s="303"/>
      <c r="BU51" s="303"/>
      <c r="BV51" s="303"/>
      <c r="BW51" s="304"/>
      <c r="BX51" s="304"/>
      <c r="BY51" s="304"/>
      <c r="BZ51" s="305"/>
      <c r="CA51" s="305"/>
      <c r="CB51" s="305"/>
      <c r="CC51" s="305"/>
      <c r="CD51" s="305"/>
      <c r="CE51" s="305"/>
      <c r="CF51" s="306"/>
      <c r="CG51" s="66"/>
      <c r="CL51" s="25"/>
      <c r="CM51" s="363"/>
      <c r="CN51" s="320" t="s">
        <v>96</v>
      </c>
      <c r="CO51" s="231">
        <f>ROUNDUP($CM$49*0.2,0)</f>
        <v>2072</v>
      </c>
      <c r="CP51" s="231">
        <f>ROUNDUP(($CM$49-CO51)*0.5,0)</f>
        <v>4144</v>
      </c>
      <c r="CQ51" s="231">
        <f t="shared" si="8"/>
        <v>0</v>
      </c>
      <c r="CR51" s="23"/>
    </row>
    <row r="52" spans="1:104" ht="14.25" thickBot="1">
      <c r="B52" s="314"/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12"/>
      <c r="AO52" s="312"/>
      <c r="AP52" s="312"/>
      <c r="AQ52" s="311"/>
      <c r="AR52" s="298"/>
      <c r="AS52" s="69"/>
      <c r="AT52" s="302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3"/>
      <c r="BH52" s="303"/>
      <c r="BI52" s="303"/>
      <c r="BJ52" s="303"/>
      <c r="BK52" s="303"/>
      <c r="BL52" s="303"/>
      <c r="BM52" s="303"/>
      <c r="BN52" s="303"/>
      <c r="BO52" s="303"/>
      <c r="BP52" s="303"/>
      <c r="BQ52" s="303"/>
      <c r="BR52" s="303"/>
      <c r="BS52" s="303"/>
      <c r="BT52" s="303"/>
      <c r="BU52" s="303"/>
      <c r="BV52" s="303"/>
      <c r="BW52" s="304"/>
      <c r="BX52" s="304"/>
      <c r="BY52" s="304"/>
      <c r="BZ52" s="305"/>
      <c r="CA52" s="305"/>
      <c r="CB52" s="305"/>
      <c r="CC52" s="305"/>
      <c r="CD52" s="305"/>
      <c r="CE52" s="305"/>
      <c r="CF52" s="306"/>
      <c r="CG52" s="66"/>
      <c r="CL52" s="25"/>
      <c r="CM52" s="363"/>
      <c r="CN52" s="320" t="s">
        <v>97</v>
      </c>
      <c r="CO52" s="231">
        <f>ROUNDUP($CM$49*0,0)</f>
        <v>0</v>
      </c>
      <c r="CP52" s="231">
        <f>ROUNDUP(($CM$49-CO52)*0.5,0)</f>
        <v>5180</v>
      </c>
      <c r="CQ52" s="231">
        <f t="shared" si="8"/>
        <v>0</v>
      </c>
      <c r="CR52" s="23"/>
    </row>
    <row r="53" spans="1:104" ht="14.25" thickBot="1">
      <c r="B53" s="3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309"/>
      <c r="AM53" s="24"/>
      <c r="AN53" s="35"/>
      <c r="AO53" s="35"/>
      <c r="AP53" s="35"/>
      <c r="AQ53" s="313"/>
      <c r="AR53" s="298"/>
      <c r="AS53" s="69"/>
      <c r="AT53" s="315"/>
      <c r="AU53" s="316"/>
      <c r="AV53" s="316"/>
      <c r="AW53" s="316"/>
      <c r="AX53" s="316"/>
      <c r="AY53" s="316"/>
      <c r="AZ53" s="316"/>
      <c r="BA53" s="316"/>
      <c r="BB53" s="316"/>
      <c r="BC53" s="316"/>
      <c r="BD53" s="316"/>
      <c r="BE53" s="316"/>
      <c r="BF53" s="316"/>
      <c r="BG53" s="310"/>
      <c r="BH53" s="310"/>
      <c r="BI53" s="310"/>
      <c r="BJ53" s="310"/>
      <c r="BK53" s="310"/>
      <c r="BL53" s="310"/>
      <c r="BM53" s="310"/>
      <c r="BN53" s="310"/>
      <c r="BO53" s="310"/>
      <c r="BP53" s="310"/>
      <c r="BQ53" s="310"/>
      <c r="BR53" s="310"/>
      <c r="BS53" s="310"/>
      <c r="BT53" s="310"/>
      <c r="BU53" s="310"/>
      <c r="BV53" s="310"/>
      <c r="BW53" s="316"/>
      <c r="BX53" s="316"/>
      <c r="BY53" s="316"/>
      <c r="BZ53" s="309"/>
      <c r="CA53" s="309"/>
      <c r="CB53" s="309"/>
      <c r="CC53" s="309"/>
      <c r="CD53" s="309"/>
      <c r="CE53" s="309"/>
      <c r="CF53" s="317"/>
      <c r="CG53" s="66"/>
      <c r="CL53" s="25"/>
      <c r="CM53" s="22"/>
      <c r="CN53" s="22"/>
      <c r="CO53" s="22"/>
      <c r="CP53" s="22"/>
      <c r="CQ53" s="22"/>
      <c r="CR53" s="22"/>
      <c r="CS53" s="323"/>
      <c r="CT53" s="17" t="s">
        <v>153</v>
      </c>
      <c r="CU53" s="17"/>
      <c r="CV53" s="17"/>
      <c r="CW53" s="17"/>
      <c r="CX53" s="17"/>
      <c r="CY53" s="17"/>
      <c r="CZ53" s="18"/>
    </row>
    <row r="54" spans="1:104">
      <c r="AR54" s="298"/>
      <c r="AS54" s="69"/>
      <c r="AT54" s="303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3"/>
      <c r="BH54" s="303"/>
      <c r="BI54" s="303"/>
      <c r="BJ54" s="303"/>
      <c r="BK54" s="303"/>
      <c r="BL54" s="303"/>
      <c r="BM54" s="303"/>
      <c r="BN54" s="303"/>
      <c r="BO54" s="303"/>
      <c r="BP54" s="303"/>
      <c r="BQ54" s="303"/>
      <c r="BR54" s="303"/>
      <c r="BS54" s="303"/>
      <c r="BT54" s="303"/>
      <c r="BU54" s="303"/>
      <c r="BV54" s="303"/>
      <c r="BW54" s="301"/>
      <c r="BX54" s="301"/>
      <c r="BY54" s="301"/>
      <c r="BZ54" s="299"/>
      <c r="CA54" s="299"/>
      <c r="CB54" s="299"/>
      <c r="CC54" s="299"/>
      <c r="CD54" s="299"/>
      <c r="CE54" s="299"/>
      <c r="CF54" s="299"/>
      <c r="CG54" s="66"/>
      <c r="CL54" s="25"/>
      <c r="CM54" s="22" t="s">
        <v>148</v>
      </c>
      <c r="CN54" s="22"/>
      <c r="CO54" s="22"/>
      <c r="CP54" s="22"/>
      <c r="CQ54" s="22"/>
      <c r="CR54" s="22"/>
      <c r="CS54" s="25"/>
      <c r="CT54" s="22" t="s">
        <v>148</v>
      </c>
      <c r="CU54" s="22"/>
      <c r="CV54" s="22"/>
      <c r="CW54" s="22"/>
      <c r="CX54" s="22"/>
      <c r="CY54" s="22"/>
      <c r="CZ54" s="23"/>
    </row>
    <row r="55" spans="1:104">
      <c r="AT55" s="67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69"/>
      <c r="BX55" s="69"/>
      <c r="BY55" s="69"/>
      <c r="BZ55" s="66"/>
      <c r="CA55" s="66"/>
      <c r="CB55" s="66"/>
      <c r="CC55" s="66"/>
      <c r="CD55" s="66"/>
      <c r="CE55" s="66"/>
      <c r="CF55" s="66"/>
      <c r="CG55" s="66"/>
      <c r="CL55" s="25"/>
      <c r="CM55" s="358" t="s">
        <v>98</v>
      </c>
      <c r="CN55" s="359" t="s">
        <v>93</v>
      </c>
      <c r="CO55" s="355" t="s">
        <v>100</v>
      </c>
      <c r="CP55" s="358" t="s">
        <v>101</v>
      </c>
      <c r="CQ55" s="358" t="s">
        <v>99</v>
      </c>
      <c r="CR55" s="22"/>
      <c r="CS55" s="25"/>
      <c r="CT55" s="358" t="s">
        <v>98</v>
      </c>
      <c r="CU55" s="359" t="s">
        <v>93</v>
      </c>
      <c r="CV55" s="355" t="s">
        <v>100</v>
      </c>
      <c r="CW55" s="358" t="s">
        <v>101</v>
      </c>
      <c r="CX55" s="358" t="s">
        <v>158</v>
      </c>
      <c r="CY55" s="358" t="s">
        <v>159</v>
      </c>
      <c r="CZ55" s="23"/>
    </row>
    <row r="56" spans="1:104"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69"/>
      <c r="BX56" s="69"/>
      <c r="BY56" s="69"/>
      <c r="BZ56" s="66"/>
      <c r="CA56" s="66"/>
      <c r="CB56" s="66"/>
      <c r="CC56" s="66"/>
      <c r="CD56" s="66"/>
      <c r="CE56" s="66"/>
      <c r="CF56" s="66"/>
      <c r="CG56" s="66"/>
      <c r="CL56" s="25"/>
      <c r="CM56" s="358"/>
      <c r="CN56" s="359"/>
      <c r="CO56" s="356"/>
      <c r="CP56" s="358"/>
      <c r="CQ56" s="358"/>
      <c r="CR56" s="22"/>
      <c r="CS56" s="25"/>
      <c r="CT56" s="358"/>
      <c r="CU56" s="359"/>
      <c r="CV56" s="356"/>
      <c r="CW56" s="358"/>
      <c r="CX56" s="358"/>
      <c r="CY56" s="358"/>
      <c r="CZ56" s="23"/>
    </row>
    <row r="57" spans="1:104"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69"/>
      <c r="BX57" s="69"/>
      <c r="BY57" s="69"/>
      <c r="BZ57" s="66"/>
      <c r="CA57" s="66"/>
      <c r="CB57" s="66"/>
      <c r="CC57" s="66"/>
      <c r="CD57" s="67"/>
      <c r="CE57" s="67"/>
      <c r="CF57" s="67"/>
      <c r="CG57" s="66"/>
      <c r="CL57" s="25"/>
      <c r="CM57" s="358"/>
      <c r="CN57" s="359"/>
      <c r="CO57" s="357"/>
      <c r="CP57" s="358"/>
      <c r="CQ57" s="358"/>
      <c r="CR57" s="22"/>
      <c r="CS57" s="25"/>
      <c r="CT57" s="358"/>
      <c r="CU57" s="359"/>
      <c r="CV57" s="357"/>
      <c r="CW57" s="358"/>
      <c r="CX57" s="358"/>
      <c r="CY57" s="358"/>
      <c r="CZ57" s="23"/>
    </row>
    <row r="58" spans="1:104">
      <c r="AT58" s="69"/>
      <c r="AU58" s="67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69"/>
      <c r="BX58" s="69"/>
      <c r="BY58" s="69"/>
      <c r="BZ58" s="66"/>
      <c r="CA58" s="66"/>
      <c r="CB58" s="67"/>
      <c r="CC58" s="67"/>
      <c r="CD58" s="67"/>
      <c r="CE58" s="67"/>
      <c r="CF58" s="67"/>
      <c r="CG58" s="66"/>
      <c r="CL58" s="25"/>
      <c r="CM58" s="363">
        <f>BD18</f>
        <v>1110</v>
      </c>
      <c r="CN58" s="320" t="s">
        <v>94</v>
      </c>
      <c r="CO58" s="231">
        <f>ROUNDUP($CM$58*0.7,0)</f>
        <v>777</v>
      </c>
      <c r="CP58" s="231">
        <f>ROUNDUP(($CM$58-CO58)*0.5,0)</f>
        <v>167</v>
      </c>
      <c r="CQ58" s="231">
        <f>CP58*$BZ$48</f>
        <v>0</v>
      </c>
      <c r="CR58" s="22"/>
      <c r="CS58" s="25"/>
      <c r="CT58" s="363">
        <f>CM58</f>
        <v>1110</v>
      </c>
      <c r="CU58" s="319" t="s">
        <v>154</v>
      </c>
      <c r="CV58" s="231">
        <f>ROUNDUP($CM$58*0.7,0)</f>
        <v>777</v>
      </c>
      <c r="CW58" s="231">
        <f>ROUNDUP(($CT$58-CV59)*0.5,0)</f>
        <v>167</v>
      </c>
      <c r="CX58" s="231">
        <f t="shared" ref="CX58:CX65" si="9">$CT$58-CV58-CW58</f>
        <v>166</v>
      </c>
      <c r="CY58" s="364">
        <f>$BZ$48*CX58+($CC$48-$BZ$48)*CX59</f>
        <v>0</v>
      </c>
      <c r="CZ58" s="23"/>
    </row>
    <row r="59" spans="1:104"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69"/>
      <c r="BX59" s="69"/>
      <c r="BY59" s="69"/>
      <c r="BZ59" s="66"/>
      <c r="CA59" s="66"/>
      <c r="CB59" s="67"/>
      <c r="CC59" s="67"/>
      <c r="CD59" s="67"/>
      <c r="CE59" s="67"/>
      <c r="CF59" s="67"/>
      <c r="CG59" s="66"/>
      <c r="CL59" s="25"/>
      <c r="CM59" s="363"/>
      <c r="CN59" s="320" t="s">
        <v>95</v>
      </c>
      <c r="CO59" s="231">
        <f>ROUNDUP($CM$58*0.5,0)</f>
        <v>555</v>
      </c>
      <c r="CP59" s="231">
        <f>ROUNDUP(($CM$58-CO59)*0.5,0)</f>
        <v>278</v>
      </c>
      <c r="CQ59" s="231">
        <f t="shared" ref="CQ59:CQ61" si="10">CP59*$BZ$48</f>
        <v>0</v>
      </c>
      <c r="CR59" s="22"/>
      <c r="CS59" s="25"/>
      <c r="CT59" s="363"/>
      <c r="CU59" s="319" t="s">
        <v>94</v>
      </c>
      <c r="CV59" s="231">
        <f>ROUNDUP($CM$58*0.7,0)</f>
        <v>777</v>
      </c>
      <c r="CW59" s="231">
        <v>0</v>
      </c>
      <c r="CX59" s="231">
        <f t="shared" si="9"/>
        <v>333</v>
      </c>
      <c r="CY59" s="365"/>
      <c r="CZ59" s="23"/>
    </row>
    <row r="60" spans="1:104">
      <c r="AT60" s="69"/>
      <c r="AU60" s="69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69"/>
      <c r="BX60" s="69"/>
      <c r="BY60" s="69"/>
      <c r="BZ60" s="66"/>
      <c r="CA60" s="66"/>
      <c r="CB60" s="67"/>
      <c r="CC60" s="67"/>
      <c r="CD60" s="66"/>
      <c r="CE60" s="66"/>
      <c r="CF60" s="66"/>
      <c r="CG60" s="66"/>
      <c r="CL60" s="25"/>
      <c r="CM60" s="363"/>
      <c r="CN60" s="320" t="s">
        <v>96</v>
      </c>
      <c r="CO60" s="231">
        <f>ROUNDUP($CM$58*0.2,0)</f>
        <v>222</v>
      </c>
      <c r="CP60" s="231">
        <f>ROUNDUP(($CM$58-CO60)*0.5,0)</f>
        <v>444</v>
      </c>
      <c r="CQ60" s="231">
        <f t="shared" si="10"/>
        <v>0</v>
      </c>
      <c r="CR60" s="22"/>
      <c r="CS60" s="25"/>
      <c r="CT60" s="363"/>
      <c r="CU60" s="319" t="s">
        <v>155</v>
      </c>
      <c r="CV60" s="231">
        <f>ROUNDUP($CM$58*0.5,0)</f>
        <v>555</v>
      </c>
      <c r="CW60" s="231">
        <f>ROUNDUP(($CT$58-CV61)*0.5,0)</f>
        <v>278</v>
      </c>
      <c r="CX60" s="231">
        <f t="shared" si="9"/>
        <v>277</v>
      </c>
      <c r="CY60" s="364">
        <f t="shared" ref="CY60" si="11">$BZ$48*CX60+($CC$48-$BZ$48)*CX61</f>
        <v>0</v>
      </c>
      <c r="CZ60" s="23"/>
    </row>
    <row r="61" spans="1:104">
      <c r="AT61" s="69"/>
      <c r="AU61" s="69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69"/>
      <c r="BX61" s="69"/>
      <c r="BY61" s="69"/>
      <c r="BZ61" s="66"/>
      <c r="CA61" s="66"/>
      <c r="CB61" s="66"/>
      <c r="CC61" s="66"/>
      <c r="CD61" s="66"/>
      <c r="CE61" s="66"/>
      <c r="CF61" s="66"/>
      <c r="CL61" s="25"/>
      <c r="CM61" s="363"/>
      <c r="CN61" s="320" t="s">
        <v>97</v>
      </c>
      <c r="CO61" s="231">
        <f>ROUNDUP($CM$58*0,0)</f>
        <v>0</v>
      </c>
      <c r="CP61" s="231">
        <f>ROUNDUP(($CM$58-CO61)*0.5,0)</f>
        <v>555</v>
      </c>
      <c r="CQ61" s="231">
        <f t="shared" si="10"/>
        <v>0</v>
      </c>
      <c r="CR61" s="22"/>
      <c r="CS61" s="25"/>
      <c r="CT61" s="363"/>
      <c r="CU61" s="319" t="s">
        <v>95</v>
      </c>
      <c r="CV61" s="231">
        <f>ROUNDUP($CM$58*0.5,0)</f>
        <v>555</v>
      </c>
      <c r="CW61" s="231">
        <v>0</v>
      </c>
      <c r="CX61" s="231">
        <f t="shared" si="9"/>
        <v>555</v>
      </c>
      <c r="CY61" s="365"/>
      <c r="CZ61" s="23"/>
    </row>
    <row r="62" spans="1:104">
      <c r="AT62" s="69"/>
      <c r="AU62" s="69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69"/>
      <c r="BU62" s="69"/>
      <c r="BV62" s="69"/>
      <c r="BW62" s="69"/>
      <c r="BX62" s="69"/>
      <c r="BY62" s="69"/>
      <c r="BZ62" s="66"/>
      <c r="CA62" s="66"/>
      <c r="CB62" s="66"/>
      <c r="CC62" s="66"/>
      <c r="CD62" s="66"/>
      <c r="CE62" s="66"/>
      <c r="CF62" s="66"/>
      <c r="CL62" s="25"/>
      <c r="CM62" s="22"/>
      <c r="CN62" s="22"/>
      <c r="CO62" s="22"/>
      <c r="CP62" s="22"/>
      <c r="CQ62" s="22"/>
      <c r="CR62" s="22"/>
      <c r="CS62" s="25"/>
      <c r="CT62" s="363"/>
      <c r="CU62" s="319" t="s">
        <v>157</v>
      </c>
      <c r="CV62" s="231">
        <f>ROUNDUP($CM$58*0.2,0)</f>
        <v>222</v>
      </c>
      <c r="CW62" s="231">
        <f>ROUNDUP(($CT$58-CV63)*0.5,0)</f>
        <v>444</v>
      </c>
      <c r="CX62" s="231">
        <f t="shared" si="9"/>
        <v>444</v>
      </c>
      <c r="CY62" s="364">
        <f t="shared" ref="CY62" si="12">$BZ$48*CX62+($CC$48-$BZ$48)*CX63</f>
        <v>0</v>
      </c>
      <c r="CZ62" s="23"/>
    </row>
    <row r="63" spans="1:104" ht="14.25" thickBot="1">
      <c r="AT63" s="69"/>
      <c r="AU63" s="69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69"/>
      <c r="BU63" s="69"/>
      <c r="BV63" s="69"/>
      <c r="BW63" s="69"/>
      <c r="BX63" s="69"/>
      <c r="BY63" s="69"/>
      <c r="BZ63" s="66"/>
      <c r="CA63" s="66"/>
      <c r="CB63" s="66"/>
      <c r="CC63" s="66"/>
      <c r="CD63" s="66"/>
      <c r="CE63" s="66"/>
      <c r="CF63" s="66"/>
      <c r="CL63" s="34"/>
      <c r="CM63" s="24"/>
      <c r="CN63" s="24"/>
      <c r="CO63" s="24"/>
      <c r="CP63" s="24"/>
      <c r="CQ63" s="24"/>
      <c r="CR63" s="24"/>
      <c r="CS63" s="25"/>
      <c r="CT63" s="363"/>
      <c r="CU63" s="319" t="s">
        <v>96</v>
      </c>
      <c r="CV63" s="231">
        <f>ROUNDUP($CM$58*0.2,0)</f>
        <v>222</v>
      </c>
      <c r="CW63" s="231">
        <v>0</v>
      </c>
      <c r="CX63" s="231">
        <f t="shared" si="9"/>
        <v>888</v>
      </c>
      <c r="CY63" s="365"/>
      <c r="CZ63" s="23"/>
    </row>
    <row r="64" spans="1:104">
      <c r="AT64" s="69"/>
      <c r="AU64" s="69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69"/>
      <c r="BU64" s="69"/>
      <c r="BV64" s="69"/>
      <c r="BW64" s="69"/>
      <c r="BX64" s="69"/>
      <c r="BY64" s="69"/>
      <c r="BZ64" s="66"/>
      <c r="CA64" s="66"/>
      <c r="CB64" s="66"/>
      <c r="CC64" s="66"/>
      <c r="CD64" s="66"/>
      <c r="CE64" s="66"/>
      <c r="CF64" s="66"/>
      <c r="CS64" s="25"/>
      <c r="CT64" s="363"/>
      <c r="CU64" s="319" t="s">
        <v>156</v>
      </c>
      <c r="CV64" s="231">
        <f>ROUNDUP($CM$58*0,0)</f>
        <v>0</v>
      </c>
      <c r="CW64" s="231">
        <f>ROUNDUP(($CT$58-CV65)*0.5,0)</f>
        <v>555</v>
      </c>
      <c r="CX64" s="231">
        <f t="shared" si="9"/>
        <v>555</v>
      </c>
      <c r="CY64" s="364">
        <f t="shared" ref="CY64" si="13">$BZ$48*CX64+($CC$48-$BZ$48)*CX65</f>
        <v>0</v>
      </c>
      <c r="CZ64" s="23"/>
    </row>
    <row r="65" spans="46:104">
      <c r="AT65" s="69"/>
      <c r="AU65" s="69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69"/>
      <c r="BU65" s="69"/>
      <c r="BV65" s="69"/>
      <c r="BW65" s="69"/>
      <c r="BX65" s="69"/>
      <c r="BY65" s="69"/>
      <c r="BZ65" s="66"/>
      <c r="CA65" s="66"/>
      <c r="CB65" s="66"/>
      <c r="CC65" s="66"/>
      <c r="CD65" s="66"/>
      <c r="CE65" s="66"/>
      <c r="CF65" s="66"/>
      <c r="CS65" s="25"/>
      <c r="CT65" s="363"/>
      <c r="CU65" s="319" t="s">
        <v>97</v>
      </c>
      <c r="CV65" s="231">
        <f>ROUNDUP($CM$58*0,0)</f>
        <v>0</v>
      </c>
      <c r="CW65" s="231">
        <v>0</v>
      </c>
      <c r="CX65" s="231">
        <f t="shared" si="9"/>
        <v>1110</v>
      </c>
      <c r="CY65" s="365"/>
      <c r="CZ65" s="23"/>
    </row>
    <row r="66" spans="46:104" ht="14.25" thickBot="1"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X66" s="6"/>
      <c r="BY66" s="6"/>
      <c r="CS66" s="34"/>
      <c r="CT66" s="24"/>
      <c r="CU66" s="24"/>
      <c r="CV66" s="24"/>
      <c r="CW66" s="24"/>
      <c r="CX66" s="24"/>
      <c r="CY66" s="24"/>
      <c r="CZ66" s="324"/>
    </row>
    <row r="67" spans="46:104"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</row>
    <row r="68" spans="46:104"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</row>
    <row r="69" spans="46:104"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</row>
    <row r="70" spans="46:104"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</row>
    <row r="71" spans="46:104"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</row>
    <row r="72" spans="46:104"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</row>
    <row r="73" spans="46:104"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</row>
    <row r="74" spans="46:104"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</row>
    <row r="75" spans="46:104"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</row>
    <row r="76" spans="46:104"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</row>
    <row r="77" spans="46:104"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</row>
    <row r="78" spans="46:104"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</row>
    <row r="79" spans="46:104"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</row>
    <row r="80" spans="46:104"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</row>
    <row r="81" spans="62:69">
      <c r="BJ81" s="7"/>
      <c r="BK81" s="7"/>
      <c r="BL81" s="7"/>
      <c r="BM81" s="7"/>
      <c r="BN81" s="7"/>
      <c r="BO81" s="7"/>
      <c r="BP81" s="7"/>
      <c r="BQ81" s="7"/>
    </row>
  </sheetData>
  <sheetProtection algorithmName="SHA-512" hashValue="qiEDFf4jp/LB7nr33ZYeGGF9xyNPTvfsVNmZKXFfM3wsDA+nLttxuAD94/mws+Yu8UM5DyVcV+EAT6LtHdfsvQ==" saltValue="ABehc4OnfAYYXZfbPKR9KQ==" spinCount="100000" sheet="1" objects="1" scenarios="1"/>
  <mergeCells count="200">
    <mergeCell ref="AB49:AH50"/>
    <mergeCell ref="AI49:AO50"/>
    <mergeCell ref="CM55:CM57"/>
    <mergeCell ref="CN55:CN57"/>
    <mergeCell ref="CO55:CO57"/>
    <mergeCell ref="CP55:CP57"/>
    <mergeCell ref="CQ55:CQ57"/>
    <mergeCell ref="CM58:CM61"/>
    <mergeCell ref="BD20:BF21"/>
    <mergeCell ref="AU43:AX43"/>
    <mergeCell ref="AU41:AX41"/>
    <mergeCell ref="AU44:AX44"/>
    <mergeCell ref="AU40:AX40"/>
    <mergeCell ref="AU38:AX38"/>
    <mergeCell ref="AB43:AH44"/>
    <mergeCell ref="AB45:AH46"/>
    <mergeCell ref="AB47:AH48"/>
    <mergeCell ref="AI41:AO42"/>
    <mergeCell ref="AI47:AO48"/>
    <mergeCell ref="BA45:BJ45"/>
    <mergeCell ref="AI43:AO44"/>
    <mergeCell ref="AB38:AO39"/>
    <mergeCell ref="AB41:AH42"/>
    <mergeCell ref="AZ49:CE49"/>
    <mergeCell ref="BA13:BC15"/>
    <mergeCell ref="AU7:BC7"/>
    <mergeCell ref="AU10:BA10"/>
    <mergeCell ref="AU36:AX37"/>
    <mergeCell ref="I15:I16"/>
    <mergeCell ref="P23:V23"/>
    <mergeCell ref="P24:V24"/>
    <mergeCell ref="P18:V18"/>
    <mergeCell ref="P19:V19"/>
    <mergeCell ref="AU29:AZ29"/>
    <mergeCell ref="AU32:CE34"/>
    <mergeCell ref="AU28:AZ28"/>
    <mergeCell ref="AZ36:AZ37"/>
    <mergeCell ref="BK36:BY36"/>
    <mergeCell ref="BJ22:CE22"/>
    <mergeCell ref="AU27:AZ27"/>
    <mergeCell ref="BZ37:CE37"/>
    <mergeCell ref="BA27:BP27"/>
    <mergeCell ref="AU30:AZ30"/>
    <mergeCell ref="BT28:CE30"/>
    <mergeCell ref="BQ27:CE27"/>
    <mergeCell ref="BG22:BI22"/>
    <mergeCell ref="P25:V25"/>
    <mergeCell ref="P26:V26"/>
    <mergeCell ref="C12:C13"/>
    <mergeCell ref="P21:V21"/>
    <mergeCell ref="P22:V22"/>
    <mergeCell ref="D9:K10"/>
    <mergeCell ref="P17:V17"/>
    <mergeCell ref="BA36:BJ37"/>
    <mergeCell ref="BD13:BF15"/>
    <mergeCell ref="BD16:BF17"/>
    <mergeCell ref="AB8:AE8"/>
    <mergeCell ref="AB22:AI22"/>
    <mergeCell ref="G15:G16"/>
    <mergeCell ref="D11:E11"/>
    <mergeCell ref="K15:K16"/>
    <mergeCell ref="D14:E14"/>
    <mergeCell ref="X15:Y15"/>
    <mergeCell ref="P15:W16"/>
    <mergeCell ref="AX13:AZ15"/>
    <mergeCell ref="M15:M16"/>
    <mergeCell ref="P13:Y14"/>
    <mergeCell ref="AU11:BA11"/>
    <mergeCell ref="AU12:BA12"/>
    <mergeCell ref="AU13:AW14"/>
    <mergeCell ref="AU20:AW21"/>
    <mergeCell ref="BA22:BC22"/>
    <mergeCell ref="P27:V27"/>
    <mergeCell ref="C30:AP31"/>
    <mergeCell ref="AI45:AO46"/>
    <mergeCell ref="BD29:BH29"/>
    <mergeCell ref="AT2:CF6"/>
    <mergeCell ref="AB37:AO37"/>
    <mergeCell ref="AU22:AW22"/>
    <mergeCell ref="AX18:AZ19"/>
    <mergeCell ref="BA18:BC19"/>
    <mergeCell ref="BG18:BI19"/>
    <mergeCell ref="BJ18:CE19"/>
    <mergeCell ref="AU16:AW17"/>
    <mergeCell ref="AX16:AZ17"/>
    <mergeCell ref="BA16:BC17"/>
    <mergeCell ref="BG16:BI17"/>
    <mergeCell ref="BJ16:CE17"/>
    <mergeCell ref="C3:AP5"/>
    <mergeCell ref="D15:E15"/>
    <mergeCell ref="D12:E13"/>
    <mergeCell ref="P20:V20"/>
    <mergeCell ref="BZ45:CB45"/>
    <mergeCell ref="BZ46:CB46"/>
    <mergeCell ref="BQ30:BS30"/>
    <mergeCell ref="CC44:CE44"/>
    <mergeCell ref="AZ50:CE50"/>
    <mergeCell ref="BA48:BJ48"/>
    <mergeCell ref="BS48:BY48"/>
    <mergeCell ref="BS37:BY37"/>
    <mergeCell ref="BK37:BR37"/>
    <mergeCell ref="BK38:BR38"/>
    <mergeCell ref="BK39:BR39"/>
    <mergeCell ref="BK40:BR40"/>
    <mergeCell ref="BK41:BR41"/>
    <mergeCell ref="BK44:BR44"/>
    <mergeCell ref="BK45:BR45"/>
    <mergeCell ref="BK48:BR48"/>
    <mergeCell ref="BS38:BY38"/>
    <mergeCell ref="BS39:BY39"/>
    <mergeCell ref="BS40:BY40"/>
    <mergeCell ref="BA41:BJ41"/>
    <mergeCell ref="BA42:BJ42"/>
    <mergeCell ref="BA43:BJ43"/>
    <mergeCell ref="BA39:BJ39"/>
    <mergeCell ref="BA40:BJ40"/>
    <mergeCell ref="BS44:BY44"/>
    <mergeCell ref="BA44:BJ44"/>
    <mergeCell ref="BZ43:CB43"/>
    <mergeCell ref="BZ44:CB44"/>
    <mergeCell ref="BZ47:CB47"/>
    <mergeCell ref="BZ48:CB48"/>
    <mergeCell ref="CC47:CE47"/>
    <mergeCell ref="CC48:CE48"/>
    <mergeCell ref="CC45:CE45"/>
    <mergeCell ref="CC46:CE46"/>
    <mergeCell ref="BG13:BI15"/>
    <mergeCell ref="BJ13:CE15"/>
    <mergeCell ref="BA47:BJ47"/>
    <mergeCell ref="BS45:BY45"/>
    <mergeCell ref="BA46:BJ46"/>
    <mergeCell ref="BS46:BY46"/>
    <mergeCell ref="BS47:BY47"/>
    <mergeCell ref="BK42:BR42"/>
    <mergeCell ref="BK43:BR43"/>
    <mergeCell ref="BK46:BR46"/>
    <mergeCell ref="BK47:BR47"/>
    <mergeCell ref="BS41:BY41"/>
    <mergeCell ref="BS42:BY42"/>
    <mergeCell ref="BS43:BY43"/>
    <mergeCell ref="BJ20:CE21"/>
    <mergeCell ref="BG20:BI21"/>
    <mergeCell ref="BQ28:BS28"/>
    <mergeCell ref="BQ29:BS29"/>
    <mergeCell ref="BZ40:CB40"/>
    <mergeCell ref="BZ41:CB41"/>
    <mergeCell ref="AU18:AW18"/>
    <mergeCell ref="AU19:AW19"/>
    <mergeCell ref="BZ36:CB36"/>
    <mergeCell ref="CC36:CE36"/>
    <mergeCell ref="BZ35:CE35"/>
    <mergeCell ref="CC38:CE38"/>
    <mergeCell ref="CC39:CE39"/>
    <mergeCell ref="CC40:CE40"/>
    <mergeCell ref="CC41:CE41"/>
    <mergeCell ref="BA28:BC28"/>
    <mergeCell ref="BA29:BC29"/>
    <mergeCell ref="BA30:BC30"/>
    <mergeCell ref="AX22:AZ22"/>
    <mergeCell ref="BA20:BC21"/>
    <mergeCell ref="AX20:AZ21"/>
    <mergeCell ref="BD22:BF22"/>
    <mergeCell ref="BD18:BF18"/>
    <mergeCell ref="BD19:BF19"/>
    <mergeCell ref="BN29:BP29"/>
    <mergeCell ref="BI29:BM29"/>
    <mergeCell ref="CW55:CW57"/>
    <mergeCell ref="CY55:CY57"/>
    <mergeCell ref="CT58:CT65"/>
    <mergeCell ref="CX55:CX57"/>
    <mergeCell ref="CY58:CY59"/>
    <mergeCell ref="CY60:CY61"/>
    <mergeCell ref="CY62:CY63"/>
    <mergeCell ref="CY64:CY65"/>
    <mergeCell ref="CT55:CT57"/>
    <mergeCell ref="CU55:CU57"/>
    <mergeCell ref="BD30:BH30"/>
    <mergeCell ref="BI30:BM30"/>
    <mergeCell ref="BN30:BP30"/>
    <mergeCell ref="BN28:BP28"/>
    <mergeCell ref="BI28:BM28"/>
    <mergeCell ref="BA38:BJ38"/>
    <mergeCell ref="CV55:CV57"/>
    <mergeCell ref="CQ37:CQ39"/>
    <mergeCell ref="CO37:CO39"/>
    <mergeCell ref="CM46:CM48"/>
    <mergeCell ref="CN46:CN48"/>
    <mergeCell ref="CO46:CO48"/>
    <mergeCell ref="CP46:CP48"/>
    <mergeCell ref="CQ46:CQ48"/>
    <mergeCell ref="CC42:CE42"/>
    <mergeCell ref="CC43:CE43"/>
    <mergeCell ref="CM49:CM52"/>
    <mergeCell ref="CM40:CM43"/>
    <mergeCell ref="CP37:CP39"/>
    <mergeCell ref="CN37:CN39"/>
    <mergeCell ref="CM37:CM39"/>
    <mergeCell ref="BZ42:CB42"/>
    <mergeCell ref="BZ38:CB38"/>
    <mergeCell ref="BZ39:CB39"/>
  </mergeCells>
  <phoneticPr fontId="5"/>
  <dataValidations count="2">
    <dataValidation type="whole" operator="greaterThan" allowBlank="1" showInputMessage="1" showErrorMessage="1" sqref="D12" xr:uid="{00000000-0002-0000-0000-000000000000}">
      <formula1>0</formula1>
    </dataValidation>
    <dataValidation type="whole" operator="greaterThan" allowBlank="1" showInputMessage="1" showErrorMessage="1" sqref="Q19:V26 P17:P26" xr:uid="{00000000-0002-0000-0000-000001000000}">
      <formula1>-1</formula1>
    </dataValidation>
  </dataValidations>
  <printOptions headings="1"/>
  <pageMargins left="0.7" right="0.7" top="0.75" bottom="0.75" header="0.3" footer="0.3"/>
  <pageSetup paperSize="9" scale="42" orientation="landscape" r:id="rId1"/>
  <colBreaks count="1" manualBreakCount="1">
    <brk id="45" min="1" max="5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AEFD-3A3B-4457-947D-19D52E2E5048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'Ｒ８年度'!D25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IF('Ｒ８年度'!K25&gt;=65,0,'Ｒ８年度'!E25)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IF('Ｒ８年度'!K25&lt;65,0,'Ｒ８年度'!E25)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IF(ISNUMBER('Ｒ８年度'!G25),'Ｒ８年度'!G25,0)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CB4A-475D-4BCD-878A-3D20937FE626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'Ｒ８年度'!D26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IF('Ｒ８年度'!K26&gt;=65,0,'Ｒ８年度'!E26)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IF('Ｒ８年度'!K26&lt;65,0,'Ｒ８年度'!E26)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IF(ISNUMBER('Ｒ８年度'!G26),'Ｒ８年度'!G26,0)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BEF98-A799-4851-AD32-DC1D40C9066D}">
  <sheetPr codeName="Sheet2"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167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'Ｒ８年度'!D17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IF('Ｒ８年度'!K17&gt;=65,0,'Ｒ８年度'!E17)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IF('Ｒ８年度'!K17&lt;65,0,'Ｒ８年度'!E17)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18" t="s">
        <v>77</v>
      </c>
      <c r="AB44" s="664">
        <f>IF(ISNUMBER('Ｒ８年度'!G17),'Ｒ８年度'!G17,0)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18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21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K6:K16"/>
    <mergeCell ref="C5:F5"/>
    <mergeCell ref="Z3:Z5"/>
    <mergeCell ref="C23:F23"/>
    <mergeCell ref="H23:K23"/>
    <mergeCell ref="H3:K4"/>
    <mergeCell ref="H5:K5"/>
    <mergeCell ref="W5:X5"/>
    <mergeCell ref="W6:X6"/>
    <mergeCell ref="W4:X4"/>
    <mergeCell ref="W7:X7"/>
    <mergeCell ref="H6:J16"/>
    <mergeCell ref="H36:J41"/>
    <mergeCell ref="K36:K41"/>
    <mergeCell ref="H21:K22"/>
    <mergeCell ref="H24:J29"/>
    <mergeCell ref="K24:K29"/>
    <mergeCell ref="C35:F35"/>
    <mergeCell ref="H35:K35"/>
    <mergeCell ref="H33:K34"/>
    <mergeCell ref="V22:X22"/>
    <mergeCell ref="V24:W24"/>
    <mergeCell ref="V25:W25"/>
    <mergeCell ref="V26:W26"/>
    <mergeCell ref="L33:M34"/>
    <mergeCell ref="N33:S34"/>
    <mergeCell ref="V34:X34"/>
    <mergeCell ref="L21:M22"/>
    <mergeCell ref="N21:S22"/>
    <mergeCell ref="AA3:AC5"/>
    <mergeCell ref="Z6:Z10"/>
    <mergeCell ref="AA6:AC10"/>
    <mergeCell ref="W23:X23"/>
    <mergeCell ref="W47:Y47"/>
    <mergeCell ref="AB44:AC44"/>
    <mergeCell ref="AB46:AC46"/>
    <mergeCell ref="W45:Y45"/>
    <mergeCell ref="AB45:AC45"/>
    <mergeCell ref="V36:W36"/>
    <mergeCell ref="V37:W37"/>
    <mergeCell ref="V38:W38"/>
    <mergeCell ref="Z33:Z35"/>
    <mergeCell ref="Z36:Z40"/>
    <mergeCell ref="Z24:Z28"/>
    <mergeCell ref="Z21:Z23"/>
    <mergeCell ref="AG36:AH36"/>
    <mergeCell ref="W44:Y44"/>
    <mergeCell ref="AA33:AC35"/>
    <mergeCell ref="AA36:AC40"/>
    <mergeCell ref="W46:Y46"/>
    <mergeCell ref="W35:X35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B152-D441-4635-A990-8A67C3630993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'Ｒ８年度'!D18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IF('Ｒ８年度'!K18&gt;=65,0,'Ｒ８年度'!E18)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IF('Ｒ８年度'!K18&lt;65,0,'Ｒ８年度'!E18)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IF(ISNUMBER('Ｒ８年度'!G18),'Ｒ８年度'!G18,0)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1CD8-5CAB-47E4-8A0E-B6AA8865A588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'Ｒ８年度'!D19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IF('Ｒ８年度'!K19&gt;=65,0,'Ｒ８年度'!E19)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IF('Ｒ８年度'!K19&lt;65,0,'Ｒ８年度'!E19)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IF(ISNUMBER('Ｒ８年度'!G19),'Ｒ８年度'!G19,0)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9473-E9DB-4BE5-843A-D7A8DFC23746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'Ｒ８年度'!D20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IF('Ｒ８年度'!K20&gt;=65,0,'Ｒ８年度'!E20)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IF('Ｒ８年度'!K20&lt;65,0,'Ｒ８年度'!E20)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IF(ISNUMBER('Ｒ８年度'!G20),'Ｒ８年度'!G20,0)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3E19-2E77-43A0-9059-316519276594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'Ｒ８年度'!D21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IF('Ｒ８年度'!K21&gt;=65,0,'Ｒ８年度'!E21)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IF('Ｒ８年度'!K21&lt;65,0,'Ｒ８年度'!E21)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IF(ISNUMBER('Ｒ８年度'!G21),'Ｒ８年度'!G21,0)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D69D-1B57-47BA-A756-8DE013315CB8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'Ｒ８年度'!D22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IF('Ｒ８年度'!K22&gt;=65,0,'Ｒ８年度'!E22)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IF('Ｒ８年度'!K22&lt;65,0,'Ｒ８年度'!E22)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IF(ISNUMBER('Ｒ８年度'!G22),'Ｒ８年度'!G22,0)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73D4-7048-4759-A1EE-1F841435DE61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'Ｒ８年度'!D23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IF('Ｒ８年度'!K23&gt;=65,0,'Ｒ８年度'!E23)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IF('Ｒ８年度'!K23&lt;65,0,'Ｒ８年度'!E23)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IF(ISNUMBER('Ｒ８年度'!G23),'Ｒ８年度'!G23,0)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C7C0-952E-4EA1-A554-B65F7EE792EC}">
  <sheetPr>
    <pageSetUpPr fitToPage="1"/>
  </sheetPr>
  <dimension ref="A1:AH48"/>
  <sheetViews>
    <sheetView view="pageBreakPreview" zoomScale="55" zoomScaleNormal="75" zoomScaleSheetLayoutView="55" workbookViewId="0">
      <selection activeCell="D12" sqref="D12:E13"/>
    </sheetView>
  </sheetViews>
  <sheetFormatPr defaultColWidth="7.375" defaultRowHeight="13.5"/>
  <cols>
    <col min="1" max="1" width="7.375" style="94"/>
    <col min="2" max="2" width="4.875" style="94" customWidth="1"/>
    <col min="3" max="3" width="17.75" style="94" customWidth="1"/>
    <col min="4" max="4" width="11.375" style="94" customWidth="1"/>
    <col min="5" max="5" width="17.75" style="94" customWidth="1"/>
    <col min="6" max="6" width="11.375" style="94" customWidth="1"/>
    <col min="7" max="7" width="3.25" style="94" customWidth="1"/>
    <col min="8" max="10" width="9.625" style="94" customWidth="1"/>
    <col min="11" max="11" width="7.375" style="94" customWidth="1"/>
    <col min="12" max="16" width="17.75" style="94" customWidth="1"/>
    <col min="17" max="17" width="21.5" style="94" customWidth="1"/>
    <col min="18" max="18" width="17.75" style="94" customWidth="1"/>
    <col min="19" max="19" width="17.5" style="94" customWidth="1"/>
    <col min="20" max="20" width="4.25" style="94" customWidth="1"/>
    <col min="21" max="21" width="10.75" style="94" customWidth="1"/>
    <col min="22" max="22" width="18.875" style="94" customWidth="1"/>
    <col min="23" max="23" width="7.375" style="94" customWidth="1"/>
    <col min="24" max="24" width="9.25" style="94" customWidth="1"/>
    <col min="25" max="25" width="6.125" style="94" customWidth="1"/>
    <col min="26" max="26" width="38" style="94" customWidth="1"/>
    <col min="27" max="28" width="9.625" style="94" customWidth="1"/>
    <col min="29" max="29" width="15.5" style="94" customWidth="1"/>
    <col min="30" max="30" width="7.375" style="94" customWidth="1"/>
    <col min="31" max="31" width="26.625" style="94" customWidth="1"/>
    <col min="32" max="32" width="4" style="94" customWidth="1"/>
    <col min="33" max="33" width="26.375" style="94" customWidth="1"/>
    <col min="34" max="34" width="17.75" style="94" customWidth="1"/>
    <col min="35" max="16384" width="7.375" style="94"/>
  </cols>
  <sheetData>
    <row r="1" spans="1:32" ht="6.75" customHeight="1" thickBot="1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6"/>
      <c r="U1" s="96"/>
      <c r="V1" s="96"/>
      <c r="W1" s="96"/>
      <c r="X1" s="96"/>
      <c r="Y1" s="96"/>
      <c r="Z1" s="98"/>
      <c r="AA1" s="98"/>
      <c r="AB1" s="98"/>
      <c r="AC1" s="98"/>
      <c r="AD1" s="98"/>
      <c r="AE1" s="211"/>
      <c r="AF1" s="211"/>
    </row>
    <row r="2" spans="1:32" ht="34.5" customHeight="1">
      <c r="B2" s="278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60"/>
      <c r="M2" s="160"/>
      <c r="N2" s="160"/>
      <c r="O2" s="160"/>
      <c r="P2" s="160"/>
      <c r="Q2" s="160"/>
      <c r="R2" s="160"/>
      <c r="S2" s="160"/>
      <c r="T2" s="117"/>
      <c r="U2" s="117"/>
      <c r="V2" s="117"/>
      <c r="W2" s="117"/>
      <c r="X2" s="117"/>
      <c r="Y2" s="117"/>
      <c r="Z2" s="160"/>
      <c r="AA2" s="160"/>
      <c r="AB2" s="160"/>
      <c r="AC2" s="160"/>
      <c r="AD2" s="168"/>
      <c r="AE2" s="211"/>
      <c r="AF2" s="212"/>
    </row>
    <row r="3" spans="1:32" ht="13.5" customHeight="1">
      <c r="B3" s="116"/>
      <c r="C3" s="117"/>
      <c r="D3" s="117"/>
      <c r="E3" s="117"/>
      <c r="F3" s="117"/>
      <c r="G3" s="117"/>
      <c r="H3" s="710" t="s">
        <v>57</v>
      </c>
      <c r="I3" s="711"/>
      <c r="J3" s="711"/>
      <c r="K3" s="712"/>
      <c r="L3" s="222"/>
      <c r="M3" s="270"/>
      <c r="N3" s="270"/>
      <c r="O3" s="270"/>
      <c r="P3" s="270"/>
      <c r="Q3" s="147"/>
      <c r="R3" s="147"/>
      <c r="S3" s="147"/>
      <c r="T3" s="147"/>
      <c r="U3" s="147"/>
      <c r="V3" s="222"/>
      <c r="W3" s="222"/>
      <c r="X3" s="222"/>
      <c r="Y3" s="147"/>
      <c r="Z3" s="650" t="s">
        <v>120</v>
      </c>
      <c r="AA3" s="650" t="s">
        <v>121</v>
      </c>
      <c r="AB3" s="651"/>
      <c r="AC3" s="651"/>
      <c r="AD3" s="158"/>
      <c r="AE3" s="211"/>
      <c r="AF3" s="212"/>
    </row>
    <row r="4" spans="1:32" ht="21.95" customHeight="1">
      <c r="B4" s="116"/>
      <c r="C4" s="117"/>
      <c r="D4" s="117"/>
      <c r="E4" s="117"/>
      <c r="F4" s="117"/>
      <c r="G4" s="117"/>
      <c r="H4" s="713"/>
      <c r="I4" s="714"/>
      <c r="J4" s="714"/>
      <c r="K4" s="715"/>
      <c r="L4" s="287" t="s">
        <v>127</v>
      </c>
      <c r="M4" s="271"/>
      <c r="N4" s="271"/>
      <c r="O4" s="271"/>
      <c r="P4" s="271"/>
      <c r="Q4" s="147"/>
      <c r="R4" s="222"/>
      <c r="S4" s="147"/>
      <c r="T4" s="147"/>
      <c r="U4" s="147"/>
      <c r="V4" s="269" t="s">
        <v>85</v>
      </c>
      <c r="W4" s="723" t="s">
        <v>86</v>
      </c>
      <c r="X4" s="723"/>
      <c r="Y4" s="147"/>
      <c r="Z4" s="651"/>
      <c r="AA4" s="651"/>
      <c r="AB4" s="651"/>
      <c r="AC4" s="651"/>
      <c r="AD4" s="158"/>
      <c r="AE4" s="211"/>
      <c r="AF4" s="212"/>
    </row>
    <row r="5" spans="1:32" ht="51" customHeight="1">
      <c r="B5" s="116"/>
      <c r="C5" s="703" t="s">
        <v>47</v>
      </c>
      <c r="D5" s="704"/>
      <c r="E5" s="704"/>
      <c r="F5" s="705"/>
      <c r="G5" s="118"/>
      <c r="H5" s="716" t="s">
        <v>69</v>
      </c>
      <c r="I5" s="717"/>
      <c r="J5" s="717"/>
      <c r="K5" s="718"/>
      <c r="L5" s="256" t="s">
        <v>115</v>
      </c>
      <c r="M5" s="257" t="s">
        <v>46</v>
      </c>
      <c r="N5" s="288" t="s">
        <v>123</v>
      </c>
      <c r="O5" s="289" t="s">
        <v>124</v>
      </c>
      <c r="P5" s="255" t="s">
        <v>125</v>
      </c>
      <c r="Q5" s="209" t="s">
        <v>128</v>
      </c>
      <c r="R5" s="222"/>
      <c r="S5" s="252" t="s">
        <v>45</v>
      </c>
      <c r="T5" s="161"/>
      <c r="U5" s="267" t="s">
        <v>68</v>
      </c>
      <c r="V5" s="162">
        <f>MAX(((V6+V7)-100000),0)</f>
        <v>0</v>
      </c>
      <c r="W5" s="719">
        <f>MAX(((W6+W7)-100000),0)</f>
        <v>0</v>
      </c>
      <c r="X5" s="720"/>
      <c r="Y5" s="161"/>
      <c r="Z5" s="651"/>
      <c r="AA5" s="651"/>
      <c r="AB5" s="651"/>
      <c r="AC5" s="651"/>
      <c r="AD5" s="158"/>
      <c r="AE5" s="211"/>
      <c r="AF5" s="212"/>
    </row>
    <row r="6" spans="1:32" ht="18.75" customHeight="1">
      <c r="A6" s="94" t="s">
        <v>71</v>
      </c>
      <c r="B6" s="116"/>
      <c r="C6" s="274">
        <v>650999</v>
      </c>
      <c r="D6" s="275" t="s">
        <v>39</v>
      </c>
      <c r="E6" s="276"/>
      <c r="F6" s="275"/>
      <c r="G6" s="118"/>
      <c r="H6" s="724">
        <f>'Ｒ８年度'!D24</f>
        <v>0</v>
      </c>
      <c r="I6" s="724"/>
      <c r="J6" s="724"/>
      <c r="K6" s="702" t="s">
        <v>40</v>
      </c>
      <c r="L6" s="329"/>
      <c r="M6" s="262">
        <v>0</v>
      </c>
      <c r="N6" s="329"/>
      <c r="O6" s="329"/>
      <c r="P6" s="258"/>
      <c r="Q6" s="332">
        <v>0</v>
      </c>
      <c r="R6" s="273"/>
      <c r="S6" s="285">
        <f>IF($H$6&lt;=C6,Q6," ")</f>
        <v>0</v>
      </c>
      <c r="T6" s="163"/>
      <c r="U6" s="268" t="s">
        <v>66</v>
      </c>
      <c r="V6" s="265">
        <f>IFERROR(MIN((SUM(S6:S16)),100000),0)</f>
        <v>0</v>
      </c>
      <c r="W6" s="721">
        <f>IFERROR(MIN((SUM(S6:S16)),100000),0)</f>
        <v>0</v>
      </c>
      <c r="X6" s="722"/>
      <c r="Y6" s="163"/>
      <c r="Z6" s="652">
        <f>IFERROR(SUM(S6:S16),0)</f>
        <v>0</v>
      </c>
      <c r="AA6" s="655">
        <f>MAX(Z6-V5,0)</f>
        <v>0</v>
      </c>
      <c r="AB6" s="656"/>
      <c r="AC6" s="657"/>
      <c r="AD6" s="158"/>
      <c r="AE6" s="211"/>
      <c r="AF6" s="212"/>
    </row>
    <row r="7" spans="1:32" ht="18.75" customHeight="1">
      <c r="B7" s="116"/>
      <c r="C7" s="274">
        <v>651000</v>
      </c>
      <c r="D7" s="277" t="s">
        <v>91</v>
      </c>
      <c r="E7" s="274">
        <v>1899999</v>
      </c>
      <c r="F7" s="277" t="s">
        <v>39</v>
      </c>
      <c r="G7" s="118"/>
      <c r="H7" s="724"/>
      <c r="I7" s="724"/>
      <c r="J7" s="724"/>
      <c r="K7" s="702"/>
      <c r="L7" s="329"/>
      <c r="M7" s="262">
        <v>0</v>
      </c>
      <c r="N7" s="329"/>
      <c r="O7" s="259">
        <v>650000</v>
      </c>
      <c r="P7" s="260">
        <f>O7</f>
        <v>650000</v>
      </c>
      <c r="Q7" s="333">
        <f>H6-P7</f>
        <v>-650000</v>
      </c>
      <c r="R7" s="273"/>
      <c r="S7" s="285" t="str">
        <f>IF($H$6&gt;E7," ",(IF($H$6&gt;=C7,Q7," ")))</f>
        <v xml:space="preserve"> </v>
      </c>
      <c r="T7" s="164"/>
      <c r="U7" s="268" t="s">
        <v>67</v>
      </c>
      <c r="V7" s="266">
        <f>IFERROR(MIN((Z24+Z36),100000),0)</f>
        <v>0</v>
      </c>
      <c r="W7" s="721">
        <f>IFERROR(MIN((Z24+AA36),100000),0)</f>
        <v>0</v>
      </c>
      <c r="X7" s="722"/>
      <c r="Y7" s="166"/>
      <c r="Z7" s="653"/>
      <c r="AA7" s="658"/>
      <c r="AB7" s="659"/>
      <c r="AC7" s="660"/>
      <c r="AD7" s="158"/>
      <c r="AE7" s="211"/>
      <c r="AF7" s="212"/>
    </row>
    <row r="8" spans="1:32" ht="18.75" customHeight="1">
      <c r="B8" s="116"/>
      <c r="C8" s="274"/>
      <c r="D8" s="277" t="s">
        <v>91</v>
      </c>
      <c r="E8" s="274"/>
      <c r="F8" s="277" t="s">
        <v>39</v>
      </c>
      <c r="G8" s="118"/>
      <c r="H8" s="724"/>
      <c r="I8" s="724"/>
      <c r="J8" s="724"/>
      <c r="K8" s="702"/>
      <c r="L8" s="329"/>
      <c r="M8" s="258"/>
      <c r="N8" s="329"/>
      <c r="O8" s="334"/>
      <c r="P8" s="258"/>
      <c r="Q8" s="329"/>
      <c r="R8" s="273"/>
      <c r="S8" s="328"/>
      <c r="T8" s="164"/>
      <c r="U8" s="117"/>
      <c r="V8" s="165"/>
      <c r="W8" s="165"/>
      <c r="X8" s="166"/>
      <c r="Y8" s="166"/>
      <c r="Z8" s="653"/>
      <c r="AA8" s="658"/>
      <c r="AB8" s="659"/>
      <c r="AC8" s="660"/>
      <c r="AD8" s="158"/>
      <c r="AE8" s="211"/>
      <c r="AF8" s="212"/>
    </row>
    <row r="9" spans="1:32" ht="18.75" customHeight="1">
      <c r="B9" s="116"/>
      <c r="C9" s="274"/>
      <c r="D9" s="277" t="s">
        <v>91</v>
      </c>
      <c r="E9" s="274"/>
      <c r="F9" s="277" t="s">
        <v>39</v>
      </c>
      <c r="G9" s="118"/>
      <c r="H9" s="724"/>
      <c r="I9" s="724"/>
      <c r="J9" s="724"/>
      <c r="K9" s="702"/>
      <c r="L9" s="329"/>
      <c r="M9" s="258"/>
      <c r="N9" s="329"/>
      <c r="O9" s="334"/>
      <c r="P9" s="258"/>
      <c r="Q9" s="329"/>
      <c r="R9" s="273"/>
      <c r="S9" s="328"/>
      <c r="T9" s="164"/>
      <c r="U9" s="117"/>
      <c r="V9" s="165"/>
      <c r="W9" s="165"/>
      <c r="X9" s="166"/>
      <c r="Y9" s="166"/>
      <c r="Z9" s="653"/>
      <c r="AA9" s="658"/>
      <c r="AB9" s="659"/>
      <c r="AC9" s="660"/>
      <c r="AD9" s="158"/>
      <c r="AE9" s="211"/>
      <c r="AF9" s="212"/>
    </row>
    <row r="10" spans="1:32" ht="18.75" customHeight="1">
      <c r="B10" s="116"/>
      <c r="C10" s="274"/>
      <c r="D10" s="277" t="s">
        <v>91</v>
      </c>
      <c r="E10" s="274"/>
      <c r="F10" s="277" t="s">
        <v>39</v>
      </c>
      <c r="G10" s="118"/>
      <c r="H10" s="724"/>
      <c r="I10" s="724"/>
      <c r="J10" s="724"/>
      <c r="K10" s="702"/>
      <c r="L10" s="329"/>
      <c r="M10" s="258"/>
      <c r="N10" s="329"/>
      <c r="O10" s="334"/>
      <c r="P10" s="258"/>
      <c r="Q10" s="329"/>
      <c r="R10" s="273"/>
      <c r="S10" s="328"/>
      <c r="T10" s="164"/>
      <c r="U10" s="117"/>
      <c r="V10" s="165"/>
      <c r="W10" s="165"/>
      <c r="X10" s="166"/>
      <c r="Y10" s="166"/>
      <c r="Z10" s="654"/>
      <c r="AA10" s="661"/>
      <c r="AB10" s="662"/>
      <c r="AC10" s="663"/>
      <c r="AD10" s="158"/>
      <c r="AE10" s="211"/>
      <c r="AF10" s="212"/>
    </row>
    <row r="11" spans="1:32" ht="18.75" customHeight="1">
      <c r="B11" s="116"/>
      <c r="C11" s="274"/>
      <c r="D11" s="277" t="s">
        <v>91</v>
      </c>
      <c r="E11" s="274"/>
      <c r="F11" s="277" t="s">
        <v>39</v>
      </c>
      <c r="G11" s="118"/>
      <c r="H11" s="724"/>
      <c r="I11" s="724"/>
      <c r="J11" s="724"/>
      <c r="K11" s="702"/>
      <c r="L11" s="330"/>
      <c r="M11" s="331"/>
      <c r="N11" s="329"/>
      <c r="O11" s="335"/>
      <c r="P11" s="261"/>
      <c r="Q11" s="330"/>
      <c r="R11" s="273"/>
      <c r="S11" s="328"/>
      <c r="T11" s="164"/>
      <c r="U11" s="117"/>
      <c r="V11" s="165"/>
      <c r="W11" s="165"/>
      <c r="X11" s="166"/>
      <c r="Y11" s="166"/>
      <c r="Z11" s="272"/>
      <c r="AA11" s="272"/>
      <c r="AB11" s="272"/>
      <c r="AC11" s="272"/>
      <c r="AD11" s="158"/>
      <c r="AE11" s="211"/>
      <c r="AF11" s="212"/>
    </row>
    <row r="12" spans="1:32" ht="18.75" customHeight="1">
      <c r="B12" s="116"/>
      <c r="C12" s="274"/>
      <c r="D12" s="277" t="s">
        <v>91</v>
      </c>
      <c r="E12" s="274"/>
      <c r="F12" s="277" t="s">
        <v>39</v>
      </c>
      <c r="G12" s="118"/>
      <c r="H12" s="724"/>
      <c r="I12" s="724"/>
      <c r="J12" s="724"/>
      <c r="K12" s="702"/>
      <c r="L12" s="330"/>
      <c r="M12" s="331"/>
      <c r="N12" s="329"/>
      <c r="O12" s="335"/>
      <c r="P12" s="261"/>
      <c r="Q12" s="330"/>
      <c r="R12" s="273"/>
      <c r="S12" s="328"/>
      <c r="T12" s="164"/>
      <c r="U12" s="117"/>
      <c r="V12" s="165"/>
      <c r="W12" s="165"/>
      <c r="X12" s="166"/>
      <c r="Y12" s="166"/>
      <c r="Z12" s="272"/>
      <c r="AA12" s="272"/>
      <c r="AB12" s="272"/>
      <c r="AC12" s="272"/>
      <c r="AD12" s="158"/>
      <c r="AE12" s="211"/>
      <c r="AF12" s="212"/>
    </row>
    <row r="13" spans="1:32" ht="18.75" customHeight="1">
      <c r="B13" s="116"/>
      <c r="C13" s="274">
        <v>1900000</v>
      </c>
      <c r="D13" s="277" t="s">
        <v>91</v>
      </c>
      <c r="E13" s="274">
        <v>3599999</v>
      </c>
      <c r="F13" s="277" t="s">
        <v>39</v>
      </c>
      <c r="G13" s="118"/>
      <c r="H13" s="724"/>
      <c r="I13" s="724"/>
      <c r="J13" s="724"/>
      <c r="K13" s="702"/>
      <c r="L13" s="264">
        <f>ROUNDDOWN(H6/4,-3)</f>
        <v>0</v>
      </c>
      <c r="M13" s="262">
        <v>0.3</v>
      </c>
      <c r="N13" s="264">
        <f>ROUNDDOWN(H6/4,-3)*4*M13</f>
        <v>0</v>
      </c>
      <c r="O13" s="263">
        <v>80000</v>
      </c>
      <c r="P13" s="264">
        <f>SUM(N13:O13)</f>
        <v>80000</v>
      </c>
      <c r="Q13" s="264">
        <f>L13*4*(1-M13)-O13</f>
        <v>-80000</v>
      </c>
      <c r="R13" s="273"/>
      <c r="S13" s="285" t="str">
        <f t="shared" ref="S13:S15" si="0">IF($H$6&gt;E13," ",(IF($H$6&gt;=C13,Q13," ")))</f>
        <v xml:space="preserve"> </v>
      </c>
      <c r="T13" s="164"/>
      <c r="U13" s="117"/>
      <c r="V13" s="165"/>
      <c r="W13" s="165"/>
      <c r="X13" s="166"/>
      <c r="Y13" s="166"/>
      <c r="Z13" s="272"/>
      <c r="AA13" s="272"/>
      <c r="AB13" s="272"/>
      <c r="AC13" s="272"/>
      <c r="AD13" s="158"/>
      <c r="AE13" s="211"/>
      <c r="AF13" s="212"/>
    </row>
    <row r="14" spans="1:32" ht="18.75" customHeight="1">
      <c r="B14" s="116"/>
      <c r="C14" s="274">
        <v>3600000</v>
      </c>
      <c r="D14" s="277" t="s">
        <v>91</v>
      </c>
      <c r="E14" s="274">
        <v>6599999</v>
      </c>
      <c r="F14" s="277" t="s">
        <v>39</v>
      </c>
      <c r="G14" s="118"/>
      <c r="H14" s="724"/>
      <c r="I14" s="724"/>
      <c r="J14" s="724"/>
      <c r="K14" s="702"/>
      <c r="L14" s="264">
        <f>ROUNDDOWN(H6/4,-3)</f>
        <v>0</v>
      </c>
      <c r="M14" s="262">
        <v>0.2</v>
      </c>
      <c r="N14" s="264">
        <f>ROUNDDOWN(H6/4,-3)*4*M14</f>
        <v>0</v>
      </c>
      <c r="O14" s="263">
        <v>440000</v>
      </c>
      <c r="P14" s="264">
        <f>SUM(N14:O14)</f>
        <v>440000</v>
      </c>
      <c r="Q14" s="264">
        <f>L14*4*(1-M14)-O14</f>
        <v>-440000</v>
      </c>
      <c r="R14" s="273"/>
      <c r="S14" s="285" t="str">
        <f t="shared" si="0"/>
        <v xml:space="preserve"> </v>
      </c>
      <c r="T14" s="164"/>
      <c r="U14" s="117"/>
      <c r="V14" s="165"/>
      <c r="W14" s="165"/>
      <c r="X14" s="166"/>
      <c r="Y14" s="166"/>
      <c r="Z14" s="272"/>
      <c r="AA14" s="272"/>
      <c r="AB14" s="272"/>
      <c r="AC14" s="272"/>
      <c r="AD14" s="158"/>
      <c r="AE14" s="211"/>
      <c r="AF14" s="212"/>
    </row>
    <row r="15" spans="1:32" ht="18.75" customHeight="1">
      <c r="B15" s="116"/>
      <c r="C15" s="274">
        <v>6600000</v>
      </c>
      <c r="D15" s="277" t="s">
        <v>91</v>
      </c>
      <c r="E15" s="274">
        <v>8499999</v>
      </c>
      <c r="F15" s="277" t="s">
        <v>39</v>
      </c>
      <c r="G15" s="118"/>
      <c r="H15" s="724"/>
      <c r="I15" s="724"/>
      <c r="J15" s="724"/>
      <c r="K15" s="702"/>
      <c r="L15" s="261"/>
      <c r="M15" s="262">
        <v>0.1</v>
      </c>
      <c r="N15" s="264">
        <f>ROUNDDOWN(H6/4,-3)*4*M15</f>
        <v>0</v>
      </c>
      <c r="O15" s="263">
        <v>1100000</v>
      </c>
      <c r="P15" s="264">
        <f>SUM(N15:O15)</f>
        <v>1100000</v>
      </c>
      <c r="Q15" s="264">
        <f>ROUNDDOWN((H6*(1-M15)),0)-O15</f>
        <v>-1100000</v>
      </c>
      <c r="R15" s="273"/>
      <c r="S15" s="285" t="str">
        <f t="shared" si="0"/>
        <v xml:space="preserve"> </v>
      </c>
      <c r="T15" s="164"/>
      <c r="U15" s="117"/>
      <c r="V15" s="165"/>
      <c r="W15" s="165"/>
      <c r="X15" s="166"/>
      <c r="Y15" s="166"/>
      <c r="Z15" s="272"/>
      <c r="AA15" s="272"/>
      <c r="AB15" s="272"/>
      <c r="AC15" s="272"/>
      <c r="AD15" s="158"/>
      <c r="AE15" s="211"/>
      <c r="AF15" s="212"/>
    </row>
    <row r="16" spans="1:32" ht="18.75" customHeight="1">
      <c r="B16" s="116"/>
      <c r="C16" s="274">
        <v>8500000</v>
      </c>
      <c r="D16" s="277" t="s">
        <v>91</v>
      </c>
      <c r="E16" s="274"/>
      <c r="F16" s="277"/>
      <c r="G16" s="118"/>
      <c r="H16" s="724"/>
      <c r="I16" s="724"/>
      <c r="J16" s="724"/>
      <c r="K16" s="702"/>
      <c r="L16" s="261"/>
      <c r="M16" s="262">
        <v>0</v>
      </c>
      <c r="N16" s="261"/>
      <c r="O16" s="263">
        <v>1950000</v>
      </c>
      <c r="P16" s="264">
        <f>O16</f>
        <v>1950000</v>
      </c>
      <c r="Q16" s="264">
        <f>ROUNDDOWN((H6*(1-M16)),0)-O16</f>
        <v>-1950000</v>
      </c>
      <c r="R16" s="273"/>
      <c r="S16" s="286" t="str">
        <f>IF(H6&gt;=C16,Q16," ")</f>
        <v xml:space="preserve"> </v>
      </c>
      <c r="T16" s="164"/>
      <c r="U16" s="117"/>
      <c r="V16" s="165"/>
      <c r="W16" s="165"/>
      <c r="X16" s="166"/>
      <c r="Y16" s="166"/>
      <c r="Z16" s="272"/>
      <c r="AA16" s="272"/>
      <c r="AB16" s="272"/>
      <c r="AC16" s="272"/>
      <c r="AD16" s="158"/>
      <c r="AE16" s="211"/>
      <c r="AF16" s="212"/>
    </row>
    <row r="17" spans="1:32" ht="13.5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58"/>
      <c r="AE17" s="211"/>
      <c r="AF17" s="212"/>
    </row>
    <row r="18" spans="1:32" ht="14.25" thickBot="1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59"/>
      <c r="AE18" s="211"/>
      <c r="AF18" s="212"/>
    </row>
    <row r="19" spans="1:32" ht="18.75" customHeight="1" thickBot="1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211"/>
      <c r="AF19" s="212"/>
    </row>
    <row r="20" spans="1:32" ht="34.5" customHeight="1">
      <c r="B20" s="279" t="s">
        <v>126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31"/>
      <c r="AB20" s="131"/>
      <c r="AC20" s="131"/>
      <c r="AD20" s="132"/>
      <c r="AE20" s="211"/>
      <c r="AF20" s="212"/>
    </row>
    <row r="21" spans="1:32" ht="13.5" customHeight="1">
      <c r="B21" s="140"/>
      <c r="C21" s="130"/>
      <c r="D21" s="130"/>
      <c r="E21" s="130"/>
      <c r="F21" s="130"/>
      <c r="G21" s="130"/>
      <c r="H21" s="699" t="s">
        <v>57</v>
      </c>
      <c r="I21" s="699"/>
      <c r="J21" s="699"/>
      <c r="K21" s="699"/>
      <c r="L21" s="685" t="s">
        <v>58</v>
      </c>
      <c r="M21" s="685"/>
      <c r="N21" s="686"/>
      <c r="O21" s="686"/>
      <c r="P21" s="686"/>
      <c r="Q21" s="686"/>
      <c r="R21" s="686"/>
      <c r="S21" s="686"/>
      <c r="T21" s="128"/>
      <c r="U21" s="128"/>
      <c r="V21" s="145"/>
      <c r="W21" s="128"/>
      <c r="X21" s="95"/>
      <c r="Y21" s="128"/>
      <c r="Z21" s="669" t="s">
        <v>64</v>
      </c>
      <c r="AA21" s="133"/>
      <c r="AB21" s="133"/>
      <c r="AC21" s="133"/>
      <c r="AD21" s="134"/>
      <c r="AE21" s="211"/>
      <c r="AF21" s="212"/>
    </row>
    <row r="22" spans="1:32" ht="21" customHeight="1">
      <c r="B22" s="140"/>
      <c r="C22" s="154"/>
      <c r="D22" s="129"/>
      <c r="E22" s="129"/>
      <c r="F22" s="129"/>
      <c r="G22" s="130"/>
      <c r="H22" s="699"/>
      <c r="I22" s="699"/>
      <c r="J22" s="699"/>
      <c r="K22" s="699"/>
      <c r="L22" s="685"/>
      <c r="M22" s="685"/>
      <c r="N22" s="686"/>
      <c r="O22" s="686"/>
      <c r="P22" s="686"/>
      <c r="Q22" s="686"/>
      <c r="R22" s="686"/>
      <c r="S22" s="686"/>
      <c r="T22" s="128"/>
      <c r="U22" s="128"/>
      <c r="V22" s="684" t="s">
        <v>60</v>
      </c>
      <c r="W22" s="684"/>
      <c r="X22" s="684"/>
      <c r="Y22" s="128"/>
      <c r="Z22" s="670"/>
      <c r="AA22" s="133"/>
      <c r="AB22" s="133"/>
      <c r="AC22" s="133"/>
      <c r="AD22" s="134"/>
      <c r="AE22" s="211"/>
      <c r="AF22" s="212"/>
    </row>
    <row r="23" spans="1:32" ht="51" customHeight="1">
      <c r="A23" s="94" t="s">
        <v>63</v>
      </c>
      <c r="B23" s="140"/>
      <c r="C23" s="706" t="s">
        <v>43</v>
      </c>
      <c r="D23" s="707"/>
      <c r="E23" s="707"/>
      <c r="F23" s="708"/>
      <c r="G23" s="141"/>
      <c r="H23" s="709" t="s">
        <v>70</v>
      </c>
      <c r="I23" s="709"/>
      <c r="J23" s="709"/>
      <c r="K23" s="709"/>
      <c r="L23" s="121" t="s">
        <v>42</v>
      </c>
      <c r="M23" s="122" t="s">
        <v>41</v>
      </c>
      <c r="N23" s="110" t="s">
        <v>119</v>
      </c>
      <c r="O23" s="237" t="s">
        <v>55</v>
      </c>
      <c r="P23" s="111" t="s">
        <v>118</v>
      </c>
      <c r="Q23" s="236" t="s">
        <v>55</v>
      </c>
      <c r="R23" s="113" t="s">
        <v>117</v>
      </c>
      <c r="S23" s="114" t="s">
        <v>56</v>
      </c>
      <c r="T23" s="129"/>
      <c r="U23" s="129"/>
      <c r="V23" s="157" t="s">
        <v>59</v>
      </c>
      <c r="W23" s="648">
        <f>IFERROR(Z6+AB44,0)</f>
        <v>0</v>
      </c>
      <c r="X23" s="649"/>
      <c r="Y23" s="146"/>
      <c r="Z23" s="670"/>
      <c r="AA23" s="135"/>
      <c r="AB23" s="135"/>
      <c r="AC23" s="135"/>
      <c r="AD23" s="134"/>
      <c r="AE23" s="211"/>
      <c r="AF23" s="212"/>
    </row>
    <row r="24" spans="1:32" ht="18.75" customHeight="1">
      <c r="B24" s="140"/>
      <c r="C24" s="280">
        <v>600000</v>
      </c>
      <c r="D24" s="281" t="s">
        <v>39</v>
      </c>
      <c r="E24" s="282"/>
      <c r="F24" s="283"/>
      <c r="G24" s="141"/>
      <c r="H24" s="700">
        <f>IF('Ｒ８年度'!K24&gt;=65,0,'Ｒ８年度'!E24)</f>
        <v>0</v>
      </c>
      <c r="I24" s="700"/>
      <c r="J24" s="700"/>
      <c r="K24" s="701" t="s">
        <v>40</v>
      </c>
      <c r="L24" s="123"/>
      <c r="M24" s="124"/>
      <c r="N24" s="150">
        <v>0</v>
      </c>
      <c r="O24" s="99">
        <f>IF(Y24="○",(IF(H24&gt;C24," ",N24)),"　")</f>
        <v>0</v>
      </c>
      <c r="P24" s="238">
        <v>0</v>
      </c>
      <c r="Q24" s="112" t="str">
        <f>IF(Y25="○",(IF(H24&gt;C24-100000," ",P24)),"　")</f>
        <v>　</v>
      </c>
      <c r="R24" s="240">
        <v>0</v>
      </c>
      <c r="S24" s="149" t="str">
        <f>IF(Y26="○",(IF(H24&gt;C24-200000," ",R24)),"　")</f>
        <v>　</v>
      </c>
      <c r="T24" s="129"/>
      <c r="U24" s="129"/>
      <c r="V24" s="667">
        <v>10000000</v>
      </c>
      <c r="W24" s="667"/>
      <c r="X24" s="151" t="s">
        <v>61</v>
      </c>
      <c r="Y24" s="129" t="str">
        <f>IF(W23&lt;=V24,"○","　")</f>
        <v>○</v>
      </c>
      <c r="Z24" s="671">
        <f>IFERROR(ROUNDDOWN((SUM(O24:O29)),0)+(ROUNDDOWN((SUM(Q24:Q29)),0))+(ROUNDDOWN((SUM(S24:S29)),0)),0)</f>
        <v>0</v>
      </c>
      <c r="AA24" s="136"/>
      <c r="AB24" s="136"/>
      <c r="AC24" s="137"/>
      <c r="AD24" s="134"/>
      <c r="AE24" s="211"/>
      <c r="AF24" s="212"/>
    </row>
    <row r="25" spans="1:32" ht="18.75" customHeight="1">
      <c r="B25" s="140"/>
      <c r="C25" s="280">
        <v>600001</v>
      </c>
      <c r="D25" s="281" t="s">
        <v>91</v>
      </c>
      <c r="E25" s="280">
        <v>1299999</v>
      </c>
      <c r="F25" s="283" t="s">
        <v>39</v>
      </c>
      <c r="G25" s="141"/>
      <c r="H25" s="700"/>
      <c r="I25" s="700"/>
      <c r="J25" s="700"/>
      <c r="K25" s="701"/>
      <c r="L25" s="125">
        <v>1</v>
      </c>
      <c r="M25" s="126">
        <v>600000</v>
      </c>
      <c r="N25" s="156">
        <f>H24*L25-M25</f>
        <v>-600000</v>
      </c>
      <c r="O25" s="156" t="str">
        <f>IF(Y24="○",(IF(H24&gt;E25," ",(IF(H24&gt;C24,N25," ")))),"　")</f>
        <v xml:space="preserve"> </v>
      </c>
      <c r="P25" s="238">
        <f>H24*L25-(M25-100000)</f>
        <v>-500000</v>
      </c>
      <c r="Q25" s="112" t="str">
        <f>IF(Y25="○",(IF(H24&gt;E25," ",(IF(H24&gt;(C24-100000),P25," ")))),"　")</f>
        <v>　</v>
      </c>
      <c r="R25" s="240">
        <f>H24*L25-(M25-200000)</f>
        <v>-400000</v>
      </c>
      <c r="S25" s="149" t="str">
        <f>IF(Y26="○",(IF(H24&gt;E25," ",(IF(H24&gt;(C24-200000),R25," ")))),"　")</f>
        <v>　</v>
      </c>
      <c r="T25" s="129"/>
      <c r="U25" s="129"/>
      <c r="V25" s="668">
        <v>20000000</v>
      </c>
      <c r="W25" s="668"/>
      <c r="X25" s="151" t="s">
        <v>61</v>
      </c>
      <c r="Y25" s="129" t="str">
        <f>IF(W23&gt;V24,(IF(W23&lt;=V25,"○","　")),"　")</f>
        <v>　</v>
      </c>
      <c r="Z25" s="671"/>
      <c r="AA25" s="136"/>
      <c r="AB25" s="136"/>
      <c r="AC25" s="137"/>
      <c r="AD25" s="134"/>
      <c r="AE25" s="211"/>
      <c r="AF25" s="212"/>
    </row>
    <row r="26" spans="1:32" ht="18.75" customHeight="1">
      <c r="B26" s="140"/>
      <c r="C26" s="280">
        <v>1300000</v>
      </c>
      <c r="D26" s="281" t="s">
        <v>90</v>
      </c>
      <c r="E26" s="280">
        <v>4099999</v>
      </c>
      <c r="F26" s="283" t="s">
        <v>39</v>
      </c>
      <c r="G26" s="141"/>
      <c r="H26" s="700"/>
      <c r="I26" s="700"/>
      <c r="J26" s="700"/>
      <c r="K26" s="701"/>
      <c r="L26" s="125">
        <v>0.75</v>
      </c>
      <c r="M26" s="126">
        <v>275000</v>
      </c>
      <c r="N26" s="156">
        <f>H24*L26-M26</f>
        <v>-275000</v>
      </c>
      <c r="O26" s="156" t="str">
        <f>IF(Y24="○",(IF(H24&gt;E26," ",(IF(H24&gt;E25,N26," ")))),"　")</f>
        <v xml:space="preserve"> </v>
      </c>
      <c r="P26" s="239">
        <f>H24*L26-(M26-100000)</f>
        <v>-175000</v>
      </c>
      <c r="Q26" s="112" t="str">
        <f>IF(Y25="○",(IF(H24&gt;E26," ",(IF(H24&gt;E25,P26," ")))),"　")</f>
        <v>　</v>
      </c>
      <c r="R26" s="240">
        <f>H24*L26-(M26-200000)</f>
        <v>-75000</v>
      </c>
      <c r="S26" s="149" t="str">
        <f>IF(Y26="○",(IF(H24&gt;E26," ",(IF(H24&gt;E25,R26," ")))),"　")</f>
        <v>　</v>
      </c>
      <c r="T26" s="129"/>
      <c r="U26" s="129"/>
      <c r="V26" s="668">
        <v>20000001</v>
      </c>
      <c r="W26" s="668"/>
      <c r="X26" s="151" t="s">
        <v>62</v>
      </c>
      <c r="Y26" s="129" t="str">
        <f>IF(W23&gt;=V26,"○","　")</f>
        <v>　</v>
      </c>
      <c r="Z26" s="671"/>
      <c r="AA26" s="136"/>
      <c r="AB26" s="136"/>
      <c r="AC26" s="137"/>
      <c r="AD26" s="134"/>
      <c r="AE26" s="211"/>
      <c r="AF26" s="212"/>
    </row>
    <row r="27" spans="1:32" ht="18.75" customHeight="1">
      <c r="B27" s="140"/>
      <c r="C27" s="280">
        <v>4100000</v>
      </c>
      <c r="D27" s="281" t="s">
        <v>90</v>
      </c>
      <c r="E27" s="280">
        <v>7699999</v>
      </c>
      <c r="F27" s="283" t="s">
        <v>39</v>
      </c>
      <c r="G27" s="141"/>
      <c r="H27" s="700"/>
      <c r="I27" s="700"/>
      <c r="J27" s="700"/>
      <c r="K27" s="701"/>
      <c r="L27" s="125">
        <v>0.85</v>
      </c>
      <c r="M27" s="126">
        <v>685000</v>
      </c>
      <c r="N27" s="156">
        <f>H24*L27-M27</f>
        <v>-685000</v>
      </c>
      <c r="O27" s="156" t="str">
        <f>IF(Y24="○",(IF(H24&gt;E27," ",(IF(H24&gt;E26,N27," ")))),"　")</f>
        <v xml:space="preserve"> </v>
      </c>
      <c r="P27" s="239">
        <f>H24*L27-(M27-100000)</f>
        <v>-585000</v>
      </c>
      <c r="Q27" s="112" t="str">
        <f>IF(Y25="○",(IF(H24&gt;E27," ",(IF(H24&gt;E26,P27," ")))),"　")</f>
        <v>　</v>
      </c>
      <c r="R27" s="240">
        <f>H24*L27-(M27-200000)</f>
        <v>-485000</v>
      </c>
      <c r="S27" s="149" t="str">
        <f>IF(Y26="○",(IF(H24&gt;E27," ",(IF(H24&gt;E26,R27," ")))),"　")</f>
        <v>　</v>
      </c>
      <c r="T27" s="129"/>
      <c r="U27" s="129"/>
      <c r="V27" s="148"/>
      <c r="W27" s="148"/>
      <c r="X27" s="148"/>
      <c r="Y27" s="129"/>
      <c r="Z27" s="671"/>
      <c r="AA27" s="136"/>
      <c r="AB27" s="136"/>
      <c r="AC27" s="137"/>
      <c r="AD27" s="134"/>
      <c r="AE27" s="211"/>
      <c r="AF27" s="212"/>
    </row>
    <row r="28" spans="1:32" ht="18.75" customHeight="1">
      <c r="B28" s="140"/>
      <c r="C28" s="280">
        <v>7700000</v>
      </c>
      <c r="D28" s="281" t="s">
        <v>90</v>
      </c>
      <c r="E28" s="280">
        <v>9999999</v>
      </c>
      <c r="F28" s="283" t="s">
        <v>39</v>
      </c>
      <c r="G28" s="141"/>
      <c r="H28" s="700"/>
      <c r="I28" s="700"/>
      <c r="J28" s="700"/>
      <c r="K28" s="701"/>
      <c r="L28" s="125">
        <v>0.95</v>
      </c>
      <c r="M28" s="126">
        <v>1455000</v>
      </c>
      <c r="N28" s="156">
        <f>H24*L28-M28</f>
        <v>-1455000</v>
      </c>
      <c r="O28" s="156" t="str">
        <f>IF(Y24="○",(IF(H24&gt;E28," ",(IF(H24&gt;E27,N28," ")))),"　")</f>
        <v xml:space="preserve"> </v>
      </c>
      <c r="P28" s="239">
        <f>H24*L28-(M28-100000)</f>
        <v>-1355000</v>
      </c>
      <c r="Q28" s="112" t="str">
        <f>IF(Y25="○",(IF(H24&gt;E28," ",(IF(H24&gt;E27,P28," ")))),"　")</f>
        <v>　</v>
      </c>
      <c r="R28" s="240">
        <f>H24*L28-(M28-200000)</f>
        <v>-1255000</v>
      </c>
      <c r="S28" s="149" t="str">
        <f>IF(Y26="○",(IF(H24&gt;E28," ",(IF(H24&gt;E27,R28," ")))),"　")</f>
        <v>　</v>
      </c>
      <c r="T28" s="129"/>
      <c r="U28" s="129"/>
      <c r="V28" s="148"/>
      <c r="W28" s="148"/>
      <c r="X28" s="148"/>
      <c r="Y28" s="129"/>
      <c r="Z28" s="671"/>
      <c r="AA28" s="136"/>
      <c r="AB28" s="136"/>
      <c r="AC28" s="137"/>
      <c r="AD28" s="134"/>
      <c r="AE28" s="211"/>
      <c r="AF28" s="212"/>
    </row>
    <row r="29" spans="1:32" ht="20.25" customHeight="1">
      <c r="B29" s="140"/>
      <c r="C29" s="280">
        <v>10000000</v>
      </c>
      <c r="D29" s="281" t="s">
        <v>90</v>
      </c>
      <c r="E29" s="282"/>
      <c r="F29" s="283"/>
      <c r="G29" s="130"/>
      <c r="H29" s="700"/>
      <c r="I29" s="700"/>
      <c r="J29" s="700"/>
      <c r="K29" s="701"/>
      <c r="L29" s="125">
        <v>1</v>
      </c>
      <c r="M29" s="126">
        <v>1955000</v>
      </c>
      <c r="N29" s="156">
        <f>H24*L29-M29</f>
        <v>-1955000</v>
      </c>
      <c r="O29" s="156" t="str">
        <f>IF(Y24="○",(IF(H24&gt;E28,N29," ")),"　")</f>
        <v xml:space="preserve"> </v>
      </c>
      <c r="P29" s="239">
        <f>H24*L29-(M29-100000)</f>
        <v>-1855000</v>
      </c>
      <c r="Q29" s="112" t="str">
        <f>IF(Y25="○",(IF(H24&gt;E28,P29," ")),"　")</f>
        <v>　</v>
      </c>
      <c r="R29" s="240">
        <f>H24*L29-(M29-200000)</f>
        <v>-1755000</v>
      </c>
      <c r="S29" s="149" t="str">
        <f>IF(Y26="○",(IF(H24&gt;E28,R29," ")),"　")</f>
        <v>　</v>
      </c>
      <c r="T29" s="130"/>
      <c r="U29" s="130"/>
      <c r="V29" s="148"/>
      <c r="W29" s="148"/>
      <c r="X29" s="148"/>
      <c r="Y29" s="130"/>
      <c r="Z29" s="130"/>
      <c r="AA29" s="130"/>
      <c r="AB29" s="130"/>
      <c r="AC29" s="130"/>
      <c r="AD29" s="134"/>
      <c r="AE29" s="211"/>
      <c r="AF29" s="212"/>
    </row>
    <row r="30" spans="1:32" ht="14.25" thickBot="1">
      <c r="B30" s="142"/>
      <c r="C30" s="143"/>
      <c r="D30" s="144"/>
      <c r="E30" s="143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9"/>
      <c r="AE30" s="211"/>
      <c r="AF30" s="212"/>
    </row>
    <row r="31" spans="1:32" ht="18.75" customHeight="1" thickBot="1">
      <c r="B31" s="98"/>
      <c r="C31" s="100"/>
      <c r="D31" s="101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211"/>
      <c r="AF31" s="212"/>
    </row>
    <row r="32" spans="1:32" ht="34.5" customHeight="1">
      <c r="B32" s="279" t="s">
        <v>44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31"/>
      <c r="AB32" s="131"/>
      <c r="AC32" s="131"/>
      <c r="AD32" s="132"/>
      <c r="AE32" s="211"/>
      <c r="AF32" s="212"/>
    </row>
    <row r="33" spans="1:34" ht="13.5" customHeight="1">
      <c r="B33" s="153"/>
      <c r="C33" s="154"/>
      <c r="D33" s="155"/>
      <c r="E33" s="154"/>
      <c r="F33" s="130"/>
      <c r="G33" s="130"/>
      <c r="H33" s="678" t="s">
        <v>57</v>
      </c>
      <c r="I33" s="679"/>
      <c r="J33" s="679"/>
      <c r="K33" s="680"/>
      <c r="L33" s="685" t="s">
        <v>58</v>
      </c>
      <c r="M33" s="685"/>
      <c r="N33" s="686"/>
      <c r="O33" s="686"/>
      <c r="P33" s="686"/>
      <c r="Q33" s="686"/>
      <c r="R33" s="686"/>
      <c r="S33" s="686"/>
      <c r="T33" s="128"/>
      <c r="U33" s="128"/>
      <c r="V33" s="128"/>
      <c r="W33" s="128"/>
      <c r="X33" s="128"/>
      <c r="Y33" s="128"/>
      <c r="Z33" s="669" t="s">
        <v>65</v>
      </c>
      <c r="AA33" s="646" t="s">
        <v>75</v>
      </c>
      <c r="AB33" s="646"/>
      <c r="AC33" s="646"/>
      <c r="AD33" s="134"/>
      <c r="AE33" s="211"/>
      <c r="AF33" s="212"/>
    </row>
    <row r="34" spans="1:34" ht="21" customHeight="1">
      <c r="B34" s="140"/>
      <c r="C34" s="154"/>
      <c r="D34" s="155"/>
      <c r="E34" s="154"/>
      <c r="F34" s="130"/>
      <c r="G34" s="130"/>
      <c r="H34" s="681"/>
      <c r="I34" s="682"/>
      <c r="J34" s="682"/>
      <c r="K34" s="683"/>
      <c r="L34" s="685"/>
      <c r="M34" s="685"/>
      <c r="N34" s="686"/>
      <c r="O34" s="686"/>
      <c r="P34" s="686"/>
      <c r="Q34" s="686"/>
      <c r="R34" s="686"/>
      <c r="S34" s="686"/>
      <c r="T34" s="128"/>
      <c r="U34" s="128"/>
      <c r="V34" s="684" t="s">
        <v>60</v>
      </c>
      <c r="W34" s="684"/>
      <c r="X34" s="684"/>
      <c r="Y34" s="128"/>
      <c r="Z34" s="670"/>
      <c r="AA34" s="646"/>
      <c r="AB34" s="646"/>
      <c r="AC34" s="646"/>
      <c r="AD34" s="134"/>
      <c r="AE34" s="211"/>
      <c r="AF34" s="212"/>
    </row>
    <row r="35" spans="1:34" ht="51" customHeight="1">
      <c r="A35" s="94" t="s">
        <v>63</v>
      </c>
      <c r="B35" s="140"/>
      <c r="C35" s="672" t="s">
        <v>43</v>
      </c>
      <c r="D35" s="673"/>
      <c r="E35" s="673"/>
      <c r="F35" s="674"/>
      <c r="G35" s="141"/>
      <c r="H35" s="675" t="s">
        <v>122</v>
      </c>
      <c r="I35" s="676"/>
      <c r="J35" s="676"/>
      <c r="K35" s="677"/>
      <c r="L35" s="121" t="s">
        <v>42</v>
      </c>
      <c r="M35" s="122" t="s">
        <v>41</v>
      </c>
      <c r="N35" s="110" t="s">
        <v>116</v>
      </c>
      <c r="O35" s="237" t="s">
        <v>55</v>
      </c>
      <c r="P35" s="111" t="s">
        <v>118</v>
      </c>
      <c r="Q35" s="236" t="s">
        <v>55</v>
      </c>
      <c r="R35" s="113" t="s">
        <v>117</v>
      </c>
      <c r="S35" s="114" t="s">
        <v>56</v>
      </c>
      <c r="T35" s="129"/>
      <c r="U35" s="129"/>
      <c r="V35" s="157" t="s">
        <v>59</v>
      </c>
      <c r="W35" s="648">
        <f>IFERROR(Z6+AB44,0)</f>
        <v>0</v>
      </c>
      <c r="X35" s="649"/>
      <c r="Y35" s="146"/>
      <c r="Z35" s="670"/>
      <c r="AA35" s="646"/>
      <c r="AB35" s="646"/>
      <c r="AC35" s="646"/>
      <c r="AD35" s="134"/>
      <c r="AE35" s="211"/>
      <c r="AF35" s="212"/>
    </row>
    <row r="36" spans="1:34" ht="18.75" customHeight="1">
      <c r="B36" s="140"/>
      <c r="C36" s="280">
        <v>1100000</v>
      </c>
      <c r="D36" s="281" t="s">
        <v>39</v>
      </c>
      <c r="E36" s="280"/>
      <c r="F36" s="283"/>
      <c r="G36" s="141"/>
      <c r="H36" s="687">
        <f>IF('Ｒ８年度'!K24&lt;65,0,'Ｒ８年度'!E24)</f>
        <v>0</v>
      </c>
      <c r="I36" s="688"/>
      <c r="J36" s="689"/>
      <c r="K36" s="696" t="s">
        <v>40</v>
      </c>
      <c r="L36" s="123"/>
      <c r="M36" s="124"/>
      <c r="N36" s="150">
        <v>0</v>
      </c>
      <c r="O36" s="241">
        <f>IF(Y36="○",(IF(H36&gt;C36," ",N36)),"　")</f>
        <v>0</v>
      </c>
      <c r="P36" s="238">
        <v>0</v>
      </c>
      <c r="Q36" s="238" t="str">
        <f>IF(Y37="○",(IF(H36&gt;C36-100000," ",P36)),"　")</f>
        <v>　</v>
      </c>
      <c r="R36" s="240">
        <v>0</v>
      </c>
      <c r="S36" s="240" t="str">
        <f>IF(Y38="○",(IF(H36&gt;C36-200000," ",R36)),"　")</f>
        <v>　</v>
      </c>
      <c r="T36" s="129"/>
      <c r="U36" s="129"/>
      <c r="V36" s="667">
        <v>10000000</v>
      </c>
      <c r="W36" s="667"/>
      <c r="X36" s="151" t="s">
        <v>61</v>
      </c>
      <c r="Y36" s="129" t="str">
        <f>IF(W35&lt;=V36,"○","　")</f>
        <v>○</v>
      </c>
      <c r="Z36" s="671">
        <f>IFERROR(ROUNDDOWN((SUM(O36:O41)),0)+(ROUNDDOWN((SUM(Q36:Q41)),0))+(ROUNDDOWN((SUM(S36:S41)),0)),0)</f>
        <v>0</v>
      </c>
      <c r="AA36" s="647">
        <f>MAX(Z36-150000,0)</f>
        <v>0</v>
      </c>
      <c r="AB36" s="647"/>
      <c r="AC36" s="647"/>
      <c r="AD36" s="134"/>
      <c r="AE36" s="211"/>
      <c r="AF36" s="212"/>
      <c r="AG36" s="644" t="s">
        <v>81</v>
      </c>
      <c r="AH36" s="644"/>
    </row>
    <row r="37" spans="1:34" ht="18.75" customHeight="1">
      <c r="B37" s="140"/>
      <c r="C37" s="280">
        <v>1100001</v>
      </c>
      <c r="D37" s="281" t="s">
        <v>91</v>
      </c>
      <c r="E37" s="280">
        <v>3299999</v>
      </c>
      <c r="F37" s="283" t="s">
        <v>39</v>
      </c>
      <c r="G37" s="141"/>
      <c r="H37" s="690"/>
      <c r="I37" s="691"/>
      <c r="J37" s="692"/>
      <c r="K37" s="697"/>
      <c r="L37" s="125">
        <v>1</v>
      </c>
      <c r="M37" s="126">
        <v>1100000</v>
      </c>
      <c r="N37" s="243">
        <f>H36*L37-M37</f>
        <v>-1100000</v>
      </c>
      <c r="O37" s="242" t="str">
        <f>IF(Y36="○",(IF(H36&gt;E37," ",(IF(H36&gt;C36,N37," ")))),"　")</f>
        <v xml:space="preserve"> </v>
      </c>
      <c r="P37" s="238">
        <f>H36*L37-(M37-100000)</f>
        <v>-1000000</v>
      </c>
      <c r="Q37" s="238" t="str">
        <f>IF(Y37="○",(IF(H36&gt;E37," ",(IF(H36&gt;(C36-100000),P37," ")))),"　")</f>
        <v>　</v>
      </c>
      <c r="R37" s="240">
        <f>H36*L37-(M37-200000)</f>
        <v>-900000</v>
      </c>
      <c r="S37" s="240" t="str">
        <f>IF(Y38="○",(IF(H36&gt;E37," ",(IF(H36&gt;(C36-200000),R37," ")))),"　")</f>
        <v>　</v>
      </c>
      <c r="T37" s="129"/>
      <c r="U37" s="129"/>
      <c r="V37" s="668">
        <v>20000000</v>
      </c>
      <c r="W37" s="668"/>
      <c r="X37" s="151" t="s">
        <v>61</v>
      </c>
      <c r="Y37" s="129" t="str">
        <f>IF(W35&gt;V36,(IF(W35&lt;=V37,"○","　")),"　")</f>
        <v>　</v>
      </c>
      <c r="Z37" s="671"/>
      <c r="AA37" s="647"/>
      <c r="AB37" s="647"/>
      <c r="AC37" s="647"/>
      <c r="AD37" s="134"/>
      <c r="AE37" s="211"/>
      <c r="AF37" s="212"/>
      <c r="AG37" s="152"/>
      <c r="AH37" s="175">
        <v>430000</v>
      </c>
    </row>
    <row r="38" spans="1:34" ht="18.75" customHeight="1">
      <c r="B38" s="140"/>
      <c r="C38" s="280">
        <v>3300000</v>
      </c>
      <c r="D38" s="281" t="s">
        <v>90</v>
      </c>
      <c r="E38" s="280">
        <v>4099999</v>
      </c>
      <c r="F38" s="283" t="s">
        <v>39</v>
      </c>
      <c r="G38" s="141"/>
      <c r="H38" s="690"/>
      <c r="I38" s="691"/>
      <c r="J38" s="692"/>
      <c r="K38" s="697"/>
      <c r="L38" s="125">
        <v>0.75</v>
      </c>
      <c r="M38" s="126">
        <v>275000</v>
      </c>
      <c r="N38" s="243">
        <f>H36*L38-M38</f>
        <v>-275000</v>
      </c>
      <c r="O38" s="242" t="str">
        <f>IF(Y36="○",(IF(H36&gt;E38," ",(IF(H36&gt;E37,N38," ")))),"　")</f>
        <v xml:space="preserve"> </v>
      </c>
      <c r="P38" s="239">
        <f>H36*L38-(M38-100000)</f>
        <v>-175000</v>
      </c>
      <c r="Q38" s="238" t="str">
        <f>IF(Y37="○",(IF(H36&gt;E38," ",(IF(H36&gt;E37,P38," ")))),"　")</f>
        <v>　</v>
      </c>
      <c r="R38" s="240">
        <f>H36*L38-(M38-200000)</f>
        <v>-75000</v>
      </c>
      <c r="S38" s="240" t="str">
        <f>IF(Y38="○",(IF(H36&gt;E38," ",(IF(H36&gt;E37,R38," ")))),"　")</f>
        <v>　</v>
      </c>
      <c r="T38" s="129"/>
      <c r="U38" s="129"/>
      <c r="V38" s="668">
        <v>20000001</v>
      </c>
      <c r="W38" s="668"/>
      <c r="X38" s="151" t="s">
        <v>62</v>
      </c>
      <c r="Y38" s="129" t="str">
        <f>IF(W35&gt;=V38,"○","　")</f>
        <v>　</v>
      </c>
      <c r="Z38" s="671"/>
      <c r="AA38" s="647"/>
      <c r="AB38" s="647"/>
      <c r="AC38" s="647"/>
      <c r="AD38" s="134"/>
      <c r="AE38" s="211"/>
      <c r="AF38" s="212"/>
      <c r="AG38" s="175">
        <v>24000000</v>
      </c>
      <c r="AH38" s="175">
        <v>290000</v>
      </c>
    </row>
    <row r="39" spans="1:34" ht="18.75" customHeight="1">
      <c r="B39" s="140"/>
      <c r="C39" s="280">
        <v>4100000</v>
      </c>
      <c r="D39" s="281" t="s">
        <v>90</v>
      </c>
      <c r="E39" s="280">
        <v>7699999</v>
      </c>
      <c r="F39" s="283" t="s">
        <v>39</v>
      </c>
      <c r="G39" s="141"/>
      <c r="H39" s="690"/>
      <c r="I39" s="691"/>
      <c r="J39" s="692"/>
      <c r="K39" s="697"/>
      <c r="L39" s="125">
        <v>0.85</v>
      </c>
      <c r="M39" s="126">
        <v>685000</v>
      </c>
      <c r="N39" s="243">
        <f>H36*L39-M39</f>
        <v>-685000</v>
      </c>
      <c r="O39" s="242" t="str">
        <f>IF(Y36="○",(IF(H36&gt;E39," ",(IF(H36&gt;E38,N39," ")))),"　")</f>
        <v xml:space="preserve"> </v>
      </c>
      <c r="P39" s="239">
        <f>H36*L39-(M39-100000)</f>
        <v>-585000</v>
      </c>
      <c r="Q39" s="238" t="str">
        <f>IF(Y37="○",(IF(H36&gt;E39," ",(IF(H36&gt;E38,P39," ")))),"　")</f>
        <v>　</v>
      </c>
      <c r="R39" s="240">
        <f>H36*L39-(M39-200000)</f>
        <v>-485000</v>
      </c>
      <c r="S39" s="240" t="str">
        <f>IF(Y38="○",(IF(H36&gt;E39," ",(IF(H36&gt;E38,R39," ")))),"　")</f>
        <v>　</v>
      </c>
      <c r="T39" s="129"/>
      <c r="U39" s="129"/>
      <c r="V39" s="129"/>
      <c r="W39" s="129"/>
      <c r="X39" s="129"/>
      <c r="Y39" s="129"/>
      <c r="Z39" s="671"/>
      <c r="AA39" s="647"/>
      <c r="AB39" s="647"/>
      <c r="AC39" s="647"/>
      <c r="AD39" s="134"/>
      <c r="AE39" s="211"/>
      <c r="AF39" s="212"/>
      <c r="AG39" s="175">
        <v>24500000</v>
      </c>
      <c r="AH39" s="175">
        <v>150000</v>
      </c>
    </row>
    <row r="40" spans="1:34" ht="18.75" customHeight="1">
      <c r="B40" s="140"/>
      <c r="C40" s="280">
        <v>7700000</v>
      </c>
      <c r="D40" s="281" t="s">
        <v>90</v>
      </c>
      <c r="E40" s="280">
        <v>9999999</v>
      </c>
      <c r="F40" s="283" t="s">
        <v>39</v>
      </c>
      <c r="G40" s="141"/>
      <c r="H40" s="690"/>
      <c r="I40" s="691"/>
      <c r="J40" s="692"/>
      <c r="K40" s="697"/>
      <c r="L40" s="125">
        <v>0.95</v>
      </c>
      <c r="M40" s="126">
        <v>1455000</v>
      </c>
      <c r="N40" s="243">
        <f>H36*L40-M40</f>
        <v>-1455000</v>
      </c>
      <c r="O40" s="242" t="str">
        <f>IF(Y36="○",(IF(H36&gt;E40," ",(IF(H36&gt;E39,N40," ")))),"　")</f>
        <v xml:space="preserve"> </v>
      </c>
      <c r="P40" s="239">
        <f>H36*L40-(M40-100000)</f>
        <v>-1355000</v>
      </c>
      <c r="Q40" s="238" t="str">
        <f>IF(Y37="○",(IF(H36&gt;E40," ",(IF(H36&gt;E39,P40," ")))),"　")</f>
        <v>　</v>
      </c>
      <c r="R40" s="240">
        <f>H36*L40-(M40-200000)</f>
        <v>-1255000</v>
      </c>
      <c r="S40" s="240" t="str">
        <f>IF(Y38="○",(IF(H36&gt;E40," ",(IF(H36&gt;E39,R40," ")))),"　")</f>
        <v>　</v>
      </c>
      <c r="T40" s="129"/>
      <c r="U40" s="129"/>
      <c r="V40" s="129"/>
      <c r="W40" s="129"/>
      <c r="X40" s="129"/>
      <c r="Y40" s="129"/>
      <c r="Z40" s="671"/>
      <c r="AA40" s="647"/>
      <c r="AB40" s="647"/>
      <c r="AC40" s="647"/>
      <c r="AD40" s="134"/>
      <c r="AE40" s="211"/>
      <c r="AF40" s="212"/>
      <c r="AG40" s="175">
        <v>25000000</v>
      </c>
      <c r="AH40" s="152"/>
    </row>
    <row r="41" spans="1:34" ht="18.75" customHeight="1">
      <c r="B41" s="140"/>
      <c r="C41" s="284">
        <v>10000000</v>
      </c>
      <c r="D41" s="281" t="s">
        <v>90</v>
      </c>
      <c r="E41" s="283"/>
      <c r="F41" s="283"/>
      <c r="G41" s="130"/>
      <c r="H41" s="693"/>
      <c r="I41" s="694"/>
      <c r="J41" s="695"/>
      <c r="K41" s="698"/>
      <c r="L41" s="125">
        <v>1</v>
      </c>
      <c r="M41" s="126">
        <v>1955000</v>
      </c>
      <c r="N41" s="243">
        <f>H36*L41-M41</f>
        <v>-1955000</v>
      </c>
      <c r="O41" s="242" t="str">
        <f>IF(Y36="○",(IF(H36&gt;E40,N41," ")),"　")</f>
        <v xml:space="preserve"> </v>
      </c>
      <c r="P41" s="239">
        <f>H36*L41-(M41-100000)</f>
        <v>-1855000</v>
      </c>
      <c r="Q41" s="238" t="str">
        <f>IF(Y37="○",(IF(H36&gt;E40,P41," ")),"　")</f>
        <v>　</v>
      </c>
      <c r="R41" s="240">
        <f>H36*L41-(M41-200000)</f>
        <v>-1755000</v>
      </c>
      <c r="S41" s="240" t="str">
        <f>IF(Y38="○",(IF(H36&gt;E40,R41," ")),"　")</f>
        <v>　</v>
      </c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4"/>
      <c r="AE41" s="211"/>
      <c r="AF41" s="212"/>
    </row>
    <row r="42" spans="1:34" ht="14.25" thickBot="1">
      <c r="B42" s="142"/>
      <c r="C42" s="138"/>
      <c r="D42" s="138"/>
      <c r="E42" s="138"/>
      <c r="F42" s="138"/>
      <c r="G42" s="138"/>
      <c r="H42" s="138"/>
      <c r="I42" s="138"/>
      <c r="J42" s="138"/>
      <c r="K42" s="138"/>
      <c r="L42" s="97"/>
      <c r="M42" s="97"/>
      <c r="N42" s="97"/>
      <c r="O42" s="97"/>
      <c r="P42" s="97"/>
      <c r="Q42" s="97"/>
      <c r="R42" s="97"/>
      <c r="S42" s="97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9"/>
      <c r="AE42" s="211"/>
      <c r="AF42" s="212"/>
    </row>
    <row r="43" spans="1:34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210"/>
      <c r="X43" s="210"/>
      <c r="Y43" s="210"/>
      <c r="Z43" s="98"/>
      <c r="AA43" s="98"/>
      <c r="AB43" s="98"/>
      <c r="AC43" s="98"/>
      <c r="AD43" s="98"/>
      <c r="AE43" s="211"/>
      <c r="AF43" s="212"/>
    </row>
    <row r="44" spans="1:34" ht="38.25" customHeight="1">
      <c r="A44" s="212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 t="s">
        <v>83</v>
      </c>
      <c r="S44" s="212"/>
      <c r="T44" s="212"/>
      <c r="U44" s="212"/>
      <c r="V44" s="212"/>
      <c r="W44" s="645" t="s">
        <v>54</v>
      </c>
      <c r="X44" s="645"/>
      <c r="Y44" s="645"/>
      <c r="Z44" s="217">
        <f>AA6+Z24+Z36</f>
        <v>0</v>
      </c>
      <c r="AA44" s="253" t="s">
        <v>77</v>
      </c>
      <c r="AB44" s="664">
        <f>IF(ISNUMBER('Ｒ８年度'!G24),'Ｒ８年度'!G24,0)</f>
        <v>0</v>
      </c>
      <c r="AC44" s="664"/>
      <c r="AD44" s="219" t="s">
        <v>78</v>
      </c>
      <c r="AE44" s="213">
        <f>Z44+AB44</f>
        <v>0</v>
      </c>
      <c r="AF44" s="214"/>
      <c r="AG44" s="95"/>
    </row>
    <row r="45" spans="1:34" ht="44.2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666" t="s">
        <v>79</v>
      </c>
      <c r="X45" s="666"/>
      <c r="Y45" s="666"/>
      <c r="Z45" s="217">
        <f>AE44</f>
        <v>0</v>
      </c>
      <c r="AA45" s="253" t="s">
        <v>80</v>
      </c>
      <c r="AB45" s="664">
        <f>IF(Z45&lt;=AG38,AH37,(IF(Z45&lt;=AG39,AH38,(IF(Z45&lt;=AG40,AH39,0)))))</f>
        <v>430000</v>
      </c>
      <c r="AC45" s="664"/>
      <c r="AD45" s="219" t="s">
        <v>78</v>
      </c>
      <c r="AE45" s="213">
        <f>MAX(Z45-AB45,0)</f>
        <v>0</v>
      </c>
      <c r="AF45" s="214"/>
      <c r="AG45" s="95"/>
    </row>
    <row r="46" spans="1:34" ht="30.75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645" t="s">
        <v>76</v>
      </c>
      <c r="X46" s="645"/>
      <c r="Y46" s="645"/>
      <c r="Z46" s="220">
        <f>(Z6-W5)+Z24+AA36</f>
        <v>0</v>
      </c>
      <c r="AA46" s="254" t="s">
        <v>77</v>
      </c>
      <c r="AB46" s="665">
        <f>AB44</f>
        <v>0</v>
      </c>
      <c r="AC46" s="665"/>
      <c r="AD46" s="219" t="s">
        <v>78</v>
      </c>
      <c r="AE46" s="215">
        <f>Z46+AB46</f>
        <v>0</v>
      </c>
      <c r="AF46" s="214"/>
      <c r="AG46" s="95"/>
    </row>
    <row r="47" spans="1:34" ht="30.75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645"/>
      <c r="X47" s="645"/>
      <c r="Y47" s="645"/>
      <c r="Z47" s="216"/>
      <c r="AA47" s="216"/>
      <c r="AB47" s="216"/>
      <c r="AC47" s="216"/>
      <c r="AD47" s="216"/>
      <c r="AE47" s="216"/>
      <c r="AF47" s="212"/>
      <c r="AG47" s="95"/>
    </row>
    <row r="48" spans="1:34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</row>
  </sheetData>
  <sheetProtection selectLockedCells="1"/>
  <mergeCells count="51">
    <mergeCell ref="W46:Y46"/>
    <mergeCell ref="AB46:AC46"/>
    <mergeCell ref="W47:Y47"/>
    <mergeCell ref="AG36:AH36"/>
    <mergeCell ref="V37:W37"/>
    <mergeCell ref="V38:W38"/>
    <mergeCell ref="W45:Y45"/>
    <mergeCell ref="AB45:AC45"/>
    <mergeCell ref="W44:Y44"/>
    <mergeCell ref="AB44:AC44"/>
    <mergeCell ref="Z36:Z40"/>
    <mergeCell ref="AA36:AC40"/>
    <mergeCell ref="C35:F35"/>
    <mergeCell ref="H35:K35"/>
    <mergeCell ref="W35:X35"/>
    <mergeCell ref="H36:J41"/>
    <mergeCell ref="K36:K41"/>
    <mergeCell ref="V36:W36"/>
    <mergeCell ref="H33:K34"/>
    <mergeCell ref="L33:M34"/>
    <mergeCell ref="N33:S34"/>
    <mergeCell ref="Z33:Z35"/>
    <mergeCell ref="AA33:AC35"/>
    <mergeCell ref="V34:X34"/>
    <mergeCell ref="H24:J29"/>
    <mergeCell ref="K24:K29"/>
    <mergeCell ref="V24:W24"/>
    <mergeCell ref="Z24:Z28"/>
    <mergeCell ref="V25:W25"/>
    <mergeCell ref="V26:W26"/>
    <mergeCell ref="H3:K4"/>
    <mergeCell ref="Z3:Z5"/>
    <mergeCell ref="AA3:AC5"/>
    <mergeCell ref="W4:X4"/>
    <mergeCell ref="C23:F23"/>
    <mergeCell ref="H23:K23"/>
    <mergeCell ref="W23:X23"/>
    <mergeCell ref="H6:J16"/>
    <mergeCell ref="K6:K16"/>
    <mergeCell ref="W6:X6"/>
    <mergeCell ref="H21:K22"/>
    <mergeCell ref="L21:M22"/>
    <mergeCell ref="N21:S22"/>
    <mergeCell ref="Z21:Z23"/>
    <mergeCell ref="V22:X22"/>
    <mergeCell ref="C5:F5"/>
    <mergeCell ref="H5:K5"/>
    <mergeCell ref="W5:X5"/>
    <mergeCell ref="Z6:Z10"/>
    <mergeCell ref="AA6:AC10"/>
    <mergeCell ref="W7:X7"/>
  </mergeCells>
  <phoneticPr fontId="5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headerFooter>
    <oddHeader>&amp;P ページ&amp;R&amp;A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Ｒ８年度</vt:lpstr>
      <vt:lpstr>１人目</vt:lpstr>
      <vt:lpstr>２人目</vt:lpstr>
      <vt:lpstr>３人目</vt:lpstr>
      <vt:lpstr>４人目</vt:lpstr>
      <vt:lpstr>５人目</vt:lpstr>
      <vt:lpstr>６人目</vt:lpstr>
      <vt:lpstr>７人目</vt:lpstr>
      <vt:lpstr>８人目</vt:lpstr>
      <vt:lpstr>９人目</vt:lpstr>
      <vt:lpstr>10人目</vt:lpstr>
      <vt:lpstr>'10人目'!Print_Area</vt:lpstr>
      <vt:lpstr>'１人目'!Print_Area</vt:lpstr>
      <vt:lpstr>'２人目'!Print_Area</vt:lpstr>
      <vt:lpstr>'３人目'!Print_Area</vt:lpstr>
      <vt:lpstr>'４人目'!Print_Area</vt:lpstr>
      <vt:lpstr>'５人目'!Print_Area</vt:lpstr>
      <vt:lpstr>'６人目'!Print_Area</vt:lpstr>
      <vt:lpstr>'７人目'!Print_Area</vt:lpstr>
      <vt:lpstr>'８人目'!Print_Area</vt:lpstr>
      <vt:lpstr>'９人目'!Print_Area</vt:lpstr>
      <vt:lpstr>'Ｒ８年度'!Print_Area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hukumati</cp:lastModifiedBy>
  <cp:lastPrinted>2026-01-28T09:05:57Z</cp:lastPrinted>
  <dcterms:created xsi:type="dcterms:W3CDTF">2014-04-01T07:45:10Z</dcterms:created>
  <dcterms:modified xsi:type="dcterms:W3CDTF">2026-03-25T10:21:02Z</dcterms:modified>
  <cp:contentStatus/>
</cp:coreProperties>
</file>