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6処遇改善様式\80_実績報告\"/>
    </mc:Choice>
  </mc:AlternateContent>
  <xr:revisionPtr revIDLastSave="0" documentId="13_ncr:1_{B54EE3F9-84C1-4233-9D65-2E5DBCA0356E}" xr6:coauthVersionLast="47" xr6:coauthVersionMax="47" xr10:uidLastSave="{00000000-0000-0000-0000-000000000000}"/>
  <bookViews>
    <workbookView xWindow="-120" yWindow="-120" windowWidth="20730" windowHeight="111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AK26" i="3" l="1"/>
  <c r="N18" i="3"/>
  <c r="AK64" i="7"/>
  <c r="AK70" i="3"/>
  <c r="Y102" i="3"/>
  <c r="Y7" i="3"/>
  <c r="E102" i="3"/>
  <c r="W108" i="3"/>
  <c r="AK63" i="3"/>
  <c r="AK54" i="3"/>
  <c r="U9" i="7"/>
  <c r="Y103" i="3"/>
  <c r="H64" i="3"/>
  <c r="H66" i="3"/>
  <c r="H67" i="3"/>
  <c r="AK48" i="3"/>
  <c r="Y105" i="3"/>
  <c r="AD1" i="3" l="1"/>
  <c r="M8" i="3" l="1"/>
  <c r="Q8" i="3"/>
  <c r="I8" i="3"/>
  <c r="R98" i="3"/>
  <c r="AD108" i="3" s="1"/>
  <c r="T5" i="7"/>
  <c r="E9" i="7" l="1"/>
  <c r="I9" i="3"/>
  <c r="I9" i="7"/>
  <c r="M9" i="3"/>
  <c r="J105" i="3" s="1"/>
  <c r="J106" i="3" s="1"/>
  <c r="M9" i="7"/>
  <c r="Q9" i="3"/>
  <c r="O105" i="3" s="1"/>
  <c r="Y104" i="3"/>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D1C6AA5A-DF24-467C-9A15-51390379D024}">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<sst xmlns="http://schemas.openxmlformats.org/spreadsheetml/2006/main" count="3996" uniqueCount="2048">
  <si>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</si>
  <si>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</si>
  <si>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</si>
  <si>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</si>
  <si>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</si>
  <si>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</si>
  <si>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</si>
  <si>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</si>
  <si>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</si>
  <si>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</si>
  <si>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</si>
  <si>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</si>
  <si>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</si>
  <si>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</si>
  <si>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</si>
  <si>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</si>
  <si>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</si>
  <si>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</si>
  <si>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</si>
  <si>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</si>
  <si>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</si>
  <si>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</si>
  <si>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</si>
  <si>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</si>
  <si>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</si>
  <si>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</si>
  <si>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</si>
  <si>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</si>
  <si>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</si>
  <si>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</si>
  <si>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</si>
  <si>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</si>
  <si>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</si>
  <si>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</si>
  <si>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</si>
  <si>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</si>
  <si>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</si>
  <si>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</si>
  <si>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</si>
  <si>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</si>
  <si>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</si>
  <si>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</si>
  <si>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</si>
  <si>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</si>
  <si>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</si>
  <si>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</si>
  <si>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</si>
  <si>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</si>
  <si>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</si>
  <si>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</si>
  <si>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</si>
  <si>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</si>
  <si>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</si>
  <si>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</si>
  <si>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</si>
  <si>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</si>
  <si>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</si>
  <si>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</si>
  <si>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</si>
  <si>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</si>
  <si>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</si>
  <si>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</si>
  <si>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</si>
  <si>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</si>
  <si>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</si>
  <si>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</si>
  <si>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</si>
  <si>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</si>
  <si>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</si>
  <si>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</si>
  <si>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</si>
  <si>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</si>
  <si>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</si>
  <si>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</si>
  <si>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</si>
  <si>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</si>
  <si>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</si>
  <si>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</si>
  <si>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</si>
  <si>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</si>
  <si>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</si>
  <si>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</si>
  <si>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</si>
  <si>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</si>
  <si>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</si>
  <si>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</si>
  <si>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</si>
  <si>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</si>
  <si>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</si>
  <si>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</si>
  <si>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</si>
  <si>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</si>
  <si>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</si>
  <si>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</si>
  <si>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</si>
  <si>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</si>
  <si>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</si>
  <si>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</si>
  <si>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</si>
  <si>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</si>
  <si>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</si>
  <si>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</si>
  <si>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</si>
  <si>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</si>
  <si>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</si>
  <si>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</si>
  <si>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</si>
  <si>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</si>
  <si>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</si>
  <si>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</si>
  <si>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</si>
  <si>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</si>
  <si>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</si>
  <si>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</si>
  <si>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</si>
  <si>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</si>
  <si>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</si>
  <si>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</si>
  <si>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</si>
  <si>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</si>
  <si>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</si>
  <si>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</si>
  <si>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</si>
  <si>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</si>
  <si>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</si>
  <si>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</si>
  <si>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</si>
  <si>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</si>
  <si>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</si>
  <si>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</si>
  <si>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</si>
  <si>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</si>
  <si>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</si>
  <si>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</si>
  <si>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</si>
  <si>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</si>
  <si>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</si>
  <si>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</si>
  <si>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</si>
  <si>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</si>
  <si>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</si>
  <si>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</si>
  <si>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</si>
  <si>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</si>
  <si>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</si>
  <si>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</si>
  <si>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</si>
  <si>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</si>
  <si>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</si>
  <si>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</si>
  <si>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</si>
  <si>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</si>
  <si>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</si>
  <si>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</si>
  <si>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</si>
  <si>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</si>
  <si>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</si>
  <si>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</si>
  <si>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</si>
  <si>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</si>
  <si>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</si>
  <si>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</si>
  <si>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</si>
  <si>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</si>
  <si>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</si>
  <si>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</si>
  <si>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</si>
  <si>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</si>
  <si>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</si>
  <si>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</si>
  <si>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</si>
  <si>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</si>
  <si>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</si>
  <si>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</si>
  <si>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</si>
  <si>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</si>
  <si>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</si>
  <si>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</si>
  <si>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</si>
  <si>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</si>
  <si>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</si>
  <si>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</si>
  <si>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</si>
  <si>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</si>
  <si>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</si>
  <si>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</si>
  <si>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</si>
  <si>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</si>
  <si>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</si>
  <si>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</si>
  <si>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</si>
  <si>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</si>
  <si>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</si>
  <si>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</si>
  <si>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</si>
  <si>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</si>
  <si>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</si>
  <si>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</si>
  <si>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</si>
  <si>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</si>
  <si>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</si>
  <si>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</si>
  <si>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</si>
  <si>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</si>
  <si>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</si>
  <si>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</si>
  <si>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</si>
  <si>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</si>
  <si>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</si>
  <si>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</si>
  <si>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</si>
  <si>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</si>
  <si>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</si>
  <si>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</si>
  <si>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</si>
  <si>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</si>
  <si>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</si>
  <si>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</si>
  <si>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</si>
  <si>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</si>
  <si>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</si>
  <si>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</si>
  <si>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</si>
  <si>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</si>
  <si>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</si>
  <si>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</si>
  <si>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</si>
  <si>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</si>
  <si>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</si>
  <si>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</si>
  <si>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</si>
  <si>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</si>
  <si>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</si>
  <si>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</si>
  <si>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</si>
  <si>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</si>
  <si>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</si>
  <si>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</si>
  <si>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</si>
  <si>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</si>
  <si>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</si>
  <si>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</si>
  <si>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</si>
  <si>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</si>
  <si>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</si>
  <si>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</si>
  <si>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</si>
  <si>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</si>
  <si>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</si>
  <si>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</si>
  <si>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</si>
  <si>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</si>
  <si>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</si>
  <si>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</si>
  <si>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</si>
  <si>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</si>
  <si>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</si>
  <si>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</si>
  <si>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</si>
  <si>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</si>
  <si>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</si>
  <si>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</si>
  <si>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</si>
  <si>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</si>
  <si>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</si>
  <si>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</si>
  <si>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</si>
  <si>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</si>
  <si>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</si>
  <si>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</si>
  <si>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</si>
  <si>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</si>
  <si>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</si>
  <si>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</si>
  <si>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</si>
  <si>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</si>
  <si>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</si>
  <si>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</si>
  <si>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</si>
  <si>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</si>
  <si>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</si>
  <si>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</si>
  <si>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</si>
  <si>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</si>
  <si>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</si>
  <si>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</si>
  <si>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</si>
  <si>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</si>
  <si>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</si>
  <si>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</si>
  <si>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</si>
  <si>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</si>
  <si>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</si>
  <si>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</si>
  <si>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</si>
  <si>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</si>
  <si>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</si>
  <si>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</si>
  <si>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</si>
  <si>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</si>
  <si>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</si>
  <si>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</si>
  <si>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</si>
  <si>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</si>
  <si>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</si>
  <si>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</si>
  <si>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</si>
  <si>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</si>
  <si>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</si>
  <si>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</si>
  <si>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</si>
  <si>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</si>
  <si>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</si>
  <si>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</si>
  <si>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</si>
  <si>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</si>
  <si>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</si>
  <si>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</si>
  <si>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</si>
  <si>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</si>
  <si>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</si>
  <si>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</si>
  <si>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</si>
  <si>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</si>
  <si>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</si>
  <si>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</si>
  <si>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</si>
  <si>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</si>
  <si>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</si>
  <si>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</si>
  <si>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</si>
  <si>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</si>
  <si>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</si>
  <si>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</si>
  <si>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</si>
  <si>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</si>
  <si>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</si>
  <si>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</si>
  <si>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</si>
  <si>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</si>
  <si>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</si>
  <si>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</si>
  <si>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</si>
  <si>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</si>
  <si>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</si>
  <si>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</si>
  <si>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</si>
  <si>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</si>
  <si>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</si>
  <si>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</si>
  <si>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</si>
  <si>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</si>
  <si>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</si>
  <si>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</si>
  <si>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</si>
  <si>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</si>
  <si>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</si>
  <si>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</si>
  <si>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</si>
  <si>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</si>
  <si>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</si>
  <si>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</si>
  <si>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</si>
  <si>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</si>
  <si>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</si>
  <si>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</si>
  <si>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</si>
  <si>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</si>
  <si>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</si>
  <si>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</si>
  <si>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</si>
  <si>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</si>
  <si>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</si>
  <si>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</si>
  <si>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</si>
  <si>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</si>
  <si>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</si>
  <si>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</si>
  <si>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</si>
  <si>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</si>
  <si>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</si>
  <si>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</si>
  <si>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</si>
  <si>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</si>
  <si>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</si>
  <si>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</si>
  <si>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</si>
  <si>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</si>
  <si>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</si>
  <si>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</si>
  <si>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</si>
  <si>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</si>
  <si>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</si>
  <si>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</si>
  <si>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</si>
  <si>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</si>
  <si>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</si>
  <si>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</si>
  <si>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</si>
  <si>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</si>
  <si>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</si>
  <si>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</si>
  <si>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</si>
  <si>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</si>
  <si>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</si>
  <si>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</si>
  <si>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</si>
  <si>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</si>
  <si>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</si>
  <si>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</si>
  <si>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</si>
  <si>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</si>
  <si>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</si>
  <si>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</si>
  <si>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</si>
  <si>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</si>
  <si>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</si>
  <si>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</si>
  <si>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</si>
  <si>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</si>
  <si>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</si>
  <si>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</si>
  <si>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</si>
  <si>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</si>
  <si>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</si>
  <si>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</si>
  <si>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</si>
  <si>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</si>
  <si>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</si>
  <si>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</si>
  <si>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</si>
  <si>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</si>
  <si>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</si>
  <si>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</si>
  <si>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</si>
  <si>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</si>
  <si>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</si>
  <si>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</si>
  <si>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</si>
  <si>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</si>
  <si>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</si>
  <si>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</si>
  <si>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</si>
  <si>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</si>
  <si>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</si>
  <si>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</si>
  <si>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</si>
  <si>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</si>
  <si>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</si>
  <si>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</si>
  <si>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</si>
  <si>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</si>
  <si>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</si>
  <si>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</si>
  <si>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</si>
  <si>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</si>
  <si>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</si>
  <si>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</si>
  <si>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</si>
  <si>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</si>
  <si>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</si>
  <si>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</si>
  <si>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</si>
  <si>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</si>
  <si>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</si>
  <si>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</si>
  <si>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</si>
  <si>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</si>
  <si>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</si>
  <si>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</si>
  <si>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</si>
  <si>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</si>
  <si>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</si>
  <si>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</si>
  <si>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</si>
  <si>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</si>
  <si>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</si>
  <si>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</si>
  <si>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</si>
  <si>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</si>
  <si>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</si>
  <si>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</si>
  <si>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</si>
  <si>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</si>
  <si>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</si>
  <si>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</si>
  <si>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</si>
  <si>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</si>
  <si>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</si>
  <si>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</si>
  <si>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</si>
  <si>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</si>
  <si>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</si>
  <si>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</si>
  <si>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</si>
  <si>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</si>
  <si>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</si>
  <si>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</si>
  <si>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</si>
  <si>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</si>
  <si>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</si>
  <si>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</si>
  <si>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</si>
  <si>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</si>
  <si>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</si>
  <si>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</si>
  <si>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</si>
  <si>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</si>
  <si>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</si>
  <si>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</si>
  <si>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</si>
  <si>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</si>
  <si>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</si>
  <si>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</si>
  <si>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</si>
  <si>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</si>
  <si>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</si>
  <si>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</si>
  <si>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</si>
  <si>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</si>
  <si>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</si>
  <si>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</si>
  <si>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</si>
  <si>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</si>
  <si>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</si>
  <si>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</si>
  <si>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</si>
  <si>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</si>
  <si>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</si>
  <si>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</si>
  <si>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</si>
  <si>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</si>
  <si>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</si>
  <si>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</si>
  <si>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</si>
  <si>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</si>
  <si>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</si>
  <si>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</si>
  <si>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</si>
  <si>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</si>
  <si>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</si>
  <si>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</si>
  <si>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</si>
  <si>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</si>
  <si>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</si>
  <si>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</si>
  <si>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</si>
  <si>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</si>
  <si>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</si>
  <si>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</si>
  <si>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</si>
  <si>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</si>
  <si>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</si>
  <si>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</si>
  <si>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</si>
  <si>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</si>
  <si>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</si>
  <si>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</si>
  <si>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</si>
  <si>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</si>
  <si>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</si>
  <si>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</si>
  <si>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</si>
  <si>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</si>
  <si>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</si>
  <si>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</si>
  <si>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</si>
  <si>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</si>
  <si>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</si>
  <si>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</si>
  <si>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</si>
  <si>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</si>
  <si>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</si>
  <si>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</si>
  <si>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</si>
  <si>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</si>
  <si>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</si>
  <si>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</si>
  <si>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</si>
  <si>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</si>
  <si>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</si>
  <si>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</si>
  <si>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</si>
  <si>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</si>
  <si>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</si>
  <si>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</si>
  <si>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</si>
  <si>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</si>
  <si>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</si>
  <si>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</si>
  <si>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</si>
  <si>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</si>
  <si>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</si>
  <si>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</si>
  <si>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</si>
  <si>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</si>
  <si>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</si>
  <si>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</si>
  <si>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</si>
  <si>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</si>
  <si>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</si>
  <si>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</si>
  <si>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</si>
  <si>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</si>
  <si>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</si>
  <si>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</si>
  <si>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</si>
  <si>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</si>
  <si>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</si>
  <si>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</si>
  <si>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</si>
  <si>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</si>
  <si>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</si>
  <si>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</si>
  <si>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</si>
  <si>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</si>
  <si>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</si>
  <si>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</si>
  <si>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</si>
  <si>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</si>
  <si>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</si>
  <si>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</si>
  <si>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</si>
  <si>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</si>
  <si>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</si>
  <si>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</si>
  <si>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</si>
  <si>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</si>
  <si>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</si>
  <si>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</si>
  <si>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</si>
  <si>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</si>
  <si>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</si>
  <si>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</si>
  <si>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</si>
  <si>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</si>
  <si>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</si>
  <si>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</si>
  <si>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</si>
  <si>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</si>
  <si>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</si>
  <si>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</si>
  <si>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</si>
  <si>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</si>
  <si>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</si>
  <si>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</si>
  <si>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</si>
  <si>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</si>
  <si>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</si>
  <si>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</si>
  <si>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</si>
  <si>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</si>
  <si>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</si>
  <si>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</si>
  <si>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</si>
  <si>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</si>
  <si>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</si>
  <si>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</si>
  <si>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</si>
  <si>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</si>
  <si>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</si>
  <si>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</si>
  <si>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</si>
  <si>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</si>
  <si>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</si>
  <si>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</si>
  <si>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</si>
  <si>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</si>
  <si>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</si>
  <si>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</si>
  <si>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</si>
  <si>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</si>
  <si>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</si>
  <si>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</si>
  <si>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</si>
  <si>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</si>
  <si>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</si>
  <si>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</si>
  <si>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</si>
  <si>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</si>
  <si>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</si>
  <si>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</si>
  <si>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</si>
  <si>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</si>
  <si>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</si>
  <si>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</si>
  <si>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</si>
  <si>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</si>
  <si>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</si>
  <si>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</si>
  <si>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</si>
  <si>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</si>
  <si>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</si>
  <si>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</si>
  <si>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</si>
  <si>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</si>
  <si>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</si>
  <si>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</si>
  <si>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</si>
  <si>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</si>
  <si>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</si>
  <si>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</si>
  <si>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</si>
  <si>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</si>
  <si>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</si>
  <si>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</si>
  <si>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</si>
  <si>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</si>
  <si>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</si>
  <si>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</si>
  <si>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</si>
  <si>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</si>
  <si>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</si>
  <si>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</si>
  <si>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</si>
  <si>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</si>
  <si>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</si>
  <si>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</si>
  <si>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</si>
  <si>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</si>
  <si>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</si>
  <si>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</si>
  <si>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</si>
  <si>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</si>
  <si>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</si>
  <si>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</si>
  <si>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</si>
  <si>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</si>
  <si>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</si>
  <si>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</si>
  <si>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</si>
  <si>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</si>
  <si>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</si>
  <si>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</si>
  <si>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</si>
  <si>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</si>
  <si>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</si>
  <si>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</si>
  <si>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</si>
  <si>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</si>
  <si>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</si>
  <si>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</si>
  <si>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</si>
  <si>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</si>
  <si>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</si>
  <si>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</si>
  <si>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</si>
  <si>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</si>
  <si>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</si>
  <si>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</si>
  <si>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</si>
  <si>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</si>
  <si>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</si>
  <si>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</si>
  <si>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</si>
  <si>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</si>
  <si>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</si>
  <si>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</si>
  <si>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</si>
  <si>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</si>
  <si>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</si>
  <si>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</si>
  <si>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</si>
  <si>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</si>
  <si>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</si>
  <si>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</si>
  <si>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</si>
  <si>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</si>
  <si>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</si>
  <si>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</si>
  <si>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</si>
  <si>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</si>
  <si>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</si>
  <si>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</si>
  <si>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</si>
  <si>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</si>
  <si>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</si>
  <si>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</si>
  <si>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</si>
  <si>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</si>
  <si>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</si>
  <si>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</si>
  <si>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</si>
  <si>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</si>
  <si>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</si>
  <si>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</si>
  <si>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</si>
  <si>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</si>
  <si>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</si>
  <si>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</si>
  <si>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</si>
  <si>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</si>
  <si>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</si>
  <si>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</si>
  <si>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</si>
  <si>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</si>
  <si>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</si>
  <si>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</si>
  <si>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</si>
  <si>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</si>
  <si>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</si>
  <si>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</si>
  <si>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</si>
  <si>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</si>
  <si>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</si>
  <si>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</si>
  <si>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</si>
  <si>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</si>
  <si>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</si>
  <si>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</si>
  <si>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</si>
  <si>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</si>
  <si>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</si>
  <si>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</si>
  <si>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</si>
  <si>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</si>
  <si>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</si>
  <si>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</si>
  <si>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</si>
  <si>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</si>
  <si>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</si>
  <si>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</si>
  <si>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</si>
  <si>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</si>
  <si>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</si>
  <si>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</si>
  <si>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</si>
  <si>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</si>
  <si>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</si>
  <si>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</si>
  <si>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</si>
  <si>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</si>
  <si>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</si>
  <si>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</si>
  <si>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</si>
  <si>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</si>
  <si>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</si>
  <si>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</si>
  <si>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</si>
  <si>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</si>
  <si>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</si>
  <si>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</si>
  <si>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</si>
  <si>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</si>
  <si>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</si>
  <si>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</si>
  <si>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</si>
  <si>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</si>
  <si>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</si>
  <si>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</si>
  <si>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</si>
  <si>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</si>
  <si>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</si>
  <si>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</si>
  <si>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</si>
  <si>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</si>
  <si>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</si>
  <si>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</si>
  <si>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</si>
  <si>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</si>
  <si>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</si>
  <si>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</si>
  <si>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</si>
  <si>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</si>
  <si>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</si>
  <si>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</si>
  <si>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</si>
  <si>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</si>
  <si>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</si>
  <si>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</si>
  <si>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</si>
  <si>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</si>
  <si>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</si>
  <si>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</si>
  <si>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</si>
  <si>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</si>
  <si>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</si>
  <si>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</si>
  <si>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</si>
  <si>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</si>
  <si>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</si>
  <si>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</si>
  <si>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</si>
  <si>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</si>
  <si>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</si>
  <si>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</si>
  <si>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</si>
  <si>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</si>
  <si>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</si>
  <si>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</si>
  <si>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</si>
  <si>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</si>
  <si>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</si>
  <si>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</si>
  <si>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</si>
  <si>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</si>
  <si>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</si>
  <si>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</si>
  <si>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</si>
  <si>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</si>
  <si>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</si>
  <si>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</si>
  <si>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</si>
  <si>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</si>
  <si>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</si>
  <si>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</si>
  <si>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</si>
  <si>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</si>
  <si>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</si>
  <si>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</si>
  <si>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</si>
  <si>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</si>
  <si>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</si>
  <si>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</si>
  <si>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</si>
  <si>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</si>
  <si>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</si>
  <si>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</si>
  <si>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</si>
  <si>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</si>
  <si>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</si>
  <si>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</si>
  <si>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</si>
  <si>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</si>
  <si>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</si>
  <si>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</si>
  <si>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</si>
  <si>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</si>
  <si>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</si>
  <si>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</si>
  <si>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</si>
  <si>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</si>
  <si>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</si>
  <si>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</si>
  <si>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</si>
  <si>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</si>
  <si>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</si>
  <si>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</si>
  <si>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</si>
  <si>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</si>
  <si>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</si>
  <si>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</si>
  <si>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</si>
  <si>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</si>
  <si>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</si>
  <si>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</si>
  <si>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</si>
  <si>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</si>
  <si>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</si>
  <si>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</si>
  <si>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</si>
  <si>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</si>
  <si>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</si>
  <si>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</si>
  <si>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</si>
  <si>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</si>
  <si>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</si>
  <si>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</si>
  <si>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</si>
  <si>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</si>
  <si>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</si>
  <si>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</si>
  <si>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</si>
  <si>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</si>
  <si>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</si>
  <si>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</si>
  <si>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</si>
  <si>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</si>
  <si>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</si>
  <si>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</si>
  <si>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</si>
  <si>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</si>
  <si>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</si>
  <si>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</si>
  <si>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</si>
  <si>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</si>
  <si>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</si>
  <si>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</si>
  <si>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</si>
  <si>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</si>
  <si>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</si>
  <si>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</si>
  <si>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</si>
  <si>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</si>
  <si>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</si>
  <si>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</si>
  <si>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</si>
  <si>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</si>
  <si>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</si>
  <si>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</si>
  <si>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</si>
  <si>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</si>
  <si>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</si>
  <si>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</si>
  <si>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</si>
  <si>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</si>
  <si>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</si>
  <si>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</si>
  <si>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</si>
  <si>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</si>
  <si>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</si>
  <si>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</si>
  <si>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</si>
  <si>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</si>
  <si>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</si>
  <si>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</si>
  <si>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</si>
  <si>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</si>
  <si>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</si>
  <si>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</si>
  <si>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</si>
  <si>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</si>
  <si>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</si>
  <si>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</si>
  <si>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</si>
  <si>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</si>
  <si>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</si>
  <si>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</si>
  <si>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</si>
  <si>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</si>
  <si>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</si>
  <si>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</si>
  <si>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</si>
  <si>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</si>
  <si>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</si>
  <si>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</si>
  <si>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</si>
  <si>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</si>
  <si>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</si>
  <si>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</si>
  <si>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</si>
  <si>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</si>
  <si>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</si>
  <si>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</si>
  <si>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</si>
  <si>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</si>
  <si>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</si>
  <si>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</si>
  <si>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</si>
  <si>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</si>
  <si>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</si>
  <si>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</si>
  <si>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</si>
  <si>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</si>
  <si>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</si>
  <si>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</si>
  <si>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</si>
  <si>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</si>
  <si>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</si>
  <si>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</si>
  <si>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</si>
  <si>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</si>
  <si>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</si>
  <si>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</si>
  <si>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</si>
  <si>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</si>
  <si>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</si>
  <si>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</si>
  <si>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</si>
  <si>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</si>
  <si>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</si>
  <si>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</si>
  <si>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</si>
  <si>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</si>
  <si>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</si>
  <si>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</si>
  <si>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</si>
  <si>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</si>
  <si>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</si>
  <si>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</si>
  <si>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</si>
  <si>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</si>
  <si>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</si>
  <si>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</si>
  <si>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</si>
  <si>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</si>
  <si>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</si>
  <si>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</si>
  <si>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</si>
  <si>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</si>
  <si>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</si>
  <si>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</si>
  <si>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</si>
  <si>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</si>
  <si>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</si>
  <si>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</si>
  <si>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</si>
  <si>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</si>
  <si>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</si>
  <si>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</si>
  <si>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</si>
  <si>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</si>
  <si>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</si>
  <si>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</si>
  <si>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</si>
  <si>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</si>
  <si>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</si>
  <si>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</si>
  <si>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</si>
  <si>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</si>
  <si>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</si>
  <si>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</si>
  <si>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</si>
  <si>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</si>
  <si>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</si>
  <si>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</si>
  <si>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</si>
  <si>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</si>
  <si>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</si>
  <si>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</si>
  <si>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</si>
  <si>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</si>
  <si>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</si>
  <si>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</si>
  <si>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</si>
  <si>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</si>
  <si>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</si>
  <si>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</si>
  <si>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</si>
  <si>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</si>
  <si>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</si>
  <si>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</si>
  <si>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</si>
  <si>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</si>
  <si>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</si>
  <si>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</si>
  <si>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</si>
  <si>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</si>
  <si>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</si>
  <si>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</si>
  <si>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</si>
  <si>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</si>
  <si>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</si>
  <si>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</si>
  <si>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</si>
  <si>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</si>
  <si>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</si>
  <si>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</si>
  <si>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</si>
  <si>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</si>
  <si>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</si>
  <si>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</si>
  <si>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</si>
  <si>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</si>
  <si>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</si>
  <si>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</si>
  <si>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</si>
  <si>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</si>
  <si>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</si>
  <si>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</si>
  <si>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</si>
  <si>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</si>
  <si>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</si>
  <si>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</si>
  <si>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</si>
  <si>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</si>
  <si>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</si>
  <si>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</si>
  <si>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</si>
  <si>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</si>
  <si>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</si>
  <si>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</si>
  <si>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</si>
  <si>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</si>
  <si>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</si>
  <si>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</si>
  <si>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</si>
  <si>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</si>
  <si>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</si>
  <si>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</si>
  <si>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</si>
  <si>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</si>
  <si>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</si>
  <si>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</si>
  <si>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</si>
  <si>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</si>
  <si>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</si>
  <si>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</si>
  <si>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</si>
  <si>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</si>
  <si>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</si>
  <si>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</si>
  <si>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</si>
  <si>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</si>
  <si>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</si>
  <si>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</si>
  <si>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</si>
  <si>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</si>
  <si>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</si>
  <si>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</si>
  <si>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</si>
  <si>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</si>
  <si>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</si>
  <si>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</si>
  <si>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</si>
  <si>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</si>
  <si>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</si>
  <si>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</si>
  <si>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</si>
  <si>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</si>
  <si>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</si>
  <si>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</si>
  <si>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</si>
  <si>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</si>
  <si>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</si>
  <si>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</si>
  <si>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</si>
  <si>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</si>
  <si>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</si>
  <si>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</si>
  <si>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</si>
  <si>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</si>
  <si>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</si>
  <si>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</si>
  <si>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</si>
  <si>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</si>
  <si>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</si>
  <si>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</si>
  <si>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</si>
  <si>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</si>
  <si>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</si>
  <si>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</si>
  <si>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</si>
  <si>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</si>
  <si>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</si>
  <si>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</si>
  <si>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</si>
  <si>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</si>
  <si>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</si>
  <si>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</si>
  <si>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</si>
  <si>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</si>
  <si>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</si>
  <si>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</si>
  <si>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</si>
  <si>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</si>
  <si>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</si>
  <si>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</si>
  <si>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</si>
  <si>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</si>
  <si>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</si>
  <si>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</si>
  <si>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</si>
  <si>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</si>
  <si>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</si>
  <si>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</si>
  <si>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</si>
  <si>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</si>
  <si>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</si>
  <si>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</si>
  <si>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</si>
  <si>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</si>
  <si>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</si>
  <si>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</si>
  <si>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</si>
  <si>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</si>
  <si>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</si>
  <si>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</si>
  <si>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</si>
  <si>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</si>
  <si>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</si>
  <si>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</si>
  <si>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</si>
  <si>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</si>
  <si>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</si>
  <si>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</si>
  <si>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</si>
  <si>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</si>
  <si>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</si>
  <si>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</si>
  <si>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</si>
  <si>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</si>
  <si>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</si>
  <si>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</si>
  <si>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</si>
  <si>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</si>
  <si>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</si>
  <si>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</si>
  <si>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</si>
  <si>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</si>
  <si>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</si>
  <si>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</si>
  <si>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</si>
  <si>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</si>
  <si>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</si>
  <si>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</si>
  <si>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</si>
  <si>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</si>
  <si>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</si>
  <si>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</si>
  <si>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</si>
  <si>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</si>
  <si>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</si>
  <si>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</si>
  <si>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</si>
  <si>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</si>
  <si>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</si>
  <si>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</si>
  <si>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</si>
  <si>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</si>
  <si>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</si>
  <si>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</si>
  <si>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</si>
  <si>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</si>
  <si>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</si>
  <si>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</si>
  <si>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</si>
  <si>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</si>
  <si>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</si>
  <si>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</si>
  <si>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</si>
  <si>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</si>
  <si>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</si>
  <si>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</si>
  <si>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</si>
  <si>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</si>
  <si>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</si>
  <si>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</si>
  <si>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</si>
  <si>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</si>
  <si>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</si>
  <si>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</si>
  <si>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</si>
  <si>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</si>
  <si>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</si>
  <si>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</si>
  <si>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</si>
  <si>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</si>
  <si>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</si>
  <si>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</si>
  <si>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</si>
  <si>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</si>
  <si>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</si>
  <si>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</si>
  <si>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</si>
  <si>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</si>
  <si>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</si>
  <si>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</si>
  <si>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</si>
  <si>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</si>
  <si>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</si>
  <si>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</si>
  <si>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</si>
  <si>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</si>
  <si>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</si>
  <si>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</si>
  <si>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</si>
  <si>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</si>
  <si>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</si>
  <si>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</si>
  <si>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</si>
  <si>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</si>
  <si>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</si>
  <si>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</si>
  <si>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</si>
  <si>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</si>
  <si>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</si>
  <si>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</si>
  <si>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</si>
  <si>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</si>
  <si>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</si>
  <si>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</si>
  <si>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</si>
  <si>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</si>
  <si>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</si>
  <si>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</si>
  <si>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</si>
  <si>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</si>
  <si>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</si>
  <si>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</si>
  <si>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</si>
  <si>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</si>
  <si>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</si>
  <si>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</si>
  <si>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</si>
  <si>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</si>
  <si>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</si>
  <si>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</si>
  <si>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</si>
  <si>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</si>
  <si>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</si>
  <si>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</si>
  <si>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</si>
  <si>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</si>
  <si>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</si>
  <si>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</si>
  <si>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</si>
  <si>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</si>
  <si>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</si>
  <si>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</si>
  <si>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</si>
  <si>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</si>
  <si>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</si>
  <si>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</si>
  <si>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</si>
  <si>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</si>
  <si>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</si>
  <si>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</si>
  <si>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</si>
  <si>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</si>
  <si>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</si>
  <si>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</si>
  <si>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</si>
  <si>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</si>
  <si>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</si>
  <si>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</si>
  <si>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</si>
  <si>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</si>
  <si>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</si>
  <si>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</si>
  <si>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</si>
  <si>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</si>
  <si>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</si>
  <si>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</si>
  <si>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</si>
  <si>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</si>
  <si>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</si>
  <si>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</si>
  <si>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</si>
  <si>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</si>
  <si>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</si>
  <si>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</si>
  <si>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</si>
  <si>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</si>
  <si>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</si>
  <si>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</si>
  <si>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</si>
  <si>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</si>
  <si>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</si>
  <si>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</si>
  <si>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</si>
  <si>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</si>
  <si>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</si>
  <si>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</si>
  <si>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</si>
  <si>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</si>
  <si>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</si>
  <si>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</si>
  <si>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</si>
  <si>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</si>
  <si>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</si>
  <si>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</si>
  <si>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</si>
  <si>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</si>
  <si>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</si>
  <si>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</si>
  <si>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</si>
  <si>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</si>
  <si>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</si>
  <si>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</si>
  <si>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</si>
  <si>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</si>
  <si>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</si>
  <si>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</si>
  <si>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</si>
  <si>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</si>
  <si>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</si>
  <si>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</si>
  <si>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</si>
  <si>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</si>
  <si>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</si>
  <si>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</si>
  <si>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</si>
  <si>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</si>
  <si>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</si>
  <si>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</si>
  <si>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</si>
  <si>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</si>
  <si>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</si>
  <si>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</si>
  <si>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</si>
  <si>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</si>
  <si>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</si>
  <si>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</si>
  <si>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</si>
  <si>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</si>
  <si>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</si>
  <si>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</si>
  <si>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</si>
  <si>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</si>
  <si>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</si>
  <si>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</si>
  <si>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</si>
  <si>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</si>
  <si>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</si>
  <si>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</si>
  <si>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</si>
  <si>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</si>
  <si>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</si>
  <si>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</si>
  <si>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</si>
  <si>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</si>
  <si>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</si>
  <si>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</si>
  <si>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</si>
  <si>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</si>
  <si>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</si>
  <si>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</si>
  <si>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</si>
  <si>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</si>
  <si>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</si>
  <si>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</si>
  <si>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</si>
  <si>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</si>
  <si>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</si>
  <si>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</si>
  <si>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</si>
  <si>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</si>
  <si>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</si>
  <si>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</si>
  <si>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</si>
  <si>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</si>
  <si>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</si>
  <si>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</si>
  <si>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</si>
  <si>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</si>
  <si>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</si>
  <si>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</si>
  <si>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</si>
  <si>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</si>
  <si>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</si>
  <si>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</si>
  <si>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</si>
  <si>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</si>
  <si>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</si>
  <si>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</si>
  <si>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</si>
  <si>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</si>
  <si>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</si>
  <si>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</si>
  <si>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</si>
  <si>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</si>
  <si>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</si>
  <si>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</si>
  <si>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</si>
  <si>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</si>
  <si>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</si>
  <si>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</si>
  <si>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</si>
  <si>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</si>
  <si>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</si>
  <si>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</si>
  <si>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</si>
  <si>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</si>
  <si>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</si>
  <si>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</si>
  <si>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</si>
  <si>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</si>
  <si>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</si>
  <si>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</si>
  <si>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</si>
  <si>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</si>
  <si>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</si>
  <si>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</si>
  <si>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</si>
  <si>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</si>
  <si>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</si>
  <si>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</si>
  <si>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</si>
  <si>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</si>
  <si>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</si>
  <si>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</si>
  <si>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</si>
  <si>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</si>
  <si>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</si>
  <si>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</si>
  <si>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</si>
  <si>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</si>
  <si>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</si>
  <si>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</si>
  <si>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</si>
  <si>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</si>
  <si>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</si>
  <si>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</si>
  <si>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</si>
  <si>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</si>
  <si>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</si>
  <si>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</si>
  <si>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</si>
  <si>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</si>
  <si>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</si>
  <si>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</si>
  <si>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</si>
  <si>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</si>
  <si>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</si>
  <si>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</si>
  <si>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</si>
  <si>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</si>
  <si>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</si>
  <si>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</si>
  <si>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</si>
  <si>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</si>
  <si>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</si>
  <si>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</si>
  <si>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</si>
  <si>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</si>
  <si>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</si>
  <si>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</si>
  <si>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</si>
  <si>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</si>
  <si>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</si>
  <si>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</si>
  <si>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</si>
  <si>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</si>
  <si>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</si>
  <si>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</si>
  <si>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</si>
  <si>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</si>
  <si>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</si>
  <si>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</si>
  <si>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</si>
  <si>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</si>
  <si>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</si>
  <si>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</si>
  <si>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</si>
  <si>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</si>
  <si>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</si>
  <si>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</si>
  <si>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</si>
  <si>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</si>
  <si>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</si>
  <si>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</si>
  <si>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</si>
  <si>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</si>
  <si>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</si>
  <si>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</si>
  <si>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</si>
  <si>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</si>
  <si>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</si>
  <si>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</si>
  <si>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</si>
  <si>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</si>
  <si>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</si>
  <si>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</si>
  <si>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</si>
  <si>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</si>
  <si>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</si>
  <si>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</si>
  <si>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</si>
  <si>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</si>
  <si>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</si>
  <si>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</si>
  <si>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</si>
  <si>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</si>
  <si>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</si>
  <si>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</si>
  <si>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</si>
  <si>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</si>
  <si>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</si>
  <si>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</si>
  <si>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</si>
  <si>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</si>
  <si>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</si>
  <si>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</si>
  <si>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</si>
  <si>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</si>
  <si>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</si>
  <si>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</si>
  <si>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</si>
  <si>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</si>
  <si>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</si>
  <si>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</si>
  <si>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</si>
  <si>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</si>
  <si>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</si>
  <si>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</si>
  <si>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</si>
  <si>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</si>
  <si>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</si>
  <si>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</si>
  <si>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</si>
  <si>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</si>
  <si>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</si>
  <si>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</si>
  <si>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</si>
  <si>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</si>
  <si>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</si>
  <si>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</si>
  <si>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</si>
  <si>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</si>
  <si>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</si>
  <si>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</si>
  <si>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</si>
  <si>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</si>
  <si>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</si>
  <si>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</si>
  <si>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</si>
  <si>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</si>
  <si>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</si>
  <si>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</si>
  <si>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</si>
  <si>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</si>
  <si>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</si>
  <si>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</si>
  <si>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</si>
  <si>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</si>
  <si>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</si>
  <si>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</si>
  <si>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</si>
  <si>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</si>
  <si>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</si>
  <si>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</si>
  <si>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</si>
  <si>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</si>
  <si>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</si>
  <si>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</si>
  <si>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</si>
  <si>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</si>
  <si>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</si>
  <si>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</si>
  <si>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</si>
  <si>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</si>
  <si>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</si>
  <si>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</si>
  <si>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</si>
  <si>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</si>
  <si>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</si>
  <si>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</si>
  <si>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</si>
  <si>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</si>
  <si>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</si>
  <si>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</si>
  <si>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</si>
  <si>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</si>
  <si>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</si>
  <si>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</si>
  <si>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</si>
  <si>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</si>
  <si>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</si>
  <si>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</si>
  <si>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</si>
  <si>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</si>
  <si>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</si>
  <si>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</si>
  <si>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</si>
  <si>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</si>
  <si>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</si>
  <si>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</si>
  <si>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</si>
  <si>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</si>
  <si>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</si>
  <si>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</si>
  <si>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</si>
  <si>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</si>
  <si>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</si>
  <si>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</si>
  <si>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</si>
  <si>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</si>
  <si>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</si>
  <si>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</si>
  <si>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</si>
  <si>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</si>
  <si>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</si>
  <si>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</si>
  <si>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</si>
  <si>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</si>
  <si>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</si>
  <si>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</si>
  <si>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</si>
  <si>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</si>
  <si>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</si>
  <si>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</si>
  <si>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</si>
  <si>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</si>
  <si>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</si>
  <si>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</si>
  <si>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</si>
  <si>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</si>
  <si>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</si>
  <si>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</si>
  <si>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</si>
  <si>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</si>
  <si>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</si>
  <si>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</si>
  <si>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</si>
  <si>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</si>
  <si>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</si>
  <si>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</si>
  <si>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</si>
  <si>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</si>
  <si>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</si>
  <si>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</si>
  <si>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</si>
  <si>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</si>
  <si>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</si>
  <si>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</si>
  <si>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</si>
  <si>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</si>
  <si>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</si>
  <si>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</si>
  <si>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</si>
  <si>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</si>
  <si>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</si>
  <si>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</si>
  <si>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</si>
  <si>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</si>
  <si>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</si>
  <si>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</si>
  <si>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</si>
  <si>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</si>
  <si>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</si>
  <si>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</si>
  <si>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</si>
  <si>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</si>
  <si>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</si>
  <si>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</si>
  <si>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</si>
  <si>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</si>
  <si>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</si>
  <si>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</si>
  <si>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</si>
  <si>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</si>
  <si>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</si>
  <si>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</si>
  <si>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</si>
  <si>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</si>
  <si>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</si>
  <si>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</si>
  <si>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</si>
  <si>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</si>
  <si>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</si>
  <si>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</si>
  <si>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</si>
  <si>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</si>
  <si>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</si>
  <si>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</si>
  <si>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</si>
  <si>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</si>
  <si>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</si>
  <si>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</si>
  <si>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</si>
  <si>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</si>
  <si>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</si>
  <si>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</si>
  <si>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</si>
  <si>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</si>
  <si>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</si>
  <si>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</si>
  <si>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</si>
  <si>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</si>
  <si>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</si>
  <si>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</si>
  <si>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</si>
  <si>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</si>
  <si>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</si>
  <si>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</si>
  <si>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</si>
  <si>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</si>
  <si>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</si>
  <si>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</si>
  <si>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</si>
  <si>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</si>
  <si>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</si>
  <si>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</si>
  <si>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</si>
  <si>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</si>
  <si>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</si>
  <si>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</si>
  <si>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</si>
  <si>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</si>
  <si>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</si>
  <si>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</si>
  <si>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</si>
  <si>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</si>
  <si>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</si>
  <si>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</si>
  <si>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</si>
  <si>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</si>
  <si>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</si>
  <si>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</si>
  <si>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</si>
  <si>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</si>
  <si>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</si>
  <si>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</si>
  <si>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</si>
  <si>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</si>
  <si>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</si>
  <si>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</si>
  <si>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</si>
  <si>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</si>
  <si>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</si>
  <si>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</si>
  <si>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</si>
  <si>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</si>
  <si>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</si>
  <si>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</si>
  <si>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</si>
  <si>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</si>
  <si>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</si>
  <si>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</si>
  <si>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</si>
  <si>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</si>
  <si>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</si>
  <si>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</si>
  <si>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</si>
  <si>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</si>
  <si>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</si>
  <si>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</si>
  <si>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</si>
  <si>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</si>
  <si>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</si>
  <si>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</si>
  <si>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</si>
  <si>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</si>
  <si>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</si>
  <si>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</si>
  <si>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</si>
  <si>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</si>
  <si>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</si>
  <si>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</si>
  <si>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</si>
  <si>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</si>
  <si>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</si>
  <si>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</si>
  <si>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</si>
  <si>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</si>
  <si>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</si>
  <si>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</si>
  <si>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</si>
  <si>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</si>
  <si>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</si>
  <si>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</si>
  <si>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</si>
  <si>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</si>
  <si>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</si>
  <si>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</si>
  <si>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</si>
  <si>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</si>
  <si>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</si>
  <si>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</si>
  <si>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</si>
  <si>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</si>
  <si>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</si>
  <si>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</si>
  <si>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</si>
  <si>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</si>
  <si>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</si>
  <si>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</si>
  <si>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</si>
  <si>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</si>
  <si>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</si>
  <si>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</si>
  <si>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</si>
  <si>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</si>
  <si>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</si>
  <si>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</si>
  <si>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</si>
  <si>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</si>
  <si>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</si>
  <si>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</si>
  <si>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</si>
  <si>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</si>
  <si>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</si>
  <si>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</si>
  <si>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</si>
  <si>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</si>
  <si>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</si>
  <si>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</si>
  <si>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</si>
  <si>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</si>
  <si>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</si>
  <si>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</si>
  <si>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</si>
  <si>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</si>
  <si>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</si>
  <si>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</si>
  <si>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</si>
  <si>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</si>
  <si>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</si>
  <si>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</si>
  <si>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</si>
  <si>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</si>
  <si>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</si>
  <si>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</si>
  <si>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</si>
  <si>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</si>
  <si>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</si>
  <si>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</si>
  <si>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</si>
  <si>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</si>
  <si>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</si>
  <si>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</si>
  <si>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</si>
  <si>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</si>
  <si>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</si>
  <si>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</si>
  <si>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</si>
  <si>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</si>
  <si>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</si>
  <si>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</si>
  <si>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</si>
  <si>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</si>
  <si>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</si>
  <si>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</si>
  <si>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</si>
  <si>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</si>
  <si>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</si>
  <si>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</si>
  <si>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</si>
  <si>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</si>
  <si>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</si>
  <si>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</si>
  <si>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</si>
  <si>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</si>
  <si>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</si>
  <si>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</si>
  <si>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</si>
  <si>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</si>
  <si>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</si>
  <si>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</si>
  <si>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</si>
  <si>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</si>
  <si>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</si>
  <si>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</si>
  <si>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</si>
  <si>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</si>
  <si>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</si>
  <si>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</si>
  <si>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</si>
  <si>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</si>
  <si>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</si>
  <si>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</si>
  <si>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</si>
  <si>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</si>
  <si>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</si>
  <si>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</si>
  <si>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</si>
  <si>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</si>
  <si>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</si>
  <si>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</si>
  <si>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</si>
  <si>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</si>
  <si>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京都市</t>
    <rPh sb="0" eb="3">
      <t>キョウトシ</t>
    </rPh>
    <phoneticPr fontId="6"/>
  </si>
  <si>
    <t>○○ケアセンター</t>
    <phoneticPr fontId="6"/>
  </si>
  <si>
    <t>○○ケアサービス</t>
    <phoneticPr fontId="6"/>
  </si>
  <si>
    <t>代表取締役</t>
    <rPh sb="0" eb="5">
      <t>ダイヒョウトリシマリヤク</t>
    </rPh>
    <phoneticPr fontId="6"/>
  </si>
  <si>
    <t>厚労　花子</t>
    <rPh sb="0" eb="2">
      <t>コウロウ</t>
    </rPh>
    <rPh sb="3" eb="5">
      <t>ハナコ</t>
    </rPh>
    <phoneticPr fontId="6"/>
  </si>
  <si>
    <t>○</t>
    <phoneticPr fontId="6"/>
  </si>
  <si>
    <t>マルマルケアサービス</t>
    <phoneticPr fontId="6"/>
  </si>
  <si>
    <t>東京都千代田区霞が関1-2-2 ○○ビル18F</t>
    <rPh sb="0" eb="3">
      <t>トウキョウト</t>
    </rPh>
    <rPh sb="3" eb="7">
      <t>チヨダク</t>
    </rPh>
    <rPh sb="7" eb="8">
      <t>カスミ</t>
    </rPh>
    <rPh sb="9" eb="10">
      <t>セキ</t>
    </rPh>
    <phoneticPr fontId="6"/>
  </si>
  <si>
    <t>コウロウ　タロウ</t>
    <phoneticPr fontId="6"/>
  </si>
  <si>
    <t>厚労　太郎</t>
    <rPh sb="0" eb="2">
      <t>コウロウ</t>
    </rPh>
    <rPh sb="3" eb="5">
      <t>タロウ</t>
    </rPh>
    <phoneticPr fontId="6"/>
  </si>
  <si>
    <t>03-XXXX-XXXX</t>
    <phoneticPr fontId="6"/>
  </si>
  <si>
    <t>aaa@aaa.aa.jp</t>
    <phoneticPr fontId="6"/>
  </si>
  <si>
    <t>○○ケアサービス</t>
    <phoneticPr fontId="6"/>
  </si>
  <si>
    <t>代表取締役</t>
    <rPh sb="0" eb="5">
      <t>ダイヒョウトリシマリヤク</t>
    </rPh>
    <phoneticPr fontId="6"/>
  </si>
  <si>
    <t>厚労　花子</t>
    <rPh sb="0" eb="2">
      <t>コウロウ</t>
    </rPh>
    <rPh sb="3" eb="5">
      <t>ハナコ</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</si>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</sst>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6">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0" fontId="10" fillId="2" borderId="6" xfId="0" applyFont="1" applyFill="1" applyBorder="1" applyAlignment="1">
      <alignment horizontal="center" vertical="center"/>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checked="Checked"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4" y="1786233"/>
              <a:chExt cx="930421"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5"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49" y="4144038"/>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49"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3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6" y="4815876"/>
              <a:chExt cx="252355"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2" y="4815876"/>
                <a:ext cx="25146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96"/>
                <a:ext cx="24954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3" y="5648287"/>
              <a:chExt cx="251462" cy="42293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7"/>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3" y="582357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7"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0999"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7"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35</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38</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110" zoomScaleNormal="46" zoomScaleSheetLayoutView="110" workbookViewId="0">
      <selection activeCell="Z68" sqref="Z68"/>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9" t="s">
        <v>0</v>
      </c>
      <c r="AB1" s="409"/>
      <c r="AC1" s="409"/>
      <c r="AD1" s="387" t="str">
        <f>IF(G5="","",G5)</f>
        <v>京都市</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0">
        <v>1334567890</v>
      </c>
      <c r="C5" s="410"/>
      <c r="D5" s="410"/>
      <c r="E5" s="410"/>
      <c r="F5" s="410"/>
      <c r="G5" s="286" t="s">
        <v>2032</v>
      </c>
      <c r="H5" s="286"/>
      <c r="I5" s="286"/>
      <c r="J5" s="286"/>
      <c r="K5" s="286"/>
      <c r="L5" s="286"/>
      <c r="M5" s="286"/>
      <c r="N5" s="365" t="s">
        <v>145</v>
      </c>
      <c r="O5" s="365"/>
      <c r="P5" s="365"/>
      <c r="Q5" s="365" t="s">
        <v>351</v>
      </c>
      <c r="R5" s="365"/>
      <c r="S5" s="365"/>
      <c r="T5" s="366">
        <v>2250000</v>
      </c>
      <c r="U5" s="367"/>
      <c r="V5" s="367"/>
      <c r="W5" s="367"/>
      <c r="X5" s="367"/>
      <c r="Y5" s="367"/>
      <c r="Z5" s="367"/>
      <c r="AA5" s="367"/>
      <c r="AB5" s="368"/>
      <c r="AC5" s="354" t="s">
        <v>1979</v>
      </c>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t="s">
        <v>2033</v>
      </c>
      <c r="C8" s="413"/>
      <c r="D8" s="413"/>
      <c r="E8" s="413"/>
      <c r="F8" s="414"/>
      <c r="G8" s="418" t="s">
        <v>1894</v>
      </c>
      <c r="H8" s="419"/>
      <c r="I8" s="403" t="str">
        <f>IFERROR(IF(OR(H98=4,H98=5),IF(AM8=1,"処遇加算Ⅰ",IF(AM8=2,"処遇加算Ⅱ","")),""),"")</f>
        <v>処遇加算Ⅰ</v>
      </c>
      <c r="J8" s="404"/>
      <c r="K8" s="404"/>
      <c r="L8" s="405"/>
      <c r="M8" s="403" t="str">
        <f>IFERROR(IF(OR(H98=4,H98=5),IF(AM8=1,"特定加算なし",IF(AM8=2,"特定加算なし","")),""),"")</f>
        <v>特定加算なし</v>
      </c>
      <c r="N8" s="404"/>
      <c r="O8" s="404"/>
      <c r="P8" s="405"/>
      <c r="Q8" s="403" t="str">
        <f>IFERROR(IF(OR(H98=4,H98=5),IF(AM8=1,"ベア加算",IF(AM8=2,"ベア加算","")),""),"")</f>
        <v>ベア加算</v>
      </c>
      <c r="R8" s="404"/>
      <c r="S8" s="404"/>
      <c r="T8" s="405"/>
      <c r="U8" s="289" t="s">
        <v>1873</v>
      </c>
      <c r="V8" s="289"/>
      <c r="W8" s="289"/>
      <c r="X8" s="290"/>
      <c r="Y8" s="38"/>
      <c r="Z8" s="362" t="s">
        <v>76</v>
      </c>
      <c r="AA8" s="363"/>
      <c r="AB8" s="364"/>
      <c r="AC8" s="39"/>
      <c r="AD8" s="357" t="s">
        <v>77</v>
      </c>
      <c r="AE8" s="357"/>
      <c r="AF8" s="358"/>
      <c r="AM8" s="355">
        <v>1</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f>IFERROR(VLOOKUP(AC5,【参考】数式用!$A$5:$N$37,MATCH(I8,【参考】数式用!$B$4:$J$4,0)+1,FALSE),"")</f>
        <v>4.3999999999999997E-2</v>
      </c>
      <c r="J9" s="291"/>
      <c r="K9" s="291"/>
      <c r="L9" s="408"/>
      <c r="M9" s="407">
        <f>IFERROR(VLOOKUP(AC5,【参考】数式用!$A$5:$N$37,MATCH(M8,【参考】数式用!$B$4:$J$4,0)+1,FALSE),"")</f>
        <v>0</v>
      </c>
      <c r="N9" s="291"/>
      <c r="O9" s="291"/>
      <c r="P9" s="408"/>
      <c r="Q9" s="407">
        <f>IFERROR(VLOOKUP(AC5,【参考】数式用!$A$5:$N$37,MATCH(Q8,【参考】数式用!$B$4:$J$4,0)+1,FALSE),"")</f>
        <v>1.0999999999999999E-2</v>
      </c>
      <c r="R9" s="291"/>
      <c r="S9" s="291"/>
      <c r="T9" s="408"/>
      <c r="U9" s="291">
        <f>SUM(I9,M9,Q9)</f>
        <v>5.4999999999999993E-2</v>
      </c>
      <c r="V9" s="291"/>
      <c r="W9" s="291"/>
      <c r="X9" s="292"/>
      <c r="Y9" s="359">
        <f>IFERROR(IF(AM8=1,VLOOKUP(AC5,【参考】数式用!$A$5:$N$37,13,FALSE),""),"")</f>
        <v>6.699999999999999E-2</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345">
        <f>IFERROR(IF(AM8&lt;&gt;0,T105+Y105,"先に新加算の区分を選択"),"")</f>
        <v>1755000</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5" customHeight="1" thickBot="1">
      <c r="B15" s="321" t="s">
        <v>53</v>
      </c>
      <c r="C15" s="322"/>
      <c r="D15" s="322"/>
      <c r="E15" s="322"/>
      <c r="F15" s="322"/>
      <c r="G15" s="322"/>
      <c r="H15" s="322"/>
      <c r="I15" s="322"/>
      <c r="J15" s="322"/>
      <c r="K15" s="322"/>
      <c r="L15" s="322"/>
      <c r="M15" s="323"/>
      <c r="N15" s="307">
        <v>1800000</v>
      </c>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5"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8" t="s">
        <v>1950</v>
      </c>
      <c r="C18" s="299"/>
      <c r="D18" s="299"/>
      <c r="E18" s="299"/>
      <c r="F18" s="299"/>
      <c r="G18" s="299"/>
      <c r="H18" s="299"/>
      <c r="I18" s="299"/>
      <c r="J18" s="299"/>
      <c r="K18" s="299"/>
      <c r="L18" s="299"/>
      <c r="M18" s="300"/>
      <c r="N18" s="330">
        <f>IFERROR(ROUNDDOWN(ROUNDDOWN(ROUND(T5*VLOOKUP(AC5,【参考】数式用!$A$5:$N$37,14,FALSE),0),0)*AD108*0.5,0),"")</f>
        <v>618750</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5"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5"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8" t="s">
        <v>1951</v>
      </c>
      <c r="C21" s="299"/>
      <c r="D21" s="299"/>
      <c r="E21" s="299"/>
      <c r="F21" s="299"/>
      <c r="G21" s="299"/>
      <c r="H21" s="299"/>
      <c r="I21" s="299"/>
      <c r="J21" s="299"/>
      <c r="K21" s="299"/>
      <c r="L21" s="299"/>
      <c r="M21" s="300"/>
      <c r="N21" s="307">
        <v>655000</v>
      </c>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1</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1</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1</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5"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v>7</v>
      </c>
      <c r="F58" s="243"/>
      <c r="G58" s="63" t="s">
        <v>41</v>
      </c>
      <c r="H58" s="242" t="s">
        <v>2037</v>
      </c>
      <c r="I58" s="243"/>
      <c r="J58" s="63" t="s">
        <v>42</v>
      </c>
      <c r="K58" s="242" t="s">
        <v>2037</v>
      </c>
      <c r="L58" s="243"/>
      <c r="M58" s="63" t="s">
        <v>43</v>
      </c>
      <c r="N58" s="59"/>
      <c r="O58" s="244" t="s">
        <v>44</v>
      </c>
      <c r="P58" s="244"/>
      <c r="Q58" s="244"/>
      <c r="R58" s="245" t="s">
        <v>2034</v>
      </c>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t="s">
        <v>2035</v>
      </c>
      <c r="U59" s="271"/>
      <c r="V59" s="271"/>
      <c r="W59" s="271"/>
      <c r="X59" s="271"/>
      <c r="Y59" s="283" t="s">
        <v>47</v>
      </c>
      <c r="Z59" s="283"/>
      <c r="AA59" s="271" t="s">
        <v>2036</v>
      </c>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273" t="s">
        <v>1875</v>
      </c>
      <c r="F63" s="273"/>
      <c r="G63" s="273"/>
      <c r="H63" s="274" t="s">
        <v>2038</v>
      </c>
      <c r="I63" s="274"/>
      <c r="J63" s="274"/>
      <c r="K63" s="274"/>
      <c r="L63" s="274"/>
      <c r="M63" s="274"/>
      <c r="N63" s="274"/>
      <c r="O63" s="274"/>
      <c r="P63" s="274"/>
      <c r="Q63" s="274"/>
      <c r="R63" s="275" t="s">
        <v>1876</v>
      </c>
      <c r="S63" s="275"/>
      <c r="T63" s="275"/>
      <c r="U63" s="71" t="s">
        <v>1877</v>
      </c>
      <c r="V63" s="276">
        <v>100</v>
      </c>
      <c r="W63" s="276"/>
      <c r="X63" s="545" t="s">
        <v>1878</v>
      </c>
      <c r="Y63" s="276">
        <v>1234</v>
      </c>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○○ケアサービス</v>
      </c>
      <c r="I64" s="277"/>
      <c r="J64" s="277"/>
      <c r="K64" s="277"/>
      <c r="L64" s="277"/>
      <c r="M64" s="277"/>
      <c r="N64" s="277"/>
      <c r="O64" s="277"/>
      <c r="P64" s="277"/>
      <c r="Q64" s="277"/>
      <c r="R64" s="275"/>
      <c r="S64" s="275"/>
      <c r="T64" s="275"/>
      <c r="U64" s="278" t="s">
        <v>2039</v>
      </c>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代表取締役</v>
      </c>
      <c r="I66" s="218"/>
      <c r="J66" s="218"/>
      <c r="K66" s="218"/>
      <c r="L66" s="218"/>
      <c r="M66" s="218"/>
      <c r="N66" s="218"/>
      <c r="O66" s="275" t="s">
        <v>1881</v>
      </c>
      <c r="P66" s="275"/>
      <c r="Q66" s="275"/>
      <c r="R66" s="273" t="s">
        <v>1875</v>
      </c>
      <c r="S66" s="273"/>
      <c r="T66" s="273"/>
      <c r="U66" s="274" t="s">
        <v>2040</v>
      </c>
      <c r="V66" s="274"/>
      <c r="W66" s="274"/>
      <c r="X66" s="274"/>
      <c r="Y66" s="274"/>
      <c r="Z66" s="274"/>
      <c r="AA66" s="274"/>
      <c r="AB66" s="221" t="s">
        <v>1882</v>
      </c>
      <c r="AC66" s="222"/>
      <c r="AD66" s="222"/>
      <c r="AE66" s="223"/>
      <c r="AF66" s="217" t="s">
        <v>2042</v>
      </c>
      <c r="AG66" s="217"/>
      <c r="AH66" s="217"/>
      <c r="AI66" s="217"/>
      <c r="AJ66" s="217"/>
      <c r="AK66" s="217"/>
      <c r="AM66" s="40"/>
    </row>
    <row r="67" spans="2:39" ht="18.75">
      <c r="B67" s="275"/>
      <c r="C67" s="275"/>
      <c r="D67" s="275"/>
      <c r="E67" s="275" t="s">
        <v>47</v>
      </c>
      <c r="F67" s="275"/>
      <c r="G67" s="275"/>
      <c r="H67" s="218" t="str">
        <f t="shared" ref="H67" si="0">IF(AA59="","",AA59)</f>
        <v>厚労　花子</v>
      </c>
      <c r="I67" s="218"/>
      <c r="J67" s="218"/>
      <c r="K67" s="218"/>
      <c r="L67" s="218"/>
      <c r="M67" s="218"/>
      <c r="N67" s="218"/>
      <c r="O67" s="275"/>
      <c r="P67" s="275"/>
      <c r="Q67" s="275"/>
      <c r="R67" s="219" t="s">
        <v>47</v>
      </c>
      <c r="S67" s="219"/>
      <c r="T67" s="219"/>
      <c r="U67" s="220" t="s">
        <v>2041</v>
      </c>
      <c r="V67" s="220"/>
      <c r="W67" s="220"/>
      <c r="X67" s="220"/>
      <c r="Y67" s="220"/>
      <c r="Z67" s="220"/>
      <c r="AA67" s="220"/>
      <c r="AB67" s="221" t="s">
        <v>1883</v>
      </c>
      <c r="AC67" s="222"/>
      <c r="AD67" s="222"/>
      <c r="AE67" s="223"/>
      <c r="AF67" s="284" t="s">
        <v>2043</v>
      </c>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4.25"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1</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1</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1</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1</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処遇加算Ⅰ</v>
      </c>
      <c r="F103" s="385"/>
      <c r="G103" s="385"/>
      <c r="H103" s="385"/>
      <c r="I103" s="386"/>
      <c r="J103" s="374" t="str">
        <f>M8</f>
        <v>特定加算なし</v>
      </c>
      <c r="K103" s="374"/>
      <c r="L103" s="374"/>
      <c r="M103" s="374"/>
      <c r="N103" s="374"/>
      <c r="O103" s="374" t="str">
        <f>Q8</f>
        <v>ベア加算</v>
      </c>
      <c r="P103" s="374"/>
      <c r="Q103" s="374"/>
      <c r="R103" s="374"/>
      <c r="S103" s="375"/>
      <c r="T103" s="376" t="s">
        <v>1873</v>
      </c>
      <c r="U103" s="377"/>
      <c r="V103" s="377"/>
      <c r="W103" s="377"/>
      <c r="X103" s="378"/>
      <c r="Y103" s="380" t="str">
        <f>IFERROR(IF(AM8=1,"新加算Ⅲ",IF(AM8=2,"新加算Ⅳ","")),"")</f>
        <v>新加算Ⅲ</v>
      </c>
      <c r="Z103" s="381"/>
      <c r="AA103" s="381"/>
      <c r="AB103" s="381"/>
      <c r="AC103" s="381"/>
      <c r="AD103" s="381"/>
      <c r="AE103" s="382"/>
    </row>
    <row r="104" spans="2:31" ht="15" customHeight="1" thickBot="1">
      <c r="B104" s="255" t="s">
        <v>1892</v>
      </c>
      <c r="C104" s="256"/>
      <c r="D104" s="256"/>
      <c r="E104" s="266">
        <f>I9</f>
        <v>4.3999999999999997E-2</v>
      </c>
      <c r="F104" s="267"/>
      <c r="G104" s="267"/>
      <c r="H104" s="267"/>
      <c r="I104" s="268"/>
      <c r="J104" s="257">
        <f>M9</f>
        <v>0</v>
      </c>
      <c r="K104" s="257"/>
      <c r="L104" s="257"/>
      <c r="M104" s="257"/>
      <c r="N104" s="257"/>
      <c r="O104" s="257">
        <f>Q9</f>
        <v>1.0999999999999999E-2</v>
      </c>
      <c r="P104" s="257"/>
      <c r="Q104" s="257"/>
      <c r="R104" s="257"/>
      <c r="S104" s="258"/>
      <c r="T104" s="259">
        <f>U9</f>
        <v>5.4999999999999993E-2</v>
      </c>
      <c r="U104" s="259"/>
      <c r="V104" s="259"/>
      <c r="W104" s="259"/>
      <c r="X104" s="259"/>
      <c r="Y104" s="379">
        <f>IFERROR(IF(AM8=1,Y9,IF(AM8=2,AC9,"")),"")</f>
        <v>6.699999999999999E-2</v>
      </c>
      <c r="Z104" s="268"/>
      <c r="AA104" s="268"/>
      <c r="AB104" s="257"/>
      <c r="AC104" s="257"/>
      <c r="AD104" s="257"/>
      <c r="AE104" s="258"/>
    </row>
    <row r="105" spans="2:31">
      <c r="B105" s="249" t="s">
        <v>1893</v>
      </c>
      <c r="C105" s="250"/>
      <c r="D105" s="251"/>
      <c r="E105" s="262">
        <f>IFERROR(ROUNDDOWN(ROUND(T5*I9,0),0)*W108,"")</f>
        <v>198000</v>
      </c>
      <c r="F105" s="263"/>
      <c r="G105" s="263"/>
      <c r="H105" s="263"/>
      <c r="I105" s="96" t="s">
        <v>1891</v>
      </c>
      <c r="J105" s="264">
        <f>IFERROR(ROUNDDOWN(ROUND(T5*M9,0),0)*W108,"")</f>
        <v>0</v>
      </c>
      <c r="K105" s="265"/>
      <c r="L105" s="265"/>
      <c r="M105" s="265"/>
      <c r="N105" s="187" t="s">
        <v>1891</v>
      </c>
      <c r="O105" s="264">
        <f>IFERROR(ROUNDDOWN(ROUND(T5*Q9,0),0)*W108,"")</f>
        <v>49500</v>
      </c>
      <c r="P105" s="265"/>
      <c r="Q105" s="265"/>
      <c r="R105" s="265"/>
      <c r="S105" s="97" t="s">
        <v>1891</v>
      </c>
      <c r="T105" s="383">
        <f>IFERROR(SUM(E105,J105,O105),"")</f>
        <v>247500</v>
      </c>
      <c r="U105" s="383"/>
      <c r="V105" s="383"/>
      <c r="W105" s="383"/>
      <c r="X105" s="98" t="s">
        <v>1891</v>
      </c>
      <c r="Y105" s="369">
        <f>IFERROR(IF(AM8=1,ROUNDDOWN(ROUND(T5*Y9,0),0)*AD108,IF(AM8=2,ROUNDDOWN(ROUND(T5*AC9,0),0)*AD108,"")),"")</f>
        <v>1507500</v>
      </c>
      <c r="Z105" s="370"/>
      <c r="AA105" s="370"/>
      <c r="AB105" s="370"/>
      <c r="AC105" s="370"/>
      <c r="AD105" s="370"/>
      <c r="AE105" s="99" t="s">
        <v>1891</v>
      </c>
    </row>
    <row r="106" spans="2:31">
      <c r="B106" s="252"/>
      <c r="C106" s="253"/>
      <c r="D106" s="254"/>
      <c r="E106" s="248" t="str">
        <f>IFERROR("("&amp;TEXT(E105/W108,"#,##0円")&amp;"/月)","")</f>
        <v>(99,000円/月)</v>
      </c>
      <c r="F106" s="260"/>
      <c r="G106" s="260"/>
      <c r="H106" s="260"/>
      <c r="I106" s="246"/>
      <c r="J106" s="247" t="str">
        <f>IFERROR("("&amp;TEXT(J105/W108,"#,##0円")&amp;"/月)","")</f>
        <v>(0円/月)</v>
      </c>
      <c r="K106" s="247"/>
      <c r="L106" s="247"/>
      <c r="M106" s="247"/>
      <c r="N106" s="247"/>
      <c r="O106" s="247" t="str">
        <f>IFERROR("("&amp;TEXT(O105/W108,"#,##0円")&amp;"/月)","")</f>
        <v>(24,750円/月)</v>
      </c>
      <c r="P106" s="247"/>
      <c r="Q106" s="247"/>
      <c r="R106" s="247"/>
      <c r="S106" s="247"/>
      <c r="T106" s="246" t="str">
        <f>IFERROR("("&amp;TEXT(T105/W108,"#,##0円")&amp;"/月)","")</f>
        <v>(123,750円/月)</v>
      </c>
      <c r="U106" s="247"/>
      <c r="V106" s="247"/>
      <c r="W106" s="247"/>
      <c r="X106" s="248"/>
      <c r="Y106" s="247" t="str">
        <f>IFERROR("("&amp;TEXT(Y105/AD108,"#,##0円")&amp;"/月)","")</f>
        <v>(150,750円/月)</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E862FAD-00BD-4517-8499-2CA3F626FB06}"/>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S17" sqref="AS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京都市</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f>IF('別紙様式7-1（計画書）'!B5="","",'別紙様式7-1（計画書）'!B5)</f>
        <v>1334567890</v>
      </c>
      <c r="C5" s="484"/>
      <c r="D5" s="484"/>
      <c r="E5" s="484"/>
      <c r="F5" s="484"/>
      <c r="G5" s="482" t="str">
        <f>IF('別紙様式7-1（計画書）'!G5="","",'別紙様式7-1（計画書）'!G5)</f>
        <v>京都市</v>
      </c>
      <c r="H5" s="482"/>
      <c r="I5" s="482"/>
      <c r="J5" s="482"/>
      <c r="K5" s="482"/>
      <c r="L5" s="482"/>
      <c r="M5" s="482"/>
      <c r="N5" s="483" t="str">
        <f>IF('別紙様式7-1（計画書）'!N5="","",'別紙様式7-1（計画書）'!N5)</f>
        <v>京都府</v>
      </c>
      <c r="O5" s="483"/>
      <c r="P5" s="483"/>
      <c r="Q5" s="483" t="str">
        <f>IF('別紙様式7-1（計画書）'!Q5="","",'別紙様式7-1（計画書）'!Q5)</f>
        <v>京都市</v>
      </c>
      <c r="R5" s="483"/>
      <c r="S5" s="483"/>
      <c r="T5" s="485" t="str">
        <f>IF('別紙様式7-1（計画書）'!AC5="","",'別紙様式7-1（計画書）'!AC5)</f>
        <v>生活介護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処遇加算Ⅰ</v>
      </c>
      <c r="F9" s="475"/>
      <c r="G9" s="475"/>
      <c r="H9" s="476"/>
      <c r="I9" s="477" t="str">
        <f>IF('別紙様式7-1（計画書）'!M8="","",'別紙様式7-1（計画書）'!M8)</f>
        <v>特定加算なし</v>
      </c>
      <c r="J9" s="475"/>
      <c r="K9" s="475"/>
      <c r="L9" s="476"/>
      <c r="M9" s="477" t="str">
        <f>IF('別紙様式7-1（計画書）'!Q8="","",'別紙様式7-1（計画書）'!Q8)</f>
        <v>ベア加算</v>
      </c>
      <c r="N9" s="475"/>
      <c r="O9" s="475"/>
      <c r="P9" s="478"/>
      <c r="Q9" s="479" t="s">
        <v>1873</v>
      </c>
      <c r="R9" s="480"/>
      <c r="S9" s="480"/>
      <c r="T9" s="481"/>
      <c r="U9" s="488" t="str">
        <f>IFERROR(IF('別紙様式7-1（計画書）'!AM8=1,"新加算Ⅲ",IF('別紙様式7-1（計画書）'!AM8=2,"新加算Ⅳ","")),"")</f>
        <v>新加算Ⅲ</v>
      </c>
      <c r="V9" s="489"/>
      <c r="W9" s="489"/>
      <c r="X9" s="489"/>
      <c r="Y9" s="489"/>
      <c r="Z9" s="490"/>
      <c r="AC9" s="34"/>
    </row>
    <row r="10" spans="2:40" ht="22.5" customHeight="1" thickBot="1">
      <c r="B10" s="255" t="s">
        <v>1898</v>
      </c>
      <c r="C10" s="256"/>
      <c r="D10" s="471"/>
      <c r="E10" s="449">
        <v>562310</v>
      </c>
      <c r="F10" s="450"/>
      <c r="G10" s="450"/>
      <c r="H10" s="450"/>
      <c r="I10" s="469">
        <v>0</v>
      </c>
      <c r="J10" s="450"/>
      <c r="K10" s="450"/>
      <c r="L10" s="470"/>
      <c r="M10" s="450">
        <v>102506</v>
      </c>
      <c r="N10" s="450"/>
      <c r="O10" s="450"/>
      <c r="P10" s="450"/>
      <c r="Q10" s="459">
        <f>SUM(E10,I10,M10)</f>
        <v>664816</v>
      </c>
      <c r="R10" s="460"/>
      <c r="S10" s="460"/>
      <c r="T10" s="460"/>
      <c r="U10" s="449">
        <v>3524210</v>
      </c>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4189026</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v>
      </c>
    </row>
    <row r="17" spans="2:38" s="27" customFormat="1" ht="6.95" customHeight="1" thickBot="1">
      <c r="B17" s="321" t="s">
        <v>1909</v>
      </c>
      <c r="C17" s="322"/>
      <c r="D17" s="322"/>
      <c r="E17" s="322"/>
      <c r="F17" s="322"/>
      <c r="G17" s="322"/>
      <c r="H17" s="322"/>
      <c r="I17" s="322"/>
      <c r="J17" s="322"/>
      <c r="K17" s="322"/>
      <c r="L17" s="322"/>
      <c r="M17" s="323"/>
      <c r="N17" s="307">
        <v>5000000</v>
      </c>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5"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319012760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v>324012760</v>
      </c>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5000000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310254010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v>323895307</v>
      </c>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v>112647</v>
      </c>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v>13528650</v>
      </c>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1</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v>7</v>
      </c>
      <c r="F52" s="436"/>
      <c r="G52" s="112" t="s">
        <v>41</v>
      </c>
      <c r="H52" s="435" t="s">
        <v>2047</v>
      </c>
      <c r="I52" s="436"/>
      <c r="J52" s="112" t="s">
        <v>42</v>
      </c>
      <c r="K52" s="435" t="s">
        <v>2047</v>
      </c>
      <c r="L52" s="436"/>
      <c r="M52" s="112" t="s">
        <v>43</v>
      </c>
      <c r="N52" s="111"/>
      <c r="O52" s="437" t="s">
        <v>44</v>
      </c>
      <c r="P52" s="437"/>
      <c r="Q52" s="437"/>
      <c r="R52" s="438" t="s">
        <v>2044</v>
      </c>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t="s">
        <v>2045</v>
      </c>
      <c r="U53" s="441"/>
      <c r="V53" s="441"/>
      <c r="W53" s="441"/>
      <c r="X53" s="441"/>
      <c r="Y53" s="442" t="s">
        <v>47</v>
      </c>
      <c r="Z53" s="442"/>
      <c r="AA53" s="441" t="s">
        <v>2046</v>
      </c>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マルマルケアサービス</v>
      </c>
      <c r="I57" s="428"/>
      <c r="J57" s="428"/>
      <c r="K57" s="428"/>
      <c r="L57" s="428"/>
      <c r="M57" s="428"/>
      <c r="N57" s="428"/>
      <c r="O57" s="428"/>
      <c r="P57" s="428"/>
      <c r="Q57" s="428"/>
      <c r="R57" s="275" t="s">
        <v>1876</v>
      </c>
      <c r="S57" s="275"/>
      <c r="T57" s="275"/>
      <c r="U57" s="71" t="s">
        <v>1877</v>
      </c>
      <c r="V57" s="429">
        <f>IF('別紙様式7-1（計画書）'!V63="","",'別紙様式7-1（計画書）'!V63)</f>
        <v>100</v>
      </c>
      <c r="W57" s="429"/>
      <c r="X57" s="72" t="s">
        <v>1878</v>
      </c>
      <c r="Y57" s="429">
        <f>IF('別紙様式7-1（計画書）'!Y63="","",'別紙様式7-1（計画書）'!Y63)</f>
        <v>1234</v>
      </c>
      <c r="Z57" s="430"/>
      <c r="AG57" s="36"/>
      <c r="AH57" s="36"/>
      <c r="AI57" s="36"/>
    </row>
    <row r="58" spans="2:37">
      <c r="B58" s="275"/>
      <c r="C58" s="275"/>
      <c r="D58" s="275"/>
      <c r="E58" s="219" t="s">
        <v>1879</v>
      </c>
      <c r="F58" s="219"/>
      <c r="G58" s="219"/>
      <c r="H58" s="431" t="str">
        <f>IF('別紙様式7-1（計画書）'!H64="","",'別紙様式7-1（計画書）'!H64)</f>
        <v>○○ケアサービス</v>
      </c>
      <c r="I58" s="431"/>
      <c r="J58" s="431"/>
      <c r="K58" s="431"/>
      <c r="L58" s="431"/>
      <c r="M58" s="431"/>
      <c r="N58" s="431"/>
      <c r="O58" s="431"/>
      <c r="P58" s="431"/>
      <c r="Q58" s="431"/>
      <c r="R58" s="275"/>
      <c r="S58" s="275"/>
      <c r="T58" s="275"/>
      <c r="U58" s="432" t="str">
        <f>IF('別紙様式7-1（計画書）'!U64="","",'別紙様式7-1（計画書）'!U64)</f>
        <v>東京都千代田区霞が関1-2-2 ○○ビル18F</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代表取締役</v>
      </c>
      <c r="I60" s="426"/>
      <c r="J60" s="426"/>
      <c r="K60" s="426"/>
      <c r="L60" s="426"/>
      <c r="M60" s="426"/>
      <c r="N60" s="426"/>
      <c r="O60" s="275" t="s">
        <v>1881</v>
      </c>
      <c r="P60" s="275"/>
      <c r="Q60" s="275"/>
      <c r="R60" s="273" t="s">
        <v>1875</v>
      </c>
      <c r="S60" s="273"/>
      <c r="T60" s="273"/>
      <c r="U60" s="428" t="str">
        <f>IF('別紙様式7-1（計画書）'!U66="","",'別紙様式7-1（計画書）'!U66)</f>
        <v>コウロウ　タロウ</v>
      </c>
      <c r="V60" s="428"/>
      <c r="W60" s="428"/>
      <c r="X60" s="428"/>
      <c r="Y60" s="428"/>
      <c r="Z60" s="428"/>
      <c r="AA60" s="428"/>
      <c r="AB60" s="221" t="s">
        <v>1882</v>
      </c>
      <c r="AC60" s="222"/>
      <c r="AD60" s="222"/>
      <c r="AE60" s="223"/>
      <c r="AF60" s="426" t="str">
        <f>IF('別紙様式7-1（計画書）'!AF66="","",'別紙様式7-1（計画書）'!AF66)</f>
        <v>03-XXXX-XXXX</v>
      </c>
      <c r="AG60" s="426"/>
      <c r="AH60" s="426"/>
      <c r="AI60" s="426"/>
      <c r="AJ60" s="426"/>
      <c r="AK60" s="426"/>
    </row>
    <row r="61" spans="2:37">
      <c r="B61" s="275"/>
      <c r="C61" s="275"/>
      <c r="D61" s="275"/>
      <c r="E61" s="275" t="s">
        <v>47</v>
      </c>
      <c r="F61" s="275"/>
      <c r="G61" s="275"/>
      <c r="H61" s="426" t="str">
        <f>IF('別紙様式7-1（計画書）'!H67="","",'別紙様式7-1（計画書）'!H67)</f>
        <v>厚労　花子</v>
      </c>
      <c r="I61" s="426"/>
      <c r="J61" s="426"/>
      <c r="K61" s="426"/>
      <c r="L61" s="426"/>
      <c r="M61" s="426"/>
      <c r="N61" s="426"/>
      <c r="O61" s="275"/>
      <c r="P61" s="275"/>
      <c r="Q61" s="275"/>
      <c r="R61" s="219" t="s">
        <v>47</v>
      </c>
      <c r="S61" s="219"/>
      <c r="T61" s="219"/>
      <c r="U61" s="427" t="str">
        <f>IF('別紙様式7-1（計画書）'!U67="","",'別紙様式7-1（計画書）'!U67)</f>
        <v>厚労　太郎</v>
      </c>
      <c r="V61" s="427"/>
      <c r="W61" s="427"/>
      <c r="X61" s="427"/>
      <c r="Y61" s="427"/>
      <c r="Z61" s="427"/>
      <c r="AA61" s="427"/>
      <c r="AB61" s="221" t="s">
        <v>1883</v>
      </c>
      <c r="AC61" s="222"/>
      <c r="AD61" s="222"/>
      <c r="AE61" s="223"/>
      <c r="AF61" s="426" t="str">
        <f>IF('別紙様式7-1（計画書）'!AF67="","",'別紙様式7-1（計画書）'!AF67)</f>
        <v>aaa@aaa.aa.jp</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4.25"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1</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1</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1</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1</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Kyoto</cp:lastModifiedBy>
  <cp:lastPrinted>2024-03-18T08:05:57Z</cp:lastPrinted>
  <dcterms:created xsi:type="dcterms:W3CDTF">2015-06-05T18:19:34Z</dcterms:created>
  <dcterms:modified xsi:type="dcterms:W3CDTF">2025-05-07T02:47:55Z</dcterms:modified>
</cp:coreProperties>
</file>