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20020000)\☆指導担当☆\賦課ファイル\国保だより・ガイド補足ビラ・ＨＰ・いつでもコール\６年度作業\年度更新\【個別対応】86_323563_国民健康保険_4．令和6年度の保険料を試算してみましょう\"/>
    </mc:Choice>
  </mc:AlternateContent>
  <xr:revisionPtr revIDLastSave="0" documentId="13_ncr:1_{E56587F6-F2A6-46BF-929B-30F728F63FCC}" xr6:coauthVersionLast="47" xr6:coauthVersionMax="47" xr10:uidLastSave="{00000000-0000-0000-0000-000000000000}"/>
  <workbookProtection workbookAlgorithmName="SHA-512" workbookHashValue="560kZvOO6okUef612Aq3zgE19+l6P9YiHcDCzWlkj58UC888j0iUOqlNt9JcQea/VtTp61+RdSBhHW9NcmZyuw==" workbookSaltValue="j5abr1kSMwDVheX3oIvWPQ==" workbookSpinCount="100000" lockStructure="1"/>
  <bookViews>
    <workbookView xWindow="-120" yWindow="-120" windowWidth="20730" windowHeight="11160" tabRatio="690" xr2:uid="{00000000-000D-0000-FFFF-FFFF00000000}"/>
  </bookViews>
  <sheets>
    <sheet name="Ｒ７年度" sheetId="1" r:id="rId1"/>
    <sheet name="１人目" sheetId="3" state="hidden" r:id="rId2"/>
    <sheet name="２人目" sheetId="23" state="hidden" r:id="rId3"/>
    <sheet name="３人目" sheetId="24" state="hidden" r:id="rId4"/>
    <sheet name="４人目" sheetId="25" state="hidden" r:id="rId5"/>
    <sheet name="５人目" sheetId="26" state="hidden" r:id="rId6"/>
    <sheet name="６人目" sheetId="27" state="hidden" r:id="rId7"/>
    <sheet name="７人目" sheetId="28" state="hidden" r:id="rId8"/>
    <sheet name="８人目" sheetId="29" state="hidden" r:id="rId9"/>
    <sheet name="９人目" sheetId="30" state="hidden" r:id="rId10"/>
    <sheet name="10人目" sheetId="31" state="hidden" r:id="rId11"/>
  </sheets>
  <definedNames>
    <definedName name="_xlnm._FilterDatabase" localSheetId="0" hidden="1">'Ｒ７年度'!$D$11:$F$12</definedName>
    <definedName name="_xlnm.Print_Area" localSheetId="10">'10人目'!$B$1:$AF$46</definedName>
    <definedName name="_xlnm.Print_Area" localSheetId="1">'１人目'!$B$1:$AF$46</definedName>
    <definedName name="_xlnm.Print_Area" localSheetId="2">'２人目'!$B$1:$AF$46</definedName>
    <definedName name="_xlnm.Print_Area" localSheetId="3">'３人目'!$B$1:$AF$46</definedName>
    <definedName name="_xlnm.Print_Area" localSheetId="4">'４人目'!$B$1:$AF$46</definedName>
    <definedName name="_xlnm.Print_Area" localSheetId="5">'５人目'!$B$1:$AF$46</definedName>
    <definedName name="_xlnm.Print_Area" localSheetId="6">'６人目'!$B$1:$AF$46</definedName>
    <definedName name="_xlnm.Print_Area" localSheetId="7">'７人目'!$B$1:$AF$46</definedName>
    <definedName name="_xlnm.Print_Area" localSheetId="8">'８人目'!$B$1:$AF$46</definedName>
    <definedName name="_xlnm.Print_Area" localSheetId="9">'９人目'!$B$1:$AF$46</definedName>
    <definedName name="_xlnm.Print_Area" localSheetId="0">'Ｒ７年度'!$A$1:$CD$51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38" i="1" l="1"/>
  <c r="H6" i="3"/>
  <c r="AB44" i="31"/>
  <c r="AB46" i="31" s="1"/>
  <c r="H36" i="31"/>
  <c r="H24" i="31"/>
  <c r="P26" i="31" s="1"/>
  <c r="H6" i="31"/>
  <c r="S16" i="31" s="1"/>
  <c r="AB44" i="30"/>
  <c r="AB46" i="30" s="1"/>
  <c r="H36" i="30"/>
  <c r="R40" i="30" s="1"/>
  <c r="H24" i="30"/>
  <c r="P26" i="30" s="1"/>
  <c r="H6" i="30"/>
  <c r="AB44" i="29"/>
  <c r="AB46" i="29" s="1"/>
  <c r="H36" i="29"/>
  <c r="N37" i="29" s="1"/>
  <c r="H24" i="29"/>
  <c r="R26" i="29" s="1"/>
  <c r="H6" i="29"/>
  <c r="Q16" i="29" s="1"/>
  <c r="AB44" i="28"/>
  <c r="AB46" i="28" s="1"/>
  <c r="H36" i="28"/>
  <c r="N37" i="28" s="1"/>
  <c r="H24" i="28"/>
  <c r="R28" i="28" s="1"/>
  <c r="H6" i="28"/>
  <c r="S9" i="28" s="1"/>
  <c r="AB44" i="27"/>
  <c r="AB46" i="27" s="1"/>
  <c r="H36" i="27"/>
  <c r="H24" i="27"/>
  <c r="P26" i="27" s="1"/>
  <c r="H6" i="27"/>
  <c r="N15" i="27" s="1"/>
  <c r="P15" i="27" s="1"/>
  <c r="AB44" i="26"/>
  <c r="AB46" i="26" s="1"/>
  <c r="H36" i="26"/>
  <c r="R40" i="26" s="1"/>
  <c r="H24" i="26"/>
  <c r="P26" i="26" s="1"/>
  <c r="H6" i="26"/>
  <c r="N13" i="26" s="1"/>
  <c r="P13" i="26" s="1"/>
  <c r="AB44" i="25"/>
  <c r="AB46" i="25" s="1"/>
  <c r="H36" i="25"/>
  <c r="R40" i="25" s="1"/>
  <c r="H24" i="25"/>
  <c r="P26" i="25" s="1"/>
  <c r="H6" i="25"/>
  <c r="S14" i="25" s="1"/>
  <c r="AB44" i="24"/>
  <c r="AB46" i="24" s="1"/>
  <c r="H36" i="24"/>
  <c r="R40" i="24" s="1"/>
  <c r="H24" i="24"/>
  <c r="P26" i="24" s="1"/>
  <c r="H6" i="24"/>
  <c r="N13" i="24" s="1"/>
  <c r="P13" i="24" s="1"/>
  <c r="AB44" i="23"/>
  <c r="H36" i="23"/>
  <c r="R40" i="23" s="1"/>
  <c r="H24" i="23"/>
  <c r="P27" i="23" s="1"/>
  <c r="H6" i="23"/>
  <c r="N15" i="23" s="1"/>
  <c r="P15" i="23" s="1"/>
  <c r="R40" i="31"/>
  <c r="R28" i="31"/>
  <c r="P16" i="31"/>
  <c r="P7" i="31"/>
  <c r="P16" i="30"/>
  <c r="S14" i="30"/>
  <c r="N13" i="30"/>
  <c r="P13" i="30" s="1"/>
  <c r="P7" i="30"/>
  <c r="S16" i="30"/>
  <c r="P16" i="29"/>
  <c r="P7" i="29"/>
  <c r="P16" i="28"/>
  <c r="P7" i="28"/>
  <c r="R40" i="27"/>
  <c r="P16" i="27"/>
  <c r="P7" i="27"/>
  <c r="P16" i="26"/>
  <c r="N14" i="26"/>
  <c r="P14" i="26" s="1"/>
  <c r="S11" i="26"/>
  <c r="S10" i="26"/>
  <c r="P7" i="26"/>
  <c r="S16" i="26"/>
  <c r="P16" i="25"/>
  <c r="P7" i="25"/>
  <c r="P16" i="24"/>
  <c r="P7" i="24"/>
  <c r="AB46" i="23"/>
  <c r="P16" i="23"/>
  <c r="P7" i="23"/>
  <c r="BW47" i="1"/>
  <c r="BW46" i="1"/>
  <c r="BW45" i="1"/>
  <c r="BW44" i="1"/>
  <c r="BW43" i="1"/>
  <c r="BW42" i="1"/>
  <c r="BW41" i="1"/>
  <c r="BW40" i="1"/>
  <c r="BW39" i="1"/>
  <c r="BW38" i="1"/>
  <c r="BW48" i="1" l="1"/>
  <c r="P39" i="29"/>
  <c r="R40" i="29"/>
  <c r="N38" i="29"/>
  <c r="Q7" i="28"/>
  <c r="S7" i="28" s="1"/>
  <c r="S14" i="28"/>
  <c r="L13" i="28"/>
  <c r="Q13" i="28" s="1"/>
  <c r="N26" i="28"/>
  <c r="P26" i="28"/>
  <c r="R26" i="28"/>
  <c r="N25" i="28"/>
  <c r="R28" i="24"/>
  <c r="N37" i="23"/>
  <c r="R41" i="23"/>
  <c r="N38" i="23"/>
  <c r="P39" i="23"/>
  <c r="R28" i="29"/>
  <c r="R28" i="27"/>
  <c r="N26" i="29"/>
  <c r="R28" i="26"/>
  <c r="P27" i="28"/>
  <c r="R28" i="30"/>
  <c r="N25" i="23"/>
  <c r="P39" i="28"/>
  <c r="N26" i="23"/>
  <c r="R28" i="23"/>
  <c r="R29" i="23"/>
  <c r="Q7" i="26"/>
  <c r="R40" i="28"/>
  <c r="S16" i="27"/>
  <c r="P26" i="23"/>
  <c r="R28" i="25"/>
  <c r="L12" i="26"/>
  <c r="Q12" i="26" s="1"/>
  <c r="L12" i="29"/>
  <c r="Q12" i="29" s="1"/>
  <c r="N13" i="27"/>
  <c r="P13" i="27" s="1"/>
  <c r="S16" i="29"/>
  <c r="S11" i="31"/>
  <c r="N14" i="27"/>
  <c r="P14" i="27" s="1"/>
  <c r="N38" i="28"/>
  <c r="P27" i="29"/>
  <c r="N13" i="28"/>
  <c r="P13" i="28" s="1"/>
  <c r="N15" i="28"/>
  <c r="P15" i="28" s="1"/>
  <c r="Q16" i="28"/>
  <c r="S11" i="27"/>
  <c r="S14" i="27"/>
  <c r="S14" i="24"/>
  <c r="N15" i="24"/>
  <c r="P15" i="24" s="1"/>
  <c r="S16" i="24"/>
  <c r="N14" i="24"/>
  <c r="P14" i="24" s="1"/>
  <c r="S11" i="24"/>
  <c r="S10" i="23"/>
  <c r="S15" i="23"/>
  <c r="S9" i="23"/>
  <c r="S11" i="23"/>
  <c r="L12" i="23"/>
  <c r="Q12" i="23" s="1"/>
  <c r="N13" i="23"/>
  <c r="P13" i="23" s="1"/>
  <c r="N14" i="23"/>
  <c r="P14" i="23" s="1"/>
  <c r="S14" i="23"/>
  <c r="S8" i="23"/>
  <c r="N25" i="29"/>
  <c r="P26" i="29"/>
  <c r="S16" i="25"/>
  <c r="N15" i="25"/>
  <c r="P15" i="25" s="1"/>
  <c r="L13" i="29"/>
  <c r="Q13" i="29" s="1"/>
  <c r="N14" i="28"/>
  <c r="P14" i="28" s="1"/>
  <c r="N13" i="29"/>
  <c r="P13" i="29" s="1"/>
  <c r="N15" i="30"/>
  <c r="P15" i="30" s="1"/>
  <c r="S10" i="31"/>
  <c r="N14" i="29"/>
  <c r="P14" i="29" s="1"/>
  <c r="Q7" i="29"/>
  <c r="S14" i="29"/>
  <c r="N13" i="31"/>
  <c r="P13" i="31" s="1"/>
  <c r="S11" i="25"/>
  <c r="S10" i="28"/>
  <c r="S9" i="29"/>
  <c r="N15" i="29"/>
  <c r="P15" i="29" s="1"/>
  <c r="S14" i="31"/>
  <c r="S10" i="25"/>
  <c r="S6" i="23"/>
  <c r="S12" i="23"/>
  <c r="Q16" i="23"/>
  <c r="N13" i="25"/>
  <c r="P13" i="25" s="1"/>
  <c r="S14" i="26"/>
  <c r="S11" i="28"/>
  <c r="S10" i="29"/>
  <c r="S10" i="30"/>
  <c r="N15" i="31"/>
  <c r="P15" i="31" s="1"/>
  <c r="Q7" i="23"/>
  <c r="L13" i="23"/>
  <c r="Q13" i="23" s="1"/>
  <c r="S16" i="23"/>
  <c r="S10" i="24"/>
  <c r="N14" i="25"/>
  <c r="P14" i="25" s="1"/>
  <c r="N15" i="26"/>
  <c r="P15" i="26" s="1"/>
  <c r="S10" i="27"/>
  <c r="L12" i="28"/>
  <c r="Q12" i="28" s="1"/>
  <c r="S16" i="28"/>
  <c r="S11" i="29"/>
  <c r="S11" i="30"/>
  <c r="P25" i="31"/>
  <c r="R27" i="31"/>
  <c r="N29" i="31"/>
  <c r="P37" i="31"/>
  <c r="R39" i="31"/>
  <c r="N41" i="31"/>
  <c r="P38" i="31"/>
  <c r="Q7" i="31"/>
  <c r="L12" i="31"/>
  <c r="Q12" i="31" s="1"/>
  <c r="R26" i="31"/>
  <c r="R38" i="31"/>
  <c r="S7" i="31"/>
  <c r="N12" i="31"/>
  <c r="P12" i="31" s="1"/>
  <c r="S13" i="31"/>
  <c r="Q15" i="31"/>
  <c r="R25" i="31"/>
  <c r="N28" i="31"/>
  <c r="P29" i="31"/>
  <c r="R37" i="31"/>
  <c r="N40" i="31"/>
  <c r="P41" i="31"/>
  <c r="S6" i="31"/>
  <c r="L14" i="31"/>
  <c r="Q14" i="31" s="1"/>
  <c r="S15" i="31"/>
  <c r="N14" i="31"/>
  <c r="P14" i="31" s="1"/>
  <c r="N27" i="31"/>
  <c r="P28" i="31"/>
  <c r="R29" i="31"/>
  <c r="N39" i="31"/>
  <c r="P40" i="31"/>
  <c r="R41" i="31"/>
  <c r="S8" i="31"/>
  <c r="S12" i="31"/>
  <c r="Q16" i="31"/>
  <c r="N26" i="31"/>
  <c r="N38" i="31"/>
  <c r="S9" i="31"/>
  <c r="L13" i="31"/>
  <c r="Q13" i="31" s="1"/>
  <c r="N25" i="31"/>
  <c r="P27" i="31"/>
  <c r="N37" i="31"/>
  <c r="P39" i="31"/>
  <c r="P25" i="30"/>
  <c r="R27" i="30"/>
  <c r="N29" i="30"/>
  <c r="P37" i="30"/>
  <c r="R39" i="30"/>
  <c r="N41" i="30"/>
  <c r="P38" i="30"/>
  <c r="Q7" i="30"/>
  <c r="S7" i="30" s="1"/>
  <c r="L12" i="30"/>
  <c r="Q12" i="30" s="1"/>
  <c r="R26" i="30"/>
  <c r="R38" i="30"/>
  <c r="N12" i="30"/>
  <c r="P12" i="30" s="1"/>
  <c r="S13" i="30"/>
  <c r="Q15" i="30"/>
  <c r="R25" i="30"/>
  <c r="N28" i="30"/>
  <c r="P29" i="30"/>
  <c r="R37" i="30"/>
  <c r="N40" i="30"/>
  <c r="P41" i="30"/>
  <c r="S6" i="30"/>
  <c r="L14" i="30"/>
  <c r="Q14" i="30" s="1"/>
  <c r="S15" i="30"/>
  <c r="N14" i="30"/>
  <c r="P14" i="30" s="1"/>
  <c r="N27" i="30"/>
  <c r="P28" i="30"/>
  <c r="R29" i="30"/>
  <c r="N39" i="30"/>
  <c r="P40" i="30"/>
  <c r="R41" i="30"/>
  <c r="S8" i="30"/>
  <c r="S12" i="30"/>
  <c r="Q16" i="30"/>
  <c r="N26" i="30"/>
  <c r="N38" i="30"/>
  <c r="S9" i="30"/>
  <c r="L13" i="30"/>
  <c r="Q13" i="30" s="1"/>
  <c r="N25" i="30"/>
  <c r="P27" i="30"/>
  <c r="N37" i="30"/>
  <c r="P39" i="30"/>
  <c r="P38" i="29"/>
  <c r="P25" i="29"/>
  <c r="R27" i="29"/>
  <c r="N29" i="29"/>
  <c r="P37" i="29"/>
  <c r="R39" i="29"/>
  <c r="N41" i="29"/>
  <c r="S7" i="29"/>
  <c r="N12" i="29"/>
  <c r="P12" i="29" s="1"/>
  <c r="S13" i="29"/>
  <c r="Q15" i="29"/>
  <c r="R25" i="29"/>
  <c r="N28" i="29"/>
  <c r="P29" i="29"/>
  <c r="R37" i="29"/>
  <c r="N40" i="29"/>
  <c r="P41" i="29"/>
  <c r="S6" i="29"/>
  <c r="L14" i="29"/>
  <c r="Q14" i="29" s="1"/>
  <c r="S15" i="29"/>
  <c r="R38" i="29"/>
  <c r="N27" i="29"/>
  <c r="P28" i="29"/>
  <c r="R29" i="29"/>
  <c r="N39" i="29"/>
  <c r="P40" i="29"/>
  <c r="R41" i="29"/>
  <c r="S8" i="29"/>
  <c r="S12" i="29"/>
  <c r="P25" i="28"/>
  <c r="R27" i="28"/>
  <c r="N29" i="28"/>
  <c r="P37" i="28"/>
  <c r="R39" i="28"/>
  <c r="N41" i="28"/>
  <c r="N12" i="28"/>
  <c r="P12" i="28" s="1"/>
  <c r="S13" i="28"/>
  <c r="Q15" i="28"/>
  <c r="R25" i="28"/>
  <c r="N28" i="28"/>
  <c r="P29" i="28"/>
  <c r="R37" i="28"/>
  <c r="N40" i="28"/>
  <c r="P41" i="28"/>
  <c r="S6" i="28"/>
  <c r="L14" i="28"/>
  <c r="Q14" i="28" s="1"/>
  <c r="S15" i="28"/>
  <c r="N27" i="28"/>
  <c r="P28" i="28"/>
  <c r="R29" i="28"/>
  <c r="N39" i="28"/>
  <c r="P40" i="28"/>
  <c r="R41" i="28"/>
  <c r="P38" i="28"/>
  <c r="R38" i="28"/>
  <c r="S8" i="28"/>
  <c r="S12" i="28"/>
  <c r="P25" i="27"/>
  <c r="R27" i="27"/>
  <c r="N29" i="27"/>
  <c r="P37" i="27"/>
  <c r="R39" i="27"/>
  <c r="N41" i="27"/>
  <c r="Q7" i="27"/>
  <c r="L12" i="27"/>
  <c r="Q12" i="27" s="1"/>
  <c r="R26" i="27"/>
  <c r="R38" i="27"/>
  <c r="P38" i="27"/>
  <c r="S7" i="27"/>
  <c r="N12" i="27"/>
  <c r="P12" i="27" s="1"/>
  <c r="S13" i="27"/>
  <c r="Q15" i="27"/>
  <c r="R25" i="27"/>
  <c r="N28" i="27"/>
  <c r="P29" i="27"/>
  <c r="R37" i="27"/>
  <c r="N40" i="27"/>
  <c r="P41" i="27"/>
  <c r="S6" i="27"/>
  <c r="L14" i="27"/>
  <c r="Q14" i="27" s="1"/>
  <c r="S15" i="27"/>
  <c r="N27" i="27"/>
  <c r="P28" i="27"/>
  <c r="R29" i="27"/>
  <c r="N39" i="27"/>
  <c r="P40" i="27"/>
  <c r="R41" i="27"/>
  <c r="S8" i="27"/>
  <c r="S12" i="27"/>
  <c r="Q16" i="27"/>
  <c r="N26" i="27"/>
  <c r="N38" i="27"/>
  <c r="S9" i="27"/>
  <c r="L13" i="27"/>
  <c r="Q13" i="27" s="1"/>
  <c r="N25" i="27"/>
  <c r="P27" i="27"/>
  <c r="N37" i="27"/>
  <c r="P39" i="27"/>
  <c r="P25" i="26"/>
  <c r="R27" i="26"/>
  <c r="N29" i="26"/>
  <c r="P37" i="26"/>
  <c r="R39" i="26"/>
  <c r="N41" i="26"/>
  <c r="R26" i="26"/>
  <c r="R38" i="26"/>
  <c r="S7" i="26"/>
  <c r="N12" i="26"/>
  <c r="P12" i="26" s="1"/>
  <c r="S13" i="26"/>
  <c r="Q15" i="26"/>
  <c r="R25" i="26"/>
  <c r="N28" i="26"/>
  <c r="P29" i="26"/>
  <c r="R37" i="26"/>
  <c r="N40" i="26"/>
  <c r="P41" i="26"/>
  <c r="P38" i="26"/>
  <c r="S6" i="26"/>
  <c r="L14" i="26"/>
  <c r="Q14" i="26" s="1"/>
  <c r="S15" i="26"/>
  <c r="N27" i="26"/>
  <c r="P28" i="26"/>
  <c r="R29" i="26"/>
  <c r="N39" i="26"/>
  <c r="P40" i="26"/>
  <c r="R41" i="26"/>
  <c r="S8" i="26"/>
  <c r="S12" i="26"/>
  <c r="Q16" i="26"/>
  <c r="N26" i="26"/>
  <c r="N38" i="26"/>
  <c r="S9" i="26"/>
  <c r="L13" i="26"/>
  <c r="Q13" i="26" s="1"/>
  <c r="N25" i="26"/>
  <c r="P27" i="26"/>
  <c r="N37" i="26"/>
  <c r="P39" i="26"/>
  <c r="P38" i="25"/>
  <c r="P25" i="25"/>
  <c r="R27" i="25"/>
  <c r="N29" i="25"/>
  <c r="P37" i="25"/>
  <c r="R39" i="25"/>
  <c r="N41" i="25"/>
  <c r="Q7" i="25"/>
  <c r="S7" i="25" s="1"/>
  <c r="L12" i="25"/>
  <c r="Q12" i="25" s="1"/>
  <c r="R26" i="25"/>
  <c r="R38" i="25"/>
  <c r="N12" i="25"/>
  <c r="P12" i="25" s="1"/>
  <c r="S13" i="25"/>
  <c r="Q15" i="25"/>
  <c r="R25" i="25"/>
  <c r="N28" i="25"/>
  <c r="P29" i="25"/>
  <c r="R37" i="25"/>
  <c r="N40" i="25"/>
  <c r="P41" i="25"/>
  <c r="S6" i="25"/>
  <c r="L14" i="25"/>
  <c r="Q14" i="25" s="1"/>
  <c r="S15" i="25"/>
  <c r="N27" i="25"/>
  <c r="P28" i="25"/>
  <c r="R29" i="25"/>
  <c r="N39" i="25"/>
  <c r="P40" i="25"/>
  <c r="R41" i="25"/>
  <c r="S8" i="25"/>
  <c r="S12" i="25"/>
  <c r="Q16" i="25"/>
  <c r="N26" i="25"/>
  <c r="N38" i="25"/>
  <c r="S9" i="25"/>
  <c r="L13" i="25"/>
  <c r="Q13" i="25" s="1"/>
  <c r="N25" i="25"/>
  <c r="P27" i="25"/>
  <c r="N37" i="25"/>
  <c r="P39" i="25"/>
  <c r="N29" i="24"/>
  <c r="Q7" i="24"/>
  <c r="L12" i="24"/>
  <c r="Q12" i="24" s="1"/>
  <c r="R26" i="24"/>
  <c r="R38" i="24"/>
  <c r="P38" i="24"/>
  <c r="R27" i="24"/>
  <c r="R39" i="24"/>
  <c r="S7" i="24"/>
  <c r="N12" i="24"/>
  <c r="P12" i="24" s="1"/>
  <c r="S13" i="24"/>
  <c r="Q15" i="24"/>
  <c r="R25" i="24"/>
  <c r="N28" i="24"/>
  <c r="P29" i="24"/>
  <c r="R37" i="24"/>
  <c r="N40" i="24"/>
  <c r="P41" i="24"/>
  <c r="P25" i="24"/>
  <c r="P37" i="24"/>
  <c r="N41" i="24"/>
  <c r="S6" i="24"/>
  <c r="L14" i="24"/>
  <c r="Q14" i="24" s="1"/>
  <c r="S15" i="24"/>
  <c r="N39" i="24"/>
  <c r="P40" i="24"/>
  <c r="R41" i="24"/>
  <c r="N27" i="24"/>
  <c r="R29" i="24"/>
  <c r="S8" i="24"/>
  <c r="S12" i="24"/>
  <c r="Q16" i="24"/>
  <c r="N26" i="24"/>
  <c r="N38" i="24"/>
  <c r="P28" i="24"/>
  <c r="S9" i="24"/>
  <c r="L13" i="24"/>
  <c r="Q13" i="24" s="1"/>
  <c r="N25" i="24"/>
  <c r="P27" i="24"/>
  <c r="N37" i="24"/>
  <c r="P39" i="24"/>
  <c r="R26" i="23"/>
  <c r="R38" i="23"/>
  <c r="S7" i="23"/>
  <c r="N12" i="23"/>
  <c r="P12" i="23" s="1"/>
  <c r="S13" i="23"/>
  <c r="Q15" i="23"/>
  <c r="R25" i="23"/>
  <c r="N28" i="23"/>
  <c r="P29" i="23"/>
  <c r="R37" i="23"/>
  <c r="N40" i="23"/>
  <c r="P41" i="23"/>
  <c r="P38" i="23"/>
  <c r="P25" i="23"/>
  <c r="R27" i="23"/>
  <c r="N29" i="23"/>
  <c r="P37" i="23"/>
  <c r="R39" i="23"/>
  <c r="N41" i="23"/>
  <c r="L14" i="23"/>
  <c r="Q14" i="23" s="1"/>
  <c r="N27" i="23"/>
  <c r="P28" i="23"/>
  <c r="N39" i="23"/>
  <c r="P40" i="23"/>
  <c r="Z6" i="31" l="1"/>
  <c r="W6" i="31"/>
  <c r="V6" i="31"/>
  <c r="Z6" i="30"/>
  <c r="W6" i="30"/>
  <c r="V6" i="30"/>
  <c r="W6" i="29"/>
  <c r="V6" i="29"/>
  <c r="Z6" i="29"/>
  <c r="W6" i="28"/>
  <c r="Z6" i="28"/>
  <c r="V6" i="28"/>
  <c r="Z6" i="27"/>
  <c r="W6" i="27"/>
  <c r="V6" i="27"/>
  <c r="Z6" i="26"/>
  <c r="W6" i="26"/>
  <c r="V6" i="26"/>
  <c r="Z6" i="25"/>
  <c r="W6" i="25"/>
  <c r="V6" i="25"/>
  <c r="Z6" i="24"/>
  <c r="W23" i="24" s="1"/>
  <c r="Y25" i="24" s="1"/>
  <c r="Q26" i="24" s="1"/>
  <c r="V6" i="24"/>
  <c r="W6" i="24"/>
  <c r="V6" i="23"/>
  <c r="Z6" i="23"/>
  <c r="W6" i="23"/>
  <c r="W35" i="31" l="1"/>
  <c r="W23" i="31"/>
  <c r="W35" i="30"/>
  <c r="W23" i="30"/>
  <c r="W23" i="29"/>
  <c r="W35" i="29"/>
  <c r="W35" i="28"/>
  <c r="W23" i="28"/>
  <c r="W35" i="27"/>
  <c r="W23" i="27"/>
  <c r="W35" i="26"/>
  <c r="W23" i="26"/>
  <c r="W35" i="25"/>
  <c r="W23" i="25"/>
  <c r="W35" i="24"/>
  <c r="W35" i="23"/>
  <c r="W23" i="23"/>
  <c r="Y37" i="31" l="1"/>
  <c r="Y38" i="31"/>
  <c r="Y36" i="31"/>
  <c r="Y25" i="31"/>
  <c r="Y24" i="31"/>
  <c r="Y26" i="31"/>
  <c r="Y37" i="30"/>
  <c r="Y38" i="30"/>
  <c r="Y36" i="30"/>
  <c r="Y25" i="30"/>
  <c r="Y24" i="30"/>
  <c r="Y26" i="30"/>
  <c r="Y37" i="29"/>
  <c r="Y38" i="29"/>
  <c r="Y36" i="29"/>
  <c r="Y25" i="29"/>
  <c r="Y24" i="29"/>
  <c r="Y26" i="29"/>
  <c r="Y37" i="28"/>
  <c r="Y38" i="28"/>
  <c r="Y36" i="28"/>
  <c r="Y25" i="28"/>
  <c r="Y24" i="28"/>
  <c r="Y26" i="28"/>
  <c r="Y25" i="27"/>
  <c r="Y24" i="27"/>
  <c r="Y26" i="27"/>
  <c r="Y37" i="27"/>
  <c r="Y38" i="27"/>
  <c r="Y36" i="27"/>
  <c r="Y25" i="26"/>
  <c r="Y24" i="26"/>
  <c r="Y26" i="26"/>
  <c r="Y37" i="26"/>
  <c r="Y38" i="26"/>
  <c r="Y36" i="26"/>
  <c r="Y25" i="25"/>
  <c r="Y24" i="25"/>
  <c r="Y26" i="25"/>
  <c r="Y37" i="25"/>
  <c r="Y38" i="25"/>
  <c r="Y36" i="25"/>
  <c r="Y24" i="24"/>
  <c r="Y26" i="24"/>
  <c r="Y37" i="24"/>
  <c r="Y38" i="24"/>
  <c r="Y36" i="24"/>
  <c r="Y25" i="23"/>
  <c r="Y24" i="23"/>
  <c r="Y26" i="23"/>
  <c r="Y37" i="23"/>
  <c r="Y38" i="23"/>
  <c r="Y36" i="23"/>
  <c r="S29" i="31" l="1"/>
  <c r="S28" i="31"/>
  <c r="S25" i="31"/>
  <c r="S24" i="31"/>
  <c r="S26" i="31"/>
  <c r="S27" i="31"/>
  <c r="O26" i="31"/>
  <c r="O27" i="31"/>
  <c r="O25" i="31"/>
  <c r="O28" i="31"/>
  <c r="O29" i="31"/>
  <c r="O24" i="31"/>
  <c r="Q28" i="31"/>
  <c r="Q29" i="31"/>
  <c r="Q24" i="31"/>
  <c r="Q25" i="31"/>
  <c r="Q27" i="31"/>
  <c r="Q26" i="31"/>
  <c r="O38" i="31"/>
  <c r="O39" i="31"/>
  <c r="O40" i="31"/>
  <c r="O41" i="31"/>
  <c r="O36" i="31"/>
  <c r="O37" i="31"/>
  <c r="S41" i="31"/>
  <c r="S40" i="31"/>
  <c r="S37" i="31"/>
  <c r="S38" i="31"/>
  <c r="S36" i="31"/>
  <c r="S39" i="31"/>
  <c r="Q40" i="31"/>
  <c r="Q39" i="31"/>
  <c r="Q41" i="31"/>
  <c r="Q37" i="31"/>
  <c r="Q36" i="31"/>
  <c r="Q38" i="31"/>
  <c r="S29" i="30"/>
  <c r="S28" i="30"/>
  <c r="S25" i="30"/>
  <c r="S24" i="30"/>
  <c r="S26" i="30"/>
  <c r="S27" i="30"/>
  <c r="O26" i="30"/>
  <c r="O27" i="30"/>
  <c r="O28" i="30"/>
  <c r="O25" i="30"/>
  <c r="O29" i="30"/>
  <c r="O24" i="30"/>
  <c r="Q28" i="30"/>
  <c r="Q29" i="30"/>
  <c r="Q24" i="30"/>
  <c r="Q25" i="30"/>
  <c r="Q27" i="30"/>
  <c r="Q26" i="30"/>
  <c r="O38" i="30"/>
  <c r="O39" i="30"/>
  <c r="O40" i="30"/>
  <c r="O37" i="30"/>
  <c r="O41" i="30"/>
  <c r="O36" i="30"/>
  <c r="S41" i="30"/>
  <c r="S40" i="30"/>
  <c r="S37" i="30"/>
  <c r="S38" i="30"/>
  <c r="S36" i="30"/>
  <c r="S39" i="30"/>
  <c r="Q40" i="30"/>
  <c r="Q39" i="30"/>
  <c r="Q41" i="30"/>
  <c r="Q37" i="30"/>
  <c r="Q36" i="30"/>
  <c r="Q38" i="30"/>
  <c r="O27" i="29"/>
  <c r="O25" i="29"/>
  <c r="O26" i="29"/>
  <c r="O28" i="29"/>
  <c r="O29" i="29"/>
  <c r="O24" i="29"/>
  <c r="Q28" i="29"/>
  <c r="Q27" i="29"/>
  <c r="Q29" i="29"/>
  <c r="Q25" i="29"/>
  <c r="Q24" i="29"/>
  <c r="Q26" i="29"/>
  <c r="O39" i="29"/>
  <c r="O37" i="29"/>
  <c r="O40" i="29"/>
  <c r="O41" i="29"/>
  <c r="O36" i="29"/>
  <c r="O38" i="29"/>
  <c r="S29" i="29"/>
  <c r="S27" i="29"/>
  <c r="S25" i="29"/>
  <c r="S24" i="29"/>
  <c r="S26" i="29"/>
  <c r="S28" i="29"/>
  <c r="S41" i="29"/>
  <c r="S39" i="29"/>
  <c r="S40" i="29"/>
  <c r="S37" i="29"/>
  <c r="S38" i="29"/>
  <c r="S36" i="29"/>
  <c r="Q40" i="29"/>
  <c r="Q41" i="29"/>
  <c r="Q36" i="29"/>
  <c r="Q37" i="29"/>
  <c r="Q39" i="29"/>
  <c r="Q38" i="29"/>
  <c r="S29" i="28"/>
  <c r="S27" i="28"/>
  <c r="S28" i="28"/>
  <c r="S25" i="28"/>
  <c r="S24" i="28"/>
  <c r="S26" i="28"/>
  <c r="O27" i="28"/>
  <c r="O26" i="28"/>
  <c r="O25" i="28"/>
  <c r="O28" i="28"/>
  <c r="O29" i="28"/>
  <c r="O24" i="28"/>
  <c r="Q28" i="28"/>
  <c r="Q27" i="28"/>
  <c r="Q29" i="28"/>
  <c r="Q24" i="28"/>
  <c r="Q25" i="28"/>
  <c r="Q26" i="28"/>
  <c r="O39" i="28"/>
  <c r="O37" i="28"/>
  <c r="O38" i="28"/>
  <c r="O40" i="28"/>
  <c r="O41" i="28"/>
  <c r="O36" i="28"/>
  <c r="S41" i="28"/>
  <c r="S40" i="28"/>
  <c r="S39" i="28"/>
  <c r="S37" i="28"/>
  <c r="S38" i="28"/>
  <c r="S36" i="28"/>
  <c r="Q40" i="28"/>
  <c r="Q39" i="28"/>
  <c r="Q41" i="28"/>
  <c r="Q37" i="28"/>
  <c r="Q36" i="28"/>
  <c r="Q38" i="28"/>
  <c r="Q40" i="27"/>
  <c r="Q41" i="27"/>
  <c r="Q37" i="27"/>
  <c r="Q36" i="27"/>
  <c r="Q39" i="27"/>
  <c r="Q38" i="27"/>
  <c r="S29" i="27"/>
  <c r="S25" i="27"/>
  <c r="S24" i="27"/>
  <c r="S26" i="27"/>
  <c r="S28" i="27"/>
  <c r="S27" i="27"/>
  <c r="O38" i="27"/>
  <c r="O39" i="27"/>
  <c r="O37" i="27"/>
  <c r="O40" i="27"/>
  <c r="O41" i="27"/>
  <c r="O36" i="27"/>
  <c r="O26" i="27"/>
  <c r="O27" i="27"/>
  <c r="O28" i="27"/>
  <c r="O25" i="27"/>
  <c r="O29" i="27"/>
  <c r="O24" i="27"/>
  <c r="S40" i="27"/>
  <c r="S41" i="27"/>
  <c r="S37" i="27"/>
  <c r="S38" i="27"/>
  <c r="S36" i="27"/>
  <c r="S39" i="27"/>
  <c r="Q28" i="27"/>
  <c r="Q27" i="27"/>
  <c r="Q29" i="27"/>
  <c r="Q24" i="27"/>
  <c r="Q25" i="27"/>
  <c r="Q26" i="27"/>
  <c r="O38" i="26"/>
  <c r="O37" i="26"/>
  <c r="O39" i="26"/>
  <c r="O40" i="26"/>
  <c r="O41" i="26"/>
  <c r="O36" i="26"/>
  <c r="Q40" i="26"/>
  <c r="Q39" i="26"/>
  <c r="Q41" i="26"/>
  <c r="Q37" i="26"/>
  <c r="Q36" i="26"/>
  <c r="Q38" i="26"/>
  <c r="S29" i="26"/>
  <c r="S25" i="26"/>
  <c r="S24" i="26"/>
  <c r="S28" i="26"/>
  <c r="S26" i="26"/>
  <c r="S27" i="26"/>
  <c r="O26" i="26"/>
  <c r="O25" i="26"/>
  <c r="O27" i="26"/>
  <c r="O28" i="26"/>
  <c r="O29" i="26"/>
  <c r="O24" i="26"/>
  <c r="S41" i="26"/>
  <c r="S40" i="26"/>
  <c r="S37" i="26"/>
  <c r="S38" i="26"/>
  <c r="S36" i="26"/>
  <c r="S39" i="26"/>
  <c r="Q28" i="26"/>
  <c r="Q27" i="26"/>
  <c r="Q29" i="26"/>
  <c r="Q24" i="26"/>
  <c r="Q25" i="26"/>
  <c r="Q26" i="26"/>
  <c r="S40" i="25"/>
  <c r="S41" i="25"/>
  <c r="S37" i="25"/>
  <c r="S38" i="25"/>
  <c r="S36" i="25"/>
  <c r="S39" i="25"/>
  <c r="Q40" i="25"/>
  <c r="Q41" i="25"/>
  <c r="Q37" i="25"/>
  <c r="Q36" i="25"/>
  <c r="Q39" i="25"/>
  <c r="Q38" i="25"/>
  <c r="O38" i="25"/>
  <c r="O39" i="25"/>
  <c r="O40" i="25"/>
  <c r="O41" i="25"/>
  <c r="O37" i="25"/>
  <c r="O36" i="25"/>
  <c r="S28" i="25"/>
  <c r="S29" i="25"/>
  <c r="S25" i="25"/>
  <c r="S24" i="25"/>
  <c r="S26" i="25"/>
  <c r="S27" i="25"/>
  <c r="O26" i="25"/>
  <c r="O27" i="25"/>
  <c r="O28" i="25"/>
  <c r="O29" i="25"/>
  <c r="O24" i="25"/>
  <c r="O25" i="25"/>
  <c r="Q28" i="25"/>
  <c r="Q29" i="25"/>
  <c r="Q24" i="25"/>
  <c r="Q25" i="25"/>
  <c r="Q27" i="25"/>
  <c r="Q26" i="25"/>
  <c r="S41" i="24"/>
  <c r="S37" i="24"/>
  <c r="S38" i="24"/>
  <c r="S36" i="24"/>
  <c r="S40" i="24"/>
  <c r="S39" i="24"/>
  <c r="S29" i="24"/>
  <c r="S25" i="24"/>
  <c r="S24" i="24"/>
  <c r="S26" i="24"/>
  <c r="S27" i="24"/>
  <c r="S28" i="24"/>
  <c r="O26" i="24"/>
  <c r="O27" i="24"/>
  <c r="O25" i="24"/>
  <c r="O28" i="24"/>
  <c r="O29" i="24"/>
  <c r="O24" i="24"/>
  <c r="O38" i="24"/>
  <c r="O39" i="24"/>
  <c r="O37" i="24"/>
  <c r="O40" i="24"/>
  <c r="O36" i="24"/>
  <c r="O41" i="24"/>
  <c r="Q40" i="24"/>
  <c r="Q41" i="24"/>
  <c r="Q37" i="24"/>
  <c r="Q36" i="24"/>
  <c r="Q38" i="24"/>
  <c r="Q39" i="24"/>
  <c r="Q28" i="24"/>
  <c r="Q27" i="24"/>
  <c r="Q29" i="24"/>
  <c r="Q24" i="24"/>
  <c r="Q25" i="24"/>
  <c r="Q41" i="23"/>
  <c r="Q38" i="23"/>
  <c r="Q39" i="23"/>
  <c r="Q40" i="23"/>
  <c r="Q37" i="23"/>
  <c r="Q36" i="23"/>
  <c r="S29" i="23"/>
  <c r="S25" i="23"/>
  <c r="S24" i="23"/>
  <c r="S28" i="23"/>
  <c r="S26" i="23"/>
  <c r="S27" i="23"/>
  <c r="O39" i="23"/>
  <c r="O40" i="23"/>
  <c r="O36" i="23"/>
  <c r="O37" i="23"/>
  <c r="O41" i="23"/>
  <c r="O38" i="23"/>
  <c r="O26" i="23"/>
  <c r="O27" i="23"/>
  <c r="O28" i="23"/>
  <c r="O25" i="23"/>
  <c r="O29" i="23"/>
  <c r="O24" i="23"/>
  <c r="S41" i="23"/>
  <c r="S37" i="23"/>
  <c r="S40" i="23"/>
  <c r="S38" i="23"/>
  <c r="S36" i="23"/>
  <c r="S39" i="23"/>
  <c r="Q28" i="23"/>
  <c r="Q29" i="23"/>
  <c r="Q26" i="23"/>
  <c r="Q27" i="23"/>
  <c r="Q24" i="23"/>
  <c r="Q25" i="23"/>
  <c r="Z24" i="27" l="1"/>
  <c r="Z24" i="23"/>
  <c r="Z24" i="26"/>
  <c r="Z36" i="28"/>
  <c r="AA36" i="28" s="1"/>
  <c r="Z36" i="30"/>
  <c r="AA36" i="30" s="1"/>
  <c r="Z36" i="31"/>
  <c r="AA36" i="31" s="1"/>
  <c r="Z24" i="31"/>
  <c r="Z24" i="30"/>
  <c r="Z24" i="29"/>
  <c r="Z36" i="29"/>
  <c r="AA36" i="29" s="1"/>
  <c r="Z24" i="28"/>
  <c r="Z36" i="27"/>
  <c r="AA36" i="27" s="1"/>
  <c r="Z36" i="26"/>
  <c r="AA36" i="26" s="1"/>
  <c r="Z24" i="25"/>
  <c r="Z36" i="25"/>
  <c r="AA36" i="25" s="1"/>
  <c r="Z36" i="24"/>
  <c r="AA36" i="24" s="1"/>
  <c r="Z24" i="24"/>
  <c r="Z36" i="23"/>
  <c r="AA36" i="23" s="1"/>
  <c r="W7" i="27" l="1"/>
  <c r="W5" i="27" s="1"/>
  <c r="Z46" i="27" s="1"/>
  <c r="AE46" i="27" s="1"/>
  <c r="W7" i="26"/>
  <c r="W5" i="26" s="1"/>
  <c r="Z46" i="26" s="1"/>
  <c r="AE46" i="26" s="1"/>
  <c r="W7" i="23"/>
  <c r="W5" i="23" s="1"/>
  <c r="Z46" i="23" s="1"/>
  <c r="AE46" i="23" s="1"/>
  <c r="V7" i="23"/>
  <c r="V5" i="23" s="1"/>
  <c r="AA6" i="23" s="1"/>
  <c r="Z44" i="23" s="1"/>
  <c r="AE44" i="23" s="1"/>
  <c r="W7" i="31"/>
  <c r="W5" i="31" s="1"/>
  <c r="Z46" i="31" s="1"/>
  <c r="AE46" i="31" s="1"/>
  <c r="V7" i="31"/>
  <c r="V5" i="31" s="1"/>
  <c r="AA6" i="31" s="1"/>
  <c r="Z44" i="31" s="1"/>
  <c r="AE44" i="31" s="1"/>
  <c r="W7" i="30"/>
  <c r="W5" i="30" s="1"/>
  <c r="Z46" i="30" s="1"/>
  <c r="AE46" i="30" s="1"/>
  <c r="V7" i="30"/>
  <c r="V5" i="30" s="1"/>
  <c r="AA6" i="30" s="1"/>
  <c r="Z44" i="30" s="1"/>
  <c r="AE44" i="30" s="1"/>
  <c r="W7" i="29"/>
  <c r="W5" i="29" s="1"/>
  <c r="Z46" i="29" s="1"/>
  <c r="AE46" i="29" s="1"/>
  <c r="V7" i="29"/>
  <c r="V5" i="29" s="1"/>
  <c r="AA6" i="29" s="1"/>
  <c r="Z44" i="29" s="1"/>
  <c r="AE44" i="29" s="1"/>
  <c r="W7" i="28"/>
  <c r="W5" i="28" s="1"/>
  <c r="Z46" i="28" s="1"/>
  <c r="AE46" i="28" s="1"/>
  <c r="V7" i="28"/>
  <c r="V5" i="28" s="1"/>
  <c r="AA6" i="28" s="1"/>
  <c r="Z44" i="28" s="1"/>
  <c r="AE44" i="28" s="1"/>
  <c r="V7" i="27"/>
  <c r="V5" i="27" s="1"/>
  <c r="AA6" i="27" s="1"/>
  <c r="Z44" i="27" s="1"/>
  <c r="AE44" i="27" s="1"/>
  <c r="V7" i="26"/>
  <c r="V5" i="26" s="1"/>
  <c r="AA6" i="26" s="1"/>
  <c r="Z44" i="26" s="1"/>
  <c r="AE44" i="26" s="1"/>
  <c r="W7" i="25"/>
  <c r="W5" i="25" s="1"/>
  <c r="Z46" i="25" s="1"/>
  <c r="AE46" i="25" s="1"/>
  <c r="V7" i="25"/>
  <c r="V5" i="25" s="1"/>
  <c r="AA6" i="25" s="1"/>
  <c r="Z44" i="25" s="1"/>
  <c r="AE44" i="25" s="1"/>
  <c r="W7" i="24"/>
  <c r="W5" i="24" s="1"/>
  <c r="Z46" i="24" s="1"/>
  <c r="AE46" i="24" s="1"/>
  <c r="V7" i="24"/>
  <c r="V5" i="24" s="1"/>
  <c r="AA6" i="24" s="1"/>
  <c r="Z44" i="24" s="1"/>
  <c r="AE44" i="24" s="1"/>
  <c r="Z45" i="29" l="1"/>
  <c r="AB45" i="29" s="1"/>
  <c r="AE45" i="29" s="1"/>
  <c r="BA45" i="1" s="1"/>
  <c r="P24" i="1"/>
  <c r="Z45" i="30"/>
  <c r="P25" i="1"/>
  <c r="Z45" i="24"/>
  <c r="AB45" i="24" s="1"/>
  <c r="AE45" i="24" s="1"/>
  <c r="BA40" i="1" s="1"/>
  <c r="P19" i="1"/>
  <c r="Z45" i="26"/>
  <c r="AB45" i="26" s="1"/>
  <c r="AE45" i="26" s="1"/>
  <c r="BA42" i="1" s="1"/>
  <c r="P21" i="1"/>
  <c r="Z45" i="31"/>
  <c r="AB45" i="31" s="1"/>
  <c r="AE45" i="31" s="1"/>
  <c r="BA47" i="1" s="1"/>
  <c r="P26" i="1"/>
  <c r="Z45" i="27"/>
  <c r="AB45" i="27" s="1"/>
  <c r="AE45" i="27" s="1"/>
  <c r="BA43" i="1" s="1"/>
  <c r="P22" i="1"/>
  <c r="Z45" i="25"/>
  <c r="AB45" i="25" s="1"/>
  <c r="AE45" i="25" s="1"/>
  <c r="BA41" i="1" s="1"/>
  <c r="P20" i="1"/>
  <c r="Z45" i="28"/>
  <c r="AB45" i="28" s="1"/>
  <c r="AE45" i="28" s="1"/>
  <c r="BA44" i="1" s="1"/>
  <c r="P23" i="1"/>
  <c r="Z45" i="23"/>
  <c r="AB45" i="23" s="1"/>
  <c r="AE45" i="23" s="1"/>
  <c r="BA39" i="1" s="1"/>
  <c r="P18" i="1"/>
  <c r="AB45" i="30"/>
  <c r="AE45" i="30" s="1"/>
  <c r="BA46" i="1" s="1"/>
  <c r="AB44" i="3" l="1"/>
  <c r="H24" i="3"/>
  <c r="P7" i="3" l="1"/>
  <c r="P16" i="3"/>
  <c r="L12" i="3" l="1"/>
  <c r="S6" i="3"/>
  <c r="S8" i="3"/>
  <c r="S11" i="3"/>
  <c r="S10" i="3"/>
  <c r="S9" i="3"/>
  <c r="S16" i="3"/>
  <c r="Q7" i="3"/>
  <c r="S7" i="3" s="1"/>
  <c r="Q15" i="3"/>
  <c r="S15" i="3" s="1"/>
  <c r="Q16" i="3"/>
  <c r="Q12" i="3" l="1"/>
  <c r="S12" i="3" s="1"/>
  <c r="AB46" i="3" l="1"/>
  <c r="P25" i="3"/>
  <c r="N25" i="3" l="1"/>
  <c r="N12" i="3"/>
  <c r="P12" i="3" s="1"/>
  <c r="CL42" i="1" l="1"/>
  <c r="CM42" i="1" s="1"/>
  <c r="BH47" i="1"/>
  <c r="BH46" i="1"/>
  <c r="BH45" i="1"/>
  <c r="BH44" i="1"/>
  <c r="BH43" i="1"/>
  <c r="BH42" i="1"/>
  <c r="BH41" i="1"/>
  <c r="BH40" i="1"/>
  <c r="BH39" i="1"/>
  <c r="Y17" i="1"/>
  <c r="CL52" i="1"/>
  <c r="CM52" i="1" s="1"/>
  <c r="CL51" i="1"/>
  <c r="CM51" i="1" s="1"/>
  <c r="CL50" i="1"/>
  <c r="CM50" i="1" s="1"/>
  <c r="CL49" i="1"/>
  <c r="CM49" i="1" s="1"/>
  <c r="CL43" i="1"/>
  <c r="CM43" i="1" s="1"/>
  <c r="CL41" i="1"/>
  <c r="CM41" i="1" s="1"/>
  <c r="CL40" i="1"/>
  <c r="CM40" i="1" s="1"/>
  <c r="BH48" i="1" l="1"/>
  <c r="CN40" i="1"/>
  <c r="CN49" i="1" l="1"/>
  <c r="CN52" i="1"/>
  <c r="CN51" i="1"/>
  <c r="CN50" i="1"/>
  <c r="CN41" i="1"/>
  <c r="CN42" i="1"/>
  <c r="CN43" i="1"/>
  <c r="Y19" i="1" l="1"/>
  <c r="Y20" i="1"/>
  <c r="Y21" i="1"/>
  <c r="Y22" i="1"/>
  <c r="Y23" i="1"/>
  <c r="Y24" i="1"/>
  <c r="Y25" i="1"/>
  <c r="Y26" i="1"/>
  <c r="X26" i="1"/>
  <c r="X19" i="1"/>
  <c r="X20" i="1"/>
  <c r="X21" i="1"/>
  <c r="X22" i="1"/>
  <c r="X23" i="1"/>
  <c r="X24" i="1"/>
  <c r="X25" i="1"/>
  <c r="Y18" i="1"/>
  <c r="X18" i="1"/>
  <c r="X17" i="1"/>
  <c r="Z17" i="1" l="1"/>
  <c r="Z22" i="1"/>
  <c r="W18" i="1"/>
  <c r="W17" i="1"/>
  <c r="BP45" i="1" l="1"/>
  <c r="BP44" i="1" l="1"/>
  <c r="BP47" i="1"/>
  <c r="Z23" i="1"/>
  <c r="Z26" i="1"/>
  <c r="Z24" i="1"/>
  <c r="Z21" i="1"/>
  <c r="Z20" i="1"/>
  <c r="BP43" i="1" l="1"/>
  <c r="BP41" i="1"/>
  <c r="BP46" i="1"/>
  <c r="BP42" i="1"/>
  <c r="BP39" i="1"/>
  <c r="BP40" i="1"/>
  <c r="Z25" i="1"/>
  <c r="Z19" i="1"/>
  <c r="Z18" i="1"/>
  <c r="H36" i="3"/>
  <c r="N40" i="3" s="1"/>
  <c r="C17" i="1"/>
  <c r="C18" i="1"/>
  <c r="BN28" i="1" l="1"/>
  <c r="BN29" i="1"/>
  <c r="N15" i="3"/>
  <c r="P15" i="3" s="1"/>
  <c r="N14" i="3"/>
  <c r="P14" i="3" s="1"/>
  <c r="N13" i="3"/>
  <c r="P13" i="3" s="1"/>
  <c r="BN30" i="1"/>
  <c r="R38" i="3"/>
  <c r="N38" i="3"/>
  <c r="P40" i="3"/>
  <c r="N41" i="3"/>
  <c r="R40" i="3"/>
  <c r="P37" i="3"/>
  <c r="R37" i="3"/>
  <c r="N37" i="3"/>
  <c r="P39" i="3"/>
  <c r="P41" i="3"/>
  <c r="N39" i="3"/>
  <c r="P38" i="3"/>
  <c r="R39" i="3"/>
  <c r="R41" i="3"/>
  <c r="N29" i="3"/>
  <c r="P29" i="3"/>
  <c r="R27" i="3"/>
  <c r="N28" i="3"/>
  <c r="R28" i="3"/>
  <c r="N27" i="3"/>
  <c r="R29" i="3"/>
  <c r="P28" i="3"/>
  <c r="R25" i="3"/>
  <c r="N26" i="3"/>
  <c r="P26" i="3"/>
  <c r="R26" i="3"/>
  <c r="P27" i="3"/>
  <c r="L14" i="3"/>
  <c r="Q14" i="3" s="1"/>
  <c r="S14" i="3" s="1"/>
  <c r="L13" i="3"/>
  <c r="Q13" i="3" s="1"/>
  <c r="S13" i="3" s="1"/>
  <c r="Z6" i="3" l="1"/>
  <c r="V6" i="3"/>
  <c r="W6" i="3"/>
  <c r="W26" i="1"/>
  <c r="W25" i="1"/>
  <c r="W24" i="1"/>
  <c r="W23" i="1"/>
  <c r="W22" i="1"/>
  <c r="W21" i="1"/>
  <c r="W20" i="1"/>
  <c r="W19" i="1"/>
  <c r="W23" i="3" l="1"/>
  <c r="AZ38" i="1"/>
  <c r="AZ39" i="1"/>
  <c r="W35" i="3" l="1"/>
  <c r="Y36" i="3" s="1"/>
  <c r="Y24" i="3"/>
  <c r="O24" i="3" s="1"/>
  <c r="Y37" i="3" l="1"/>
  <c r="Q40" i="3" s="1"/>
  <c r="Y38" i="3"/>
  <c r="S36" i="3" s="1"/>
  <c r="O40" i="3"/>
  <c r="O38" i="3"/>
  <c r="Y26" i="3"/>
  <c r="S27" i="3" s="1"/>
  <c r="Y25" i="3"/>
  <c r="Q25" i="3" s="1"/>
  <c r="O41" i="3"/>
  <c r="O37" i="3"/>
  <c r="O36" i="3"/>
  <c r="O39" i="3"/>
  <c r="O29" i="3"/>
  <c r="O25" i="3"/>
  <c r="O28" i="3"/>
  <c r="O27" i="3"/>
  <c r="O26" i="3"/>
  <c r="AZ47" i="1"/>
  <c r="AZ46" i="1"/>
  <c r="AZ45" i="1"/>
  <c r="AZ44" i="1"/>
  <c r="AZ43" i="1"/>
  <c r="AZ42" i="1"/>
  <c r="AZ41" i="1"/>
  <c r="AZ40" i="1"/>
  <c r="S39" i="3" l="1"/>
  <c r="S38" i="3"/>
  <c r="Q39" i="3"/>
  <c r="Q37" i="3"/>
  <c r="Q36" i="3"/>
  <c r="Q38" i="3"/>
  <c r="Q41" i="3"/>
  <c r="S40" i="3"/>
  <c r="S41" i="3"/>
  <c r="S37" i="3"/>
  <c r="S24" i="3"/>
  <c r="S29" i="3"/>
  <c r="Q27" i="3"/>
  <c r="S28" i="3"/>
  <c r="S25" i="3"/>
  <c r="S26" i="3"/>
  <c r="Q24" i="3"/>
  <c r="Q26" i="3"/>
  <c r="Q29" i="3"/>
  <c r="Q28" i="3"/>
  <c r="Z36" i="3" l="1"/>
  <c r="AA36" i="3" s="1"/>
  <c r="Z24" i="3"/>
  <c r="C26" i="1"/>
  <c r="C25" i="1"/>
  <c r="C24" i="1"/>
  <c r="C23" i="1"/>
  <c r="C22" i="1"/>
  <c r="C21" i="1"/>
  <c r="C20" i="1"/>
  <c r="C19" i="1"/>
  <c r="V7" i="3" l="1"/>
  <c r="V5" i="3" s="1"/>
  <c r="AA6" i="3" s="1"/>
  <c r="W7" i="3"/>
  <c r="W5" i="3" s="1"/>
  <c r="Z46" i="3" s="1"/>
  <c r="Z44" i="3" l="1"/>
  <c r="AE46" i="3"/>
  <c r="AU38" i="1" s="1"/>
  <c r="AB38" i="1" l="1"/>
  <c r="AE44" i="3"/>
  <c r="P17" i="1" l="1"/>
  <c r="Z45" i="3"/>
  <c r="AB45" i="3" l="1"/>
  <c r="AE45" i="3" s="1"/>
  <c r="BA38" i="1" s="1"/>
  <c r="BP38" i="1" s="1"/>
  <c r="BP48" i="1" s="1"/>
  <c r="BA48" i="1" l="1"/>
  <c r="AU41" i="1" s="1"/>
  <c r="AI43" i="1" s="1"/>
  <c r="AU44" i="1"/>
  <c r="AI45" i="1" s="1"/>
  <c r="AI41" i="1" l="1"/>
  <c r="AI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  <author>Kyoto</author>
  </authors>
  <commentList>
    <comment ref="D12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数字のみ入力</t>
        </r>
      </text>
    </comment>
    <comment ref="M15" authorId="1" shapeId="0" xr:uid="{B23DDD3E-E0E7-4FCB-980E-CFDF2FD5682F}">
      <text>
        <r>
          <rPr>
            <sz val="10"/>
            <color indexed="81"/>
            <rFont val="MS P ゴシック"/>
            <family val="3"/>
            <charset val="128"/>
          </rPr>
          <t>当年度中（4月1日から翌年3月31日）
未就学のお子様について、「1」と入力
(それ以外の方は空欄)</t>
        </r>
      </text>
    </comment>
  </commentList>
</comments>
</file>

<file path=xl/sharedStrings.xml><?xml version="1.0" encoding="utf-8"?>
<sst xmlns="http://schemas.openxmlformats.org/spreadsheetml/2006/main" count="1266" uniqueCount="161">
  <si>
    <t>減額割合</t>
    <rPh sb="0" eb="2">
      <t>ゲンガク</t>
    </rPh>
    <rPh sb="2" eb="4">
      <t>ワリアイ</t>
    </rPh>
    <phoneticPr fontId="2"/>
  </si>
  <si>
    <t>保険料年額（合計）</t>
    <rPh sb="0" eb="3">
      <t>ホケンリョウ</t>
    </rPh>
    <rPh sb="3" eb="5">
      <t>ネンガク</t>
    </rPh>
    <rPh sb="6" eb="8">
      <t>ゴウケイ</t>
    </rPh>
    <phoneticPr fontId="2"/>
  </si>
  <si>
    <t>法　定　減　額　適　用　情　報</t>
    <rPh sb="0" eb="1">
      <t>ホウ</t>
    </rPh>
    <rPh sb="2" eb="3">
      <t>サダム</t>
    </rPh>
    <rPh sb="4" eb="5">
      <t>ゲン</t>
    </rPh>
    <rPh sb="6" eb="7">
      <t>ガク</t>
    </rPh>
    <rPh sb="8" eb="9">
      <t>テキ</t>
    </rPh>
    <rPh sb="10" eb="11">
      <t>ヨウ</t>
    </rPh>
    <rPh sb="12" eb="13">
      <t>ジョウ</t>
    </rPh>
    <rPh sb="14" eb="15">
      <t>ホウ</t>
    </rPh>
    <phoneticPr fontId="5"/>
  </si>
  <si>
    <t>＜入力方法＞</t>
    <rPh sb="1" eb="3">
      <t>ニュウリョク</t>
    </rPh>
    <rPh sb="3" eb="5">
      <t>ホウホウ</t>
    </rPh>
    <phoneticPr fontId="5"/>
  </si>
  <si>
    <t>＜法定減額に関する注意事項＞</t>
    <rPh sb="1" eb="3">
      <t>ホウテイ</t>
    </rPh>
    <rPh sb="3" eb="5">
      <t>ゲンガク</t>
    </rPh>
    <rPh sb="6" eb="7">
      <t>カン</t>
    </rPh>
    <rPh sb="9" eb="11">
      <t>チュウイ</t>
    </rPh>
    <rPh sb="11" eb="13">
      <t>ジコウ</t>
    </rPh>
    <phoneticPr fontId="5"/>
  </si>
  <si>
    <t>●法定減額</t>
    <rPh sb="1" eb="3">
      <t>ホウテイ</t>
    </rPh>
    <rPh sb="3" eb="5">
      <t>ゲンガク</t>
    </rPh>
    <phoneticPr fontId="5"/>
  </si>
  <si>
    <t>所得割基礎額の合計</t>
    <rPh sb="0" eb="3">
      <t>ショトクワリ</t>
    </rPh>
    <rPh sb="3" eb="5">
      <t>キソ</t>
    </rPh>
    <rPh sb="5" eb="6">
      <t>ガク</t>
    </rPh>
    <rPh sb="7" eb="9">
      <t>ゴウケイ</t>
    </rPh>
    <phoneticPr fontId="2"/>
  </si>
  <si>
    <t>計</t>
    <rPh sb="0" eb="1">
      <t>ケイ</t>
    </rPh>
    <phoneticPr fontId="5"/>
  </si>
  <si>
    <t>各々の介護分所得割基礎額（40歳～64歳のみ）</t>
    <rPh sb="0" eb="2">
      <t>オノオノ</t>
    </rPh>
    <rPh sb="3" eb="5">
      <t>カイゴ</t>
    </rPh>
    <rPh sb="5" eb="6">
      <t>ブン</t>
    </rPh>
    <rPh sb="6" eb="9">
      <t>ショトクワリ</t>
    </rPh>
    <rPh sb="9" eb="11">
      <t>キソ</t>
    </rPh>
    <rPh sb="11" eb="12">
      <t>ガク</t>
    </rPh>
    <phoneticPr fontId="2"/>
  </si>
  <si>
    <t>該当者：１</t>
    <rPh sb="0" eb="3">
      <t>ガイトウシャ</t>
    </rPh>
    <phoneticPr fontId="5"/>
  </si>
  <si>
    <t>≪試算結果≫</t>
    <rPh sb="1" eb="3">
      <t>シサン</t>
    </rPh>
    <rPh sb="3" eb="5">
      <t>ケッカ</t>
    </rPh>
    <phoneticPr fontId="5"/>
  </si>
  <si>
    <t>≪入力欄≫</t>
    <rPh sb="1" eb="3">
      <t>ニュウリョク</t>
    </rPh>
    <rPh sb="3" eb="4">
      <t>ラン</t>
    </rPh>
    <phoneticPr fontId="5"/>
  </si>
  <si>
    <t>　　＜代表的なもの＞</t>
    <rPh sb="3" eb="6">
      <t>ダイヒョウテキ</t>
    </rPh>
    <phoneticPr fontId="2"/>
  </si>
  <si>
    <t>　　　事業所得 ・・・ 事業収入金額 － 必要経費</t>
    <rPh sb="3" eb="5">
      <t>ジギョウ</t>
    </rPh>
    <rPh sb="5" eb="7">
      <t>ショトク</t>
    </rPh>
    <rPh sb="12" eb="14">
      <t>ジギョウ</t>
    </rPh>
    <rPh sb="14" eb="16">
      <t>シュウニュウ</t>
    </rPh>
    <rPh sb="16" eb="18">
      <t>キンガク</t>
    </rPh>
    <rPh sb="21" eb="23">
      <t>ヒツヨウ</t>
    </rPh>
    <rPh sb="23" eb="25">
      <t>ケイヒ</t>
    </rPh>
    <phoneticPr fontId="2"/>
  </si>
  <si>
    <r>
      <t>世帯人数</t>
    </r>
    <r>
      <rPr>
        <sz val="8"/>
        <rFont val="ＭＳ Ｐゴシック"/>
        <family val="3"/>
        <charset val="128"/>
      </rPr>
      <t>（加入者数）</t>
    </r>
    <rPh sb="0" eb="2">
      <t>セタイ</t>
    </rPh>
    <rPh sb="2" eb="3">
      <t>ニン</t>
    </rPh>
    <rPh sb="3" eb="4">
      <t>スウ</t>
    </rPh>
    <rPh sb="5" eb="7">
      <t>カニュウ</t>
    </rPh>
    <rPh sb="7" eb="8">
      <t>シャ</t>
    </rPh>
    <rPh sb="8" eb="9">
      <t>スウ</t>
    </rPh>
    <phoneticPr fontId="2"/>
  </si>
  <si>
    <t>①</t>
    <phoneticPr fontId="5"/>
  </si>
  <si>
    <t>　（１）　事業所得の方で専従者控除がある場合</t>
    <rPh sb="5" eb="7">
      <t>ジギョウ</t>
    </rPh>
    <rPh sb="7" eb="9">
      <t>ショトク</t>
    </rPh>
    <rPh sb="10" eb="11">
      <t>カタ</t>
    </rPh>
    <rPh sb="12" eb="15">
      <t>センジュウシャ</t>
    </rPh>
    <rPh sb="15" eb="17">
      <t>コウジョ</t>
    </rPh>
    <rPh sb="20" eb="22">
      <t>バアイ</t>
    </rPh>
    <phoneticPr fontId="5"/>
  </si>
  <si>
    <t>　（２）　専従者給与を受けている場合</t>
    <rPh sb="5" eb="8">
      <t>センジュウシャ</t>
    </rPh>
    <rPh sb="8" eb="10">
      <t>キュウヨ</t>
    </rPh>
    <rPh sb="11" eb="12">
      <t>ウ</t>
    </rPh>
    <rPh sb="16" eb="18">
      <t>バアイ</t>
    </rPh>
    <phoneticPr fontId="5"/>
  </si>
  <si>
    <t>（３）所得割（%）</t>
    <rPh sb="3" eb="6">
      <t>ショトクワリ</t>
    </rPh>
    <phoneticPr fontId="2"/>
  </si>
  <si>
    <t>①
医療分</t>
    <rPh sb="2" eb="4">
      <t>イリョウ</t>
    </rPh>
    <rPh sb="4" eb="5">
      <t>ブン</t>
    </rPh>
    <phoneticPr fontId="2"/>
  </si>
  <si>
    <t>③
介護分</t>
    <rPh sb="2" eb="4">
      <t>カイゴ</t>
    </rPh>
    <rPh sb="4" eb="5">
      <t>ブン</t>
    </rPh>
    <phoneticPr fontId="2"/>
  </si>
  <si>
    <r>
      <t xml:space="preserve">②
</t>
    </r>
    <r>
      <rPr>
        <sz val="10"/>
        <rFont val="ＭＳ Ｐゴシック"/>
        <family val="3"/>
        <charset val="128"/>
      </rPr>
      <t>後期高齢者
支援分</t>
    </r>
    <rPh sb="2" eb="4">
      <t>コウキ</t>
    </rPh>
    <rPh sb="4" eb="7">
      <t>コウレイシャ</t>
    </rPh>
    <rPh sb="8" eb="10">
      <t>シエン</t>
    </rPh>
    <rPh sb="10" eb="11">
      <t>ブン</t>
    </rPh>
    <phoneticPr fontId="2"/>
  </si>
  <si>
    <t>最高限度額</t>
    <rPh sb="0" eb="2">
      <t>サイコウ</t>
    </rPh>
    <rPh sb="2" eb="4">
      <t>ゲンド</t>
    </rPh>
    <rPh sb="4" eb="5">
      <t>ガク</t>
    </rPh>
    <phoneticPr fontId="2"/>
  </si>
  <si>
    <t>備　　考
（計算方法）</t>
    <rPh sb="0" eb="1">
      <t>ソナエ</t>
    </rPh>
    <rPh sb="3" eb="4">
      <t>コウ</t>
    </rPh>
    <rPh sb="6" eb="8">
      <t>ケイサン</t>
    </rPh>
    <rPh sb="8" eb="10">
      <t>ホウホウ</t>
    </rPh>
    <phoneticPr fontId="5"/>
  </si>
  <si>
    <t>・後期高齢者支援分保険料</t>
    <rPh sb="1" eb="3">
      <t>コウキ</t>
    </rPh>
    <rPh sb="3" eb="6">
      <t>コウレイシャ</t>
    </rPh>
    <rPh sb="6" eb="8">
      <t>シエン</t>
    </rPh>
    <rPh sb="8" eb="9">
      <t>ブン</t>
    </rPh>
    <rPh sb="9" eb="12">
      <t>ホケンリョウ</t>
    </rPh>
    <phoneticPr fontId="5"/>
  </si>
  <si>
    <t>●あなたの世帯における保険料算定基礎額（試算）</t>
    <rPh sb="5" eb="7">
      <t>セタイ</t>
    </rPh>
    <rPh sb="11" eb="14">
      <t>ホケンリョウ</t>
    </rPh>
    <rPh sb="14" eb="16">
      <t>サンテイ</t>
    </rPh>
    <rPh sb="16" eb="18">
      <t>キソ</t>
    </rPh>
    <rPh sb="18" eb="19">
      <t>ガク</t>
    </rPh>
    <rPh sb="20" eb="22">
      <t>シサン</t>
    </rPh>
    <phoneticPr fontId="5"/>
  </si>
  <si>
    <r>
      <t>…　介護保険の第２号被保険者として納めていただく介護保険分の保険料。</t>
    </r>
    <r>
      <rPr>
        <sz val="10"/>
        <color rgb="FFFF0000"/>
        <rFont val="ＭＳ Ｐゴシック"/>
        <family val="3"/>
        <charset val="128"/>
      </rPr>
      <t>４０歳から６４歳の加入者が対象。</t>
    </r>
    <rPh sb="2" eb="4">
      <t>カイゴ</t>
    </rPh>
    <rPh sb="4" eb="6">
      <t>ホケン</t>
    </rPh>
    <rPh sb="7" eb="8">
      <t>ダイ</t>
    </rPh>
    <rPh sb="9" eb="10">
      <t>ゴウ</t>
    </rPh>
    <rPh sb="10" eb="14">
      <t>ヒホケンシャ</t>
    </rPh>
    <rPh sb="17" eb="18">
      <t>オサ</t>
    </rPh>
    <rPh sb="24" eb="26">
      <t>カイゴ</t>
    </rPh>
    <rPh sb="26" eb="28">
      <t>ホケン</t>
    </rPh>
    <rPh sb="28" eb="29">
      <t>ブン</t>
    </rPh>
    <rPh sb="30" eb="33">
      <t>ホケンリョウ</t>
    </rPh>
    <rPh sb="36" eb="37">
      <t>サイ</t>
    </rPh>
    <rPh sb="41" eb="42">
      <t>サイ</t>
    </rPh>
    <rPh sb="43" eb="46">
      <t>カニュウシャ</t>
    </rPh>
    <rPh sb="47" eb="49">
      <t>タイショウ</t>
    </rPh>
    <phoneticPr fontId="5"/>
  </si>
  <si>
    <t>①医療分保険料</t>
    <rPh sb="1" eb="3">
      <t>イリョウ</t>
    </rPh>
    <rPh sb="3" eb="4">
      <t>ブン</t>
    </rPh>
    <rPh sb="4" eb="7">
      <t>ホケンリョウ</t>
    </rPh>
    <phoneticPr fontId="2"/>
  </si>
  <si>
    <t>②後期高齢者支援分保険料</t>
    <rPh sb="1" eb="3">
      <t>コウキ</t>
    </rPh>
    <rPh sb="3" eb="6">
      <t>コウレイシャ</t>
    </rPh>
    <rPh sb="6" eb="8">
      <t>シエン</t>
    </rPh>
    <rPh sb="8" eb="9">
      <t>ブン</t>
    </rPh>
    <rPh sb="9" eb="12">
      <t>ホケンリョウ</t>
    </rPh>
    <phoneticPr fontId="2"/>
  </si>
  <si>
    <t>③介護分保険料</t>
    <rPh sb="1" eb="3">
      <t>カイゴ</t>
    </rPh>
    <rPh sb="3" eb="4">
      <t>ブン</t>
    </rPh>
    <rPh sb="4" eb="7">
      <t>ホケンリョウ</t>
    </rPh>
    <phoneticPr fontId="2"/>
  </si>
  <si>
    <t>（１）平等割</t>
    <rPh sb="3" eb="5">
      <t>ビョウドウ</t>
    </rPh>
    <rPh sb="5" eb="6">
      <t>ワリ</t>
    </rPh>
    <phoneticPr fontId="2"/>
  </si>
  <si>
    <t>（２）均等割</t>
    <rPh sb="3" eb="6">
      <t>キントウワリ</t>
    </rPh>
    <phoneticPr fontId="2"/>
  </si>
  <si>
    <t>基準金額</t>
    <rPh sb="0" eb="2">
      <t>キジュン</t>
    </rPh>
    <rPh sb="2" eb="3">
      <t>キン</t>
    </rPh>
    <rPh sb="3" eb="4">
      <t>ガク</t>
    </rPh>
    <phoneticPr fontId="5"/>
  </si>
  <si>
    <t>あなたの世帯における基準金額（試算）</t>
    <rPh sb="4" eb="6">
      <t>セタイ</t>
    </rPh>
    <rPh sb="10" eb="12">
      <t>キジュン</t>
    </rPh>
    <rPh sb="12" eb="13">
      <t>キン</t>
    </rPh>
    <rPh sb="13" eb="14">
      <t>ガク</t>
    </rPh>
    <rPh sb="15" eb="17">
      <t>シサン</t>
    </rPh>
    <phoneticPr fontId="5"/>
  </si>
  <si>
    <t>法定減額に係る
判定所得</t>
    <rPh sb="0" eb="2">
      <t>ホウテイ</t>
    </rPh>
    <rPh sb="2" eb="4">
      <t>ゲンガク</t>
    </rPh>
    <rPh sb="5" eb="6">
      <t>カカ</t>
    </rPh>
    <rPh sb="8" eb="10">
      <t>ハンテイ</t>
    </rPh>
    <rPh sb="10" eb="12">
      <t>ショトク</t>
    </rPh>
    <phoneticPr fontId="2"/>
  </si>
  <si>
    <t>※左記所得割基礎額と同額</t>
    <rPh sb="5" eb="6">
      <t>ワリ</t>
    </rPh>
    <phoneticPr fontId="5"/>
  </si>
  <si>
    <t>介護分所得割基礎額の合計</t>
    <rPh sb="0" eb="2">
      <t>カイゴ</t>
    </rPh>
    <rPh sb="2" eb="3">
      <t>ブン</t>
    </rPh>
    <rPh sb="3" eb="5">
      <t>ショトク</t>
    </rPh>
    <rPh sb="5" eb="6">
      <t>ワリ</t>
    </rPh>
    <rPh sb="6" eb="8">
      <t>キソ</t>
    </rPh>
    <rPh sb="8" eb="9">
      <t>ガク</t>
    </rPh>
    <rPh sb="10" eb="12">
      <t>ゴウケイ</t>
    </rPh>
    <phoneticPr fontId="2"/>
  </si>
  <si>
    <t>（京北地域にお住まいの方は京北出張所）にお問い合わせください。</t>
    <rPh sb="1" eb="3">
      <t>ケイホク</t>
    </rPh>
    <rPh sb="3" eb="5">
      <t>チイキ</t>
    </rPh>
    <rPh sb="7" eb="8">
      <t>ス</t>
    </rPh>
    <rPh sb="11" eb="12">
      <t>カタ</t>
    </rPh>
    <rPh sb="13" eb="15">
      <t>ケイホク</t>
    </rPh>
    <rPh sb="15" eb="17">
      <t>シュッチョウ</t>
    </rPh>
    <rPh sb="17" eb="18">
      <t>ショ</t>
    </rPh>
    <rPh sb="21" eb="22">
      <t>ト</t>
    </rPh>
    <rPh sb="23" eb="24">
      <t>ア</t>
    </rPh>
    <phoneticPr fontId="5"/>
  </si>
  <si>
    <t>…　後期高齢者医療制度を支援するために納めていただく保険料。全ての加入者が対象。</t>
    <rPh sb="2" eb="4">
      <t>コウキ</t>
    </rPh>
    <rPh sb="4" eb="7">
      <t>コウレイシャ</t>
    </rPh>
    <rPh sb="7" eb="9">
      <t>イリョウ</t>
    </rPh>
    <rPh sb="9" eb="11">
      <t>セイド</t>
    </rPh>
    <rPh sb="12" eb="14">
      <t>シエン</t>
    </rPh>
    <rPh sb="19" eb="20">
      <t>オサ</t>
    </rPh>
    <rPh sb="26" eb="29">
      <t>ホケンリョウ</t>
    </rPh>
    <rPh sb="30" eb="31">
      <t>スベ</t>
    </rPh>
    <rPh sb="33" eb="36">
      <t>カニュウシャ</t>
    </rPh>
    <rPh sb="37" eb="39">
      <t>タイショウ</t>
    </rPh>
    <phoneticPr fontId="5"/>
  </si>
  <si>
    <t>給与収入</t>
    <rPh sb="0" eb="2">
      <t>キュウヨ</t>
    </rPh>
    <rPh sb="2" eb="4">
      <t>シュウニュウ</t>
    </rPh>
    <phoneticPr fontId="5"/>
  </si>
  <si>
    <t>年金収入</t>
    <rPh sb="0" eb="2">
      <t>ネンキン</t>
    </rPh>
    <rPh sb="2" eb="4">
      <t>シュウニュウ</t>
    </rPh>
    <phoneticPr fontId="5"/>
  </si>
  <si>
    <t>円以下</t>
    <rPh sb="0" eb="1">
      <t>エン</t>
    </rPh>
    <rPh sb="1" eb="3">
      <t>イカ</t>
    </rPh>
    <phoneticPr fontId="2"/>
  </si>
  <si>
    <t>円</t>
    <rPh sb="0" eb="1">
      <t>エン</t>
    </rPh>
    <phoneticPr fontId="2"/>
  </si>
  <si>
    <t>控除額</t>
    <rPh sb="0" eb="2">
      <t>コウジョ</t>
    </rPh>
    <rPh sb="2" eb="3">
      <t>ガク</t>
    </rPh>
    <phoneticPr fontId="2"/>
  </si>
  <si>
    <t>割合</t>
    <rPh sb="0" eb="2">
      <t>ワリアイ</t>
    </rPh>
    <phoneticPr fontId="2"/>
  </si>
  <si>
    <t>公的年金等の収入金額の合計額</t>
    <rPh sb="0" eb="2">
      <t>コウテキ</t>
    </rPh>
    <rPh sb="2" eb="4">
      <t>ネンキン</t>
    </rPh>
    <rPh sb="4" eb="5">
      <t>トウ</t>
    </rPh>
    <rPh sb="6" eb="8">
      <t>シュウニュウ</t>
    </rPh>
    <rPh sb="8" eb="10">
      <t>キンガク</t>
    </rPh>
    <rPh sb="11" eb="13">
      <t>ゴウケイ</t>
    </rPh>
    <rPh sb="13" eb="14">
      <t>ガク</t>
    </rPh>
    <phoneticPr fontId="2"/>
  </si>
  <si>
    <t>◆65歳以上の年金収入の方</t>
    <rPh sb="3" eb="6">
      <t>サイイジョウ</t>
    </rPh>
    <rPh sb="7" eb="9">
      <t>ネンキン</t>
    </rPh>
    <rPh sb="9" eb="11">
      <t>シュウニュウ</t>
    </rPh>
    <rPh sb="12" eb="13">
      <t>カタ</t>
    </rPh>
    <phoneticPr fontId="2"/>
  </si>
  <si>
    <t>給与所得額</t>
    <rPh sb="0" eb="2">
      <t>キュウヨ</t>
    </rPh>
    <rPh sb="2" eb="4">
      <t>ショトク</t>
    </rPh>
    <rPh sb="4" eb="5">
      <t>ガク</t>
    </rPh>
    <phoneticPr fontId="2"/>
  </si>
  <si>
    <t>控除割合</t>
    <rPh sb="0" eb="2">
      <t>コウジョ</t>
    </rPh>
    <rPh sb="2" eb="4">
      <t>ワリアイ</t>
    </rPh>
    <phoneticPr fontId="2"/>
  </si>
  <si>
    <t>給与等の収入金額</t>
    <rPh sb="0" eb="2">
      <t>キュウヨ</t>
    </rPh>
    <rPh sb="2" eb="3">
      <t>トウ</t>
    </rPh>
    <rPh sb="4" eb="6">
      <t>シュウニュウ</t>
    </rPh>
    <rPh sb="6" eb="8">
      <t>キンガク</t>
    </rPh>
    <phoneticPr fontId="2"/>
  </si>
  <si>
    <t>◆給与収入の方</t>
    <rPh sb="1" eb="3">
      <t>キュウヨ</t>
    </rPh>
    <rPh sb="3" eb="5">
      <t>シュウニュウ</t>
    </rPh>
    <rPh sb="6" eb="7">
      <t>カタ</t>
    </rPh>
    <phoneticPr fontId="2"/>
  </si>
  <si>
    <t>収入</t>
    <rPh sb="0" eb="2">
      <t>シュウニュウ</t>
    </rPh>
    <phoneticPr fontId="5"/>
  </si>
  <si>
    <t>給与・年金
以外の所得</t>
    <rPh sb="0" eb="2">
      <t>キュウヨ</t>
    </rPh>
    <rPh sb="3" eb="5">
      <t>ネンキン</t>
    </rPh>
    <rPh sb="6" eb="8">
      <t>イガイ</t>
    </rPh>
    <rPh sb="9" eb="11">
      <t>ショトク</t>
    </rPh>
    <phoneticPr fontId="5"/>
  </si>
  <si>
    <t>【入力例】</t>
    <rPh sb="1" eb="3">
      <t>ニュウリョク</t>
    </rPh>
    <rPh sb="3" eb="4">
      <t>レイ</t>
    </rPh>
    <phoneticPr fontId="5"/>
  </si>
  <si>
    <t>③</t>
    <phoneticPr fontId="5"/>
  </si>
  <si>
    <t>④</t>
    <phoneticPr fontId="5"/>
  </si>
  <si>
    <t>所得合計</t>
    <rPh sb="0" eb="2">
      <t>ショトク</t>
    </rPh>
    <rPh sb="2" eb="4">
      <t>ゴウケイ</t>
    </rPh>
    <phoneticPr fontId="5"/>
  </si>
  <si>
    <t>区分判定</t>
    <rPh sb="0" eb="2">
      <t>クブン</t>
    </rPh>
    <rPh sb="2" eb="4">
      <t>ハンテイ</t>
    </rPh>
    <phoneticPr fontId="2"/>
  </si>
  <si>
    <t>区分判定</t>
    <rPh sb="0" eb="2">
      <t>クブン</t>
    </rPh>
    <rPh sb="2" eb="4">
      <t>ハンテイ</t>
    </rPh>
    <phoneticPr fontId="5"/>
  </si>
  <si>
    <t>保険料算定シートから転記</t>
    <rPh sb="0" eb="3">
      <t>ホケンリョウ</t>
    </rPh>
    <rPh sb="3" eb="5">
      <t>サンテイ</t>
    </rPh>
    <rPh sb="10" eb="12">
      <t>テンキ</t>
    </rPh>
    <phoneticPr fontId="2"/>
  </si>
  <si>
    <t>基本</t>
    <rPh sb="0" eb="2">
      <t>キホン</t>
    </rPh>
    <phoneticPr fontId="5"/>
  </si>
  <si>
    <t>年金外所得</t>
    <rPh sb="0" eb="2">
      <t>ネンキン</t>
    </rPh>
    <rPh sb="2" eb="3">
      <t>ガイ</t>
    </rPh>
    <rPh sb="3" eb="5">
      <t>ショトク</t>
    </rPh>
    <phoneticPr fontId="5"/>
  </si>
  <si>
    <t>年金外所得の判定</t>
    <rPh sb="0" eb="2">
      <t>ネンキン</t>
    </rPh>
    <rPh sb="2" eb="3">
      <t>ガイ</t>
    </rPh>
    <rPh sb="3" eb="5">
      <t>ショトク</t>
    </rPh>
    <rPh sb="6" eb="8">
      <t>ハンテイ</t>
    </rPh>
    <phoneticPr fontId="5"/>
  </si>
  <si>
    <t>円以下</t>
    <rPh sb="0" eb="1">
      <t>エン</t>
    </rPh>
    <rPh sb="1" eb="3">
      <t>イカ</t>
    </rPh>
    <phoneticPr fontId="5"/>
  </si>
  <si>
    <t>円以上</t>
    <rPh sb="0" eb="1">
      <t>エン</t>
    </rPh>
    <rPh sb="1" eb="3">
      <t>イジョウ</t>
    </rPh>
    <phoneticPr fontId="5"/>
  </si>
  <si>
    <t>OK</t>
    <phoneticPr fontId="5"/>
  </si>
  <si>
    <t>年金所得
（６４歳以下）</t>
    <rPh sb="0" eb="2">
      <t>ネンキン</t>
    </rPh>
    <rPh sb="2" eb="4">
      <t>ショトク</t>
    </rPh>
    <rPh sb="8" eb="9">
      <t>サイ</t>
    </rPh>
    <rPh sb="9" eb="11">
      <t>イカ</t>
    </rPh>
    <phoneticPr fontId="2"/>
  </si>
  <si>
    <t>年金所得
（６５歳以上）</t>
    <rPh sb="0" eb="2">
      <t>ネンキン</t>
    </rPh>
    <rPh sb="2" eb="4">
      <t>ショトク</t>
    </rPh>
    <rPh sb="8" eb="9">
      <t>サイ</t>
    </rPh>
    <rPh sb="9" eb="11">
      <t>イジョウ</t>
    </rPh>
    <phoneticPr fontId="2"/>
  </si>
  <si>
    <t>給与所得</t>
    <rPh sb="0" eb="2">
      <t>キュウヨ</t>
    </rPh>
    <rPh sb="2" eb="4">
      <t>ショトク</t>
    </rPh>
    <phoneticPr fontId="5"/>
  </si>
  <si>
    <t>年金所得</t>
    <rPh sb="0" eb="2">
      <t>ネンキン</t>
    </rPh>
    <rPh sb="2" eb="4">
      <t>ショトク</t>
    </rPh>
    <phoneticPr fontId="5"/>
  </si>
  <si>
    <t>所得金額
調整控除</t>
    <rPh sb="0" eb="2">
      <t>ショトク</t>
    </rPh>
    <rPh sb="2" eb="4">
      <t>キンガク</t>
    </rPh>
    <rPh sb="5" eb="7">
      <t>チョウセイ</t>
    </rPh>
    <rPh sb="7" eb="9">
      <t>コウジョ</t>
    </rPh>
    <phoneticPr fontId="5"/>
  </si>
  <si>
    <r>
      <t xml:space="preserve">給与等の収入金額
</t>
    </r>
    <r>
      <rPr>
        <sz val="18"/>
        <rFont val="ＭＳ Ｐゴシック"/>
        <family val="3"/>
        <charset val="128"/>
      </rPr>
      <t>（各種控除前の金額）</t>
    </r>
    <rPh sb="0" eb="2">
      <t>キュウヨ</t>
    </rPh>
    <rPh sb="2" eb="3">
      <t>トウ</t>
    </rPh>
    <rPh sb="4" eb="6">
      <t>シュウニュウ</t>
    </rPh>
    <rPh sb="6" eb="8">
      <t>キンガク</t>
    </rPh>
    <rPh sb="10" eb="12">
      <t>カクシュ</t>
    </rPh>
    <rPh sb="12" eb="14">
      <t>コウジョ</t>
    </rPh>
    <rPh sb="14" eb="15">
      <t>マエ</t>
    </rPh>
    <rPh sb="16" eb="18">
      <t>キンガク</t>
    </rPh>
    <phoneticPr fontId="2"/>
  </si>
  <si>
    <t>公的年金等の収入金額
（65歳未満）</t>
    <rPh sb="0" eb="2">
      <t>コウテキ</t>
    </rPh>
    <rPh sb="2" eb="4">
      <t>ネンキン</t>
    </rPh>
    <rPh sb="4" eb="5">
      <t>トウ</t>
    </rPh>
    <rPh sb="6" eb="8">
      <t>シュウニュウ</t>
    </rPh>
    <rPh sb="8" eb="10">
      <t>キンガク</t>
    </rPh>
    <phoneticPr fontId="2"/>
  </si>
  <si>
    <t>ＯＫ</t>
    <phoneticPr fontId="5"/>
  </si>
  <si>
    <r>
      <t xml:space="preserve">各々の所得割基礎額
</t>
    </r>
    <r>
      <rPr>
        <sz val="8"/>
        <rFont val="ＭＳ Ｐゴシック"/>
        <family val="3"/>
        <charset val="128"/>
      </rPr>
      <t>（総所得金額等－基礎控除）</t>
    </r>
    <rPh sb="0" eb="2">
      <t>オノオノ</t>
    </rPh>
    <rPh sb="3" eb="6">
      <t>ショトクワリ</t>
    </rPh>
    <rPh sb="6" eb="8">
      <t>キソ</t>
    </rPh>
    <rPh sb="8" eb="9">
      <t>ガク</t>
    </rPh>
    <rPh sb="11" eb="14">
      <t>ソウショトク</t>
    </rPh>
    <rPh sb="14" eb="16">
      <t>キンガク</t>
    </rPh>
    <rPh sb="16" eb="17">
      <t>トウ</t>
    </rPh>
    <rPh sb="18" eb="20">
      <t>キソ</t>
    </rPh>
    <rPh sb="20" eb="22">
      <t>コウジョ</t>
    </rPh>
    <phoneticPr fontId="2"/>
  </si>
  <si>
    <t>給与所得</t>
    <rPh sb="0" eb="2">
      <t>キュウヨ</t>
    </rPh>
    <rPh sb="2" eb="4">
      <t>ショトク</t>
    </rPh>
    <phoneticPr fontId="5"/>
  </si>
  <si>
    <t>年金所得</t>
    <rPh sb="0" eb="2">
      <t>ネンキン</t>
    </rPh>
    <rPh sb="2" eb="4">
      <t>ショトク</t>
    </rPh>
    <phoneticPr fontId="5"/>
  </si>
  <si>
    <t>【軽減分】年金所得</t>
    <rPh sb="1" eb="3">
      <t>ケイゲン</t>
    </rPh>
    <rPh sb="3" eb="4">
      <t>ブン</t>
    </rPh>
    <rPh sb="5" eb="7">
      <t>ネンキン</t>
    </rPh>
    <rPh sb="7" eb="9">
      <t>ショトク</t>
    </rPh>
    <phoneticPr fontId="5"/>
  </si>
  <si>
    <t>（軽減分）</t>
    <rPh sb="1" eb="3">
      <t>ケイゲン</t>
    </rPh>
    <rPh sb="3" eb="4">
      <t>ブン</t>
    </rPh>
    <phoneticPr fontId="5"/>
  </si>
  <si>
    <t>+</t>
    <phoneticPr fontId="5"/>
  </si>
  <si>
    <t>＝</t>
    <phoneticPr fontId="5"/>
  </si>
  <si>
    <t>（所得割基礎）</t>
    <rPh sb="1" eb="3">
      <t>ショトク</t>
    </rPh>
    <rPh sb="3" eb="4">
      <t>ワリ</t>
    </rPh>
    <rPh sb="4" eb="6">
      <t>キソ</t>
    </rPh>
    <phoneticPr fontId="5"/>
  </si>
  <si>
    <t>-</t>
    <phoneticPr fontId="5"/>
  </si>
  <si>
    <t>基礎控除</t>
    <rPh sb="0" eb="2">
      <t>キソ</t>
    </rPh>
    <rPh sb="2" eb="4">
      <t>コウジョ</t>
    </rPh>
    <phoneticPr fontId="5"/>
  </si>
  <si>
    <t>　（３）　土地・建物等の譲渡所得に特別控除がある場合</t>
    <rPh sb="5" eb="7">
      <t>トチ</t>
    </rPh>
    <rPh sb="8" eb="10">
      <t>タテモノ</t>
    </rPh>
    <rPh sb="10" eb="11">
      <t>トウ</t>
    </rPh>
    <rPh sb="12" eb="14">
      <t>ジョウト</t>
    </rPh>
    <rPh sb="14" eb="16">
      <t>ショトク</t>
    </rPh>
    <rPh sb="17" eb="19">
      <t>トクベツ</t>
    </rPh>
    <rPh sb="19" eb="21">
      <t>コウジョ</t>
    </rPh>
    <rPh sb="24" eb="26">
      <t>バアイ</t>
    </rPh>
    <phoneticPr fontId="5"/>
  </si>
  <si>
    <t xml:space="preserve"> </t>
    <phoneticPr fontId="5"/>
  </si>
  <si>
    <t>②</t>
    <phoneticPr fontId="5"/>
  </si>
  <si>
    <t>所得割基礎</t>
    <rPh sb="0" eb="2">
      <t>ショトク</t>
    </rPh>
    <rPh sb="2" eb="3">
      <t>ワリ</t>
    </rPh>
    <rPh sb="3" eb="5">
      <t>キソ</t>
    </rPh>
    <phoneticPr fontId="5"/>
  </si>
  <si>
    <t>軽減判定</t>
    <rPh sb="0" eb="2">
      <t>ケイゲン</t>
    </rPh>
    <rPh sb="2" eb="4">
      <t>ハンテイ</t>
    </rPh>
    <phoneticPr fontId="5"/>
  </si>
  <si>
    <t>　　　できません。</t>
    <phoneticPr fontId="5"/>
  </si>
  <si>
    <t>　　　給与所得 ・・・ 給与支払額　 － 給与所得控除 　－　所得金額調整控除</t>
    <rPh sb="3" eb="5">
      <t>キュウヨ</t>
    </rPh>
    <rPh sb="5" eb="7">
      <t>ショトク</t>
    </rPh>
    <rPh sb="12" eb="14">
      <t>キュウヨ</t>
    </rPh>
    <rPh sb="14" eb="16">
      <t>シハライ</t>
    </rPh>
    <rPh sb="16" eb="17">
      <t>ガク</t>
    </rPh>
    <rPh sb="21" eb="23">
      <t>キュウヨ</t>
    </rPh>
    <rPh sb="23" eb="25">
      <t>ショトク</t>
    </rPh>
    <rPh sb="25" eb="27">
      <t>コウジョ</t>
    </rPh>
    <rPh sb="31" eb="33">
      <t>ショトク</t>
    </rPh>
    <rPh sb="33" eb="35">
      <t>キンガク</t>
    </rPh>
    <rPh sb="35" eb="37">
      <t>チョウセイ</t>
    </rPh>
    <rPh sb="37" eb="39">
      <t>コウジョ</t>
    </rPh>
    <phoneticPr fontId="2"/>
  </si>
  <si>
    <t>　　　年金所得 ・・・ 支払年金額　 － 公的年金等控除</t>
    <rPh sb="3" eb="5">
      <t>ネンキン</t>
    </rPh>
    <rPh sb="5" eb="7">
      <t>ショトク</t>
    </rPh>
    <rPh sb="12" eb="14">
      <t>シハラ</t>
    </rPh>
    <rPh sb="14" eb="17">
      <t>ネンキンガク</t>
    </rPh>
    <rPh sb="21" eb="23">
      <t>コウテキ</t>
    </rPh>
    <rPh sb="23" eb="26">
      <t>ネンキントウ</t>
    </rPh>
    <rPh sb="26" eb="28">
      <t>コウジョ</t>
    </rPh>
    <phoneticPr fontId="2"/>
  </si>
  <si>
    <t>円以上</t>
  </si>
  <si>
    <t>円以上</t>
    <rPh sb="0" eb="1">
      <t>エン</t>
    </rPh>
    <rPh sb="1" eb="3">
      <t>イジョウ</t>
    </rPh>
    <phoneticPr fontId="2"/>
  </si>
  <si>
    <t>未就学児の均等割軽減</t>
    <rPh sb="0" eb="4">
      <t>ミシュウガクジ</t>
    </rPh>
    <rPh sb="5" eb="8">
      <t>キントウワリ</t>
    </rPh>
    <rPh sb="8" eb="10">
      <t>ケイゲン</t>
    </rPh>
    <phoneticPr fontId="5"/>
  </si>
  <si>
    <t>該当者：１</t>
    <rPh sb="0" eb="3">
      <t>ガイトウシャ</t>
    </rPh>
    <phoneticPr fontId="5"/>
  </si>
  <si>
    <t>軽減適用率</t>
    <rPh sb="0" eb="2">
      <t>ケイゲン</t>
    </rPh>
    <rPh sb="2" eb="4">
      <t>テキヨウ</t>
    </rPh>
    <rPh sb="4" eb="5">
      <t>リツ</t>
    </rPh>
    <phoneticPr fontId="5"/>
  </si>
  <si>
    <t>７割軽減</t>
    <rPh sb="1" eb="2">
      <t>ワリ</t>
    </rPh>
    <rPh sb="2" eb="4">
      <t>ケイゲン</t>
    </rPh>
    <phoneticPr fontId="5"/>
  </si>
  <si>
    <t>５割軽減</t>
    <rPh sb="1" eb="2">
      <t>ワリ</t>
    </rPh>
    <rPh sb="2" eb="4">
      <t>ケイゲン</t>
    </rPh>
    <phoneticPr fontId="5"/>
  </si>
  <si>
    <t>２割軽減</t>
    <rPh sb="1" eb="2">
      <t>ワリ</t>
    </rPh>
    <rPh sb="2" eb="4">
      <t>ケイゲン</t>
    </rPh>
    <phoneticPr fontId="5"/>
  </si>
  <si>
    <t>軽減なし</t>
    <rPh sb="0" eb="2">
      <t>ケイゲン</t>
    </rPh>
    <phoneticPr fontId="5"/>
  </si>
  <si>
    <t>一人当たりの
均等割額</t>
    <rPh sb="0" eb="2">
      <t>ヒトリ</t>
    </rPh>
    <rPh sb="2" eb="3">
      <t>ア</t>
    </rPh>
    <rPh sb="7" eb="10">
      <t>キントウワリ</t>
    </rPh>
    <rPh sb="10" eb="11">
      <t>ガク</t>
    </rPh>
    <phoneticPr fontId="5"/>
  </si>
  <si>
    <t>未就学児均等割
減額額の世帯合計額</t>
    <rPh sb="0" eb="4">
      <t>ミシュウガクジ</t>
    </rPh>
    <rPh sb="4" eb="7">
      <t>キントウワリ</t>
    </rPh>
    <rPh sb="8" eb="10">
      <t>ゲンガク</t>
    </rPh>
    <rPh sb="10" eb="11">
      <t>ガク</t>
    </rPh>
    <rPh sb="12" eb="14">
      <t>セタイ</t>
    </rPh>
    <rPh sb="14" eb="16">
      <t>ゴウケイ</t>
    </rPh>
    <rPh sb="16" eb="17">
      <t>ガク</t>
    </rPh>
    <phoneticPr fontId="5"/>
  </si>
  <si>
    <t>一人当たりの
軽減額</t>
    <rPh sb="0" eb="2">
      <t>ヒトリ</t>
    </rPh>
    <rPh sb="2" eb="3">
      <t>ア</t>
    </rPh>
    <rPh sb="7" eb="9">
      <t>ケイゲン</t>
    </rPh>
    <rPh sb="9" eb="10">
      <t>ガク</t>
    </rPh>
    <phoneticPr fontId="5"/>
  </si>
  <si>
    <t>一人当たりの
未就学児減額額</t>
    <rPh sb="0" eb="2">
      <t>ヒトリ</t>
    </rPh>
    <rPh sb="2" eb="3">
      <t>ア</t>
    </rPh>
    <rPh sb="7" eb="11">
      <t>ミシュウガクジ</t>
    </rPh>
    <rPh sb="11" eb="13">
      <t>ゲンガク</t>
    </rPh>
    <rPh sb="13" eb="14">
      <t>ガク</t>
    </rPh>
    <phoneticPr fontId="5"/>
  </si>
  <si>
    <t>【医療分】</t>
    <rPh sb="1" eb="3">
      <t>イリョウ</t>
    </rPh>
    <rPh sb="3" eb="4">
      <t>ブン</t>
    </rPh>
    <phoneticPr fontId="5"/>
  </si>
  <si>
    <t>【後期分】</t>
    <rPh sb="1" eb="3">
      <t>コウキ</t>
    </rPh>
    <rPh sb="3" eb="4">
      <t>ブン</t>
    </rPh>
    <phoneticPr fontId="5"/>
  </si>
  <si>
    <r>
      <t>　試算することができます。</t>
    </r>
    <r>
      <rPr>
        <b/>
        <sz val="11"/>
        <color rgb="FFFF0000"/>
        <rFont val="ＭＳ Ｐゴシック"/>
        <family val="3"/>
        <charset val="128"/>
      </rPr>
      <t>試算結果については、実際に賦課される保険料額と異なる場合があります。</t>
    </r>
    <rPh sb="1" eb="3">
      <t>シサン</t>
    </rPh>
    <rPh sb="13" eb="15">
      <t>シサン</t>
    </rPh>
    <rPh sb="15" eb="17">
      <t>ケッカ</t>
    </rPh>
    <rPh sb="23" eb="25">
      <t>ジッサイ</t>
    </rPh>
    <rPh sb="26" eb="28">
      <t>フカ</t>
    </rPh>
    <rPh sb="31" eb="34">
      <t>ホケンリョウ</t>
    </rPh>
    <rPh sb="34" eb="35">
      <t>ガク</t>
    </rPh>
    <rPh sb="36" eb="37">
      <t>コト</t>
    </rPh>
    <rPh sb="39" eb="41">
      <t>バアイ</t>
    </rPh>
    <phoneticPr fontId="5"/>
  </si>
  <si>
    <t>　③　給与収入及び年金収入以外の所得がある場合は、</t>
    <rPh sb="3" eb="5">
      <t>キュウヨ</t>
    </rPh>
    <rPh sb="5" eb="7">
      <t>シュウニュウ</t>
    </rPh>
    <rPh sb="7" eb="8">
      <t>オヨ</t>
    </rPh>
    <rPh sb="9" eb="11">
      <t>ネンキン</t>
    </rPh>
    <rPh sb="11" eb="13">
      <t>シュウニュウ</t>
    </rPh>
    <rPh sb="13" eb="15">
      <t>イガイ</t>
    </rPh>
    <rPh sb="16" eb="18">
      <t>ショトク</t>
    </rPh>
    <rPh sb="21" eb="23">
      <t>バアイ</t>
    </rPh>
    <phoneticPr fontId="5"/>
  </si>
  <si>
    <r>
      <t>　次のような場合は、</t>
    </r>
    <r>
      <rPr>
        <b/>
        <sz val="10"/>
        <color rgb="FFFF0000"/>
        <rFont val="ＭＳ Ｐゴシック"/>
        <family val="3"/>
        <charset val="128"/>
      </rPr>
      <t>法定減額の計算を正しく行うことができません。</t>
    </r>
    <rPh sb="1" eb="2">
      <t>ツギ</t>
    </rPh>
    <rPh sb="6" eb="8">
      <t>バアイ</t>
    </rPh>
    <rPh sb="10" eb="12">
      <t>ホウテイ</t>
    </rPh>
    <rPh sb="12" eb="14">
      <t>ゲンガク</t>
    </rPh>
    <rPh sb="15" eb="17">
      <t>ケイサン</t>
    </rPh>
    <rPh sb="18" eb="19">
      <t>タダ</t>
    </rPh>
    <rPh sb="21" eb="22">
      <t>オコナ</t>
    </rPh>
    <phoneticPr fontId="5"/>
  </si>
  <si>
    <r>
      <t>　国民健康保険の保険料は、</t>
    </r>
    <r>
      <rPr>
        <sz val="10"/>
        <color rgb="FFFF0000"/>
        <rFont val="ＭＳ Ｐゴシック"/>
        <family val="3"/>
        <charset val="128"/>
      </rPr>
      <t>世帯ごと</t>
    </r>
    <r>
      <rPr>
        <sz val="10"/>
        <rFont val="ＭＳ Ｐゴシック"/>
        <family val="3"/>
        <charset val="128"/>
      </rPr>
      <t>にかかります。</t>
    </r>
    <rPh sb="1" eb="3">
      <t>コクミン</t>
    </rPh>
    <rPh sb="3" eb="5">
      <t>ケンコウ</t>
    </rPh>
    <rPh sb="5" eb="7">
      <t>ホケン</t>
    </rPh>
    <rPh sb="8" eb="11">
      <t>ホケンリョウ</t>
    </rPh>
    <rPh sb="13" eb="15">
      <t>セタイ</t>
    </rPh>
    <phoneticPr fontId="5"/>
  </si>
  <si>
    <r>
      <t>　１年間の保険料は、</t>
    </r>
    <r>
      <rPr>
        <sz val="10"/>
        <color rgb="FFFF0000"/>
        <rFont val="ＭＳ Ｐゴシック"/>
        <family val="3"/>
        <charset val="128"/>
      </rPr>
      <t>①医療分保険料、②後期高齢者支援分保険料、③介護分保険料</t>
    </r>
    <r>
      <rPr>
        <sz val="10"/>
        <rFont val="ＭＳ Ｐゴシック"/>
        <family val="3"/>
        <charset val="128"/>
      </rPr>
      <t>を</t>
    </r>
    <r>
      <rPr>
        <sz val="10"/>
        <color rgb="FFFF0000"/>
        <rFont val="ＭＳ Ｐゴシック"/>
        <family val="3"/>
        <charset val="128"/>
      </rPr>
      <t>合算</t>
    </r>
    <r>
      <rPr>
        <sz val="10"/>
        <rFont val="ＭＳ Ｐゴシック"/>
        <family val="3"/>
        <charset val="128"/>
      </rPr>
      <t>したものとなり、内訳は次のとおりです。</t>
    </r>
    <rPh sb="2" eb="4">
      <t>ネンカン</t>
    </rPh>
    <rPh sb="5" eb="8">
      <t>ホケンリョウ</t>
    </rPh>
    <rPh sb="11" eb="13">
      <t>イリョウ</t>
    </rPh>
    <rPh sb="13" eb="14">
      <t>ブン</t>
    </rPh>
    <rPh sb="14" eb="17">
      <t>ホケンリョウ</t>
    </rPh>
    <rPh sb="19" eb="21">
      <t>コウキ</t>
    </rPh>
    <rPh sb="21" eb="24">
      <t>コウレイシャ</t>
    </rPh>
    <rPh sb="24" eb="26">
      <t>シエン</t>
    </rPh>
    <rPh sb="26" eb="27">
      <t>ブン</t>
    </rPh>
    <rPh sb="27" eb="30">
      <t>ホケンリョウ</t>
    </rPh>
    <rPh sb="32" eb="34">
      <t>カイゴ</t>
    </rPh>
    <rPh sb="34" eb="35">
      <t>ブン</t>
    </rPh>
    <rPh sb="35" eb="38">
      <t>ホケンリョウ</t>
    </rPh>
    <rPh sb="39" eb="41">
      <t>ガッサン</t>
    </rPh>
    <rPh sb="49" eb="51">
      <t>ウチワケ</t>
    </rPh>
    <rPh sb="52" eb="53">
      <t>ツギ</t>
    </rPh>
    <phoneticPr fontId="5"/>
  </si>
  <si>
    <t>１世帯あたりにかかる額。
（＝左記金額）
※介護分は、介護保険第２号被保険者がいる場合のみ。</t>
    <phoneticPr fontId="5"/>
  </si>
  <si>
    <t>世帯の加入者数に応じてかかる額。
（＝加入者数×左記金額）
※介護分は、介護保険第２号被保険者である加入者のみ。</t>
    <phoneticPr fontId="5"/>
  </si>
  <si>
    <t>①医療分、②後期高齢者支援分、③介護分における、それぞれの最高限度額。</t>
    <rPh sb="1" eb="3">
      <t>イリョウ</t>
    </rPh>
    <rPh sb="3" eb="4">
      <t>ブン</t>
    </rPh>
    <rPh sb="6" eb="8">
      <t>コウキ</t>
    </rPh>
    <rPh sb="8" eb="11">
      <t>コウレイシャ</t>
    </rPh>
    <rPh sb="11" eb="13">
      <t>シエン</t>
    </rPh>
    <rPh sb="13" eb="14">
      <t>ブン</t>
    </rPh>
    <rPh sb="16" eb="18">
      <t>カイゴ</t>
    </rPh>
    <rPh sb="18" eb="19">
      <t>ブン</t>
    </rPh>
    <rPh sb="29" eb="31">
      <t>サイコウ</t>
    </rPh>
    <rPh sb="31" eb="33">
      <t>ゲンド</t>
    </rPh>
    <rPh sb="33" eb="34">
      <t>ガク</t>
    </rPh>
    <phoneticPr fontId="5"/>
  </si>
  <si>
    <t>　　未就学児が法定減額（下記参照）適用世帯に属する場合は、法定減額適用後の均等割額からさらに半額を軽減する。</t>
    <rPh sb="2" eb="6">
      <t>ミシュウガクジ</t>
    </rPh>
    <rPh sb="7" eb="9">
      <t>ホウテイ</t>
    </rPh>
    <rPh sb="9" eb="11">
      <t>ゲンガク</t>
    </rPh>
    <rPh sb="12" eb="14">
      <t>カキ</t>
    </rPh>
    <rPh sb="14" eb="16">
      <t>サンショウ</t>
    </rPh>
    <rPh sb="17" eb="19">
      <t>テキヨウ</t>
    </rPh>
    <rPh sb="19" eb="21">
      <t>セタイ</t>
    </rPh>
    <rPh sb="22" eb="23">
      <t>ゾク</t>
    </rPh>
    <rPh sb="25" eb="27">
      <t>バアイ</t>
    </rPh>
    <rPh sb="29" eb="31">
      <t>ホウテイ</t>
    </rPh>
    <rPh sb="31" eb="33">
      <t>ゲンガク</t>
    </rPh>
    <rPh sb="33" eb="35">
      <t>テキヨウ</t>
    </rPh>
    <rPh sb="35" eb="36">
      <t>ゴ</t>
    </rPh>
    <rPh sb="37" eb="40">
      <t>キントウワリ</t>
    </rPh>
    <rPh sb="40" eb="41">
      <t>ガク</t>
    </rPh>
    <rPh sb="46" eb="48">
      <t>ハンガク</t>
    </rPh>
    <rPh sb="49" eb="51">
      <t>ケイゲン</t>
    </rPh>
    <phoneticPr fontId="5"/>
  </si>
  <si>
    <t>　※１　法定減額適用に係る判定の際の所得とは、</t>
    <rPh sb="4" eb="6">
      <t>ホウテイ</t>
    </rPh>
    <rPh sb="6" eb="8">
      <t>ゲンガク</t>
    </rPh>
    <rPh sb="8" eb="10">
      <t>テキヨウ</t>
    </rPh>
    <rPh sb="11" eb="12">
      <t>カカ</t>
    </rPh>
    <rPh sb="13" eb="15">
      <t>ハンテイ</t>
    </rPh>
    <rPh sb="16" eb="17">
      <t>サイ</t>
    </rPh>
    <rPh sb="18" eb="20">
      <t>ショトク</t>
    </rPh>
    <phoneticPr fontId="5"/>
  </si>
  <si>
    <t>⑤</t>
    <phoneticPr fontId="5"/>
  </si>
  <si>
    <t>給与所得者等
（軽減判定用）</t>
    <rPh sb="0" eb="2">
      <t>キュウヨ</t>
    </rPh>
    <rPh sb="2" eb="4">
      <t>ショトク</t>
    </rPh>
    <rPh sb="4" eb="5">
      <t>シャ</t>
    </rPh>
    <rPh sb="5" eb="6">
      <t>ナド</t>
    </rPh>
    <rPh sb="8" eb="12">
      <t>ケイゲンハンテイ</t>
    </rPh>
    <rPh sb="12" eb="13">
      <t>ヨウ</t>
    </rPh>
    <phoneticPr fontId="5"/>
  </si>
  <si>
    <t>現在の
年齢</t>
    <rPh sb="0" eb="2">
      <t>ゲンザイ</t>
    </rPh>
    <rPh sb="4" eb="6">
      <t>ネンレイ</t>
    </rPh>
    <phoneticPr fontId="5"/>
  </si>
  <si>
    <t>・介護分保険料</t>
    <rPh sb="1" eb="3">
      <t>カイゴ</t>
    </rPh>
    <rPh sb="3" eb="4">
      <t>ブン</t>
    </rPh>
    <rPh sb="4" eb="7">
      <t>ホケンリョウ</t>
    </rPh>
    <phoneticPr fontId="5"/>
  </si>
  <si>
    <r>
      <t>※　</t>
    </r>
    <r>
      <rPr>
        <b/>
        <sz val="10"/>
        <color rgb="FFFF0000"/>
        <rFont val="ＭＳ Ｐゴシック"/>
        <family val="3"/>
        <charset val="128"/>
      </rPr>
      <t>総所得金額等とは</t>
    </r>
    <r>
      <rPr>
        <b/>
        <sz val="10"/>
        <rFont val="ＭＳ Ｐゴシック"/>
        <family val="3"/>
        <charset val="128"/>
      </rPr>
      <t>、地方税法上の総所得金額（収入金額から必要経費を引いた額。社会保険料控除などの各種所得控除前。）のほか、山林所得、土地・建物の譲渡所得（特別控除後）、確定申告又は住民税申告をした株式譲渡所得、配当所得など（退職所得は除く。）を合算したものを言います。</t>
    </r>
    <rPh sb="7" eb="8">
      <t>トウ</t>
    </rPh>
    <rPh sb="123" eb="125">
      <t>ガッサン</t>
    </rPh>
    <rPh sb="130" eb="131">
      <t>イ</t>
    </rPh>
    <phoneticPr fontId="2"/>
  </si>
  <si>
    <t>収入／4
（千円未満切捨）</t>
    <rPh sb="0" eb="2">
      <t>シュウニュウ</t>
    </rPh>
    <rPh sb="6" eb="8">
      <t>センエン</t>
    </rPh>
    <rPh sb="8" eb="10">
      <t>ミマン</t>
    </rPh>
    <rPh sb="10" eb="11">
      <t>キリ</t>
    </rPh>
    <rPh sb="11" eb="12">
      <t>シャ</t>
    </rPh>
    <phoneticPr fontId="2"/>
  </si>
  <si>
    <t>年金所得額
（年金外1,000万円以下）</t>
    <rPh sb="0" eb="2">
      <t>ネンキン</t>
    </rPh>
    <rPh sb="2" eb="4">
      <t>ショトク</t>
    </rPh>
    <rPh sb="4" eb="5">
      <t>ガク</t>
    </rPh>
    <rPh sb="7" eb="9">
      <t>ネンキン</t>
    </rPh>
    <rPh sb="9" eb="10">
      <t>ガイ</t>
    </rPh>
    <rPh sb="15" eb="17">
      <t>マンエン</t>
    </rPh>
    <rPh sb="17" eb="19">
      <t>イカ</t>
    </rPh>
    <phoneticPr fontId="2"/>
  </si>
  <si>
    <t>年金所得額
（年金外2,000万円超）</t>
    <rPh sb="0" eb="2">
      <t>ネンキン</t>
    </rPh>
    <rPh sb="2" eb="4">
      <t>ショトク</t>
    </rPh>
    <rPh sb="4" eb="5">
      <t>ガク</t>
    </rPh>
    <rPh sb="15" eb="17">
      <t>マンエン</t>
    </rPh>
    <rPh sb="17" eb="18">
      <t>チョウ</t>
    </rPh>
    <phoneticPr fontId="2"/>
  </si>
  <si>
    <t>年金所得額
（年金外1,000万円超～2,000万円以下）</t>
    <rPh sb="0" eb="2">
      <t>ネンキン</t>
    </rPh>
    <rPh sb="2" eb="4">
      <t>ショトク</t>
    </rPh>
    <rPh sb="4" eb="5">
      <t>ガク</t>
    </rPh>
    <rPh sb="15" eb="17">
      <t>マンエン</t>
    </rPh>
    <rPh sb="17" eb="18">
      <t>チョウ</t>
    </rPh>
    <rPh sb="24" eb="26">
      <t>マンエン</t>
    </rPh>
    <rPh sb="26" eb="28">
      <t>イカ</t>
    </rPh>
    <phoneticPr fontId="2"/>
  </si>
  <si>
    <t>年金所得額
（年金外1,000万円以下）</t>
    <rPh sb="0" eb="2">
      <t>ネンキン</t>
    </rPh>
    <rPh sb="2" eb="4">
      <t>ショトク</t>
    </rPh>
    <rPh sb="4" eb="5">
      <t>ガク</t>
    </rPh>
    <rPh sb="15" eb="17">
      <t>マンエン</t>
    </rPh>
    <rPh sb="17" eb="19">
      <t>イカ</t>
    </rPh>
    <phoneticPr fontId="2"/>
  </si>
  <si>
    <r>
      <t>給与所得
（所得金額調整控除</t>
    </r>
    <r>
      <rPr>
        <b/>
        <sz val="16"/>
        <color rgb="FFFF0000"/>
        <rFont val="ＭＳ Ｐゴシック"/>
        <family val="3"/>
        <charset val="128"/>
        <scheme val="minor"/>
      </rPr>
      <t>前</t>
    </r>
    <r>
      <rPr>
        <b/>
        <sz val="16"/>
        <rFont val="ＭＳ Ｐゴシック"/>
        <family val="3"/>
        <charset val="128"/>
        <scheme val="minor"/>
      </rPr>
      <t>）</t>
    </r>
    <rPh sb="0" eb="2">
      <t>キュウヨ</t>
    </rPh>
    <rPh sb="2" eb="4">
      <t>ショトク</t>
    </rPh>
    <rPh sb="6" eb="8">
      <t>ショトク</t>
    </rPh>
    <rPh sb="8" eb="10">
      <t>キンガク</t>
    </rPh>
    <rPh sb="10" eb="12">
      <t>チョウセイ</t>
    </rPh>
    <rPh sb="12" eb="14">
      <t>コウジョ</t>
    </rPh>
    <rPh sb="14" eb="15">
      <t>マエ</t>
    </rPh>
    <phoneticPr fontId="2"/>
  </si>
  <si>
    <r>
      <t>給与所得
（所得金額調整控除</t>
    </r>
    <r>
      <rPr>
        <b/>
        <sz val="16"/>
        <color rgb="FFFF0000"/>
        <rFont val="ＭＳ Ｐゴシック"/>
        <family val="3"/>
        <charset val="128"/>
        <scheme val="minor"/>
      </rPr>
      <t>後</t>
    </r>
    <r>
      <rPr>
        <b/>
        <sz val="16"/>
        <rFont val="ＭＳ Ｐゴシック"/>
        <family val="3"/>
        <charset val="128"/>
        <scheme val="minor"/>
      </rPr>
      <t>）</t>
    </r>
    <rPh sb="0" eb="2">
      <t>キュウヨ</t>
    </rPh>
    <rPh sb="2" eb="4">
      <t>ショトク</t>
    </rPh>
    <rPh sb="6" eb="8">
      <t>ショトク</t>
    </rPh>
    <rPh sb="8" eb="10">
      <t>キンガク</t>
    </rPh>
    <rPh sb="10" eb="12">
      <t>チョウセイ</t>
    </rPh>
    <rPh sb="12" eb="14">
      <t>コウジョ</t>
    </rPh>
    <rPh sb="14" eb="15">
      <t>ゴ</t>
    </rPh>
    <phoneticPr fontId="5"/>
  </si>
  <si>
    <t>公的年金等の収入金額
（65歳以上）</t>
    <rPh sb="0" eb="2">
      <t>コウテキ</t>
    </rPh>
    <rPh sb="2" eb="4">
      <t>ネンキン</t>
    </rPh>
    <rPh sb="4" eb="5">
      <t>トウ</t>
    </rPh>
    <rPh sb="6" eb="8">
      <t>シュウニュウ</t>
    </rPh>
    <rPh sb="8" eb="10">
      <t>キンガク</t>
    </rPh>
    <phoneticPr fontId="2"/>
  </si>
  <si>
    <t>控除額(A)
（控除割合分）</t>
    <phoneticPr fontId="2"/>
  </si>
  <si>
    <t>控除額(B)
（固定）</t>
    <rPh sb="0" eb="2">
      <t>コウジョ</t>
    </rPh>
    <rPh sb="2" eb="3">
      <t>ガク</t>
    </rPh>
    <rPh sb="8" eb="10">
      <t>コテイ</t>
    </rPh>
    <phoneticPr fontId="2"/>
  </si>
  <si>
    <t>控除額合計
（A+B）</t>
    <rPh sb="0" eb="2">
      <t>コウジョ</t>
    </rPh>
    <rPh sb="2" eb="3">
      <t>ガク</t>
    </rPh>
    <rPh sb="3" eb="5">
      <t>ゴウケイ</t>
    </rPh>
    <phoneticPr fontId="2"/>
  </si>
  <si>
    <t>◆65歳未満の年金収入の方</t>
    <rPh sb="3" eb="4">
      <t>サイ</t>
    </rPh>
    <rPh sb="4" eb="6">
      <t>ミマン</t>
    </rPh>
    <rPh sb="7" eb="9">
      <t>ネンキン</t>
    </rPh>
    <rPh sb="9" eb="11">
      <t>シュウニュウ</t>
    </rPh>
    <rPh sb="12" eb="13">
      <t>カタ</t>
    </rPh>
    <phoneticPr fontId="2"/>
  </si>
  <si>
    <r>
      <t>※【国税庁ＨＰ参照】</t>
    </r>
    <r>
      <rPr>
        <sz val="18"/>
        <color rgb="FF00B0F0"/>
        <rFont val="ＭＳ Ｐゴシック"/>
        <family val="3"/>
        <charset val="128"/>
        <scheme val="minor"/>
      </rPr>
      <t>収入÷４（千円未満切り捨て）</t>
    </r>
    <r>
      <rPr>
        <sz val="18"/>
        <rFont val="ＭＳ Ｐゴシック"/>
        <family val="3"/>
        <charset val="128"/>
        <scheme val="minor"/>
      </rPr>
      <t>×４×</t>
    </r>
    <r>
      <rPr>
        <sz val="18"/>
        <color rgb="FFFF00FF"/>
        <rFont val="ＭＳ Ｐゴシック"/>
        <family val="3"/>
        <charset val="128"/>
        <scheme val="minor"/>
      </rPr>
      <t>控除割合</t>
    </r>
    <r>
      <rPr>
        <sz val="18"/>
        <rFont val="ＭＳ Ｐゴシック"/>
        <family val="3"/>
        <charset val="128"/>
        <scheme val="minor"/>
      </rPr>
      <t>+</t>
    </r>
    <r>
      <rPr>
        <sz val="18"/>
        <color rgb="FF00B050"/>
        <rFont val="ＭＳ Ｐゴシック"/>
        <family val="3"/>
        <charset val="128"/>
        <scheme val="minor"/>
      </rPr>
      <t>控除額</t>
    </r>
    <r>
      <rPr>
        <sz val="18"/>
        <rFont val="ＭＳ Ｐゴシック"/>
        <family val="3"/>
        <charset val="128"/>
        <scheme val="minor"/>
      </rPr>
      <t>（小数点以下切り捨て）</t>
    </r>
    <rPh sb="2" eb="5">
      <t>コクゼイチョウ</t>
    </rPh>
    <rPh sb="7" eb="9">
      <t>サンショウ</t>
    </rPh>
    <rPh sb="10" eb="12">
      <t>シュウニュウ</t>
    </rPh>
    <rPh sb="15" eb="17">
      <t>センエン</t>
    </rPh>
    <rPh sb="17" eb="19">
      <t>ミマン</t>
    </rPh>
    <rPh sb="19" eb="20">
      <t>キ</t>
    </rPh>
    <rPh sb="21" eb="22">
      <t>ス</t>
    </rPh>
    <rPh sb="27" eb="29">
      <t>コウジョ</t>
    </rPh>
    <rPh sb="29" eb="31">
      <t>ワリアイ</t>
    </rPh>
    <rPh sb="32" eb="34">
      <t>コウジョ</t>
    </rPh>
    <rPh sb="34" eb="35">
      <t>ガク</t>
    </rPh>
    <rPh sb="41" eb="42">
      <t>キ</t>
    </rPh>
    <rPh sb="43" eb="44">
      <t>ス</t>
    </rPh>
    <phoneticPr fontId="2"/>
  </si>
  <si>
    <t>控除後の給与所得</t>
    <rPh sb="0" eb="2">
      <t>コウジョ</t>
    </rPh>
    <rPh sb="2" eb="3">
      <t>ゴ</t>
    </rPh>
    <rPh sb="4" eb="8">
      <t>キュウヨショトク</t>
    </rPh>
    <phoneticPr fontId="5"/>
  </si>
  <si>
    <t>⑥</t>
    <phoneticPr fontId="5"/>
  </si>
  <si>
    <t>未就学児
サイン</t>
    <rPh sb="0" eb="4">
      <t>ミシュウガクジ</t>
    </rPh>
    <phoneticPr fontId="5"/>
  </si>
  <si>
    <t>＜ホームページ掲載時非表示＞</t>
    <rPh sb="7" eb="9">
      <t>ケイサイ</t>
    </rPh>
    <rPh sb="9" eb="10">
      <t>ジ</t>
    </rPh>
    <rPh sb="10" eb="13">
      <t>ヒヒョウジ</t>
    </rPh>
    <phoneticPr fontId="5"/>
  </si>
  <si>
    <r>
      <t>　④　それぞれの</t>
    </r>
    <r>
      <rPr>
        <b/>
        <sz val="10"/>
        <color rgb="FFFF0000"/>
        <rFont val="ＭＳ Ｐゴシック"/>
        <family val="3"/>
        <charset val="128"/>
      </rPr>
      <t>現在の年齢</t>
    </r>
    <r>
      <rPr>
        <b/>
        <sz val="10"/>
        <color theme="3" tint="-0.249977111117893"/>
        <rFont val="ＭＳ Ｐゴシック"/>
        <family val="3"/>
        <charset val="128"/>
      </rPr>
      <t>を入力してください（所得がない方も含む）。</t>
    </r>
    <rPh sb="8" eb="10">
      <t>ゲンザイ</t>
    </rPh>
    <rPh sb="11" eb="13">
      <t>ネンレイ</t>
    </rPh>
    <rPh sb="14" eb="16">
      <t>ニュウリョク</t>
    </rPh>
    <rPh sb="23" eb="25">
      <t>ショトク</t>
    </rPh>
    <rPh sb="28" eb="29">
      <t>カタ</t>
    </rPh>
    <rPh sb="30" eb="31">
      <t>フク</t>
    </rPh>
    <phoneticPr fontId="5"/>
  </si>
  <si>
    <r>
      <t>　①　世帯人数に、</t>
    </r>
    <r>
      <rPr>
        <b/>
        <sz val="10"/>
        <color rgb="FFFF0000"/>
        <rFont val="ＭＳ Ｐゴシック"/>
        <family val="3"/>
        <charset val="128"/>
      </rPr>
      <t>国保に加入する方の人数</t>
    </r>
    <r>
      <rPr>
        <b/>
        <sz val="10"/>
        <color theme="3" tint="-0.249977111117893"/>
        <rFont val="ＭＳ Ｐゴシック"/>
        <family val="3"/>
        <charset val="128"/>
      </rPr>
      <t>を入力してください。</t>
    </r>
    <rPh sb="3" eb="5">
      <t>セタイ</t>
    </rPh>
    <rPh sb="5" eb="6">
      <t>ニン</t>
    </rPh>
    <rPh sb="6" eb="7">
      <t>スウ</t>
    </rPh>
    <rPh sb="9" eb="11">
      <t>コクホ</t>
    </rPh>
    <rPh sb="12" eb="14">
      <t>カニュウ</t>
    </rPh>
    <rPh sb="16" eb="17">
      <t>カタ</t>
    </rPh>
    <rPh sb="18" eb="20">
      <t>ニンズウ</t>
    </rPh>
    <rPh sb="21" eb="23">
      <t>ニュウリョク</t>
    </rPh>
    <phoneticPr fontId="5"/>
  </si>
  <si>
    <t>（所得がない方も含む）。</t>
    <phoneticPr fontId="5"/>
  </si>
  <si>
    <t>　⑧　被保険者の方が１０人以上いる世帯については、正確に計算</t>
    <rPh sb="3" eb="7">
      <t>ヒホケンシャ</t>
    </rPh>
    <rPh sb="8" eb="9">
      <t>カタ</t>
    </rPh>
    <rPh sb="12" eb="13">
      <t>ニン</t>
    </rPh>
    <rPh sb="13" eb="15">
      <t>イジョウ</t>
    </rPh>
    <rPh sb="17" eb="19">
      <t>セタイ</t>
    </rPh>
    <rPh sb="25" eb="27">
      <t>セイカク</t>
    </rPh>
    <rPh sb="28" eb="30">
      <t>ケイサン</t>
    </rPh>
    <phoneticPr fontId="5"/>
  </si>
  <si>
    <t>ください。それ以外の方は、空欄にしてください。</t>
    <rPh sb="7" eb="9">
      <t>イガイ</t>
    </rPh>
    <rPh sb="10" eb="11">
      <t>カタ</t>
    </rPh>
    <rPh sb="13" eb="15">
      <t>クウラン</t>
    </rPh>
    <phoneticPr fontId="5"/>
  </si>
  <si>
    <t>　⑦　①～⑥までを入力すると自動的に保険料額が計算されます。</t>
    <rPh sb="9" eb="11">
      <t>ニュウリョク</t>
    </rPh>
    <rPh sb="14" eb="17">
      <t>ジドウテキ</t>
    </rPh>
    <rPh sb="18" eb="21">
      <t>ホケンリョウ</t>
    </rPh>
    <rPh sb="21" eb="22">
      <t>ガク</t>
    </rPh>
    <rPh sb="23" eb="25">
      <t>ケイサン</t>
    </rPh>
    <phoneticPr fontId="5"/>
  </si>
  <si>
    <t>令和７年度 京都市国民健康保険料　簡易計算表（１）</t>
    <rPh sb="0" eb="2">
      <t>レイワ</t>
    </rPh>
    <rPh sb="3" eb="5">
      <t>ネンド</t>
    </rPh>
    <rPh sb="5" eb="7">
      <t>ヘイネンド</t>
    </rPh>
    <rPh sb="6" eb="9">
      <t>キョウトシ</t>
    </rPh>
    <rPh sb="9" eb="11">
      <t>コクミン</t>
    </rPh>
    <rPh sb="11" eb="13">
      <t>ケンコウ</t>
    </rPh>
    <rPh sb="13" eb="16">
      <t>ホケンリョウ</t>
    </rPh>
    <rPh sb="17" eb="19">
      <t>カンイ</t>
    </rPh>
    <rPh sb="19" eb="21">
      <t>ケイサン</t>
    </rPh>
    <rPh sb="21" eb="22">
      <t>ヒョウ</t>
    </rPh>
    <phoneticPr fontId="5"/>
  </si>
  <si>
    <t>　　この簡易計算表に「世帯人数・令和６年中の収入等・年齢」等を入力することにより、保険料年額を</t>
    <rPh sb="4" eb="6">
      <t>カンイ</t>
    </rPh>
    <rPh sb="6" eb="8">
      <t>ケイサン</t>
    </rPh>
    <rPh sb="8" eb="9">
      <t>ヒョウ</t>
    </rPh>
    <rPh sb="11" eb="13">
      <t>セタイ</t>
    </rPh>
    <rPh sb="13" eb="14">
      <t>ニン</t>
    </rPh>
    <rPh sb="14" eb="15">
      <t>スウ</t>
    </rPh>
    <rPh sb="16" eb="17">
      <t>レイ</t>
    </rPh>
    <rPh sb="17" eb="18">
      <t>カズ</t>
    </rPh>
    <rPh sb="19" eb="20">
      <t>ネン</t>
    </rPh>
    <rPh sb="20" eb="21">
      <t>チュウ</t>
    </rPh>
    <rPh sb="22" eb="24">
      <t>シュウニュウ</t>
    </rPh>
    <rPh sb="24" eb="25">
      <t>ナド</t>
    </rPh>
    <rPh sb="26" eb="28">
      <t>ネンレイ</t>
    </rPh>
    <rPh sb="29" eb="30">
      <t>トウ</t>
    </rPh>
    <rPh sb="31" eb="33">
      <t>ニュウリョク</t>
    </rPh>
    <rPh sb="41" eb="44">
      <t>ホケンリョウ</t>
    </rPh>
    <rPh sb="44" eb="46">
      <t>ネンガク</t>
    </rPh>
    <phoneticPr fontId="5"/>
  </si>
  <si>
    <t>令和７年１月１日
時点の年齢</t>
    <rPh sb="0" eb="2">
      <t>レイワ</t>
    </rPh>
    <rPh sb="3" eb="4">
      <t>ネン</t>
    </rPh>
    <rPh sb="5" eb="6">
      <t>ガツ</t>
    </rPh>
    <rPh sb="7" eb="8">
      <t>ニチ</t>
    </rPh>
    <rPh sb="9" eb="11">
      <t>ジテン</t>
    </rPh>
    <rPh sb="12" eb="14">
      <t>ネンレイ</t>
    </rPh>
    <phoneticPr fontId="5"/>
  </si>
  <si>
    <r>
      <t>　②　それぞれの</t>
    </r>
    <r>
      <rPr>
        <b/>
        <sz val="10"/>
        <color rgb="FFFF0000"/>
        <rFont val="ＭＳ Ｐゴシック"/>
        <family val="3"/>
        <charset val="128"/>
      </rPr>
      <t>令和６年中の収入金額</t>
    </r>
    <r>
      <rPr>
        <b/>
        <sz val="10"/>
        <color theme="3" tint="-0.249977111117893"/>
        <rFont val="ＭＳ Ｐゴシック"/>
        <family val="3"/>
        <charset val="128"/>
      </rPr>
      <t>を入力してください。</t>
    </r>
    <rPh sb="8" eb="10">
      <t>レイワ</t>
    </rPh>
    <rPh sb="11" eb="12">
      <t>ネン</t>
    </rPh>
    <rPh sb="12" eb="13">
      <t>チュウ</t>
    </rPh>
    <rPh sb="13" eb="14">
      <t>ヒラナカ</t>
    </rPh>
    <rPh sb="14" eb="16">
      <t>シュウニュウ</t>
    </rPh>
    <rPh sb="16" eb="18">
      <t>キンガク</t>
    </rPh>
    <rPh sb="19" eb="21">
      <t>ニュウリョク</t>
    </rPh>
    <phoneticPr fontId="5"/>
  </si>
  <si>
    <r>
      <t>令和６年中の所得金額</t>
    </r>
    <r>
      <rPr>
        <b/>
        <sz val="10"/>
        <color theme="3" tint="-0.249977111117893"/>
        <rFont val="ＭＳ Ｐゴシック"/>
        <family val="3"/>
        <charset val="128"/>
      </rPr>
      <t>を入力してください。</t>
    </r>
    <rPh sb="0" eb="2">
      <t>レイワ</t>
    </rPh>
    <rPh sb="3" eb="4">
      <t>ネン</t>
    </rPh>
    <rPh sb="4" eb="5">
      <t>チュウ</t>
    </rPh>
    <rPh sb="6" eb="8">
      <t>ショトク</t>
    </rPh>
    <rPh sb="8" eb="10">
      <t>キンガク</t>
    </rPh>
    <rPh sb="11" eb="13">
      <t>ニュウリョク</t>
    </rPh>
    <phoneticPr fontId="5"/>
  </si>
  <si>
    <r>
      <t>　⑤　それぞれの</t>
    </r>
    <r>
      <rPr>
        <b/>
        <sz val="10"/>
        <color rgb="FFFF0000"/>
        <rFont val="ＭＳ Ｐゴシック"/>
        <family val="3"/>
        <charset val="128"/>
      </rPr>
      <t>令和７年１月１日時点の年齢</t>
    </r>
    <r>
      <rPr>
        <b/>
        <sz val="10"/>
        <color theme="3" tint="-0.249977111117893"/>
        <rFont val="ＭＳ Ｐゴシック"/>
        <family val="3"/>
        <charset val="128"/>
      </rPr>
      <t>を入力してください</t>
    </r>
    <rPh sb="8" eb="10">
      <t>レイワ</t>
    </rPh>
    <rPh sb="11" eb="12">
      <t>ネン</t>
    </rPh>
    <rPh sb="13" eb="14">
      <t>ガツ</t>
    </rPh>
    <rPh sb="15" eb="16">
      <t>ニチ</t>
    </rPh>
    <rPh sb="16" eb="18">
      <t>ジテン</t>
    </rPh>
    <rPh sb="19" eb="21">
      <t>ネンレイ</t>
    </rPh>
    <phoneticPr fontId="5"/>
  </si>
  <si>
    <r>
      <t>　⑥　</t>
    </r>
    <r>
      <rPr>
        <b/>
        <sz val="10"/>
        <color rgb="FFFF0000"/>
        <rFont val="ＭＳ Ｐゴシック"/>
        <family val="3"/>
        <charset val="128"/>
      </rPr>
      <t>令和７年度中未就学のお子様である場合、「１」</t>
    </r>
    <r>
      <rPr>
        <b/>
        <sz val="10"/>
        <color theme="3" tint="-0.249977111117893"/>
        <rFont val="ＭＳ Ｐゴシック"/>
        <family val="3"/>
        <charset val="128"/>
      </rPr>
      <t>と入力して</t>
    </r>
    <rPh sb="3" eb="5">
      <t>レイワ</t>
    </rPh>
    <rPh sb="6" eb="8">
      <t>ネンド</t>
    </rPh>
    <rPh sb="8" eb="9">
      <t>チュウ</t>
    </rPh>
    <rPh sb="9" eb="12">
      <t>ミシュウガク</t>
    </rPh>
    <rPh sb="14" eb="16">
      <t>コサマ</t>
    </rPh>
    <rPh sb="19" eb="21">
      <t>バアイ</t>
    </rPh>
    <rPh sb="26" eb="28">
      <t>ニュウリョク</t>
    </rPh>
    <phoneticPr fontId="5"/>
  </si>
  <si>
    <t>令和７年度 京都市国民健康保険料　簡易計算表（２）</t>
    <rPh sb="0" eb="2">
      <t>レイワ</t>
    </rPh>
    <rPh sb="3" eb="5">
      <t>ネンド</t>
    </rPh>
    <rPh sb="5" eb="7">
      <t>ヘイネンド</t>
    </rPh>
    <rPh sb="6" eb="9">
      <t>キョウトシ</t>
    </rPh>
    <rPh sb="9" eb="11">
      <t>コクミン</t>
    </rPh>
    <rPh sb="11" eb="13">
      <t>ケンコウ</t>
    </rPh>
    <rPh sb="13" eb="16">
      <t>ホケンリョウ</t>
    </rPh>
    <rPh sb="17" eb="19">
      <t>カンイ</t>
    </rPh>
    <rPh sb="19" eb="21">
      <t>ケイサン</t>
    </rPh>
    <rPh sb="21" eb="22">
      <t>ヒョウ</t>
    </rPh>
    <phoneticPr fontId="5"/>
  </si>
  <si>
    <t>●令和７年度の保険料率</t>
    <rPh sb="1" eb="3">
      <t>レイワ</t>
    </rPh>
    <rPh sb="4" eb="6">
      <t>ネンド</t>
    </rPh>
    <rPh sb="6" eb="8">
      <t>ヘイネンド</t>
    </rPh>
    <rPh sb="7" eb="10">
      <t>ホケンリョウ</t>
    </rPh>
    <rPh sb="10" eb="11">
      <t>リツ</t>
    </rPh>
    <phoneticPr fontId="5"/>
  </si>
  <si>
    <r>
      <rPr>
        <sz val="10"/>
        <rFont val="ＭＳ Ｐゴシック"/>
        <family val="3"/>
        <charset val="128"/>
      </rPr>
      <t xml:space="preserve">世帯の所得に応じてかかる額。
</t>
    </r>
    <r>
      <rPr>
        <sz val="9"/>
        <rFont val="ＭＳ Ｐゴシック"/>
        <family val="3"/>
        <charset val="128"/>
      </rPr>
      <t>（＝世帯員各々の「令和６年中の総所得金額等－基礎控除」（所得割基礎額）の計×左記料率）
※介護分は、介護保険第２号被保険者である加入者のみ。</t>
    </r>
    <rPh sb="0" eb="2">
      <t>セタイ</t>
    </rPh>
    <rPh sb="3" eb="5">
      <t>ショトク</t>
    </rPh>
    <rPh sb="6" eb="7">
      <t>オウ</t>
    </rPh>
    <rPh sb="12" eb="13">
      <t>ガク</t>
    </rPh>
    <rPh sb="17" eb="20">
      <t>セタイイン</t>
    </rPh>
    <rPh sb="20" eb="22">
      <t>オノオノ</t>
    </rPh>
    <rPh sb="24" eb="26">
      <t>レイワ</t>
    </rPh>
    <rPh sb="27" eb="28">
      <t>ネン</t>
    </rPh>
    <rPh sb="28" eb="29">
      <t>チュウ</t>
    </rPh>
    <rPh sb="29" eb="30">
      <t>ヒラナカ</t>
    </rPh>
    <rPh sb="30" eb="33">
      <t>ソウショトク</t>
    </rPh>
    <rPh sb="33" eb="35">
      <t>キンガク</t>
    </rPh>
    <rPh sb="35" eb="36">
      <t>トウ</t>
    </rPh>
    <rPh sb="37" eb="39">
      <t>キソ</t>
    </rPh>
    <rPh sb="39" eb="41">
      <t>コウジョ</t>
    </rPh>
    <rPh sb="43" eb="45">
      <t>ショトク</t>
    </rPh>
    <rPh sb="45" eb="46">
      <t>ワリ</t>
    </rPh>
    <rPh sb="46" eb="48">
      <t>キソ</t>
    </rPh>
    <rPh sb="48" eb="49">
      <t>ガク</t>
    </rPh>
    <rPh sb="51" eb="52">
      <t>ケイ</t>
    </rPh>
    <rPh sb="53" eb="55">
      <t>サキ</t>
    </rPh>
    <rPh sb="55" eb="57">
      <t>リョウリツ</t>
    </rPh>
    <rPh sb="56" eb="57">
      <t>リツ</t>
    </rPh>
    <phoneticPr fontId="5"/>
  </si>
  <si>
    <t>※ 未就学児（平成31年4月2日以降生まれの被保険者）がいる場合は、未就学児に係る均等割額を半額に軽減する。</t>
    <rPh sb="2" eb="6">
      <t>ミシュウガクジ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イコウ</t>
    </rPh>
    <rPh sb="18" eb="19">
      <t>ウ</t>
    </rPh>
    <rPh sb="22" eb="26">
      <t>ヒホケンシャ</t>
    </rPh>
    <rPh sb="30" eb="32">
      <t>バアイ</t>
    </rPh>
    <rPh sb="34" eb="38">
      <t>ミシュウガクジ</t>
    </rPh>
    <rPh sb="39" eb="40">
      <t>カカ</t>
    </rPh>
    <rPh sb="41" eb="44">
      <t>キントウワリ</t>
    </rPh>
    <rPh sb="44" eb="45">
      <t>ガク</t>
    </rPh>
    <rPh sb="46" eb="48">
      <t>ハンガク</t>
    </rPh>
    <rPh sb="49" eb="51">
      <t>ケイゲン</t>
    </rPh>
    <phoneticPr fontId="5"/>
  </si>
  <si>
    <r>
      <t>　世帯全員の令和６年中の所得（※１）の合計が、次表の基準金額以下の場合に、保険料の</t>
    </r>
    <r>
      <rPr>
        <sz val="10"/>
        <color rgb="FFFF0000"/>
        <rFont val="ＭＳ Ｐゴシック"/>
        <family val="3"/>
        <charset val="128"/>
      </rPr>
      <t>平等割と均等割が減額</t>
    </r>
    <r>
      <rPr>
        <sz val="10"/>
        <rFont val="ＭＳ Ｐゴシック"/>
        <family val="3"/>
        <charset val="128"/>
      </rPr>
      <t>されます。</t>
    </r>
    <rPh sb="1" eb="3">
      <t>セタイ</t>
    </rPh>
    <rPh sb="3" eb="5">
      <t>ゼンイン</t>
    </rPh>
    <rPh sb="6" eb="8">
      <t>レイワ</t>
    </rPh>
    <rPh sb="9" eb="10">
      <t>ネン</t>
    </rPh>
    <rPh sb="10" eb="11">
      <t>チュウ</t>
    </rPh>
    <rPh sb="11" eb="12">
      <t>ヒラナカ</t>
    </rPh>
    <rPh sb="12" eb="14">
      <t>ショトク</t>
    </rPh>
    <rPh sb="19" eb="21">
      <t>ゴウケイ</t>
    </rPh>
    <rPh sb="23" eb="25">
      <t>ジヒョウ</t>
    </rPh>
    <rPh sb="26" eb="28">
      <t>キジュン</t>
    </rPh>
    <rPh sb="28" eb="30">
      <t>キンガク</t>
    </rPh>
    <rPh sb="30" eb="32">
      <t>イカ</t>
    </rPh>
    <rPh sb="33" eb="35">
      <t>バアイ</t>
    </rPh>
    <rPh sb="37" eb="40">
      <t>ホケンリョウ</t>
    </rPh>
    <rPh sb="41" eb="43">
      <t>ビョウドウ</t>
    </rPh>
    <rPh sb="43" eb="44">
      <t>ワリ</t>
    </rPh>
    <rPh sb="45" eb="48">
      <t>キントウワ</t>
    </rPh>
    <rPh sb="49" eb="51">
      <t>ゲンガク</t>
    </rPh>
    <phoneticPr fontId="5"/>
  </si>
  <si>
    <t>令和６年中の所得（※１）が左記金額以下の場合，
保険料の平等割と均等割が減額されます。</t>
    <rPh sb="0" eb="2">
      <t>レイワ</t>
    </rPh>
    <rPh sb="3" eb="4">
      <t>ネン</t>
    </rPh>
    <rPh sb="4" eb="5">
      <t>チュウ</t>
    </rPh>
    <rPh sb="5" eb="6">
      <t>ヒラナカ</t>
    </rPh>
    <rPh sb="6" eb="8">
      <t>ショトク</t>
    </rPh>
    <rPh sb="13" eb="15">
      <t>サキ</t>
    </rPh>
    <rPh sb="15" eb="17">
      <t>キンガク</t>
    </rPh>
    <rPh sb="17" eb="19">
      <t>イカ</t>
    </rPh>
    <rPh sb="20" eb="22">
      <t>バアイ</t>
    </rPh>
    <rPh sb="24" eb="27">
      <t>ホケンリョウ</t>
    </rPh>
    <rPh sb="28" eb="30">
      <t>ビョウドウ</t>
    </rPh>
    <rPh sb="30" eb="31">
      <t>ワリ</t>
    </rPh>
    <rPh sb="32" eb="35">
      <t>キントウワ</t>
    </rPh>
    <rPh sb="36" eb="38">
      <t>ゲンガク</t>
    </rPh>
    <phoneticPr fontId="5"/>
  </si>
  <si>
    <t>　　　・被保険者でない国保上の世帯主の所得も判定に含まれます。
　　　・事業収入の場合、青色専従者及び事業専従者控除は必要経費に含まれません。
　　　・給与収入の場合、専従者給与額は含まれません。
　　　・公的年金収入の場合、昭和３５年１月１日以前生まれの方は、公的年金等控除に加え、さらに１５万円を控除します。
　　　・土地、建物等の譲渡所得は、譲渡所得に係る特別控除を差し引く前の金額となります。</t>
    <rPh sb="4" eb="8">
      <t>ヒホケンシャ</t>
    </rPh>
    <rPh sb="11" eb="13">
      <t>コクホ</t>
    </rPh>
    <rPh sb="13" eb="14">
      <t>ジョウ</t>
    </rPh>
    <rPh sb="15" eb="18">
      <t>セタイヌシ</t>
    </rPh>
    <rPh sb="19" eb="21">
      <t>ショトク</t>
    </rPh>
    <rPh sb="22" eb="24">
      <t>ハンテイ</t>
    </rPh>
    <rPh sb="25" eb="26">
      <t>フク</t>
    </rPh>
    <rPh sb="36" eb="38">
      <t>ジギョウ</t>
    </rPh>
    <rPh sb="38" eb="40">
      <t>シュウニュウ</t>
    </rPh>
    <rPh sb="41" eb="43">
      <t>バアイ</t>
    </rPh>
    <rPh sb="44" eb="46">
      <t>アオイロ</t>
    </rPh>
    <rPh sb="46" eb="49">
      <t>センジュウシャ</t>
    </rPh>
    <rPh sb="49" eb="50">
      <t>オヨ</t>
    </rPh>
    <rPh sb="51" eb="53">
      <t>ジギョウ</t>
    </rPh>
    <rPh sb="53" eb="56">
      <t>センジュウシャ</t>
    </rPh>
    <rPh sb="56" eb="58">
      <t>コウジョ</t>
    </rPh>
    <rPh sb="59" eb="61">
      <t>ヒツヨウ</t>
    </rPh>
    <rPh sb="61" eb="63">
      <t>ケイヒ</t>
    </rPh>
    <rPh sb="64" eb="65">
      <t>フク</t>
    </rPh>
    <rPh sb="76" eb="78">
      <t>キュウヨ</t>
    </rPh>
    <rPh sb="78" eb="80">
      <t>シュウニュウ</t>
    </rPh>
    <rPh sb="81" eb="83">
      <t>バアイ</t>
    </rPh>
    <rPh sb="84" eb="87">
      <t>センジュウシャ</t>
    </rPh>
    <rPh sb="87" eb="89">
      <t>キュウヨ</t>
    </rPh>
    <rPh sb="89" eb="90">
      <t>ガク</t>
    </rPh>
    <rPh sb="91" eb="92">
      <t>フク</t>
    </rPh>
    <rPh sb="103" eb="105">
      <t>コウテキ</t>
    </rPh>
    <rPh sb="105" eb="107">
      <t>ネンキン</t>
    </rPh>
    <rPh sb="107" eb="109">
      <t>シュウニュウ</t>
    </rPh>
    <rPh sb="110" eb="112">
      <t>バアイ</t>
    </rPh>
    <rPh sb="113" eb="115">
      <t>ショウワ</t>
    </rPh>
    <rPh sb="117" eb="118">
      <t>ネン</t>
    </rPh>
    <rPh sb="119" eb="120">
      <t>ガツ</t>
    </rPh>
    <rPh sb="121" eb="122">
      <t>ニチ</t>
    </rPh>
    <rPh sb="122" eb="124">
      <t>イゼン</t>
    </rPh>
    <rPh sb="124" eb="125">
      <t>ウ</t>
    </rPh>
    <rPh sb="128" eb="129">
      <t>カタ</t>
    </rPh>
    <rPh sb="131" eb="133">
      <t>コウテキ</t>
    </rPh>
    <rPh sb="133" eb="135">
      <t>ネンキン</t>
    </rPh>
    <rPh sb="135" eb="136">
      <t>トウ</t>
    </rPh>
    <rPh sb="136" eb="138">
      <t>コウジョ</t>
    </rPh>
    <rPh sb="139" eb="140">
      <t>クワ</t>
    </rPh>
    <rPh sb="147" eb="149">
      <t>マンエン</t>
    </rPh>
    <rPh sb="150" eb="152">
      <t>コウジョ</t>
    </rPh>
    <rPh sb="161" eb="163">
      <t>トチ</t>
    </rPh>
    <rPh sb="164" eb="166">
      <t>タテモノ</t>
    </rPh>
    <rPh sb="166" eb="167">
      <t>トウ</t>
    </rPh>
    <rPh sb="168" eb="170">
      <t>ジョウト</t>
    </rPh>
    <rPh sb="170" eb="172">
      <t>ショトク</t>
    </rPh>
    <rPh sb="174" eb="176">
      <t>ジョウト</t>
    </rPh>
    <rPh sb="176" eb="178">
      <t>ショトク</t>
    </rPh>
    <rPh sb="179" eb="180">
      <t>カカ</t>
    </rPh>
    <rPh sb="181" eb="183">
      <t>トクベツ</t>
    </rPh>
    <rPh sb="183" eb="185">
      <t>コウジョ</t>
    </rPh>
    <rPh sb="186" eb="187">
      <t>サ</t>
    </rPh>
    <rPh sb="188" eb="189">
      <t>ヒ</t>
    </rPh>
    <rPh sb="190" eb="191">
      <t>マエ</t>
    </rPh>
    <rPh sb="192" eb="194">
      <t>キンガク</t>
    </rPh>
    <phoneticPr fontId="5"/>
  </si>
  <si>
    <t>令和６年中の
総所得金額等（※）</t>
    <rPh sb="0" eb="2">
      <t>レイワ</t>
    </rPh>
    <rPh sb="3" eb="4">
      <t>ネン</t>
    </rPh>
    <rPh sb="4" eb="5">
      <t>チュウ</t>
    </rPh>
    <rPh sb="5" eb="6">
      <t>ヒラナカ</t>
    </rPh>
    <rPh sb="7" eb="10">
      <t>ソウショトク</t>
    </rPh>
    <rPh sb="10" eb="12">
      <t>キンガク</t>
    </rPh>
    <rPh sb="12" eb="13">
      <t>トウ</t>
    </rPh>
    <phoneticPr fontId="2"/>
  </si>
  <si>
    <t>　正しい法定減額の計算は住所地の区役所・支所市民総合窓口室保険年金担当</t>
    <rPh sb="1" eb="2">
      <t>タダ</t>
    </rPh>
    <rPh sb="4" eb="6">
      <t>ホウテイ</t>
    </rPh>
    <rPh sb="6" eb="8">
      <t>ゲンガク</t>
    </rPh>
    <rPh sb="9" eb="11">
      <t>ケイサン</t>
    </rPh>
    <rPh sb="12" eb="14">
      <t>ジュウショ</t>
    </rPh>
    <rPh sb="14" eb="15">
      <t>チ</t>
    </rPh>
    <rPh sb="16" eb="19">
      <t>クヤクショ</t>
    </rPh>
    <rPh sb="20" eb="22">
      <t>シショ</t>
    </rPh>
    <rPh sb="22" eb="24">
      <t>シミン</t>
    </rPh>
    <rPh sb="24" eb="26">
      <t>ソウゴウ</t>
    </rPh>
    <rPh sb="26" eb="28">
      <t>マドグチ</t>
    </rPh>
    <rPh sb="28" eb="29">
      <t>シツ</t>
    </rPh>
    <rPh sb="29" eb="31">
      <t>ホケン</t>
    </rPh>
    <rPh sb="31" eb="33">
      <t>ネンキン</t>
    </rPh>
    <rPh sb="33" eb="35">
      <t>タントウ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</si>
</sst>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&quot;【&quot;#&quot;】&quot;"/>
    <numFmt numFmtId="177" formatCode="##,###&quot;円&quot;"/>
    <numFmt numFmtId="178" formatCode="###,###&quot;円&quot;"/>
    <numFmt numFmtId="179" formatCode="\(###,###&quot;円×被保険者数）&quot;"/>
    <numFmt numFmtId="180" formatCode="#&quot;人&quot;"/>
    <numFmt numFmtId="181" formatCode="&quot;【&quot;#&quot;人&quot;&quot;目&quot;&quot;】&quot;"/>
    <numFmt numFmtId="182" formatCode="#,##0_);[Red]\(#,##0\)"/>
    <numFmt numFmtId="183" formatCode="#,##0_ "/>
    <numFmt numFmtId="184" formatCode="#,###&quot;円&quot;"/>
    <numFmt numFmtId="185" formatCode="##,###&quot;歳&quot;"/>
    <numFmt numFmtId="186" formatCode="&quot;（給与所得者等の数ー&quot;#,##0&quot;）&quot;"/>
    <numFmt numFmtId="187" formatCode="&quot;×&quot;#,##0&quot;円&quot;"/>
    <numFmt numFmtId="188" formatCode="\+\(###,###&quot;円×被保険者数）&quot;"/>
    <numFmt numFmtId="189" formatCode="###,###&quot;円+&quot;"/>
    <numFmt numFmtId="190" formatCode="#,###&quot;円+&quot;"/>
    <numFmt numFmtId="191" formatCode="#,##0&quot;割軽減が適用されます。&quot;"/>
    <numFmt numFmtId="192" formatCode="&quot;＋（給与所得者等の数ー&quot;#,##0&quot;）&quot;"/>
    <numFmt numFmtId="193" formatCode="0&quot;人&quot;"/>
    <numFmt numFmtId="194" formatCode="##,##0&quot;円&quot;"/>
  </numFmts>
  <fonts count="7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b/>
      <sz val="10"/>
      <color theme="3" tint="-0.249977111117893"/>
      <name val="ＭＳ Ｐゴシック"/>
      <family val="3"/>
      <charset val="128"/>
    </font>
    <font>
      <b/>
      <sz val="18"/>
      <color theme="3" tint="-0.249977111117893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8"/>
      <color theme="3" tint="-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8"/>
      <color theme="3" tint="-0.49998474074526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i/>
      <sz val="10"/>
      <color theme="4" tint="-0.249977111117893"/>
      <name val="ＭＳ Ｐゴシック"/>
      <family val="3"/>
      <charset val="128"/>
    </font>
    <font>
      <b/>
      <i/>
      <sz val="12"/>
      <color theme="4" tint="-0.249977111117893"/>
      <name val="ＭＳ Ｐゴシック"/>
      <family val="3"/>
      <charset val="128"/>
    </font>
    <font>
      <sz val="26"/>
      <color theme="1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sz val="9"/>
      <color theme="3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rgb="FF00B0F0"/>
      <name val="ＭＳ Ｐゴシック"/>
      <family val="3"/>
      <charset val="128"/>
      <scheme val="minor"/>
    </font>
    <font>
      <sz val="18"/>
      <color rgb="FFFF00FF"/>
      <name val="ＭＳ Ｐゴシック"/>
      <family val="3"/>
      <charset val="128"/>
      <scheme val="minor"/>
    </font>
    <font>
      <sz val="18"/>
      <color rgb="FF00B050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theme="3" tint="-0.249977111117893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4" fillId="0" borderId="0">
      <alignment vertical="center"/>
    </xf>
  </cellStyleXfs>
  <cellXfs count="686">
    <xf numFmtId="0" fontId="0" fillId="0" borderId="0" xfId="0">
      <alignment vertical="center"/>
    </xf>
    <xf numFmtId="0" fontId="4" fillId="0" borderId="0" xfId="1" applyFont="1">
      <alignment vertical="center"/>
    </xf>
    <xf numFmtId="0" fontId="11" fillId="0" borderId="0" xfId="0" applyFo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0" xfId="1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179" fontId="4" fillId="0" borderId="0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176" fontId="6" fillId="2" borderId="17" xfId="1" applyNumberFormat="1" applyFont="1" applyFill="1" applyBorder="1" applyAlignment="1">
      <alignment horizontal="right" vertical="center" shrinkToFit="1"/>
    </xf>
    <xf numFmtId="176" fontId="6" fillId="2" borderId="18" xfId="1" applyNumberFormat="1" applyFont="1" applyFill="1" applyBorder="1" applyAlignment="1">
      <alignment horizontal="right" vertical="center" shrinkToFit="1"/>
    </xf>
    <xf numFmtId="176" fontId="6" fillId="2" borderId="38" xfId="1" applyNumberFormat="1" applyFont="1" applyFill="1" applyBorder="1" applyAlignment="1">
      <alignment horizontal="right" vertical="center" shrinkToFit="1"/>
    </xf>
    <xf numFmtId="0" fontId="4" fillId="0" borderId="2" xfId="1" applyFont="1" applyBorder="1">
      <alignment vertical="center"/>
    </xf>
    <xf numFmtId="0" fontId="13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4" fillId="0" borderId="8" xfId="1" applyFont="1" applyBorder="1">
      <alignment vertical="center"/>
    </xf>
    <xf numFmtId="0" fontId="1" fillId="0" borderId="0" xfId="1" applyFont="1" applyBorder="1">
      <alignment vertical="center"/>
    </xf>
    <xf numFmtId="0" fontId="4" fillId="0" borderId="1" xfId="1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4" fillId="0" borderId="4" xfId="1" applyFont="1" applyBorder="1">
      <alignment vertical="center"/>
    </xf>
    <xf numFmtId="0" fontId="13" fillId="0" borderId="5" xfId="0" applyFont="1" applyBorder="1">
      <alignment vertical="center"/>
    </xf>
    <xf numFmtId="0" fontId="4" fillId="0" borderId="5" xfId="1" applyFont="1" applyFill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0" fillId="0" borderId="0" xfId="1" applyFont="1" applyBorder="1">
      <alignment vertical="center"/>
    </xf>
    <xf numFmtId="0" fontId="10" fillId="0" borderId="1" xfId="1" applyFont="1" applyBorder="1">
      <alignment vertical="center"/>
    </xf>
    <xf numFmtId="0" fontId="6" fillId="0" borderId="0" xfId="1" applyFont="1" applyBorder="1">
      <alignment vertical="center"/>
    </xf>
    <xf numFmtId="0" fontId="9" fillId="0" borderId="0" xfId="0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0" applyFont="1" applyBorder="1">
      <alignment vertical="center"/>
    </xf>
    <xf numFmtId="0" fontId="0" fillId="0" borderId="4" xfId="0" applyBorder="1">
      <alignment vertical="center"/>
    </xf>
    <xf numFmtId="0" fontId="8" fillId="0" borderId="5" xfId="0" applyFont="1" applyBorder="1">
      <alignment vertical="center"/>
    </xf>
    <xf numFmtId="0" fontId="4" fillId="0" borderId="5" xfId="1" applyFont="1" applyBorder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11" fillId="4" borderId="3" xfId="0" applyFont="1" applyFill="1" applyBorder="1">
      <alignment vertical="center"/>
    </xf>
    <xf numFmtId="0" fontId="11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3" fillId="4" borderId="1" xfId="1" applyFont="1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3" fillId="4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4" fillId="5" borderId="2" xfId="1" applyFont="1" applyFill="1" applyBorder="1">
      <alignment vertical="center"/>
    </xf>
    <xf numFmtId="0" fontId="4" fillId="5" borderId="3" xfId="1" applyFont="1" applyFill="1" applyBorder="1">
      <alignment vertical="center"/>
    </xf>
    <xf numFmtId="0" fontId="4" fillId="5" borderId="6" xfId="1" applyFont="1" applyFill="1" applyBorder="1">
      <alignment vertical="center"/>
    </xf>
    <xf numFmtId="0" fontId="4" fillId="5" borderId="8" xfId="1" applyFont="1" applyFill="1" applyBorder="1">
      <alignment vertical="center"/>
    </xf>
    <xf numFmtId="0" fontId="4" fillId="5" borderId="0" xfId="1" applyFont="1" applyFill="1" applyBorder="1">
      <alignment vertical="center"/>
    </xf>
    <xf numFmtId="0" fontId="4" fillId="5" borderId="1" xfId="1" applyFont="1" applyFill="1" applyBorder="1">
      <alignment vertical="center"/>
    </xf>
    <xf numFmtId="0" fontId="0" fillId="5" borderId="4" xfId="0" applyFill="1" applyBorder="1">
      <alignment vertical="center"/>
    </xf>
    <xf numFmtId="0" fontId="4" fillId="5" borderId="7" xfId="1" applyFont="1" applyFill="1" applyBorder="1">
      <alignment vertical="center"/>
    </xf>
    <xf numFmtId="0" fontId="0" fillId="5" borderId="5" xfId="0" applyFill="1" applyBorder="1">
      <alignment vertical="center"/>
    </xf>
    <xf numFmtId="0" fontId="4" fillId="6" borderId="2" xfId="1" applyFont="1" applyFill="1" applyBorder="1" applyAlignment="1">
      <alignment vertical="center"/>
    </xf>
    <xf numFmtId="0" fontId="3" fillId="6" borderId="8" xfId="1" applyFont="1" applyFill="1" applyBorder="1" applyAlignment="1">
      <alignment horizontal="center" vertical="center"/>
    </xf>
    <xf numFmtId="0" fontId="1" fillId="6" borderId="8" xfId="1" applyFill="1" applyBorder="1">
      <alignment vertical="center"/>
    </xf>
    <xf numFmtId="0" fontId="4" fillId="6" borderId="8" xfId="1" applyFont="1" applyFill="1" applyBorder="1">
      <alignment vertical="center"/>
    </xf>
    <xf numFmtId="0" fontId="4" fillId="6" borderId="4" xfId="1" applyFont="1" applyFill="1" applyBorder="1" applyAlignment="1">
      <alignment horizontal="center" vertical="center"/>
    </xf>
    <xf numFmtId="0" fontId="4" fillId="0" borderId="42" xfId="1" applyFont="1" applyBorder="1">
      <alignment vertical="center"/>
    </xf>
    <xf numFmtId="0" fontId="0" fillId="0" borderId="42" xfId="0" applyBorder="1">
      <alignment vertical="center"/>
    </xf>
    <xf numFmtId="0" fontId="22" fillId="0" borderId="0" xfId="1" applyFont="1" applyBorder="1">
      <alignment vertical="center"/>
    </xf>
    <xf numFmtId="0" fontId="26" fillId="0" borderId="0" xfId="1" applyFont="1" applyBorder="1">
      <alignment vertical="center"/>
    </xf>
    <xf numFmtId="0" fontId="27" fillId="0" borderId="0" xfId="1" applyFont="1" applyBorder="1" applyAlignment="1">
      <alignment vertical="top"/>
    </xf>
    <xf numFmtId="0" fontId="27" fillId="0" borderId="0" xfId="1" applyFont="1" applyBorder="1" applyAlignment="1"/>
    <xf numFmtId="0" fontId="24" fillId="0" borderId="0" xfId="1" applyFont="1" applyBorder="1">
      <alignment vertical="center"/>
    </xf>
    <xf numFmtId="0" fontId="28" fillId="0" borderId="0" xfId="0" applyFont="1" applyBorder="1">
      <alignment vertical="center"/>
    </xf>
    <xf numFmtId="0" fontId="26" fillId="0" borderId="1" xfId="1" applyFont="1" applyBorder="1" applyAlignment="1">
      <alignment vertical="center" wrapText="1"/>
    </xf>
    <xf numFmtId="0" fontId="0" fillId="7" borderId="0" xfId="0" applyFill="1">
      <alignment vertical="center"/>
    </xf>
    <xf numFmtId="0" fontId="8" fillId="7" borderId="0" xfId="0" applyFont="1" applyFill="1">
      <alignment vertical="center"/>
    </xf>
    <xf numFmtId="0" fontId="4" fillId="7" borderId="0" xfId="1" applyFont="1" applyFill="1">
      <alignment vertical="center"/>
    </xf>
    <xf numFmtId="0" fontId="11" fillId="7" borderId="0" xfId="0" applyFont="1" applyFill="1">
      <alignment vertical="center"/>
    </xf>
    <xf numFmtId="0" fontId="13" fillId="7" borderId="0" xfId="0" applyFont="1" applyFill="1">
      <alignment vertical="center"/>
    </xf>
    <xf numFmtId="0" fontId="0" fillId="7" borderId="1" xfId="0" applyFill="1" applyBorder="1">
      <alignment vertical="center"/>
    </xf>
    <xf numFmtId="0" fontId="11" fillId="7" borderId="0" xfId="0" applyFont="1" applyFill="1" applyBorder="1">
      <alignment vertical="center"/>
    </xf>
    <xf numFmtId="0" fontId="3" fillId="7" borderId="0" xfId="1" applyFont="1" applyFill="1" applyBorder="1" applyAlignment="1">
      <alignment horizontal="center" vertical="center"/>
    </xf>
    <xf numFmtId="0" fontId="12" fillId="7" borderId="0" xfId="1" applyFont="1" applyFill="1" applyBorder="1" applyAlignment="1">
      <alignment horizontal="center" vertical="center"/>
    </xf>
    <xf numFmtId="0" fontId="10" fillId="7" borderId="0" xfId="1" applyFont="1" applyFill="1" applyBorder="1">
      <alignment vertical="center"/>
    </xf>
    <xf numFmtId="0" fontId="4" fillId="7" borderId="0" xfId="1" applyFont="1" applyFill="1" applyBorder="1">
      <alignment vertical="center"/>
    </xf>
    <xf numFmtId="0" fontId="0" fillId="7" borderId="0" xfId="0" applyFill="1" applyBorder="1">
      <alignment vertical="center"/>
    </xf>
    <xf numFmtId="0" fontId="3" fillId="7" borderId="0" xfId="1" applyFont="1" applyFill="1" applyAlignment="1">
      <alignment horizontal="center" vertical="center"/>
    </xf>
    <xf numFmtId="0" fontId="12" fillId="7" borderId="0" xfId="1" applyFont="1" applyFill="1" applyAlignment="1">
      <alignment horizontal="center" vertical="center"/>
    </xf>
    <xf numFmtId="0" fontId="10" fillId="7" borderId="0" xfId="1" applyFont="1" applyFill="1">
      <alignment vertical="center"/>
    </xf>
    <xf numFmtId="0" fontId="13" fillId="7" borderId="0" xfId="0" applyFont="1" applyFill="1" applyBorder="1">
      <alignment vertical="center"/>
    </xf>
    <xf numFmtId="176" fontId="4" fillId="2" borderId="18" xfId="1" applyNumberFormat="1" applyFont="1" applyFill="1" applyBorder="1" applyAlignment="1">
      <alignment horizontal="center" vertical="center" shrinkToFit="1"/>
    </xf>
    <xf numFmtId="0" fontId="29" fillId="5" borderId="0" xfId="1" applyFont="1" applyFill="1" applyBorder="1">
      <alignment vertical="center"/>
    </xf>
    <xf numFmtId="0" fontId="4" fillId="0" borderId="0" xfId="1" applyFont="1" applyBorder="1" applyAlignment="1">
      <alignment horizontal="left"/>
    </xf>
    <xf numFmtId="181" fontId="6" fillId="6" borderId="8" xfId="1" applyNumberFormat="1" applyFont="1" applyFill="1" applyBorder="1" applyAlignment="1">
      <alignment horizontal="right" vertical="center" shrinkToFit="1"/>
    </xf>
    <xf numFmtId="0" fontId="4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8" borderId="0" xfId="1" applyFont="1" applyFill="1" applyBorder="1" applyAlignment="1">
      <alignment horizontal="left" vertical="center"/>
    </xf>
    <xf numFmtId="176" fontId="4" fillId="8" borderId="0" xfId="1" applyNumberFormat="1" applyFont="1" applyFill="1" applyBorder="1" applyAlignment="1">
      <alignment horizontal="center" vertical="center" shrinkToFit="1"/>
    </xf>
    <xf numFmtId="178" fontId="6" fillId="8" borderId="0" xfId="1" applyNumberFormat="1" applyFont="1" applyFill="1" applyBorder="1" applyAlignment="1">
      <alignment horizontal="right" vertical="center" indent="2"/>
    </xf>
    <xf numFmtId="180" fontId="6" fillId="8" borderId="0" xfId="1" applyNumberFormat="1" applyFont="1" applyFill="1" applyBorder="1" applyAlignment="1">
      <alignment horizontal="center" vertical="center"/>
    </xf>
    <xf numFmtId="0" fontId="13" fillId="8" borderId="0" xfId="0" applyFont="1" applyFill="1" applyBorder="1">
      <alignment vertical="center"/>
    </xf>
    <xf numFmtId="0" fontId="26" fillId="0" borderId="0" xfId="1" applyFont="1" applyFill="1" applyBorder="1" applyAlignment="1"/>
    <xf numFmtId="0" fontId="26" fillId="0" borderId="0" xfId="1" applyFont="1" applyFill="1" applyBorder="1">
      <alignment vertical="center"/>
    </xf>
    <xf numFmtId="0" fontId="4" fillId="5" borderId="42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4" fillId="6" borderId="8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34" fillId="0" borderId="0" xfId="3" applyProtection="1">
      <alignment vertical="center"/>
    </xf>
    <xf numFmtId="0" fontId="34" fillId="9" borderId="0" xfId="3" applyFill="1" applyProtection="1">
      <alignment vertical="center"/>
    </xf>
    <xf numFmtId="0" fontId="34" fillId="8" borderId="5" xfId="3" applyFill="1" applyBorder="1" applyProtection="1">
      <alignment vertical="center"/>
    </xf>
    <xf numFmtId="0" fontId="34" fillId="10" borderId="5" xfId="3" applyFill="1" applyBorder="1" applyProtection="1">
      <alignment vertical="center"/>
    </xf>
    <xf numFmtId="0" fontId="34" fillId="8" borderId="0" xfId="3" applyFill="1" applyBorder="1" applyProtection="1">
      <alignment vertical="center"/>
    </xf>
    <xf numFmtId="0" fontId="39" fillId="2" borderId="12" xfId="3" applyFont="1" applyFill="1" applyBorder="1" applyProtection="1">
      <alignment vertical="center"/>
    </xf>
    <xf numFmtId="182" fontId="34" fillId="8" borderId="0" xfId="3" applyNumberFormat="1" applyFill="1" applyBorder="1" applyAlignment="1" applyProtection="1">
      <alignment horizontal="center" vertical="center"/>
    </xf>
    <xf numFmtId="182" fontId="34" fillId="8" borderId="0" xfId="3" applyNumberFormat="1" applyFill="1" applyBorder="1" applyProtection="1">
      <alignment vertical="center"/>
    </xf>
    <xf numFmtId="0" fontId="4" fillId="6" borderId="0" xfId="1" applyFont="1" applyFill="1" applyBorder="1" applyAlignment="1">
      <alignment horizontal="center" vertical="center"/>
    </xf>
    <xf numFmtId="0" fontId="18" fillId="6" borderId="8" xfId="1" applyFont="1" applyFill="1" applyBorder="1" applyAlignment="1">
      <alignment vertical="center"/>
    </xf>
    <xf numFmtId="0" fontId="18" fillId="6" borderId="0" xfId="1" applyFont="1" applyFill="1" applyBorder="1" applyAlignment="1">
      <alignment vertical="center"/>
    </xf>
    <xf numFmtId="180" fontId="32" fillId="6" borderId="8" xfId="1" applyNumberFormat="1" applyFont="1" applyFill="1" applyBorder="1" applyAlignment="1" applyProtection="1">
      <alignment vertical="center"/>
      <protection locked="0"/>
    </xf>
    <xf numFmtId="180" fontId="32" fillId="6" borderId="0" xfId="1" applyNumberFormat="1" applyFont="1" applyFill="1" applyBorder="1" applyAlignment="1" applyProtection="1">
      <alignment vertical="center"/>
      <protection locked="0"/>
    </xf>
    <xf numFmtId="181" fontId="47" fillId="6" borderId="0" xfId="1" applyNumberFormat="1" applyFont="1" applyFill="1" applyBorder="1" applyAlignment="1">
      <alignment horizontal="right" vertical="center" shrinkToFit="1"/>
    </xf>
    <xf numFmtId="181" fontId="48" fillId="6" borderId="8" xfId="1" applyNumberFormat="1" applyFont="1" applyFill="1" applyBorder="1" applyAlignment="1">
      <alignment horizontal="right" vertical="center" shrinkToFit="1"/>
    </xf>
    <xf numFmtId="181" fontId="49" fillId="6" borderId="0" xfId="1" applyNumberFormat="1" applyFont="1" applyFill="1" applyBorder="1" applyAlignment="1">
      <alignment horizontal="right" vertical="center" shrinkToFit="1"/>
    </xf>
    <xf numFmtId="0" fontId="52" fillId="2" borderId="12" xfId="3" applyFont="1" applyFill="1" applyBorder="1" applyAlignment="1" applyProtection="1">
      <alignment vertical="center" wrapText="1"/>
    </xf>
    <xf numFmtId="0" fontId="52" fillId="3" borderId="12" xfId="3" applyFont="1" applyFill="1" applyBorder="1" applyAlignment="1" applyProtection="1">
      <alignment vertical="center" wrapText="1"/>
    </xf>
    <xf numFmtId="0" fontId="46" fillId="3" borderId="12" xfId="3" applyFont="1" applyFill="1" applyBorder="1" applyProtection="1">
      <alignment vertical="center"/>
    </xf>
    <xf numFmtId="0" fontId="52" fillId="11" borderId="12" xfId="3" applyFont="1" applyFill="1" applyBorder="1" applyAlignment="1" applyProtection="1">
      <alignment vertical="center" wrapText="1"/>
    </xf>
    <xf numFmtId="0" fontId="39" fillId="11" borderId="12" xfId="3" applyFont="1" applyFill="1" applyBorder="1" applyProtection="1">
      <alignment vertical="center"/>
    </xf>
    <xf numFmtId="0" fontId="42" fillId="12" borderId="3" xfId="3" applyFont="1" applyFill="1" applyBorder="1" applyAlignment="1" applyProtection="1">
      <alignment vertical="center"/>
    </xf>
    <xf numFmtId="0" fontId="34" fillId="12" borderId="8" xfId="3" applyFill="1" applyBorder="1" applyProtection="1">
      <alignment vertical="center"/>
    </xf>
    <xf numFmtId="0" fontId="34" fillId="12" borderId="0" xfId="3" applyFill="1" applyBorder="1" applyProtection="1">
      <alignment vertical="center"/>
    </xf>
    <xf numFmtId="0" fontId="39" fillId="12" borderId="0" xfId="3" applyFont="1" applyFill="1" applyBorder="1" applyAlignment="1" applyProtection="1">
      <alignment vertical="center" textRotation="255"/>
    </xf>
    <xf numFmtId="0" fontId="34" fillId="12" borderId="4" xfId="3" applyFill="1" applyBorder="1" applyProtection="1">
      <alignment vertical="center"/>
    </xf>
    <xf numFmtId="0" fontId="34" fillId="12" borderId="5" xfId="3" applyFill="1" applyBorder="1" applyProtection="1">
      <alignment vertical="center"/>
    </xf>
    <xf numFmtId="0" fontId="39" fillId="0" borderId="15" xfId="3" applyFont="1" applyFill="1" applyBorder="1" applyProtection="1">
      <alignment vertical="center"/>
    </xf>
    <xf numFmtId="0" fontId="39" fillId="0" borderId="12" xfId="3" applyFont="1" applyFill="1" applyBorder="1" applyProtection="1">
      <alignment vertical="center"/>
    </xf>
    <xf numFmtId="9" fontId="39" fillId="0" borderId="15" xfId="3" applyNumberFormat="1" applyFont="1" applyFill="1" applyBorder="1" applyProtection="1">
      <alignment vertical="center"/>
    </xf>
    <xf numFmtId="182" fontId="39" fillId="0" borderId="12" xfId="3" applyNumberFormat="1" applyFont="1" applyFill="1" applyBorder="1" applyProtection="1">
      <alignment vertical="center"/>
    </xf>
    <xf numFmtId="9" fontId="46" fillId="0" borderId="15" xfId="3" applyNumberFormat="1" applyFont="1" applyFill="1" applyBorder="1" applyProtection="1">
      <alignment vertical="center"/>
    </xf>
    <xf numFmtId="182" fontId="46" fillId="0" borderId="12" xfId="3" applyNumberFormat="1" applyFont="1" applyFill="1" applyBorder="1" applyProtection="1">
      <alignment vertical="center"/>
    </xf>
    <xf numFmtId="0" fontId="42" fillId="9" borderId="3" xfId="3" applyFont="1" applyFill="1" applyBorder="1" applyAlignment="1" applyProtection="1">
      <alignment vertical="center"/>
    </xf>
    <xf numFmtId="0" fontId="13" fillId="9" borderId="0" xfId="3" applyFont="1" applyFill="1" applyBorder="1" applyProtection="1">
      <alignment vertical="center"/>
    </xf>
    <xf numFmtId="0" fontId="39" fillId="9" borderId="0" xfId="3" applyFont="1" applyFill="1" applyBorder="1" applyProtection="1">
      <alignment vertical="center"/>
    </xf>
    <xf numFmtId="0" fontId="34" fillId="9" borderId="0" xfId="3" applyFill="1" applyBorder="1" applyProtection="1">
      <alignment vertical="center"/>
    </xf>
    <xf numFmtId="0" fontId="34" fillId="9" borderId="3" xfId="3" applyFill="1" applyBorder="1" applyProtection="1">
      <alignment vertical="center"/>
    </xf>
    <xf numFmtId="0" fontId="34" fillId="9" borderId="6" xfId="3" applyFill="1" applyBorder="1" applyProtection="1">
      <alignment vertical="center"/>
    </xf>
    <xf numFmtId="0" fontId="41" fillId="9" borderId="0" xfId="3" applyFont="1" applyFill="1" applyBorder="1" applyAlignment="1" applyProtection="1">
      <alignment vertical="center"/>
    </xf>
    <xf numFmtId="0" fontId="34" fillId="9" borderId="1" xfId="3" applyFill="1" applyBorder="1" applyProtection="1">
      <alignment vertical="center"/>
    </xf>
    <xf numFmtId="0" fontId="36" fillId="9" borderId="0" xfId="3" applyFont="1" applyFill="1" applyBorder="1" applyAlignment="1" applyProtection="1">
      <alignment vertical="center"/>
    </xf>
    <xf numFmtId="183" fontId="38" fillId="9" borderId="0" xfId="3" applyNumberFormat="1" applyFont="1" applyFill="1" applyBorder="1" applyAlignment="1" applyProtection="1">
      <alignment vertical="center"/>
    </xf>
    <xf numFmtId="0" fontId="37" fillId="9" borderId="0" xfId="3" applyFont="1" applyFill="1" applyBorder="1" applyAlignment="1" applyProtection="1">
      <alignment vertical="center"/>
    </xf>
    <xf numFmtId="0" fontId="34" fillId="9" borderId="5" xfId="3" applyFill="1" applyBorder="1" applyProtection="1">
      <alignment vertical="center"/>
    </xf>
    <xf numFmtId="0" fontId="34" fillId="9" borderId="7" xfId="3" applyFill="1" applyBorder="1" applyProtection="1">
      <alignment vertical="center"/>
    </xf>
    <xf numFmtId="0" fontId="34" fillId="9" borderId="8" xfId="3" applyFill="1" applyBorder="1" applyProtection="1">
      <alignment vertical="center"/>
    </xf>
    <xf numFmtId="0" fontId="39" fillId="9" borderId="0" xfId="3" applyFont="1" applyFill="1" applyBorder="1" applyAlignment="1" applyProtection="1">
      <alignment vertical="center" textRotation="255"/>
    </xf>
    <xf numFmtId="0" fontId="34" fillId="9" borderId="4" xfId="3" applyFill="1" applyBorder="1" applyProtection="1">
      <alignment vertical="center"/>
    </xf>
    <xf numFmtId="182" fontId="34" fillId="9" borderId="5" xfId="3" applyNumberFormat="1" applyFill="1" applyBorder="1" applyAlignment="1" applyProtection="1">
      <alignment horizontal="center" vertical="center"/>
    </xf>
    <xf numFmtId="182" fontId="34" fillId="9" borderId="5" xfId="3" applyNumberFormat="1" applyFill="1" applyBorder="1" applyProtection="1">
      <alignment vertical="center"/>
    </xf>
    <xf numFmtId="0" fontId="13" fillId="9" borderId="0" xfId="3" applyFont="1" applyFill="1" applyBorder="1" applyAlignment="1" applyProtection="1">
      <alignment vertical="center" wrapText="1"/>
    </xf>
    <xf numFmtId="0" fontId="39" fillId="9" borderId="0" xfId="3" applyFont="1" applyFill="1" applyBorder="1" applyAlignment="1" applyProtection="1">
      <alignment vertical="center"/>
    </xf>
    <xf numFmtId="0" fontId="13" fillId="12" borderId="0" xfId="3" applyFont="1" applyFill="1" applyBorder="1" applyProtection="1">
      <alignment vertical="center"/>
    </xf>
    <xf numFmtId="0" fontId="53" fillId="9" borderId="0" xfId="3" applyFont="1" applyFill="1" applyBorder="1" applyProtection="1">
      <alignment vertical="center"/>
    </xf>
    <xf numFmtId="0" fontId="46" fillId="11" borderId="12" xfId="3" applyFont="1" applyFill="1" applyBorder="1" applyProtection="1">
      <alignment vertical="center"/>
    </xf>
    <xf numFmtId="0" fontId="46" fillId="2" borderId="12" xfId="3" applyFont="1" applyFill="1" applyBorder="1" applyProtection="1">
      <alignment vertical="center"/>
    </xf>
    <xf numFmtId="0" fontId="53" fillId="9" borderId="0" xfId="3" applyFont="1" applyFill="1" applyBorder="1" applyAlignment="1" applyProtection="1">
      <alignment horizontal="center" vertical="center"/>
    </xf>
    <xf numFmtId="0" fontId="34" fillId="0" borderId="12" xfId="3" applyBorder="1" applyProtection="1">
      <alignment vertical="center"/>
    </xf>
    <xf numFmtId="0" fontId="34" fillId="9" borderId="8" xfId="3" applyFill="1" applyBorder="1" applyAlignment="1" applyProtection="1">
      <alignment vertical="center"/>
    </xf>
    <xf numFmtId="182" fontId="34" fillId="9" borderId="0" xfId="3" applyNumberFormat="1" applyFill="1" applyBorder="1" applyAlignment="1" applyProtection="1">
      <alignment horizontal="center" vertical="center"/>
    </xf>
    <xf numFmtId="182" fontId="34" fillId="9" borderId="0" xfId="3" applyNumberFormat="1" applyFill="1" applyBorder="1" applyProtection="1">
      <alignment vertical="center"/>
    </xf>
    <xf numFmtId="38" fontId="39" fillId="2" borderId="12" xfId="2" applyFont="1" applyFill="1" applyBorder="1" applyProtection="1">
      <alignment vertical="center"/>
    </xf>
    <xf numFmtId="0" fontId="53" fillId="9" borderId="12" xfId="3" applyFont="1" applyFill="1" applyBorder="1" applyAlignment="1" applyProtection="1">
      <alignment vertical="center"/>
    </xf>
    <xf numFmtId="0" fontId="34" fillId="12" borderId="1" xfId="3" applyFill="1" applyBorder="1" applyProtection="1">
      <alignment vertical="center"/>
    </xf>
    <xf numFmtId="0" fontId="34" fillId="12" borderId="7" xfId="3" applyFill="1" applyBorder="1" applyProtection="1">
      <alignment vertical="center"/>
    </xf>
    <xf numFmtId="0" fontId="34" fillId="12" borderId="3" xfId="3" applyFill="1" applyBorder="1" applyProtection="1">
      <alignment vertical="center"/>
    </xf>
    <xf numFmtId="0" fontId="35" fillId="12" borderId="0" xfId="3" applyFont="1" applyFill="1" applyBorder="1" applyAlignment="1" applyProtection="1">
      <alignment vertical="center"/>
    </xf>
    <xf numFmtId="184" fontId="46" fillId="12" borderId="12" xfId="3" applyNumberFormat="1" applyFont="1" applyFill="1" applyBorder="1" applyAlignment="1" applyProtection="1">
      <alignment vertical="center"/>
    </xf>
    <xf numFmtId="0" fontId="13" fillId="12" borderId="0" xfId="3" applyFont="1" applyFill="1" applyBorder="1" applyAlignment="1" applyProtection="1">
      <alignment horizontal="center" vertical="center"/>
    </xf>
    <xf numFmtId="184" fontId="44" fillId="12" borderId="0" xfId="3" applyNumberFormat="1" applyFont="1" applyFill="1" applyBorder="1" applyAlignment="1" applyProtection="1">
      <alignment vertical="center"/>
    </xf>
    <xf numFmtId="184" fontId="43" fillId="12" borderId="0" xfId="3" applyNumberFormat="1" applyFont="1" applyFill="1" applyBorder="1" applyAlignment="1" applyProtection="1">
      <alignment vertical="center"/>
    </xf>
    <xf numFmtId="0" fontId="43" fillId="12" borderId="0" xfId="3" applyFont="1" applyFill="1" applyBorder="1" applyAlignment="1" applyProtection="1">
      <alignment vertical="center"/>
    </xf>
    <xf numFmtId="0" fontId="35" fillId="0" borderId="12" xfId="3" applyFont="1" applyFill="1" applyBorder="1" applyAlignment="1" applyProtection="1">
      <alignment horizontal="center" vertical="center"/>
    </xf>
    <xf numFmtId="0" fontId="34" fillId="12" borderId="6" xfId="3" applyFill="1" applyBorder="1" applyProtection="1">
      <alignment vertical="center"/>
    </xf>
    <xf numFmtId="0" fontId="18" fillId="6" borderId="0" xfId="1" applyFont="1" applyFill="1" applyBorder="1">
      <alignment vertical="center"/>
    </xf>
    <xf numFmtId="0" fontId="18" fillId="6" borderId="0" xfId="1" applyFont="1" applyFill="1" applyBorder="1" applyAlignment="1">
      <alignment horizontal="center" vertical="center"/>
    </xf>
    <xf numFmtId="0" fontId="18" fillId="6" borderId="0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3" fillId="0" borderId="0" xfId="1" applyNumberFormat="1" applyFont="1" applyFill="1" applyBorder="1" applyAlignment="1">
      <alignment horizontal="center" vertical="center"/>
    </xf>
    <xf numFmtId="38" fontId="34" fillId="0" borderId="12" xfId="2" applyFont="1" applyBorder="1" applyProtection="1">
      <alignment vertical="center"/>
    </xf>
    <xf numFmtId="0" fontId="23" fillId="6" borderId="6" xfId="1" applyFont="1" applyFill="1" applyBorder="1" applyAlignment="1">
      <alignment horizontal="left" vertical="center"/>
    </xf>
    <xf numFmtId="0" fontId="23" fillId="6" borderId="1" xfId="1" applyFont="1" applyFill="1" applyBorder="1" applyAlignment="1">
      <alignment horizontal="left" vertical="center"/>
    </xf>
    <xf numFmtId="0" fontId="18" fillId="6" borderId="1" xfId="1" applyFont="1" applyFill="1" applyBorder="1" applyAlignment="1">
      <alignment vertical="center"/>
    </xf>
    <xf numFmtId="180" fontId="32" fillId="6" borderId="1" xfId="1" applyNumberFormat="1" applyFont="1" applyFill="1" applyBorder="1" applyAlignment="1" applyProtection="1">
      <alignment vertical="center"/>
      <protection locked="0"/>
    </xf>
    <xf numFmtId="0" fontId="4" fillId="6" borderId="1" xfId="1" applyFont="1" applyFill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/>
    </xf>
    <xf numFmtId="185" fontId="47" fillId="6" borderId="1" xfId="1" applyNumberFormat="1" applyFont="1" applyFill="1" applyBorder="1" applyAlignment="1" applyProtection="1">
      <alignment horizontal="center" vertical="center" shrinkToFit="1"/>
      <protection locked="0"/>
    </xf>
    <xf numFmtId="185" fontId="49" fillId="6" borderId="1" xfId="1" applyNumberFormat="1" applyFont="1" applyFill="1" applyBorder="1" applyAlignment="1">
      <alignment horizontal="center" vertical="center" shrinkToFit="1"/>
    </xf>
    <xf numFmtId="0" fontId="4" fillId="6" borderId="7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180" fontId="32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 wrapText="1"/>
    </xf>
    <xf numFmtId="181" fontId="6" fillId="0" borderId="0" xfId="1" applyNumberFormat="1" applyFont="1" applyFill="1" applyBorder="1" applyAlignment="1">
      <alignment horizontal="right" vertical="center" shrinkToFit="1"/>
    </xf>
    <xf numFmtId="0" fontId="4" fillId="0" borderId="8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177" fontId="49" fillId="5" borderId="52" xfId="1" applyNumberFormat="1" applyFont="1" applyFill="1" applyBorder="1" applyAlignment="1">
      <alignment horizontal="right" vertical="center" shrinkToFit="1"/>
    </xf>
    <xf numFmtId="177" fontId="47" fillId="5" borderId="70" xfId="1" applyNumberFormat="1" applyFont="1" applyFill="1" applyBorder="1" applyAlignment="1" applyProtection="1">
      <alignment horizontal="right" vertical="center" shrinkToFit="1"/>
      <protection locked="0"/>
    </xf>
    <xf numFmtId="177" fontId="47" fillId="5" borderId="71" xfId="1" applyNumberFormat="1" applyFont="1" applyFill="1" applyBorder="1" applyAlignment="1" applyProtection="1">
      <alignment horizontal="right" vertical="center" shrinkToFit="1"/>
      <protection locked="0"/>
    </xf>
    <xf numFmtId="177" fontId="47" fillId="5" borderId="66" xfId="1" applyNumberFormat="1" applyFont="1" applyFill="1" applyBorder="1" applyAlignment="1" applyProtection="1">
      <alignment horizontal="right" vertical="center" shrinkToFit="1"/>
      <protection locked="0"/>
    </xf>
    <xf numFmtId="177" fontId="47" fillId="5" borderId="67" xfId="1" applyNumberFormat="1" applyFont="1" applyFill="1" applyBorder="1" applyAlignment="1" applyProtection="1">
      <alignment horizontal="right" vertical="center" shrinkToFit="1"/>
      <protection locked="0"/>
    </xf>
    <xf numFmtId="177" fontId="47" fillId="5" borderId="74" xfId="1" applyNumberFormat="1" applyFont="1" applyFill="1" applyBorder="1" applyAlignment="1" applyProtection="1">
      <alignment horizontal="right" vertical="center" shrinkToFit="1"/>
      <protection locked="0"/>
    </xf>
    <xf numFmtId="177" fontId="47" fillId="5" borderId="73" xfId="1" applyNumberFormat="1" applyFont="1" applyFill="1" applyBorder="1" applyAlignment="1" applyProtection="1">
      <alignment horizontal="right" vertical="center" shrinkToFit="1"/>
      <protection locked="0"/>
    </xf>
    <xf numFmtId="185" fontId="49" fillId="5" borderId="52" xfId="1" applyNumberFormat="1" applyFont="1" applyFill="1" applyBorder="1" applyAlignment="1">
      <alignment horizontal="center" vertical="center" shrinkToFit="1"/>
    </xf>
    <xf numFmtId="185" fontId="47" fillId="5" borderId="74" xfId="1" applyNumberFormat="1" applyFont="1" applyFill="1" applyBorder="1" applyAlignment="1" applyProtection="1">
      <alignment horizontal="center" vertical="center" shrinkToFit="1"/>
      <protection locked="0"/>
    </xf>
    <xf numFmtId="185" fontId="47" fillId="5" borderId="73" xfId="1" applyNumberFormat="1" applyFont="1" applyFill="1" applyBorder="1" applyAlignment="1" applyProtection="1">
      <alignment horizontal="center" vertical="center" shrinkToFit="1"/>
      <protection locked="0"/>
    </xf>
    <xf numFmtId="0" fontId="18" fillId="2" borderId="70" xfId="1" applyFont="1" applyFill="1" applyBorder="1" applyAlignment="1">
      <alignment horizontal="center" vertical="center"/>
    </xf>
    <xf numFmtId="0" fontId="18" fillId="2" borderId="71" xfId="1" applyFont="1" applyFill="1" applyBorder="1" applyAlignment="1">
      <alignment horizontal="center" vertical="center"/>
    </xf>
    <xf numFmtId="178" fontId="6" fillId="6" borderId="41" xfId="1" applyNumberFormat="1" applyFont="1" applyFill="1" applyBorder="1" applyAlignment="1">
      <alignment vertical="center"/>
    </xf>
    <xf numFmtId="0" fontId="62" fillId="0" borderId="12" xfId="3" applyFont="1" applyFill="1" applyBorder="1" applyAlignment="1" applyProtection="1">
      <alignment horizontal="center" vertical="center" wrapText="1"/>
    </xf>
    <xf numFmtId="0" fontId="34" fillId="8" borderId="3" xfId="3" applyFill="1" applyBorder="1" applyProtection="1">
      <alignment vertical="center"/>
    </xf>
    <xf numFmtId="0" fontId="34" fillId="0" borderId="0" xfId="3" applyFill="1" applyBorder="1" applyProtection="1">
      <alignment vertical="center"/>
    </xf>
    <xf numFmtId="0" fontId="34" fillId="0" borderId="0" xfId="3" applyFill="1" applyProtection="1">
      <alignment vertical="center"/>
    </xf>
    <xf numFmtId="38" fontId="51" fillId="0" borderId="0" xfId="3" applyNumberFormat="1" applyFont="1" applyFill="1" applyBorder="1" applyProtection="1">
      <alignment vertical="center"/>
    </xf>
    <xf numFmtId="0" fontId="50" fillId="0" borderId="0" xfId="3" applyFont="1" applyFill="1" applyProtection="1">
      <alignment vertical="center"/>
    </xf>
    <xf numFmtId="38" fontId="51" fillId="0" borderId="0" xfId="3" applyNumberFormat="1" applyFont="1" applyFill="1" applyProtection="1">
      <alignment vertical="center"/>
    </xf>
    <xf numFmtId="0" fontId="13" fillId="0" borderId="0" xfId="3" applyFont="1" applyFill="1" applyProtection="1">
      <alignment vertical="center"/>
    </xf>
    <xf numFmtId="38" fontId="60" fillId="0" borderId="0" xfId="2" applyFont="1" applyFill="1" applyBorder="1" applyAlignment="1" applyProtection="1">
      <alignment vertical="center"/>
    </xf>
    <xf numFmtId="38" fontId="60" fillId="0" borderId="0" xfId="2" applyFont="1" applyFill="1" applyBorder="1" applyAlignment="1" applyProtection="1">
      <alignment horizontal="center" vertical="center"/>
    </xf>
    <xf numFmtId="0" fontId="60" fillId="0" borderId="0" xfId="3" applyFont="1" applyFill="1" applyProtection="1">
      <alignment vertical="center"/>
    </xf>
    <xf numFmtId="38" fontId="60" fillId="0" borderId="0" xfId="2" applyFont="1" applyFill="1" applyProtection="1">
      <alignment vertical="center"/>
    </xf>
    <xf numFmtId="38" fontId="60" fillId="0" borderId="0" xfId="2" applyFont="1" applyFill="1" applyAlignment="1" applyProtection="1">
      <alignment horizontal="center" vertical="center"/>
    </xf>
    <xf numFmtId="0" fontId="34" fillId="12" borderId="0" xfId="3" applyFill="1" applyProtection="1">
      <alignment vertical="center"/>
    </xf>
    <xf numFmtId="0" fontId="1" fillId="2" borderId="8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30" xfId="1" applyFont="1" applyFill="1" applyBorder="1" applyAlignment="1">
      <alignment horizontal="left"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4" fillId="8" borderId="5" xfId="1" applyNumberFormat="1" applyFont="1" applyFill="1" applyBorder="1" applyAlignment="1">
      <alignment horizontal="center" vertical="center" shrinkToFit="1"/>
    </xf>
    <xf numFmtId="178" fontId="6" fillId="8" borderId="5" xfId="1" applyNumberFormat="1" applyFont="1" applyFill="1" applyBorder="1" applyAlignment="1">
      <alignment horizontal="right" vertical="center" indent="2"/>
    </xf>
    <xf numFmtId="180" fontId="6" fillId="8" borderId="5" xfId="1" applyNumberFormat="1" applyFont="1" applyFill="1" applyBorder="1" applyAlignment="1">
      <alignment horizontal="center" vertical="center"/>
    </xf>
    <xf numFmtId="0" fontId="13" fillId="8" borderId="5" xfId="0" applyFont="1" applyFill="1" applyBorder="1">
      <alignment vertical="center"/>
    </xf>
    <xf numFmtId="0" fontId="16" fillId="8" borderId="0" xfId="1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193" fontId="0" fillId="0" borderId="0" xfId="0" applyNumberFormat="1" applyBorder="1" applyAlignment="1">
      <alignment horizontal="center" vertical="center"/>
    </xf>
    <xf numFmtId="38" fontId="0" fillId="0" borderId="12" xfId="2" applyFont="1" applyBorder="1" applyAlignment="1">
      <alignment horizontal="right" vertical="center"/>
    </xf>
    <xf numFmtId="0" fontId="4" fillId="6" borderId="0" xfId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59" fillId="2" borderId="71" xfId="0" applyFont="1" applyFill="1" applyBorder="1" applyAlignment="1">
      <alignment horizontal="center" vertical="center"/>
    </xf>
    <xf numFmtId="0" fontId="39" fillId="3" borderId="12" xfId="3" applyFont="1" applyFill="1" applyBorder="1" applyAlignment="1" applyProtection="1">
      <alignment vertical="center" wrapText="1"/>
    </xf>
    <xf numFmtId="0" fontId="39" fillId="2" borderId="12" xfId="3" applyFont="1" applyFill="1" applyBorder="1" applyAlignment="1" applyProtection="1">
      <alignment vertical="center" wrapText="1"/>
    </xf>
    <xf numFmtId="183" fontId="46" fillId="3" borderId="12" xfId="3" applyNumberFormat="1" applyFont="1" applyFill="1" applyBorder="1" applyProtection="1">
      <alignment vertical="center"/>
    </xf>
    <xf numFmtId="183" fontId="46" fillId="3" borderId="12" xfId="2" applyNumberFormat="1" applyFont="1" applyFill="1" applyBorder="1" applyProtection="1">
      <alignment vertical="center"/>
    </xf>
    <xf numFmtId="183" fontId="46" fillId="11" borderId="12" xfId="3" applyNumberFormat="1" applyFont="1" applyFill="1" applyBorder="1" applyProtection="1">
      <alignment vertical="center"/>
    </xf>
    <xf numFmtId="183" fontId="39" fillId="2" borderId="12" xfId="3" applyNumberFormat="1" applyFont="1" applyFill="1" applyBorder="1" applyProtection="1">
      <alignment vertical="center"/>
    </xf>
    <xf numFmtId="183" fontId="39" fillId="2" borderId="12" xfId="2" applyNumberFormat="1" applyFont="1" applyFill="1" applyBorder="1" applyProtection="1">
      <alignment vertical="center"/>
    </xf>
    <xf numFmtId="38" fontId="46" fillId="2" borderId="12" xfId="2" applyFont="1" applyFill="1" applyBorder="1" applyProtection="1">
      <alignment vertical="center"/>
    </xf>
    <xf numFmtId="0" fontId="0" fillId="3" borderId="15" xfId="0" applyFill="1" applyBorder="1" applyAlignment="1" applyProtection="1">
      <alignment horizontal="center" vertical="center"/>
    </xf>
    <xf numFmtId="0" fontId="61" fillId="3" borderId="12" xfId="0" applyFont="1" applyFill="1" applyBorder="1" applyAlignment="1" applyProtection="1">
      <alignment horizontal="center" vertical="center"/>
    </xf>
    <xf numFmtId="0" fontId="0" fillId="3" borderId="71" xfId="0" applyFill="1" applyBorder="1" applyAlignment="1" applyProtection="1">
      <alignment horizontal="center" vertical="center"/>
    </xf>
    <xf numFmtId="0" fontId="0" fillId="3" borderId="83" xfId="0" applyFill="1" applyBorder="1" applyAlignment="1" applyProtection="1">
      <alignment horizontal="center" vertical="center"/>
    </xf>
    <xf numFmtId="0" fontId="61" fillId="3" borderId="81" xfId="0" applyFont="1" applyFill="1" applyBorder="1" applyAlignment="1" applyProtection="1">
      <alignment horizontal="center" vertical="center"/>
    </xf>
    <xf numFmtId="0" fontId="0" fillId="3" borderId="67" xfId="0" applyFill="1" applyBorder="1" applyAlignment="1" applyProtection="1">
      <alignment horizontal="center" vertical="center"/>
    </xf>
    <xf numFmtId="0" fontId="23" fillId="6" borderId="3" xfId="1" applyFont="1" applyFill="1" applyBorder="1" applyAlignment="1">
      <alignment horizontal="left" vertical="center"/>
    </xf>
    <xf numFmtId="0" fontId="23" fillId="6" borderId="0" xfId="1" applyFont="1" applyFill="1" applyBorder="1" applyAlignment="1">
      <alignment horizontal="left" vertical="center"/>
    </xf>
    <xf numFmtId="0" fontId="35" fillId="0" borderId="12" xfId="3" applyFont="1" applyFill="1" applyBorder="1" applyAlignment="1" applyProtection="1">
      <alignment horizontal="center" vertical="center"/>
    </xf>
    <xf numFmtId="38" fontId="60" fillId="0" borderId="0" xfId="2" applyFont="1" applyFill="1" applyBorder="1" applyAlignment="1" applyProtection="1">
      <alignment horizontal="center" vertical="center"/>
    </xf>
    <xf numFmtId="38" fontId="60" fillId="0" borderId="0" xfId="2" applyFont="1" applyFill="1" applyAlignment="1" applyProtection="1">
      <alignment horizontal="center" vertical="center"/>
    </xf>
    <xf numFmtId="0" fontId="54" fillId="0" borderId="12" xfId="3" applyFont="1" applyFill="1" applyBorder="1" applyAlignment="1" applyProtection="1">
      <alignment horizontal="center" vertical="center" wrapText="1"/>
    </xf>
    <xf numFmtId="0" fontId="35" fillId="0" borderId="84" xfId="3" applyFont="1" applyFill="1" applyBorder="1" applyAlignment="1" applyProtection="1">
      <alignment horizontal="center" vertical="center" wrapText="1"/>
    </xf>
    <xf numFmtId="0" fontId="62" fillId="2" borderId="12" xfId="3" applyFont="1" applyFill="1" applyBorder="1" applyAlignment="1" applyProtection="1">
      <alignment horizontal="center" vertical="center" wrapText="1"/>
    </xf>
    <xf numFmtId="0" fontId="35" fillId="3" borderId="12" xfId="3" applyFont="1" applyFill="1" applyBorder="1" applyAlignment="1" applyProtection="1">
      <alignment horizontal="center" vertical="center"/>
    </xf>
    <xf numFmtId="0" fontId="39" fillId="0" borderId="84" xfId="3" applyFont="1" applyBorder="1" applyProtection="1">
      <alignment vertical="center"/>
    </xf>
    <xf numFmtId="194" fontId="39" fillId="0" borderId="12" xfId="3" applyNumberFormat="1" applyFont="1" applyBorder="1" applyAlignment="1" applyProtection="1">
      <alignment horizontal="center" vertical="center"/>
    </xf>
    <xf numFmtId="184" fontId="46" fillId="0" borderId="15" xfId="3" applyNumberFormat="1" applyFont="1" applyFill="1" applyBorder="1" applyAlignment="1" applyProtection="1">
      <alignment vertical="center"/>
    </xf>
    <xf numFmtId="184" fontId="39" fillId="0" borderId="12" xfId="3" applyNumberFormat="1" applyFont="1" applyBorder="1" applyProtection="1">
      <alignment vertical="center"/>
    </xf>
    <xf numFmtId="184" fontId="39" fillId="0" borderId="12" xfId="3" applyNumberFormat="1" applyFont="1" applyBorder="1" applyAlignment="1" applyProtection="1">
      <alignment horizontal="center" vertical="center"/>
    </xf>
    <xf numFmtId="184" fontId="46" fillId="0" borderId="85" xfId="3" applyNumberFormat="1" applyFont="1" applyFill="1" applyBorder="1" applyAlignment="1" applyProtection="1">
      <alignment horizontal="center" vertical="center"/>
    </xf>
    <xf numFmtId="9" fontId="46" fillId="0" borderId="84" xfId="3" applyNumberFormat="1" applyFont="1" applyFill="1" applyBorder="1" applyAlignment="1" applyProtection="1">
      <alignment horizontal="center" vertical="center"/>
    </xf>
    <xf numFmtId="184" fontId="35" fillId="0" borderId="84" xfId="3" applyNumberFormat="1" applyFont="1" applyFill="1" applyBorder="1" applyAlignment="1" applyProtection="1">
      <alignment vertical="center"/>
    </xf>
    <xf numFmtId="184" fontId="35" fillId="0" borderId="12" xfId="3" applyNumberFormat="1" applyFont="1" applyFill="1" applyBorder="1" applyAlignment="1" applyProtection="1">
      <alignment horizontal="center" vertical="center"/>
    </xf>
    <xf numFmtId="9" fontId="46" fillId="0" borderId="15" xfId="3" applyNumberFormat="1" applyFont="1" applyFill="1" applyBorder="1" applyAlignment="1" applyProtection="1">
      <alignment horizontal="center" vertical="center"/>
    </xf>
    <xf numFmtId="184" fontId="46" fillId="0" borderId="12" xfId="3" applyNumberFormat="1" applyFont="1" applyFill="1" applyBorder="1" applyAlignment="1" applyProtection="1">
      <alignment vertical="center"/>
    </xf>
    <xf numFmtId="184" fontId="35" fillId="0" borderId="12" xfId="3" applyNumberFormat="1" applyFont="1" applyFill="1" applyBorder="1" applyAlignment="1" applyProtection="1">
      <alignment vertical="center"/>
    </xf>
    <xf numFmtId="184" fontId="35" fillId="0" borderId="84" xfId="3" applyNumberFormat="1" applyFont="1" applyFill="1" applyBorder="1" applyAlignment="1" applyProtection="1">
      <alignment horizontal="center" vertical="center"/>
    </xf>
    <xf numFmtId="184" fontId="62" fillId="12" borderId="12" xfId="3" applyNumberFormat="1" applyFont="1" applyFill="1" applyBorder="1" applyAlignment="1" applyProtection="1">
      <alignment horizontal="right" vertical="center"/>
    </xf>
    <xf numFmtId="184" fontId="62" fillId="12" borderId="12" xfId="3" applyNumberFormat="1" applyFont="1" applyFill="1" applyBorder="1" applyAlignment="1" applyProtection="1">
      <alignment vertical="center"/>
    </xf>
    <xf numFmtId="0" fontId="53" fillId="12" borderId="12" xfId="3" applyFont="1" applyFill="1" applyBorder="1" applyAlignment="1" applyProtection="1">
      <alignment vertical="center" wrapText="1"/>
    </xf>
    <xf numFmtId="0" fontId="53" fillId="12" borderId="12" xfId="3" applyFont="1" applyFill="1" applyBorder="1" applyProtection="1">
      <alignment vertical="center"/>
    </xf>
    <xf numFmtId="0" fontId="62" fillId="12" borderId="12" xfId="3" applyFont="1" applyFill="1" applyBorder="1" applyAlignment="1" applyProtection="1">
      <alignment horizontal="center" vertical="center"/>
    </xf>
    <xf numFmtId="0" fontId="62" fillId="12" borderId="0" xfId="3" applyFont="1" applyFill="1" applyBorder="1" applyAlignment="1" applyProtection="1">
      <alignment vertical="center"/>
    </xf>
    <xf numFmtId="0" fontId="62" fillId="12" borderId="22" xfId="3" applyFont="1" applyFill="1" applyBorder="1" applyAlignment="1" applyProtection="1">
      <alignment vertical="center"/>
    </xf>
    <xf numFmtId="183" fontId="56" fillId="12" borderId="0" xfId="3" applyNumberFormat="1" applyFont="1" applyFill="1" applyBorder="1" applyAlignment="1" applyProtection="1">
      <alignment horizontal="center" vertical="center"/>
    </xf>
    <xf numFmtId="0" fontId="39" fillId="12" borderId="0" xfId="3" applyFont="1" applyFill="1" applyProtection="1">
      <alignment vertical="center"/>
    </xf>
    <xf numFmtId="182" fontId="46" fillId="12" borderId="12" xfId="3" applyNumberFormat="1" applyFont="1" applyFill="1" applyBorder="1" applyAlignment="1" applyProtection="1">
      <alignment vertical="center"/>
    </xf>
    <xf numFmtId="0" fontId="39" fillId="12" borderId="12" xfId="3" applyFont="1" applyFill="1" applyBorder="1" applyAlignment="1" applyProtection="1">
      <alignment vertical="center"/>
    </xf>
    <xf numFmtId="0" fontId="46" fillId="12" borderId="12" xfId="3" applyFont="1" applyFill="1" applyBorder="1" applyAlignment="1" applyProtection="1">
      <alignment vertical="center"/>
    </xf>
    <xf numFmtId="0" fontId="39" fillId="12" borderId="12" xfId="3" applyFont="1" applyFill="1" applyBorder="1" applyProtection="1">
      <alignment vertical="center"/>
    </xf>
    <xf numFmtId="0" fontId="41" fillId="12" borderId="2" xfId="3" applyFont="1" applyFill="1" applyBorder="1" applyAlignment="1" applyProtection="1">
      <alignment vertical="center"/>
    </xf>
    <xf numFmtId="0" fontId="41" fillId="9" borderId="2" xfId="3" applyFont="1" applyFill="1" applyBorder="1" applyAlignment="1" applyProtection="1">
      <alignment vertical="center"/>
    </xf>
    <xf numFmtId="182" fontId="46" fillId="9" borderId="12" xfId="3" applyNumberFormat="1" applyFont="1" applyFill="1" applyBorder="1" applyAlignment="1" applyProtection="1">
      <alignment vertical="center"/>
    </xf>
    <xf numFmtId="182" fontId="39" fillId="9" borderId="12" xfId="3" applyNumberFormat="1" applyFont="1" applyFill="1" applyBorder="1" applyProtection="1">
      <alignment vertical="center"/>
    </xf>
    <xf numFmtId="182" fontId="39" fillId="9" borderId="12" xfId="3" applyNumberFormat="1" applyFont="1" applyFill="1" applyBorder="1" applyAlignment="1" applyProtection="1">
      <alignment vertical="center"/>
    </xf>
    <xf numFmtId="0" fontId="39" fillId="9" borderId="12" xfId="3" applyFont="1" applyFill="1" applyBorder="1" applyProtection="1">
      <alignment vertical="center"/>
    </xf>
    <xf numFmtId="38" fontId="46" fillId="9" borderId="12" xfId="2" applyFont="1" applyFill="1" applyBorder="1" applyProtection="1">
      <alignment vertical="center"/>
    </xf>
    <xf numFmtId="182" fontId="39" fillId="0" borderId="12" xfId="3" applyNumberFormat="1" applyFont="1" applyBorder="1" applyProtection="1">
      <alignment vertical="center"/>
    </xf>
    <xf numFmtId="182" fontId="41" fillId="0" borderId="12" xfId="3" applyNumberFormat="1" applyFont="1" applyFill="1" applyBorder="1" applyAlignment="1" applyProtection="1">
      <alignment vertical="center"/>
    </xf>
    <xf numFmtId="0" fontId="35" fillId="12" borderId="23" xfId="3" applyFont="1" applyFill="1" applyBorder="1" applyAlignment="1" applyProtection="1">
      <alignment vertical="center"/>
    </xf>
    <xf numFmtId="0" fontId="54" fillId="3" borderId="12" xfId="3" applyFont="1" applyFill="1" applyBorder="1" applyAlignment="1" applyProtection="1">
      <alignment horizontal="center" vertical="center" wrapText="1"/>
    </xf>
    <xf numFmtId="0" fontId="54" fillId="11" borderId="12" xfId="3" applyFont="1" applyFill="1" applyBorder="1" applyAlignment="1" applyProtection="1">
      <alignment horizontal="center" vertical="center" wrapText="1"/>
    </xf>
    <xf numFmtId="0" fontId="47" fillId="5" borderId="74" xfId="1" applyNumberFormat="1" applyFont="1" applyFill="1" applyBorder="1" applyAlignment="1" applyProtection="1">
      <alignment horizontal="center" vertical="center" shrinkToFit="1"/>
      <protection locked="0"/>
    </xf>
    <xf numFmtId="0" fontId="47" fillId="5" borderId="73" xfId="1" applyNumberFormat="1" applyFont="1" applyFill="1" applyBorder="1" applyAlignment="1" applyProtection="1">
      <alignment horizontal="center" vertical="center" shrinkToFit="1"/>
      <protection locked="0"/>
    </xf>
    <xf numFmtId="0" fontId="49" fillId="5" borderId="52" xfId="1" applyNumberFormat="1" applyFont="1" applyFill="1" applyBorder="1" applyAlignment="1">
      <alignment horizontal="center" vertical="center" shrinkToFit="1"/>
    </xf>
    <xf numFmtId="0" fontId="22" fillId="0" borderId="0" xfId="1" applyFont="1" applyBorder="1" applyAlignment="1">
      <alignment horizontal="left" vertical="center"/>
    </xf>
    <xf numFmtId="0" fontId="69" fillId="0" borderId="0" xfId="0" applyFont="1">
      <alignment vertical="center"/>
    </xf>
    <xf numFmtId="0" fontId="21" fillId="4" borderId="13" xfId="1" applyFont="1" applyFill="1" applyBorder="1" applyAlignment="1">
      <alignment horizontal="center" vertical="center"/>
    </xf>
    <xf numFmtId="0" fontId="21" fillId="4" borderId="14" xfId="1" applyFont="1" applyFill="1" applyBorder="1" applyAlignment="1">
      <alignment horizontal="center" vertical="center"/>
    </xf>
    <xf numFmtId="0" fontId="21" fillId="4" borderId="15" xfId="1" applyFont="1" applyFill="1" applyBorder="1" applyAlignment="1">
      <alignment horizontal="center" vertical="center"/>
    </xf>
    <xf numFmtId="0" fontId="31" fillId="4" borderId="13" xfId="1" applyFont="1" applyFill="1" applyBorder="1" applyAlignment="1">
      <alignment horizontal="center" vertical="center"/>
    </xf>
    <xf numFmtId="0" fontId="31" fillId="4" borderId="14" xfId="1" applyFont="1" applyFill="1" applyBorder="1" applyAlignment="1">
      <alignment horizontal="center" vertical="center"/>
    </xf>
    <xf numFmtId="0" fontId="31" fillId="4" borderId="15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63" xfId="1" applyFont="1" applyFill="1" applyBorder="1" applyAlignment="1">
      <alignment horizontal="center" vertical="center" wrapText="1" shrinkToFit="1"/>
    </xf>
    <xf numFmtId="0" fontId="1" fillId="2" borderId="3" xfId="1" applyFont="1" applyFill="1" applyBorder="1" applyAlignment="1">
      <alignment horizontal="center" vertical="center" wrapText="1" shrinkToFit="1"/>
    </xf>
    <xf numFmtId="0" fontId="1" fillId="2" borderId="54" xfId="1" applyFont="1" applyFill="1" applyBorder="1" applyAlignment="1">
      <alignment horizontal="center" vertical="center" wrapText="1" shrinkToFit="1"/>
    </xf>
    <xf numFmtId="0" fontId="1" fillId="2" borderId="23" xfId="1" applyFont="1" applyFill="1" applyBorder="1" applyAlignment="1">
      <alignment horizontal="center" vertical="center" wrapText="1" shrinkToFit="1"/>
    </xf>
    <xf numFmtId="0" fontId="1" fillId="2" borderId="0" xfId="1" applyFont="1" applyFill="1" applyBorder="1" applyAlignment="1">
      <alignment horizontal="center" vertical="center" wrapText="1" shrinkToFit="1"/>
    </xf>
    <xf numFmtId="0" fontId="1" fillId="2" borderId="30" xfId="1" applyFont="1" applyFill="1" applyBorder="1" applyAlignment="1">
      <alignment horizontal="center" vertical="center" wrapText="1" shrinkToFit="1"/>
    </xf>
    <xf numFmtId="0" fontId="1" fillId="2" borderId="53" xfId="1" applyFont="1" applyFill="1" applyBorder="1" applyAlignment="1">
      <alignment horizontal="center" vertical="center" wrapText="1" shrinkToFit="1"/>
    </xf>
    <xf numFmtId="0" fontId="1" fillId="2" borderId="22" xfId="1" applyFont="1" applyFill="1" applyBorder="1" applyAlignment="1">
      <alignment horizontal="center" vertical="center" wrapText="1" shrinkToFit="1"/>
    </xf>
    <xf numFmtId="0" fontId="1" fillId="2" borderId="32" xfId="1" applyFont="1" applyFill="1" applyBorder="1" applyAlignment="1">
      <alignment horizontal="center" vertical="center" wrapText="1" shrinkToFit="1"/>
    </xf>
    <xf numFmtId="0" fontId="1" fillId="2" borderId="6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53" xfId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center" vertical="center" wrapText="1"/>
    </xf>
    <xf numFmtId="0" fontId="1" fillId="2" borderId="77" xfId="1" applyFont="1" applyFill="1" applyBorder="1" applyAlignment="1">
      <alignment horizontal="center" vertical="center" wrapText="1"/>
    </xf>
    <xf numFmtId="0" fontId="1" fillId="2" borderId="48" xfId="1" applyFont="1" applyFill="1" applyBorder="1" applyAlignment="1">
      <alignment horizontal="center" vertical="center" wrapText="1"/>
    </xf>
    <xf numFmtId="0" fontId="1" fillId="2" borderId="49" xfId="1" applyFont="1" applyFill="1" applyBorder="1" applyAlignment="1">
      <alignment horizontal="center" vertical="center" wrapText="1"/>
    </xf>
    <xf numFmtId="0" fontId="1" fillId="2" borderId="30" xfId="1" applyFont="1" applyFill="1" applyBorder="1" applyAlignment="1">
      <alignment horizontal="center" vertical="center" wrapText="1"/>
    </xf>
    <xf numFmtId="0" fontId="1" fillId="2" borderId="32" xfId="1" applyFont="1" applyFill="1" applyBorder="1" applyAlignment="1">
      <alignment horizontal="center" vertical="center" wrapText="1"/>
    </xf>
    <xf numFmtId="178" fontId="6" fillId="6" borderId="19" xfId="1" applyNumberFormat="1" applyFont="1" applyFill="1" applyBorder="1" applyAlignment="1">
      <alignment horizontal="right" vertical="center" indent="2"/>
    </xf>
    <xf numFmtId="178" fontId="6" fillId="6" borderId="20" xfId="1" applyNumberFormat="1" applyFont="1" applyFill="1" applyBorder="1" applyAlignment="1">
      <alignment horizontal="right" vertical="center" indent="2"/>
    </xf>
    <xf numFmtId="178" fontId="6" fillId="6" borderId="21" xfId="1" applyNumberFormat="1" applyFont="1" applyFill="1" applyBorder="1" applyAlignment="1">
      <alignment horizontal="right" vertical="center" indent="2"/>
    </xf>
    <xf numFmtId="178" fontId="6" fillId="6" borderId="40" xfId="1" applyNumberFormat="1" applyFont="1" applyFill="1" applyBorder="1" applyAlignment="1">
      <alignment horizontal="right" vertical="center" indent="2"/>
    </xf>
    <xf numFmtId="178" fontId="6" fillId="6" borderId="41" xfId="1" applyNumberFormat="1" applyFont="1" applyFill="1" applyBorder="1" applyAlignment="1">
      <alignment horizontal="right" vertical="center" indent="2"/>
    </xf>
    <xf numFmtId="178" fontId="6" fillId="6" borderId="25" xfId="1" applyNumberFormat="1" applyFont="1" applyFill="1" applyBorder="1" applyAlignment="1">
      <alignment horizontal="right" vertical="center" indent="2"/>
    </xf>
    <xf numFmtId="178" fontId="6" fillId="6" borderId="37" xfId="1" applyNumberFormat="1" applyFont="1" applyFill="1" applyBorder="1" applyAlignment="1">
      <alignment horizontal="right" vertical="center" indent="2"/>
    </xf>
    <xf numFmtId="178" fontId="6" fillId="6" borderId="26" xfId="1" applyNumberFormat="1" applyFont="1" applyFill="1" applyBorder="1" applyAlignment="1">
      <alignment horizontal="right" vertical="center" indent="2"/>
    </xf>
    <xf numFmtId="178" fontId="6" fillId="6" borderId="65" xfId="1" applyNumberFormat="1" applyFont="1" applyFill="1" applyBorder="1" applyAlignment="1">
      <alignment horizontal="right" vertical="center" indent="2"/>
    </xf>
    <xf numFmtId="0" fontId="6" fillId="6" borderId="25" xfId="1" applyFont="1" applyFill="1" applyBorder="1" applyAlignment="1">
      <alignment horizontal="center" vertical="center"/>
    </xf>
    <xf numFmtId="0" fontId="6" fillId="6" borderId="37" xfId="1" applyFont="1" applyFill="1" applyBorder="1" applyAlignment="1">
      <alignment horizontal="center" vertical="center"/>
    </xf>
    <xf numFmtId="0" fontId="6" fillId="6" borderId="75" xfId="1" applyFont="1" applyFill="1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0" fontId="6" fillId="6" borderId="26" xfId="1" applyFont="1" applyFill="1" applyBorder="1" applyAlignment="1">
      <alignment horizontal="center" vertical="center"/>
    </xf>
    <xf numFmtId="0" fontId="6" fillId="6" borderId="19" xfId="1" applyFont="1" applyFill="1" applyBorder="1" applyAlignment="1">
      <alignment horizontal="center" vertical="center"/>
    </xf>
    <xf numFmtId="0" fontId="6" fillId="6" borderId="20" xfId="1" applyFont="1" applyFill="1" applyBorder="1" applyAlignment="1">
      <alignment horizontal="center" vertical="center"/>
    </xf>
    <xf numFmtId="0" fontId="6" fillId="6" borderId="21" xfId="1" applyFont="1" applyFill="1" applyBorder="1" applyAlignment="1">
      <alignment horizontal="center" vertical="center"/>
    </xf>
    <xf numFmtId="193" fontId="6" fillId="6" borderId="13" xfId="1" applyNumberFormat="1" applyFont="1" applyFill="1" applyBorder="1" applyAlignment="1">
      <alignment horizontal="center" vertical="center"/>
    </xf>
    <xf numFmtId="193" fontId="6" fillId="6" borderId="14" xfId="1" applyNumberFormat="1" applyFont="1" applyFill="1" applyBorder="1" applyAlignment="1">
      <alignment horizontal="center" vertical="center"/>
    </xf>
    <xf numFmtId="193" fontId="6" fillId="6" borderId="15" xfId="1" applyNumberFormat="1" applyFont="1" applyFill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indent="2"/>
    </xf>
    <xf numFmtId="0" fontId="4" fillId="0" borderId="5" xfId="1" applyFont="1" applyBorder="1" applyAlignment="1">
      <alignment horizontal="left" vertical="top" indent="2"/>
    </xf>
    <xf numFmtId="191" fontId="4" fillId="2" borderId="17" xfId="1" applyNumberFormat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vertical="center" wrapText="1"/>
    </xf>
    <xf numFmtId="0" fontId="16" fillId="0" borderId="43" xfId="1" applyFont="1" applyFill="1" applyBorder="1" applyAlignment="1">
      <alignment vertical="center"/>
    </xf>
    <xf numFmtId="0" fontId="16" fillId="0" borderId="51" xfId="1" applyFont="1" applyFill="1" applyBorder="1" applyAlignment="1">
      <alignment vertical="center"/>
    </xf>
    <xf numFmtId="0" fontId="16" fillId="0" borderId="22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13" fillId="0" borderId="50" xfId="1" applyNumberFormat="1" applyFont="1" applyFill="1" applyBorder="1" applyAlignment="1">
      <alignment horizontal="center" vertical="center"/>
    </xf>
    <xf numFmtId="0" fontId="13" fillId="0" borderId="43" xfId="1" applyNumberFormat="1" applyFont="1" applyFill="1" applyBorder="1" applyAlignment="1">
      <alignment horizontal="center" vertical="center"/>
    </xf>
    <xf numFmtId="0" fontId="13" fillId="0" borderId="44" xfId="1" applyNumberFormat="1" applyFont="1" applyFill="1" applyBorder="1" applyAlignment="1">
      <alignment horizontal="center" vertical="center"/>
    </xf>
    <xf numFmtId="0" fontId="13" fillId="0" borderId="59" xfId="1" applyNumberFormat="1" applyFont="1" applyFill="1" applyBorder="1" applyAlignment="1">
      <alignment horizontal="center" vertical="center"/>
    </xf>
    <xf numFmtId="0" fontId="13" fillId="0" borderId="5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51" xfId="1" applyNumberFormat="1" applyFont="1" applyFill="1" applyBorder="1" applyAlignment="1">
      <alignment horizontal="center" vertical="center"/>
    </xf>
    <xf numFmtId="0" fontId="13" fillId="0" borderId="58" xfId="1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left" vertical="center" wrapText="1"/>
    </xf>
    <xf numFmtId="0" fontId="9" fillId="6" borderId="31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9" fillId="6" borderId="32" xfId="0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178" fontId="6" fillId="6" borderId="33" xfId="1" applyNumberFormat="1" applyFont="1" applyFill="1" applyBorder="1" applyAlignment="1">
      <alignment horizontal="center" vertical="center"/>
    </xf>
    <xf numFmtId="178" fontId="6" fillId="6" borderId="34" xfId="1" applyNumberFormat="1" applyFont="1" applyFill="1" applyBorder="1" applyAlignment="1">
      <alignment horizontal="center" vertical="center"/>
    </xf>
    <xf numFmtId="178" fontId="6" fillId="6" borderId="27" xfId="1" applyNumberFormat="1" applyFont="1" applyFill="1" applyBorder="1" applyAlignment="1">
      <alignment horizontal="center" vertical="center"/>
    </xf>
    <xf numFmtId="178" fontId="6" fillId="6" borderId="28" xfId="1" applyNumberFormat="1" applyFont="1" applyFill="1" applyBorder="1" applyAlignment="1">
      <alignment horizontal="center" vertical="center"/>
    </xf>
    <xf numFmtId="190" fontId="4" fillId="0" borderId="18" xfId="1" applyNumberFormat="1" applyFont="1" applyFill="1" applyBorder="1" applyAlignment="1">
      <alignment horizontal="center" vertical="center"/>
    </xf>
    <xf numFmtId="190" fontId="4" fillId="0" borderId="19" xfId="1" applyNumberFormat="1" applyFont="1" applyFill="1" applyBorder="1" applyAlignment="1">
      <alignment horizontal="center" vertical="center"/>
    </xf>
    <xf numFmtId="188" fontId="4" fillId="0" borderId="21" xfId="1" applyNumberFormat="1" applyFont="1" applyFill="1" applyBorder="1" applyAlignment="1">
      <alignment horizontal="center" vertical="center" shrinkToFit="1"/>
    </xf>
    <xf numFmtId="188" fontId="4" fillId="0" borderId="18" xfId="1" applyNumberFormat="1" applyFont="1" applyFill="1" applyBorder="1" applyAlignment="1">
      <alignment horizontal="center" vertical="center" shrinkToFit="1"/>
    </xf>
    <xf numFmtId="188" fontId="4" fillId="0" borderId="19" xfId="1" applyNumberFormat="1" applyFont="1" applyFill="1" applyBorder="1" applyAlignment="1">
      <alignment horizontal="center" vertical="center" shrinkToFit="1"/>
    </xf>
    <xf numFmtId="192" fontId="13" fillId="0" borderId="43" xfId="0" applyNumberFormat="1" applyFont="1" applyBorder="1" applyAlignment="1">
      <alignment horizontal="center" vertical="center" shrinkToFit="1"/>
    </xf>
    <xf numFmtId="187" fontId="13" fillId="0" borderId="35" xfId="0" applyNumberFormat="1" applyFont="1" applyBorder="1" applyAlignment="1">
      <alignment horizontal="center" vertical="center" shrinkToFit="1"/>
    </xf>
    <xf numFmtId="187" fontId="13" fillId="0" borderId="36" xfId="0" applyNumberFormat="1" applyFont="1" applyBorder="1" applyAlignment="1">
      <alignment horizontal="center" vertical="center" shrinkToFit="1"/>
    </xf>
    <xf numFmtId="189" fontId="4" fillId="0" borderId="24" xfId="1" applyNumberFormat="1" applyFont="1" applyFill="1" applyBorder="1" applyAlignment="1">
      <alignment horizontal="center" vertical="center"/>
    </xf>
    <xf numFmtId="189" fontId="4" fillId="0" borderId="35" xfId="1" applyNumberFormat="1" applyFont="1" applyFill="1" applyBorder="1" applyAlignment="1">
      <alignment horizontal="center" vertical="center"/>
    </xf>
    <xf numFmtId="186" fontId="4" fillId="0" borderId="35" xfId="1" applyNumberFormat="1" applyFont="1" applyFill="1" applyBorder="1" applyAlignment="1">
      <alignment horizontal="center" vertical="center" shrinkToFit="1"/>
    </xf>
    <xf numFmtId="187" fontId="13" fillId="0" borderId="43" xfId="0" applyNumberFormat="1" applyFont="1" applyBorder="1" applyAlignment="1">
      <alignment horizontal="center" vertical="center" shrinkToFit="1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54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30" xfId="1" applyFont="1" applyFill="1" applyBorder="1" applyAlignment="1">
      <alignment horizontal="left" vertical="center"/>
    </xf>
    <xf numFmtId="178" fontId="6" fillId="6" borderId="53" xfId="1" applyNumberFormat="1" applyFont="1" applyFill="1" applyBorder="1" applyAlignment="1">
      <alignment horizontal="right" vertical="center" indent="2"/>
    </xf>
    <xf numFmtId="178" fontId="6" fillId="6" borderId="22" xfId="1" applyNumberFormat="1" applyFont="1" applyFill="1" applyBorder="1" applyAlignment="1">
      <alignment horizontal="right" vertical="center" indent="2"/>
    </xf>
    <xf numFmtId="178" fontId="6" fillId="6" borderId="32" xfId="1" applyNumberFormat="1" applyFont="1" applyFill="1" applyBorder="1" applyAlignment="1">
      <alignment horizontal="right" vertical="center" indent="2"/>
    </xf>
    <xf numFmtId="0" fontId="4" fillId="2" borderId="20" xfId="1" applyFont="1" applyFill="1" applyBorder="1" applyAlignment="1">
      <alignment horizontal="center" vertical="center" wrapText="1" shrinkToFit="1"/>
    </xf>
    <xf numFmtId="0" fontId="4" fillId="2" borderId="21" xfId="1" applyFont="1" applyFill="1" applyBorder="1" applyAlignment="1">
      <alignment horizontal="center" vertical="center" wrapText="1" shrinkToFi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6" fillId="6" borderId="60" xfId="1" applyFont="1" applyFill="1" applyBorder="1" applyAlignment="1">
      <alignment horizontal="center" vertical="center"/>
    </xf>
    <xf numFmtId="0" fontId="6" fillId="6" borderId="48" xfId="1" applyFont="1" applyFill="1" applyBorder="1" applyAlignment="1">
      <alignment horizontal="center" vertical="center"/>
    </xf>
    <xf numFmtId="0" fontId="6" fillId="6" borderId="64" xfId="1" applyFont="1" applyFill="1" applyBorder="1" applyAlignment="1">
      <alignment horizontal="center" vertical="center"/>
    </xf>
    <xf numFmtId="180" fontId="6" fillId="6" borderId="13" xfId="1" applyNumberFormat="1" applyFont="1" applyFill="1" applyBorder="1" applyAlignment="1">
      <alignment horizontal="center" vertical="center"/>
    </xf>
    <xf numFmtId="180" fontId="6" fillId="6" borderId="14" xfId="1" applyNumberFormat="1" applyFont="1" applyFill="1" applyBorder="1" applyAlignment="1">
      <alignment horizontal="center" vertical="center"/>
    </xf>
    <xf numFmtId="180" fontId="6" fillId="6" borderId="47" xfId="1" applyNumberFormat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4" fillId="2" borderId="53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178" fontId="6" fillId="6" borderId="24" xfId="1" applyNumberFormat="1" applyFont="1" applyFill="1" applyBorder="1" applyAlignment="1">
      <alignment horizontal="right" vertical="center"/>
    </xf>
    <xf numFmtId="178" fontId="6" fillId="6" borderId="35" xfId="1" applyNumberFormat="1" applyFont="1" applyFill="1" applyBorder="1" applyAlignment="1">
      <alignment horizontal="right" vertical="center"/>
    </xf>
    <xf numFmtId="0" fontId="4" fillId="2" borderId="45" xfId="1" applyFont="1" applyFill="1" applyBorder="1" applyAlignment="1">
      <alignment horizontal="left" vertical="center" indent="1"/>
    </xf>
    <xf numFmtId="0" fontId="4" fillId="2" borderId="43" xfId="1" applyFont="1" applyFill="1" applyBorder="1" applyAlignment="1">
      <alignment horizontal="left" vertical="center" indent="1"/>
    </xf>
    <xf numFmtId="0" fontId="4" fillId="2" borderId="44" xfId="1" applyFont="1" applyFill="1" applyBorder="1" applyAlignment="1">
      <alignment horizontal="left" vertical="center" indent="1"/>
    </xf>
    <xf numFmtId="0" fontId="4" fillId="2" borderId="55" xfId="1" applyFont="1" applyFill="1" applyBorder="1" applyAlignment="1">
      <alignment horizontal="left" vertical="center" indent="1"/>
    </xf>
    <xf numFmtId="0" fontId="4" fillId="2" borderId="40" xfId="1" applyFont="1" applyFill="1" applyBorder="1" applyAlignment="1">
      <alignment horizontal="left" vertical="center" indent="1"/>
    </xf>
    <xf numFmtId="0" fontId="4" fillId="2" borderId="57" xfId="1" applyFont="1" applyFill="1" applyBorder="1" applyAlignment="1">
      <alignment horizontal="left" vertical="center" indent="1"/>
    </xf>
    <xf numFmtId="0" fontId="4" fillId="2" borderId="8" xfId="1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horizontal="left" vertical="center" indent="1"/>
    </xf>
    <xf numFmtId="0" fontId="4" fillId="2" borderId="1" xfId="1" applyFont="1" applyFill="1" applyBorder="1" applyAlignment="1">
      <alignment horizontal="left" vertical="center" indent="1"/>
    </xf>
    <xf numFmtId="0" fontId="4" fillId="2" borderId="4" xfId="1" applyFont="1" applyFill="1" applyBorder="1" applyAlignment="1">
      <alignment horizontal="left" vertical="center" indent="1"/>
    </xf>
    <xf numFmtId="0" fontId="4" fillId="2" borderId="5" xfId="1" applyFont="1" applyFill="1" applyBorder="1" applyAlignment="1">
      <alignment horizontal="left" vertical="center" indent="1"/>
    </xf>
    <xf numFmtId="0" fontId="4" fillId="2" borderId="7" xfId="1" applyFont="1" applyFill="1" applyBorder="1" applyAlignment="1">
      <alignment horizontal="left" vertical="center" indent="1"/>
    </xf>
    <xf numFmtId="0" fontId="19" fillId="2" borderId="2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178" fontId="18" fillId="3" borderId="2" xfId="1" applyNumberFormat="1" applyFont="1" applyFill="1" applyBorder="1" applyAlignment="1">
      <alignment horizontal="center" vertical="center"/>
    </xf>
    <xf numFmtId="178" fontId="18" fillId="3" borderId="3" xfId="1" applyNumberFormat="1" applyFont="1" applyFill="1" applyBorder="1" applyAlignment="1">
      <alignment horizontal="center" vertical="center"/>
    </xf>
    <xf numFmtId="178" fontId="18" fillId="3" borderId="6" xfId="1" applyNumberFormat="1" applyFont="1" applyFill="1" applyBorder="1" applyAlignment="1">
      <alignment horizontal="center" vertical="center"/>
    </xf>
    <xf numFmtId="178" fontId="18" fillId="3" borderId="8" xfId="1" applyNumberFormat="1" applyFont="1" applyFill="1" applyBorder="1" applyAlignment="1">
      <alignment horizontal="center" vertical="center"/>
    </xf>
    <xf numFmtId="178" fontId="18" fillId="3" borderId="0" xfId="1" applyNumberFormat="1" applyFont="1" applyFill="1" applyBorder="1" applyAlignment="1">
      <alignment horizontal="center" vertical="center"/>
    </xf>
    <xf numFmtId="178" fontId="18" fillId="3" borderId="1" xfId="1" applyNumberFormat="1" applyFont="1" applyFill="1" applyBorder="1" applyAlignment="1">
      <alignment horizontal="center" vertical="center"/>
    </xf>
    <xf numFmtId="178" fontId="18" fillId="3" borderId="45" xfId="1" applyNumberFormat="1" applyFont="1" applyFill="1" applyBorder="1" applyAlignment="1">
      <alignment horizontal="center" vertical="center"/>
    </xf>
    <xf numFmtId="178" fontId="18" fillId="3" borderId="43" xfId="1" applyNumberFormat="1" applyFont="1" applyFill="1" applyBorder="1" applyAlignment="1">
      <alignment horizontal="center" vertical="center"/>
    </xf>
    <xf numFmtId="178" fontId="18" fillId="3" borderId="44" xfId="1" applyNumberFormat="1" applyFont="1" applyFill="1" applyBorder="1" applyAlignment="1">
      <alignment horizontal="center" vertical="center"/>
    </xf>
    <xf numFmtId="178" fontId="18" fillId="3" borderId="55" xfId="1" applyNumberFormat="1" applyFont="1" applyFill="1" applyBorder="1" applyAlignment="1">
      <alignment horizontal="center" vertical="center"/>
    </xf>
    <xf numFmtId="178" fontId="18" fillId="3" borderId="40" xfId="1" applyNumberFormat="1" applyFont="1" applyFill="1" applyBorder="1" applyAlignment="1">
      <alignment horizontal="center" vertical="center"/>
    </xf>
    <xf numFmtId="178" fontId="18" fillId="3" borderId="57" xfId="1" applyNumberFormat="1" applyFont="1" applyFill="1" applyBorder="1" applyAlignment="1">
      <alignment horizontal="center" vertical="center"/>
    </xf>
    <xf numFmtId="182" fontId="18" fillId="3" borderId="70" xfId="1" applyNumberFormat="1" applyFont="1" applyFill="1" applyBorder="1" applyAlignment="1" applyProtection="1">
      <alignment horizontal="right" vertical="center"/>
    </xf>
    <xf numFmtId="182" fontId="18" fillId="3" borderId="12" xfId="1" applyNumberFormat="1" applyFont="1" applyFill="1" applyBorder="1" applyAlignment="1" applyProtection="1">
      <alignment horizontal="right" vertical="center"/>
    </xf>
    <xf numFmtId="182" fontId="18" fillId="3" borderId="13" xfId="1" applyNumberFormat="1" applyFont="1" applyFill="1" applyBorder="1" applyAlignment="1" applyProtection="1">
      <alignment horizontal="right" vertical="center"/>
    </xf>
    <xf numFmtId="182" fontId="18" fillId="3" borderId="66" xfId="1" applyNumberFormat="1" applyFont="1" applyFill="1" applyBorder="1" applyAlignment="1" applyProtection="1">
      <alignment horizontal="right" vertical="center"/>
    </xf>
    <xf numFmtId="182" fontId="18" fillId="3" borderId="81" xfId="1" applyNumberFormat="1" applyFont="1" applyFill="1" applyBorder="1" applyAlignment="1" applyProtection="1">
      <alignment horizontal="right" vertical="center"/>
    </xf>
    <xf numFmtId="182" fontId="18" fillId="3" borderId="82" xfId="1" applyNumberFormat="1" applyFont="1" applyFill="1" applyBorder="1" applyAlignment="1" applyProtection="1">
      <alignment horizontal="right" vertical="center"/>
    </xf>
    <xf numFmtId="191" fontId="19" fillId="3" borderId="2" xfId="1" applyNumberFormat="1" applyFont="1" applyFill="1" applyBorder="1" applyAlignment="1" applyProtection="1">
      <alignment horizontal="center" vertical="center"/>
    </xf>
    <xf numFmtId="191" fontId="19" fillId="3" borderId="3" xfId="1" applyNumberFormat="1" applyFont="1" applyFill="1" applyBorder="1" applyAlignment="1" applyProtection="1">
      <alignment horizontal="center" vertical="center"/>
    </xf>
    <xf numFmtId="191" fontId="19" fillId="3" borderId="6" xfId="1" applyNumberFormat="1" applyFont="1" applyFill="1" applyBorder="1" applyAlignment="1" applyProtection="1">
      <alignment horizontal="center" vertical="center"/>
    </xf>
    <xf numFmtId="191" fontId="19" fillId="3" borderId="4" xfId="1" applyNumberFormat="1" applyFont="1" applyFill="1" applyBorder="1" applyAlignment="1" applyProtection="1">
      <alignment horizontal="center" vertical="center"/>
    </xf>
    <xf numFmtId="191" fontId="19" fillId="3" borderId="5" xfId="1" applyNumberFormat="1" applyFont="1" applyFill="1" applyBorder="1" applyAlignment="1" applyProtection="1">
      <alignment horizontal="center" vertical="center"/>
    </xf>
    <xf numFmtId="191" fontId="19" fillId="3" borderId="7" xfId="1" applyNumberFormat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>
      <alignment horizontal="left" vertical="center" indent="1"/>
    </xf>
    <xf numFmtId="0" fontId="4" fillId="2" borderId="3" xfId="1" applyFont="1" applyFill="1" applyBorder="1" applyAlignment="1">
      <alignment horizontal="left" vertical="center" indent="1"/>
    </xf>
    <xf numFmtId="0" fontId="4" fillId="2" borderId="6" xfId="1" applyFont="1" applyFill="1" applyBorder="1" applyAlignment="1">
      <alignment horizontal="left" vertical="center" indent="1"/>
    </xf>
    <xf numFmtId="182" fontId="20" fillId="0" borderId="30" xfId="1" applyNumberFormat="1" applyFont="1" applyFill="1" applyBorder="1" applyAlignment="1">
      <alignment horizontal="right" vertical="center" wrapText="1"/>
    </xf>
    <xf numFmtId="182" fontId="20" fillId="0" borderId="62" xfId="1" applyNumberFormat="1" applyFont="1" applyFill="1" applyBorder="1" applyAlignment="1">
      <alignment horizontal="right" vertical="center" wrapText="1"/>
    </xf>
    <xf numFmtId="182" fontId="20" fillId="0" borderId="23" xfId="1" applyNumberFormat="1" applyFont="1" applyFill="1" applyBorder="1" applyAlignment="1">
      <alignment horizontal="right" vertical="center" wrapText="1"/>
    </xf>
    <xf numFmtId="0" fontId="26" fillId="0" borderId="0" xfId="1" applyFont="1" applyBorder="1" applyAlignment="1">
      <alignment horizontal="left" vertical="center" wrapText="1"/>
    </xf>
    <xf numFmtId="178" fontId="17" fillId="3" borderId="2" xfId="1" applyNumberFormat="1" applyFont="1" applyFill="1" applyBorder="1" applyAlignment="1">
      <alignment horizontal="center" vertical="center"/>
    </xf>
    <xf numFmtId="178" fontId="17" fillId="3" borderId="3" xfId="1" applyNumberFormat="1" applyFont="1" applyFill="1" applyBorder="1" applyAlignment="1">
      <alignment horizontal="center" vertical="center"/>
    </xf>
    <xf numFmtId="178" fontId="17" fillId="3" borderId="6" xfId="1" applyNumberFormat="1" applyFont="1" applyFill="1" applyBorder="1" applyAlignment="1">
      <alignment horizontal="center" vertical="center"/>
    </xf>
    <xf numFmtId="178" fontId="17" fillId="3" borderId="4" xfId="1" applyNumberFormat="1" applyFont="1" applyFill="1" applyBorder="1" applyAlignment="1">
      <alignment horizontal="center" vertical="center"/>
    </xf>
    <xf numFmtId="178" fontId="17" fillId="3" borderId="5" xfId="1" applyNumberFormat="1" applyFont="1" applyFill="1" applyBorder="1" applyAlignment="1">
      <alignment horizontal="center" vertical="center"/>
    </xf>
    <xf numFmtId="178" fontId="17" fillId="3" borderId="7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shrinkToFit="1"/>
    </xf>
    <xf numFmtId="0" fontId="4" fillId="2" borderId="14" xfId="1" applyFont="1" applyFill="1" applyBorder="1" applyAlignment="1">
      <alignment horizontal="center" vertical="center" shrinkToFit="1"/>
    </xf>
    <xf numFmtId="0" fontId="4" fillId="2" borderId="15" xfId="1" applyFont="1" applyFill="1" applyBorder="1" applyAlignment="1">
      <alignment horizontal="center" vertical="center" shrinkToFit="1"/>
    </xf>
    <xf numFmtId="178" fontId="6" fillId="6" borderId="12" xfId="1" applyNumberFormat="1" applyFont="1" applyFill="1" applyBorder="1" applyAlignment="1">
      <alignment horizontal="center" vertical="center"/>
    </xf>
    <xf numFmtId="0" fontId="1" fillId="2" borderId="45" xfId="1" applyFont="1" applyFill="1" applyBorder="1" applyAlignment="1">
      <alignment horizontal="left" vertical="center"/>
    </xf>
    <xf numFmtId="0" fontId="1" fillId="2" borderId="43" xfId="1" applyFont="1" applyFill="1" applyBorder="1" applyAlignment="1">
      <alignment horizontal="left" vertical="center"/>
    </xf>
    <xf numFmtId="0" fontId="1" fillId="2" borderId="51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" fillId="2" borderId="58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top" wrapText="1"/>
    </xf>
    <xf numFmtId="191" fontId="4" fillId="2" borderId="16" xfId="1" applyNumberFormat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192" fontId="13" fillId="0" borderId="20" xfId="0" applyNumberFormat="1" applyFont="1" applyBorder="1" applyAlignment="1">
      <alignment horizontal="center" vertical="center" shrinkToFit="1"/>
    </xf>
    <xf numFmtId="178" fontId="6" fillId="6" borderId="13" xfId="1" applyNumberFormat="1" applyFont="1" applyFill="1" applyBorder="1" applyAlignment="1">
      <alignment horizontal="center" vertical="center"/>
    </xf>
    <xf numFmtId="178" fontId="6" fillId="6" borderId="14" xfId="1" applyNumberFormat="1" applyFont="1" applyFill="1" applyBorder="1" applyAlignment="1">
      <alignment horizontal="center" vertical="center"/>
    </xf>
    <xf numFmtId="178" fontId="6" fillId="6" borderId="15" xfId="1" applyNumberFormat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 wrapText="1" shrinkToFit="1"/>
    </xf>
    <xf numFmtId="0" fontId="16" fillId="2" borderId="35" xfId="1" applyFont="1" applyFill="1" applyBorder="1" applyAlignment="1">
      <alignment horizontal="center" vertical="center" wrapText="1" shrinkToFit="1"/>
    </xf>
    <xf numFmtId="0" fontId="4" fillId="0" borderId="53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/>
    </xf>
    <xf numFmtId="0" fontId="4" fillId="0" borderId="32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center" vertical="center"/>
    </xf>
    <xf numFmtId="188" fontId="4" fillId="0" borderId="26" xfId="1" applyNumberFormat="1" applyFont="1" applyFill="1" applyBorder="1" applyAlignment="1">
      <alignment horizontal="center" vertical="center" shrinkToFit="1"/>
    </xf>
    <xf numFmtId="188" fontId="4" fillId="0" borderId="17" xfId="1" applyNumberFormat="1" applyFont="1" applyFill="1" applyBorder="1" applyAlignment="1">
      <alignment horizontal="center" vertical="center" shrinkToFit="1"/>
    </xf>
    <xf numFmtId="188" fontId="4" fillId="0" borderId="25" xfId="1" applyNumberFormat="1" applyFont="1" applyFill="1" applyBorder="1" applyAlignment="1">
      <alignment horizontal="center" vertical="center" shrinkToFit="1"/>
    </xf>
    <xf numFmtId="187" fontId="13" fillId="0" borderId="20" xfId="0" applyNumberFormat="1" applyFont="1" applyBorder="1" applyAlignment="1">
      <alignment horizontal="center" vertical="center" shrinkToFit="1"/>
    </xf>
    <xf numFmtId="0" fontId="6" fillId="6" borderId="49" xfId="1" applyFont="1" applyFill="1" applyBorder="1" applyAlignment="1">
      <alignment horizontal="center" vertical="center"/>
    </xf>
    <xf numFmtId="0" fontId="4" fillId="2" borderId="6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191" fontId="4" fillId="2" borderId="18" xfId="1" applyNumberFormat="1" applyFont="1" applyFill="1" applyBorder="1" applyAlignment="1">
      <alignment horizontal="center" vertical="center"/>
    </xf>
    <xf numFmtId="0" fontId="30" fillId="4" borderId="2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/>
    </xf>
    <xf numFmtId="0" fontId="30" fillId="4" borderId="6" xfId="1" applyFont="1" applyFill="1" applyBorder="1" applyAlignment="1">
      <alignment horizontal="center" vertical="center"/>
    </xf>
    <xf numFmtId="0" fontId="30" fillId="4" borderId="8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 vertical="center"/>
    </xf>
    <xf numFmtId="0" fontId="30" fillId="4" borderId="4" xfId="1" applyFont="1" applyFill="1" applyBorder="1" applyAlignment="1">
      <alignment horizontal="center" vertical="center"/>
    </xf>
    <xf numFmtId="0" fontId="30" fillId="4" borderId="5" xfId="1" applyFont="1" applyFill="1" applyBorder="1" applyAlignment="1">
      <alignment horizontal="center" vertical="center"/>
    </xf>
    <xf numFmtId="0" fontId="30" fillId="4" borderId="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52" xfId="1" applyFont="1" applyFill="1" applyBorder="1" applyAlignment="1">
      <alignment horizontal="center" vertical="center"/>
    </xf>
    <xf numFmtId="0" fontId="1" fillId="2" borderId="55" xfId="1" applyFont="1" applyFill="1" applyBorder="1" applyAlignment="1">
      <alignment horizontal="left" vertical="center"/>
    </xf>
    <xf numFmtId="0" fontId="1" fillId="2" borderId="40" xfId="1" applyFont="1" applyFill="1" applyBorder="1" applyAlignment="1">
      <alignment horizontal="left" vertical="center"/>
    </xf>
    <xf numFmtId="0" fontId="1" fillId="2" borderId="41" xfId="1" applyFont="1" applyFill="1" applyBorder="1" applyAlignment="1">
      <alignment horizontal="left" vertical="center"/>
    </xf>
    <xf numFmtId="177" fontId="13" fillId="0" borderId="23" xfId="1" applyNumberFormat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/>
    </xf>
    <xf numFmtId="177" fontId="13" fillId="0" borderId="30" xfId="1" applyNumberFormat="1" applyFont="1" applyFill="1" applyBorder="1" applyAlignment="1">
      <alignment horizontal="center" vertical="center"/>
    </xf>
    <xf numFmtId="177" fontId="13" fillId="0" borderId="39" xfId="1" applyNumberFormat="1" applyFont="1" applyFill="1" applyBorder="1" applyAlignment="1">
      <alignment horizontal="center" vertical="center"/>
    </xf>
    <xf numFmtId="177" fontId="13" fillId="0" borderId="40" xfId="1" applyNumberFormat="1" applyFont="1" applyFill="1" applyBorder="1" applyAlignment="1">
      <alignment horizontal="center" vertical="center"/>
    </xf>
    <xf numFmtId="177" fontId="13" fillId="0" borderId="41" xfId="1" applyNumberFormat="1" applyFont="1" applyFill="1" applyBorder="1" applyAlignment="1">
      <alignment horizontal="center" vertical="center"/>
    </xf>
    <xf numFmtId="177" fontId="13" fillId="0" borderId="1" xfId="1" applyNumberFormat="1" applyFont="1" applyFill="1" applyBorder="1" applyAlignment="1">
      <alignment horizontal="center" vertical="center"/>
    </xf>
    <xf numFmtId="177" fontId="13" fillId="0" borderId="57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4" fillId="0" borderId="30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0" fontId="4" fillId="0" borderId="41" xfId="1" applyFont="1" applyFill="1" applyBorder="1" applyAlignment="1">
      <alignment vertical="center"/>
    </xf>
    <xf numFmtId="0" fontId="1" fillId="2" borderId="56" xfId="1" applyFont="1" applyFill="1" applyBorder="1" applyAlignment="1">
      <alignment horizontal="left" vertical="center"/>
    </xf>
    <xf numFmtId="0" fontId="1" fillId="2" borderId="48" xfId="1" applyFont="1" applyFill="1" applyBorder="1" applyAlignment="1">
      <alignment horizontal="left" vertical="center"/>
    </xf>
    <xf numFmtId="0" fontId="1" fillId="2" borderId="49" xfId="1" applyFont="1" applyFill="1" applyBorder="1" applyAlignment="1">
      <alignment horizontal="left" vertical="center"/>
    </xf>
    <xf numFmtId="177" fontId="13" fillId="0" borderId="60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177" fontId="13" fillId="0" borderId="76" xfId="1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/>
    </xf>
    <xf numFmtId="190" fontId="4" fillId="0" borderId="17" xfId="1" applyNumberFormat="1" applyFont="1" applyFill="1" applyBorder="1" applyAlignment="1">
      <alignment horizontal="center" vertical="center"/>
    </xf>
    <xf numFmtId="190" fontId="4" fillId="0" borderId="25" xfId="1" applyNumberFormat="1" applyFont="1" applyFill="1" applyBorder="1" applyAlignment="1">
      <alignment horizontal="center" vertical="center"/>
    </xf>
    <xf numFmtId="0" fontId="18" fillId="2" borderId="68" xfId="1" applyFont="1" applyFill="1" applyBorder="1" applyAlignment="1">
      <alignment horizontal="center" vertical="center"/>
    </xf>
    <xf numFmtId="0" fontId="18" fillId="2" borderId="69" xfId="1" applyFont="1" applyFill="1" applyBorder="1" applyAlignment="1">
      <alignment horizontal="center" vertical="center"/>
    </xf>
    <xf numFmtId="180" fontId="32" fillId="5" borderId="2" xfId="1" applyNumberFormat="1" applyFont="1" applyFill="1" applyBorder="1" applyAlignment="1" applyProtection="1">
      <alignment horizontal="center" vertical="center"/>
      <protection locked="0"/>
    </xf>
    <xf numFmtId="180" fontId="32" fillId="5" borderId="6" xfId="1" applyNumberFormat="1" applyFont="1" applyFill="1" applyBorder="1" applyAlignment="1" applyProtection="1">
      <alignment horizontal="center" vertical="center"/>
      <protection locked="0"/>
    </xf>
    <xf numFmtId="180" fontId="32" fillId="5" borderId="4" xfId="1" applyNumberFormat="1" applyFont="1" applyFill="1" applyBorder="1" applyAlignment="1" applyProtection="1">
      <alignment horizontal="center" vertical="center"/>
      <protection locked="0"/>
    </xf>
    <xf numFmtId="180" fontId="32" fillId="5" borderId="7" xfId="1" applyNumberFormat="1" applyFont="1" applyFill="1" applyBorder="1" applyAlignment="1" applyProtection="1">
      <alignment horizontal="center" vertical="center"/>
      <protection locked="0"/>
    </xf>
    <xf numFmtId="0" fontId="1" fillId="6" borderId="42" xfId="1" applyFont="1" applyFill="1" applyBorder="1" applyAlignment="1">
      <alignment horizontal="right" vertical="center"/>
    </xf>
    <xf numFmtId="0" fontId="23" fillId="6" borderId="3" xfId="1" applyFont="1" applyFill="1" applyBorder="1" applyAlignment="1">
      <alignment horizontal="left" vertical="center"/>
    </xf>
    <xf numFmtId="0" fontId="23" fillId="6" borderId="0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center" vertical="center" wrapText="1"/>
    </xf>
    <xf numFmtId="0" fontId="18" fillId="2" borderId="72" xfId="1" applyFont="1" applyFill="1" applyBorder="1" applyAlignment="1">
      <alignment horizontal="center" vertical="center" wrapText="1"/>
    </xf>
    <xf numFmtId="0" fontId="18" fillId="2" borderId="74" xfId="1" applyFont="1" applyFill="1" applyBorder="1" applyAlignment="1">
      <alignment horizontal="center" vertical="center"/>
    </xf>
    <xf numFmtId="0" fontId="18" fillId="2" borderId="74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4" fillId="2" borderId="72" xfId="1" applyFont="1" applyFill="1" applyBorder="1" applyAlignment="1">
      <alignment horizontal="center" vertical="center" wrapText="1"/>
    </xf>
    <xf numFmtId="0" fontId="4" fillId="2" borderId="74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16" fillId="2" borderId="78" xfId="1" applyFont="1" applyFill="1" applyBorder="1" applyAlignment="1">
      <alignment horizontal="center" vertical="center" wrapText="1"/>
    </xf>
    <xf numFmtId="0" fontId="16" fillId="2" borderId="79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/>
    </xf>
    <xf numFmtId="0" fontId="18" fillId="2" borderId="54" xfId="1" applyFont="1" applyFill="1" applyBorder="1" applyAlignment="1">
      <alignment horizontal="center" vertical="center"/>
    </xf>
    <xf numFmtId="0" fontId="18" fillId="2" borderId="80" xfId="1" applyFont="1" applyFill="1" applyBorder="1" applyAlignment="1">
      <alignment horizontal="center" vertical="center"/>
    </xf>
    <xf numFmtId="0" fontId="18" fillId="2" borderId="22" xfId="1" applyFont="1" applyFill="1" applyBorder="1" applyAlignment="1">
      <alignment horizontal="center" vertical="center"/>
    </xf>
    <xf numFmtId="0" fontId="18" fillId="2" borderId="32" xfId="1" applyFont="1" applyFill="1" applyBorder="1" applyAlignment="1">
      <alignment horizontal="center" vertical="center"/>
    </xf>
    <xf numFmtId="0" fontId="1" fillId="2" borderId="54" xfId="1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34" fillId="0" borderId="12" xfId="3" applyBorder="1" applyAlignment="1" applyProtection="1">
      <alignment horizontal="center" vertical="center"/>
    </xf>
    <xf numFmtId="0" fontId="50" fillId="0" borderId="0" xfId="3" applyFont="1" applyFill="1" applyBorder="1" applyAlignment="1" applyProtection="1">
      <alignment horizontal="center" vertical="center"/>
    </xf>
    <xf numFmtId="0" fontId="41" fillId="0" borderId="12" xfId="3" applyFont="1" applyFill="1" applyBorder="1" applyAlignment="1" applyProtection="1">
      <alignment horizontal="center" vertical="center"/>
    </xf>
    <xf numFmtId="183" fontId="38" fillId="3" borderId="12" xfId="3" applyNumberFormat="1" applyFont="1" applyFill="1" applyBorder="1" applyAlignment="1" applyProtection="1">
      <alignment horizontal="center" vertical="center"/>
    </xf>
    <xf numFmtId="183" fontId="54" fillId="9" borderId="13" xfId="3" applyNumberFormat="1" applyFont="1" applyFill="1" applyBorder="1" applyAlignment="1" applyProtection="1">
      <alignment horizontal="center" vertical="center"/>
    </xf>
    <xf numFmtId="183" fontId="54" fillId="9" borderId="15" xfId="3" applyNumberFormat="1" applyFont="1" applyFill="1" applyBorder="1" applyAlignment="1" applyProtection="1">
      <alignment horizontal="center" vertical="center"/>
    </xf>
    <xf numFmtId="0" fontId="42" fillId="8" borderId="12" xfId="3" applyFont="1" applyFill="1" applyBorder="1" applyAlignment="1" applyProtection="1">
      <alignment horizontal="center" vertical="center" wrapText="1"/>
    </xf>
    <xf numFmtId="0" fontId="42" fillId="8" borderId="12" xfId="3" applyFont="1" applyFill="1" applyBorder="1" applyAlignment="1" applyProtection="1">
      <alignment horizontal="center" vertical="center"/>
    </xf>
    <xf numFmtId="183" fontId="56" fillId="3" borderId="61" xfId="3" applyNumberFormat="1" applyFont="1" applyFill="1" applyBorder="1" applyAlignment="1" applyProtection="1">
      <alignment horizontal="center" vertical="center"/>
    </xf>
    <xf numFmtId="183" fontId="56" fillId="3" borderId="62" xfId="3" applyNumberFormat="1" applyFont="1" applyFill="1" applyBorder="1" applyAlignment="1" applyProtection="1">
      <alignment horizontal="center" vertical="center"/>
    </xf>
    <xf numFmtId="183" fontId="56" fillId="3" borderId="52" xfId="3" applyNumberFormat="1" applyFont="1" applyFill="1" applyBorder="1" applyAlignment="1" applyProtection="1">
      <alignment horizontal="center" vertical="center"/>
    </xf>
    <xf numFmtId="183" fontId="56" fillId="3" borderId="60" xfId="3" applyNumberFormat="1" applyFont="1" applyFill="1" applyBorder="1" applyAlignment="1" applyProtection="1">
      <alignment horizontal="center" vertical="center"/>
    </xf>
    <xf numFmtId="183" fontId="56" fillId="3" borderId="48" xfId="3" applyNumberFormat="1" applyFont="1" applyFill="1" applyBorder="1" applyAlignment="1" applyProtection="1">
      <alignment horizontal="center" vertical="center"/>
    </xf>
    <xf numFmtId="183" fontId="56" fillId="3" borderId="49" xfId="3" applyNumberFormat="1" applyFont="1" applyFill="1" applyBorder="1" applyAlignment="1" applyProtection="1">
      <alignment horizontal="center" vertical="center"/>
    </xf>
    <xf numFmtId="183" fontId="56" fillId="3" borderId="23" xfId="3" applyNumberFormat="1" applyFont="1" applyFill="1" applyBorder="1" applyAlignment="1" applyProtection="1">
      <alignment horizontal="center" vertical="center"/>
    </xf>
    <xf numFmtId="183" fontId="56" fillId="3" borderId="0" xfId="3" applyNumberFormat="1" applyFont="1" applyFill="1" applyBorder="1" applyAlignment="1" applyProtection="1">
      <alignment horizontal="center" vertical="center"/>
    </xf>
    <xf numFmtId="183" fontId="56" fillId="3" borderId="30" xfId="3" applyNumberFormat="1" applyFont="1" applyFill="1" applyBorder="1" applyAlignment="1" applyProtection="1">
      <alignment horizontal="center" vertical="center"/>
    </xf>
    <xf numFmtId="183" fontId="56" fillId="3" borderId="53" xfId="3" applyNumberFormat="1" applyFont="1" applyFill="1" applyBorder="1" applyAlignment="1" applyProtection="1">
      <alignment horizontal="center" vertical="center"/>
    </xf>
    <xf numFmtId="183" fontId="56" fillId="3" borderId="22" xfId="3" applyNumberFormat="1" applyFont="1" applyFill="1" applyBorder="1" applyAlignment="1" applyProtection="1">
      <alignment horizontal="center" vertical="center"/>
    </xf>
    <xf numFmtId="183" fontId="56" fillId="3" borderId="32" xfId="3" applyNumberFormat="1" applyFont="1" applyFill="1" applyBorder="1" applyAlignment="1" applyProtection="1">
      <alignment horizontal="center" vertical="center"/>
    </xf>
    <xf numFmtId="38" fontId="60" fillId="0" borderId="0" xfId="2" applyFont="1" applyFill="1" applyBorder="1" applyAlignment="1" applyProtection="1">
      <alignment horizontal="center" vertical="center"/>
    </xf>
    <xf numFmtId="38" fontId="60" fillId="0" borderId="0" xfId="2" applyFont="1" applyFill="1" applyAlignment="1" applyProtection="1">
      <alignment horizontal="center" vertical="center"/>
    </xf>
    <xf numFmtId="0" fontId="50" fillId="0" borderId="0" xfId="3" applyFont="1" applyFill="1" applyBorder="1" applyAlignment="1" applyProtection="1">
      <alignment horizontal="center" vertical="center" shrinkToFit="1"/>
    </xf>
    <xf numFmtId="38" fontId="55" fillId="9" borderId="48" xfId="2" applyFont="1" applyFill="1" applyBorder="1" applyAlignment="1" applyProtection="1">
      <alignment horizontal="center" vertical="center"/>
    </xf>
    <xf numFmtId="38" fontId="55" fillId="9" borderId="0" xfId="2" applyFont="1" applyFill="1" applyBorder="1" applyAlignment="1" applyProtection="1">
      <alignment horizontal="center" vertical="center"/>
    </xf>
    <xf numFmtId="0" fontId="41" fillId="8" borderId="12" xfId="3" applyFont="1" applyFill="1" applyBorder="1" applyAlignment="1" applyProtection="1">
      <alignment horizontal="center" vertical="center" wrapText="1"/>
    </xf>
    <xf numFmtId="0" fontId="41" fillId="8" borderId="12" xfId="3" applyFont="1" applyFill="1" applyBorder="1" applyAlignment="1" applyProtection="1">
      <alignment horizontal="center" vertical="center"/>
    </xf>
    <xf numFmtId="183" fontId="56" fillId="3" borderId="12" xfId="3" applyNumberFormat="1" applyFont="1" applyFill="1" applyBorder="1" applyAlignment="1" applyProtection="1">
      <alignment horizontal="center" vertical="center"/>
    </xf>
    <xf numFmtId="182" fontId="39" fillId="9" borderId="13" xfId="3" applyNumberFormat="1" applyFont="1" applyFill="1" applyBorder="1" applyAlignment="1" applyProtection="1">
      <alignment horizontal="center" vertical="center"/>
    </xf>
    <xf numFmtId="182" fontId="39" fillId="9" borderId="14" xfId="3" applyNumberFormat="1" applyFont="1" applyFill="1" applyBorder="1" applyAlignment="1" applyProtection="1">
      <alignment horizontal="center" vertical="center"/>
    </xf>
    <xf numFmtId="182" fontId="39" fillId="9" borderId="15" xfId="3" applyNumberFormat="1" applyFont="1" applyFill="1" applyBorder="1" applyAlignment="1" applyProtection="1">
      <alignment horizontal="center" vertical="center"/>
    </xf>
    <xf numFmtId="0" fontId="45" fillId="9" borderId="13" xfId="3" applyFont="1" applyFill="1" applyBorder="1" applyAlignment="1" applyProtection="1">
      <alignment horizontal="center" vertical="center" wrapText="1"/>
    </xf>
    <xf numFmtId="0" fontId="45" fillId="9" borderId="14" xfId="3" applyFont="1" applyFill="1" applyBorder="1" applyAlignment="1" applyProtection="1">
      <alignment horizontal="center" vertical="center" wrapText="1"/>
    </xf>
    <xf numFmtId="0" fontId="45" fillId="9" borderId="15" xfId="3" applyFont="1" applyFill="1" applyBorder="1" applyAlignment="1" applyProtection="1">
      <alignment horizontal="center" vertical="center" wrapText="1"/>
    </xf>
    <xf numFmtId="0" fontId="41" fillId="9" borderId="60" xfId="3" applyFont="1" applyFill="1" applyBorder="1" applyAlignment="1" applyProtection="1">
      <alignment horizontal="center" vertical="center"/>
    </xf>
    <xf numFmtId="0" fontId="41" fillId="9" borderId="48" xfId="3" applyFont="1" applyFill="1" applyBorder="1" applyAlignment="1" applyProtection="1">
      <alignment horizontal="center" vertical="center"/>
    </xf>
    <xf numFmtId="0" fontId="41" fillId="9" borderId="49" xfId="3" applyFont="1" applyFill="1" applyBorder="1" applyAlignment="1" applyProtection="1">
      <alignment horizontal="center" vertical="center"/>
    </xf>
    <xf numFmtId="0" fontId="41" fillId="9" borderId="53" xfId="3" applyFont="1" applyFill="1" applyBorder="1" applyAlignment="1" applyProtection="1">
      <alignment horizontal="center" vertical="center"/>
    </xf>
    <xf numFmtId="0" fontId="41" fillId="9" borderId="22" xfId="3" applyFont="1" applyFill="1" applyBorder="1" applyAlignment="1" applyProtection="1">
      <alignment horizontal="center" vertical="center"/>
    </xf>
    <xf numFmtId="0" fontId="41" fillId="9" borderId="32" xfId="3" applyFont="1" applyFill="1" applyBorder="1" applyAlignment="1" applyProtection="1">
      <alignment horizontal="center" vertical="center"/>
    </xf>
    <xf numFmtId="0" fontId="13" fillId="9" borderId="12" xfId="3" applyFont="1" applyFill="1" applyBorder="1" applyAlignment="1" applyProtection="1">
      <alignment horizontal="center" vertical="center" wrapText="1"/>
    </xf>
    <xf numFmtId="0" fontId="35" fillId="0" borderId="12" xfId="3" applyFont="1" applyFill="1" applyBorder="1" applyAlignment="1" applyProtection="1">
      <alignment horizontal="center" vertical="center"/>
    </xf>
    <xf numFmtId="0" fontId="13" fillId="8" borderId="12" xfId="3" applyFont="1" applyFill="1" applyBorder="1" applyAlignment="1" applyProtection="1">
      <alignment horizontal="left"/>
    </xf>
    <xf numFmtId="183" fontId="40" fillId="9" borderId="60" xfId="3" applyNumberFormat="1" applyFont="1" applyFill="1" applyBorder="1" applyAlignment="1" applyProtection="1">
      <alignment horizontal="center" vertical="center"/>
      <protection locked="0"/>
    </xf>
    <xf numFmtId="183" fontId="40" fillId="9" borderId="48" xfId="3" applyNumberFormat="1" applyFont="1" applyFill="1" applyBorder="1" applyAlignment="1" applyProtection="1">
      <alignment horizontal="center" vertical="center"/>
      <protection locked="0"/>
    </xf>
    <xf numFmtId="183" fontId="40" fillId="9" borderId="49" xfId="3" applyNumberFormat="1" applyFont="1" applyFill="1" applyBorder="1" applyAlignment="1" applyProtection="1">
      <alignment horizontal="center" vertical="center"/>
      <protection locked="0"/>
    </xf>
    <xf numFmtId="183" fontId="40" fillId="9" borderId="23" xfId="3" applyNumberFormat="1" applyFont="1" applyFill="1" applyBorder="1" applyAlignment="1" applyProtection="1">
      <alignment horizontal="center" vertical="center"/>
      <protection locked="0"/>
    </xf>
    <xf numFmtId="183" fontId="40" fillId="9" borderId="0" xfId="3" applyNumberFormat="1" applyFont="1" applyFill="1" applyBorder="1" applyAlignment="1" applyProtection="1">
      <alignment horizontal="center" vertical="center"/>
      <protection locked="0"/>
    </xf>
    <xf numFmtId="183" fontId="40" fillId="9" borderId="30" xfId="3" applyNumberFormat="1" applyFont="1" applyFill="1" applyBorder="1" applyAlignment="1" applyProtection="1">
      <alignment horizontal="center" vertical="center"/>
      <protection locked="0"/>
    </xf>
    <xf numFmtId="183" fontId="40" fillId="9" borderId="53" xfId="3" applyNumberFormat="1" applyFont="1" applyFill="1" applyBorder="1" applyAlignment="1" applyProtection="1">
      <alignment horizontal="center" vertical="center"/>
      <protection locked="0"/>
    </xf>
    <xf numFmtId="183" fontId="40" fillId="9" borderId="22" xfId="3" applyNumberFormat="1" applyFont="1" applyFill="1" applyBorder="1" applyAlignment="1" applyProtection="1">
      <alignment horizontal="center" vertical="center"/>
      <protection locked="0"/>
    </xf>
    <xf numFmtId="183" fontId="40" fillId="9" borderId="32" xfId="3" applyNumberFormat="1" applyFont="1" applyFill="1" applyBorder="1" applyAlignment="1" applyProtection="1">
      <alignment horizontal="center" vertical="center"/>
      <protection locked="0"/>
    </xf>
    <xf numFmtId="0" fontId="36" fillId="9" borderId="61" xfId="3" applyFont="1" applyFill="1" applyBorder="1" applyAlignment="1" applyProtection="1">
      <alignment horizontal="center" vertical="center"/>
    </xf>
    <xf numFmtId="0" fontId="36" fillId="9" borderId="62" xfId="3" applyFont="1" applyFill="1" applyBorder="1" applyAlignment="1" applyProtection="1">
      <alignment horizontal="center" vertical="center"/>
    </xf>
    <xf numFmtId="0" fontId="36" fillId="9" borderId="52" xfId="3" applyFont="1" applyFill="1" applyBorder="1" applyAlignment="1" applyProtection="1">
      <alignment horizontal="center" vertical="center"/>
    </xf>
    <xf numFmtId="0" fontId="41" fillId="9" borderId="12" xfId="3" applyFont="1" applyFill="1" applyBorder="1" applyAlignment="1" applyProtection="1">
      <alignment horizontal="center" vertical="center"/>
    </xf>
    <xf numFmtId="183" fontId="40" fillId="9" borderId="12" xfId="3" applyNumberFormat="1" applyFont="1" applyFill="1" applyBorder="1" applyAlignment="1" applyProtection="1">
      <alignment horizontal="center" vertical="center"/>
      <protection locked="0"/>
    </xf>
    <xf numFmtId="0" fontId="36" fillId="9" borderId="12" xfId="3" applyFont="1" applyFill="1" applyBorder="1" applyAlignment="1" applyProtection="1">
      <alignment horizontal="center" vertical="center"/>
    </xf>
    <xf numFmtId="183" fontId="36" fillId="12" borderId="12" xfId="3" applyNumberFormat="1" applyFont="1" applyFill="1" applyBorder="1" applyAlignment="1" applyProtection="1">
      <alignment horizontal="center" vertical="center"/>
    </xf>
    <xf numFmtId="0" fontId="39" fillId="12" borderId="13" xfId="3" applyFont="1" applyFill="1" applyBorder="1" applyAlignment="1" applyProtection="1">
      <alignment horizontal="center" vertical="center"/>
    </xf>
    <xf numFmtId="0" fontId="39" fillId="12" borderId="14" xfId="3" applyFont="1" applyFill="1" applyBorder="1" applyAlignment="1" applyProtection="1">
      <alignment horizontal="center" vertical="center"/>
    </xf>
    <xf numFmtId="0" fontId="39" fillId="12" borderId="15" xfId="3" applyFont="1" applyFill="1" applyBorder="1" applyAlignment="1" applyProtection="1">
      <alignment horizontal="center" vertical="center"/>
    </xf>
    <xf numFmtId="0" fontId="39" fillId="9" borderId="13" xfId="3" applyFont="1" applyFill="1" applyBorder="1" applyAlignment="1" applyProtection="1">
      <alignment horizontal="center" vertical="center"/>
    </xf>
    <xf numFmtId="0" fontId="39" fillId="9" borderId="14" xfId="3" applyFont="1" applyFill="1" applyBorder="1" applyAlignment="1" applyProtection="1">
      <alignment horizontal="center" vertical="center"/>
    </xf>
    <xf numFmtId="0" fontId="39" fillId="9" borderId="15" xfId="3" applyFont="1" applyFill="1" applyBorder="1" applyAlignment="1" applyProtection="1">
      <alignment horizontal="center" vertical="center"/>
    </xf>
    <xf numFmtId="0" fontId="45" fillId="9" borderId="12" xfId="3" applyFont="1" applyFill="1" applyBorder="1" applyAlignment="1" applyProtection="1">
      <alignment horizontal="center" vertical="center" wrapText="1"/>
    </xf>
    <xf numFmtId="0" fontId="41" fillId="12" borderId="60" xfId="3" applyFont="1" applyFill="1" applyBorder="1" applyAlignment="1" applyProtection="1">
      <alignment horizontal="center" vertical="center"/>
    </xf>
    <xf numFmtId="0" fontId="41" fillId="12" borderId="48" xfId="3" applyFont="1" applyFill="1" applyBorder="1" applyAlignment="1" applyProtection="1">
      <alignment horizontal="center" vertical="center"/>
    </xf>
    <xf numFmtId="0" fontId="41" fillId="12" borderId="49" xfId="3" applyFont="1" applyFill="1" applyBorder="1" applyAlignment="1" applyProtection="1">
      <alignment horizontal="center" vertical="center"/>
    </xf>
    <xf numFmtId="0" fontId="41" fillId="12" borderId="53" xfId="3" applyFont="1" applyFill="1" applyBorder="1" applyAlignment="1" applyProtection="1">
      <alignment horizontal="center" vertical="center"/>
    </xf>
    <xf numFmtId="0" fontId="41" fillId="12" borderId="22" xfId="3" applyFont="1" applyFill="1" applyBorder="1" applyAlignment="1" applyProtection="1">
      <alignment horizontal="center" vertical="center"/>
    </xf>
    <xf numFmtId="0" fontId="41" fillId="12" borderId="32" xfId="3" applyFont="1" applyFill="1" applyBorder="1" applyAlignment="1" applyProtection="1">
      <alignment horizontal="center" vertical="center"/>
    </xf>
    <xf numFmtId="0" fontId="45" fillId="12" borderId="13" xfId="3" applyFont="1" applyFill="1" applyBorder="1" applyAlignment="1" applyProtection="1">
      <alignment horizontal="center" vertical="center" wrapText="1"/>
    </xf>
    <xf numFmtId="0" fontId="45" fillId="12" borderId="14" xfId="3" applyFont="1" applyFill="1" applyBorder="1" applyAlignment="1" applyProtection="1">
      <alignment horizontal="center" vertical="center" wrapText="1"/>
    </xf>
    <xf numFmtId="0" fontId="45" fillId="12" borderId="15" xfId="3" applyFont="1" applyFill="1" applyBorder="1" applyAlignment="1" applyProtection="1">
      <alignment horizontal="center" vertical="center" wrapText="1"/>
    </xf>
    <xf numFmtId="184" fontId="46" fillId="12" borderId="13" xfId="3" applyNumberFormat="1" applyFont="1" applyFill="1" applyBorder="1" applyAlignment="1" applyProtection="1">
      <alignment horizontal="right" vertical="center"/>
    </xf>
    <xf numFmtId="184" fontId="46" fillId="12" borderId="15" xfId="3" applyNumberFormat="1" applyFont="1" applyFill="1" applyBorder="1" applyAlignment="1" applyProtection="1">
      <alignment horizontal="right" vertical="center"/>
    </xf>
    <xf numFmtId="184" fontId="62" fillId="12" borderId="13" xfId="3" applyNumberFormat="1" applyFont="1" applyFill="1" applyBorder="1" applyAlignment="1" applyProtection="1">
      <alignment horizontal="right" vertical="center"/>
    </xf>
    <xf numFmtId="184" fontId="62" fillId="12" borderId="15" xfId="3" applyNumberFormat="1" applyFont="1" applyFill="1" applyBorder="1" applyAlignment="1" applyProtection="1">
      <alignment horizontal="right" vertical="center"/>
    </xf>
    <xf numFmtId="0" fontId="62" fillId="12" borderId="12" xfId="3" applyFont="1" applyFill="1" applyBorder="1" applyAlignment="1" applyProtection="1">
      <alignment horizontal="center" vertical="center"/>
    </xf>
    <xf numFmtId="183" fontId="40" fillId="12" borderId="12" xfId="3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>
      <alignment horizontal="left" vertical="center" shrinkToFit="1"/>
    </xf>
    <xf numFmtId="0" fontId="22" fillId="0" borderId="1" xfId="1" applyFont="1" applyBorder="1" applyAlignment="1">
      <alignment horizontal="left" vertical="center" shrinkToFit="1"/>
    </xf>
  </cellXfs>
  <cellStyles count="4">
    <cellStyle name="桁区切り" xfId="2" builtinId="6"/>
    <cellStyle name="標準" xfId="0" builtinId="0"/>
    <cellStyle name="標準 2" xfId="1" xr:uid="{00000000-0005-0000-0000-000001000000}"/>
    <cellStyle name="標準 3" xfId="3" xr:uid="{66674CD1-4E2A-4E23-951C-DDF5B1FA0035}"/>
  </cellStyles>
  <dxfs count="0"/>
  <tableStyles count="0" defaultTableStyle="TableStyleMedium9" defaultPivotStyle="PivotStyleLight16"/>
  <colors>
    <mruColors>
      <color rgb="FFFF00FF"/>
      <color rgb="FF99FF66"/>
      <color rgb="FFFFDDFF"/>
      <color rgb="FFCCFFFF"/>
      <color rgb="FFFFCCFF"/>
      <color rgb="FFFFFF99"/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104775</xdr:colOff>
      <xdr:row>16</xdr:row>
      <xdr:rowOff>190500</xdr:rowOff>
    </xdr:from>
    <xdr:to>
      <xdr:col>47</xdr:col>
      <xdr:colOff>276225</xdr:colOff>
      <xdr:row>17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24975" y="4248150"/>
          <a:ext cx="171450" cy="180975"/>
        </a:xfrm>
        <a:prstGeom prst="ellipse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＋</a:t>
          </a:r>
        </a:p>
      </xdr:txBody>
    </xdr:sp>
    <xdr:clientData/>
  </xdr:twoCellAnchor>
  <xdr:twoCellAnchor>
    <xdr:from>
      <xdr:col>47</xdr:col>
      <xdr:colOff>104775</xdr:colOff>
      <xdr:row>18</xdr:row>
      <xdr:rowOff>190500</xdr:rowOff>
    </xdr:from>
    <xdr:to>
      <xdr:col>47</xdr:col>
      <xdr:colOff>276225</xdr:colOff>
      <xdr:row>19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24975" y="4257675"/>
          <a:ext cx="171450" cy="180975"/>
        </a:xfrm>
        <a:prstGeom prst="ellipse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＋</a:t>
          </a:r>
        </a:p>
      </xdr:txBody>
    </xdr:sp>
    <xdr:clientData/>
  </xdr:twoCellAnchor>
  <xdr:twoCellAnchor>
    <xdr:from>
      <xdr:col>54</xdr:col>
      <xdr:colOff>190500</xdr:colOff>
      <xdr:row>12</xdr:row>
      <xdr:rowOff>200025</xdr:rowOff>
    </xdr:from>
    <xdr:to>
      <xdr:col>55</xdr:col>
      <xdr:colOff>104775</xdr:colOff>
      <xdr:row>13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477625" y="2943225"/>
          <a:ext cx="190500" cy="180975"/>
        </a:xfrm>
        <a:prstGeom prst="ellipse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＋</a:t>
          </a:r>
        </a:p>
      </xdr:txBody>
    </xdr:sp>
    <xdr:clientData/>
  </xdr:twoCellAnchor>
  <xdr:twoCellAnchor>
    <xdr:from>
      <xdr:col>51</xdr:col>
      <xdr:colOff>171450</xdr:colOff>
      <xdr:row>12</xdr:row>
      <xdr:rowOff>200025</xdr:rowOff>
    </xdr:from>
    <xdr:to>
      <xdr:col>52</xdr:col>
      <xdr:colOff>85725</xdr:colOff>
      <xdr:row>13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29900" y="2943225"/>
          <a:ext cx="190500" cy="180975"/>
        </a:xfrm>
        <a:prstGeom prst="ellipse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5FD527E9-C303-4B2D-92C4-BA2B6862FFBC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258C85DD-8E5C-49DF-AF76-E22C64F79605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AC8101CD-9B0F-4165-9446-95E99F0C16D0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097EEFAE-6D33-4367-826C-E4295DAD0A20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FB057137-283A-45D3-A363-6A76F5E1C821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26BEBAD6-5867-4116-B938-8BF5F55E063A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8" name="右矢印 12">
          <a:extLst>
            <a:ext uri="{FF2B5EF4-FFF2-40B4-BE49-F238E27FC236}">
              <a16:creationId xmlns:a16="http://schemas.microsoft.com/office/drawing/2014/main" id="{D3466F6F-9E99-4875-9DF6-1EF537E6CA24}"/>
            </a:ext>
          </a:extLst>
        </xdr:cNvPr>
        <xdr:cNvSpPr/>
      </xdr:nvSpPr>
      <xdr:spPr>
        <a:xfrm>
          <a:off x="18859501" y="8401050"/>
          <a:ext cx="1127124" cy="425450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12" name="右矢印 15">
          <a:extLst>
            <a:ext uri="{FF2B5EF4-FFF2-40B4-BE49-F238E27FC236}">
              <a16:creationId xmlns:a16="http://schemas.microsoft.com/office/drawing/2014/main" id="{C931CDA0-774D-48CE-B8E5-6FC099B37875}"/>
            </a:ext>
          </a:extLst>
        </xdr:cNvPr>
        <xdr:cNvSpPr/>
      </xdr:nvSpPr>
      <xdr:spPr>
        <a:xfrm>
          <a:off x="18811877" y="5195094"/>
          <a:ext cx="104774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1171BF4A-EC0E-413F-B061-C29839BCDFA9}"/>
            </a:ext>
          </a:extLst>
        </xdr:cNvPr>
        <xdr:cNvSpPr/>
      </xdr:nvSpPr>
      <xdr:spPr>
        <a:xfrm>
          <a:off x="15431436" y="2561712"/>
          <a:ext cx="920748" cy="381700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EB8C653F-11A0-4D97-A533-B2D9407A67BE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5E77D8EE-50A9-4FEB-8F72-80BF9F227CAB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693FDB10-D936-4301-B90B-BFBF628294A6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5CB8DBBD-5F2C-4ABB-96C2-E75A496CF428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EF2E2CB7-5FB6-4B10-A579-D91FF88E3E07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06E1F3B8-0349-4024-A0C6-8B83A2870A3C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AF68C335-14CF-4B40-BE28-13B2C3A1E9E5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66307D9A-F4B5-49CF-B5AA-203E4AD5A77E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9B479D9F-2403-4225-BB51-1264D6D784B3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91AE903D-E9CD-4A4A-AECA-8EF4D9F944B4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07FAFEA9-4F21-4E98-A065-D450A1F7BC4D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2D3E3B20-FA07-4E77-A62C-B1A61D6A9BE9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FC2BABCB-3D29-4513-8684-2A51764710A3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4209AB5B-811A-4F20-B942-56C05FDEF3E0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5081A15C-4FDC-4469-8B8F-DE9C28271813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861608ED-E2E3-44E4-B84F-135169F63729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3E800942-1267-4266-ACD7-86EDA3B0E08C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CBB35432-1B51-4BCA-A2A4-0F6F29681171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174626</xdr:colOff>
      <xdr:row>34</xdr:row>
      <xdr:rowOff>542925</xdr:rowOff>
    </xdr:from>
    <xdr:to>
      <xdr:col>20</xdr:col>
      <xdr:colOff>857250</xdr:colOff>
      <xdr:row>36</xdr:row>
      <xdr:rowOff>79375</xdr:rowOff>
    </xdr:to>
    <xdr:sp macro="" textlink="">
      <xdr:nvSpPr>
        <xdr:cNvPr id="2" name="右矢印 12">
          <a:extLst>
            <a:ext uri="{FF2B5EF4-FFF2-40B4-BE49-F238E27FC236}">
              <a16:creationId xmlns:a16="http://schemas.microsoft.com/office/drawing/2014/main" id="{26860CCE-57B5-47AB-A1A7-50E1EF62FBD8}"/>
            </a:ext>
          </a:extLst>
        </xdr:cNvPr>
        <xdr:cNvSpPr/>
      </xdr:nvSpPr>
      <xdr:spPr>
        <a:xfrm>
          <a:off x="19643726" y="9639300"/>
          <a:ext cx="968374" cy="422275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127002</xdr:colOff>
      <xdr:row>23</xdr:row>
      <xdr:rowOff>83344</xdr:rowOff>
    </xdr:from>
    <xdr:to>
      <xdr:col>20</xdr:col>
      <xdr:colOff>730250</xdr:colOff>
      <xdr:row>24</xdr:row>
      <xdr:rowOff>222250</xdr:rowOff>
    </xdr:to>
    <xdr:sp macro="" textlink="">
      <xdr:nvSpPr>
        <xdr:cNvPr id="3" name="右矢印 15">
          <a:extLst>
            <a:ext uri="{FF2B5EF4-FFF2-40B4-BE49-F238E27FC236}">
              <a16:creationId xmlns:a16="http://schemas.microsoft.com/office/drawing/2014/main" id="{9FA7523A-59E9-49E0-8544-34D402304BB6}"/>
            </a:ext>
          </a:extLst>
        </xdr:cNvPr>
        <xdr:cNvSpPr/>
      </xdr:nvSpPr>
      <xdr:spPr>
        <a:xfrm>
          <a:off x="19596102" y="6436519"/>
          <a:ext cx="927098" cy="377031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210112</xdr:colOff>
      <xdr:row>8</xdr:row>
      <xdr:rowOff>227153</xdr:rowOff>
    </xdr:from>
    <xdr:to>
      <xdr:col>17</xdr:col>
      <xdr:colOff>1130860</xdr:colOff>
      <xdr:row>10</xdr:row>
      <xdr:rowOff>123265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B140C3E0-C28A-458F-92C1-B1EBEA0531CB}"/>
            </a:ext>
          </a:extLst>
        </xdr:cNvPr>
        <xdr:cNvSpPr/>
      </xdr:nvSpPr>
      <xdr:spPr>
        <a:xfrm>
          <a:off x="16993162" y="2560778"/>
          <a:ext cx="920748" cy="372362"/>
        </a:xfrm>
        <a:prstGeom prst="rightArrow">
          <a:avLst>
            <a:gd name="adj1" fmla="val 38235"/>
            <a:gd name="adj2" fmla="val 91176"/>
          </a:avLst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N81"/>
  <sheetViews>
    <sheetView showGridLines="0" tabSelected="1" view="pageBreakPreview" zoomScale="91" zoomScaleNormal="100" zoomScaleSheetLayoutView="85" workbookViewId="0">
      <selection activeCell="D12" sqref="D12:E13"/>
    </sheetView>
  </sheetViews>
  <sheetFormatPr defaultRowHeight="13.5"/>
  <cols>
    <col min="1" max="1" width="1.625" customWidth="1"/>
    <col min="2" max="2" width="3.25" customWidth="1"/>
    <col min="3" max="3" width="9" customWidth="1"/>
    <col min="4" max="4" width="10.5" customWidth="1"/>
    <col min="5" max="5" width="11.375" customWidth="1"/>
    <col min="6" max="6" width="1.875" customWidth="1"/>
    <col min="7" max="7" width="12.375" customWidth="1"/>
    <col min="8" max="8" width="2" customWidth="1"/>
    <col min="9" max="9" width="9.75" customWidth="1"/>
    <col min="10" max="10" width="2" customWidth="1"/>
    <col min="11" max="11" width="13.375" customWidth="1"/>
    <col min="12" max="12" width="2" customWidth="1"/>
    <col min="13" max="13" width="9.75" customWidth="1"/>
    <col min="14" max="14" width="8" customWidth="1"/>
    <col min="15" max="15" width="6.125" customWidth="1"/>
    <col min="16" max="23" width="3" hidden="1" customWidth="1"/>
    <col min="24" max="25" width="7" hidden="1" customWidth="1"/>
    <col min="26" max="26" width="7.75" customWidth="1"/>
    <col min="27" max="39" width="3.625" customWidth="1"/>
    <col min="40" max="42" width="3.25" style="2" customWidth="1"/>
    <col min="43" max="43" width="3.625" style="6" customWidth="1"/>
    <col min="44" max="45" width="1.5" style="6" customWidth="1"/>
    <col min="46" max="46" width="2.625" style="6" customWidth="1"/>
    <col min="47" max="47" width="3.625" style="6" customWidth="1"/>
    <col min="48" max="48" width="3.875" style="6" customWidth="1"/>
    <col min="49" max="49" width="5.125" style="6" customWidth="1"/>
    <col min="50" max="55" width="3.625" style="6" customWidth="1"/>
    <col min="56" max="56" width="6.25" style="6" customWidth="1"/>
    <col min="57" max="57" width="3.625" style="6" customWidth="1"/>
    <col min="58" max="58" width="6.25" style="6" customWidth="1"/>
    <col min="59" max="72" width="3.625" style="6" customWidth="1"/>
    <col min="73" max="79" width="3.625" customWidth="1"/>
    <col min="80" max="80" width="3.5" customWidth="1"/>
    <col min="81" max="83" width="3.625" customWidth="1"/>
    <col min="84" max="84" width="3.75" customWidth="1"/>
    <col min="85" max="87" width="3.125" customWidth="1"/>
    <col min="88" max="88" width="15.125" customWidth="1"/>
    <col min="89" max="90" width="13.25" customWidth="1"/>
    <col min="91" max="91" width="16.625" customWidth="1"/>
    <col min="92" max="92" width="19.75" customWidth="1"/>
    <col min="93" max="104" width="3.125" customWidth="1"/>
  </cols>
  <sheetData>
    <row r="1" spans="1:86" ht="13.5" customHeight="1" thickBo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9"/>
      <c r="AO1" s="79"/>
      <c r="AP1" s="79"/>
      <c r="AQ1" s="78"/>
      <c r="AR1" s="78"/>
      <c r="AS1" s="78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</row>
    <row r="2" spans="1:86" ht="13.5" customHeight="1">
      <c r="A2" s="76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5"/>
      <c r="AO2" s="45"/>
      <c r="AP2" s="45"/>
      <c r="AQ2" s="46"/>
      <c r="AR2" s="82"/>
      <c r="AS2" s="79"/>
      <c r="AT2" s="536" t="s">
        <v>152</v>
      </c>
      <c r="AU2" s="537"/>
      <c r="AV2" s="537"/>
      <c r="AW2" s="537"/>
      <c r="AX2" s="537"/>
      <c r="AY2" s="537"/>
      <c r="AZ2" s="537"/>
      <c r="BA2" s="537"/>
      <c r="BB2" s="537"/>
      <c r="BC2" s="537"/>
      <c r="BD2" s="537"/>
      <c r="BE2" s="537"/>
      <c r="BF2" s="537"/>
      <c r="BG2" s="537"/>
      <c r="BH2" s="537"/>
      <c r="BI2" s="537"/>
      <c r="BJ2" s="537"/>
      <c r="BK2" s="537"/>
      <c r="BL2" s="537"/>
      <c r="BM2" s="537"/>
      <c r="BN2" s="537"/>
      <c r="BO2" s="537"/>
      <c r="BP2" s="537"/>
      <c r="BQ2" s="537"/>
      <c r="BR2" s="537"/>
      <c r="BS2" s="537"/>
      <c r="BT2" s="537"/>
      <c r="BU2" s="537"/>
      <c r="BV2" s="537"/>
      <c r="BW2" s="537"/>
      <c r="BX2" s="537"/>
      <c r="BY2" s="537"/>
      <c r="BZ2" s="537"/>
      <c r="CA2" s="537"/>
      <c r="CB2" s="537"/>
      <c r="CC2" s="538"/>
      <c r="CD2" s="76"/>
      <c r="CE2" s="76"/>
    </row>
    <row r="3" spans="1:86" ht="13.5" customHeight="1">
      <c r="A3" s="76"/>
      <c r="B3" s="47"/>
      <c r="C3" s="540" t="s">
        <v>145</v>
      </c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48"/>
      <c r="AR3" s="83"/>
      <c r="AS3" s="79"/>
      <c r="AT3" s="539"/>
      <c r="AU3" s="540"/>
      <c r="AV3" s="540"/>
      <c r="AW3" s="540"/>
      <c r="AX3" s="540"/>
      <c r="AY3" s="540"/>
      <c r="AZ3" s="540"/>
      <c r="BA3" s="540"/>
      <c r="BB3" s="540"/>
      <c r="BC3" s="540"/>
      <c r="BD3" s="540"/>
      <c r="BE3" s="540"/>
      <c r="BF3" s="540"/>
      <c r="BG3" s="540"/>
      <c r="BH3" s="540"/>
      <c r="BI3" s="540"/>
      <c r="BJ3" s="540"/>
      <c r="BK3" s="540"/>
      <c r="BL3" s="540"/>
      <c r="BM3" s="540"/>
      <c r="BN3" s="540"/>
      <c r="BO3" s="540"/>
      <c r="BP3" s="540"/>
      <c r="BQ3" s="540"/>
      <c r="BR3" s="540"/>
      <c r="BS3" s="540"/>
      <c r="BT3" s="540"/>
      <c r="BU3" s="540"/>
      <c r="BV3" s="540"/>
      <c r="BW3" s="540"/>
      <c r="BX3" s="540"/>
      <c r="BY3" s="540"/>
      <c r="BZ3" s="540"/>
      <c r="CA3" s="540"/>
      <c r="CB3" s="540"/>
      <c r="CC3" s="541"/>
      <c r="CD3" s="76"/>
      <c r="CE3" s="76"/>
    </row>
    <row r="4" spans="1:86" ht="13.5" customHeight="1">
      <c r="A4" s="76"/>
      <c r="B4" s="47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0"/>
      <c r="AF4" s="540"/>
      <c r="AG4" s="540"/>
      <c r="AH4" s="540"/>
      <c r="AI4" s="540"/>
      <c r="AJ4" s="540"/>
      <c r="AK4" s="540"/>
      <c r="AL4" s="540"/>
      <c r="AM4" s="540"/>
      <c r="AN4" s="540"/>
      <c r="AO4" s="540"/>
      <c r="AP4" s="540"/>
      <c r="AQ4" s="48"/>
      <c r="AR4" s="83"/>
      <c r="AS4" s="88"/>
      <c r="AT4" s="539"/>
      <c r="AU4" s="540"/>
      <c r="AV4" s="540"/>
      <c r="AW4" s="540"/>
      <c r="AX4" s="540"/>
      <c r="AY4" s="540"/>
      <c r="AZ4" s="540"/>
      <c r="BA4" s="540"/>
      <c r="BB4" s="540"/>
      <c r="BC4" s="540"/>
      <c r="BD4" s="540"/>
      <c r="BE4" s="540"/>
      <c r="BF4" s="540"/>
      <c r="BG4" s="540"/>
      <c r="BH4" s="540"/>
      <c r="BI4" s="540"/>
      <c r="BJ4" s="540"/>
      <c r="BK4" s="540"/>
      <c r="BL4" s="540"/>
      <c r="BM4" s="540"/>
      <c r="BN4" s="540"/>
      <c r="BO4" s="540"/>
      <c r="BP4" s="540"/>
      <c r="BQ4" s="540"/>
      <c r="BR4" s="540"/>
      <c r="BS4" s="540"/>
      <c r="BT4" s="540"/>
      <c r="BU4" s="540"/>
      <c r="BV4" s="540"/>
      <c r="BW4" s="540"/>
      <c r="BX4" s="540"/>
      <c r="BY4" s="540"/>
      <c r="BZ4" s="540"/>
      <c r="CA4" s="540"/>
      <c r="CB4" s="540"/>
      <c r="CC4" s="541"/>
      <c r="CD4" s="76"/>
      <c r="CE4" s="76"/>
    </row>
    <row r="5" spans="1:86" ht="13.5" customHeight="1">
      <c r="A5" s="76"/>
      <c r="B5" s="47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48"/>
      <c r="AR5" s="83"/>
      <c r="AS5" s="88"/>
      <c r="AT5" s="539"/>
      <c r="AU5" s="540"/>
      <c r="AV5" s="540"/>
      <c r="AW5" s="540"/>
      <c r="AX5" s="540"/>
      <c r="AY5" s="540"/>
      <c r="AZ5" s="540"/>
      <c r="BA5" s="540"/>
      <c r="BB5" s="540"/>
      <c r="BC5" s="540"/>
      <c r="BD5" s="540"/>
      <c r="BE5" s="540"/>
      <c r="BF5" s="540"/>
      <c r="BG5" s="540"/>
      <c r="BH5" s="540"/>
      <c r="BI5" s="540"/>
      <c r="BJ5" s="540"/>
      <c r="BK5" s="540"/>
      <c r="BL5" s="540"/>
      <c r="BM5" s="540"/>
      <c r="BN5" s="540"/>
      <c r="BO5" s="540"/>
      <c r="BP5" s="540"/>
      <c r="BQ5" s="540"/>
      <c r="BR5" s="540"/>
      <c r="BS5" s="540"/>
      <c r="BT5" s="540"/>
      <c r="BU5" s="540"/>
      <c r="BV5" s="540"/>
      <c r="BW5" s="540"/>
      <c r="BX5" s="540"/>
      <c r="BY5" s="540"/>
      <c r="BZ5" s="540"/>
      <c r="CA5" s="540"/>
      <c r="CB5" s="540"/>
      <c r="CC5" s="541"/>
      <c r="CD5" s="76"/>
      <c r="CE5" s="76"/>
    </row>
    <row r="6" spans="1:86" ht="13.5" customHeight="1" thickBot="1">
      <c r="A6" s="76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1"/>
      <c r="AO6" s="51"/>
      <c r="AP6" s="51"/>
      <c r="AQ6" s="52"/>
      <c r="AR6" s="84"/>
      <c r="AS6" s="88"/>
      <c r="AT6" s="542"/>
      <c r="AU6" s="543"/>
      <c r="AV6" s="543"/>
      <c r="AW6" s="543"/>
      <c r="AX6" s="543"/>
      <c r="AY6" s="543"/>
      <c r="AZ6" s="543"/>
      <c r="BA6" s="543"/>
      <c r="BB6" s="543"/>
      <c r="BC6" s="543"/>
      <c r="BD6" s="543"/>
      <c r="BE6" s="543"/>
      <c r="BF6" s="543"/>
      <c r="BG6" s="543"/>
      <c r="BH6" s="543"/>
      <c r="BI6" s="543"/>
      <c r="BJ6" s="543"/>
      <c r="BK6" s="543"/>
      <c r="BL6" s="543"/>
      <c r="BM6" s="543"/>
      <c r="BN6" s="543"/>
      <c r="BO6" s="543"/>
      <c r="BP6" s="543"/>
      <c r="BQ6" s="543"/>
      <c r="BR6" s="543"/>
      <c r="BS6" s="543"/>
      <c r="BT6" s="543"/>
      <c r="BU6" s="543"/>
      <c r="BV6" s="543"/>
      <c r="BW6" s="543"/>
      <c r="BX6" s="543"/>
      <c r="BY6" s="543"/>
      <c r="BZ6" s="543"/>
      <c r="CA6" s="543"/>
      <c r="CB6" s="543"/>
      <c r="CC6" s="544"/>
      <c r="CD6" s="76"/>
      <c r="CE6" s="76"/>
    </row>
    <row r="7" spans="1:86" ht="25.5" customHeight="1">
      <c r="A7" s="81"/>
      <c r="B7" s="72" t="s">
        <v>146</v>
      </c>
      <c r="P7" s="22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4"/>
      <c r="AN7" s="32"/>
      <c r="AO7" s="32"/>
      <c r="AP7" s="32"/>
      <c r="AQ7" s="33"/>
      <c r="AR7" s="85"/>
      <c r="AS7" s="89"/>
      <c r="AT7" s="15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7"/>
      <c r="BW7" s="17"/>
      <c r="BX7" s="17"/>
      <c r="BY7" s="17"/>
      <c r="BZ7" s="17"/>
      <c r="CA7" s="17"/>
      <c r="CB7" s="17"/>
      <c r="CC7" s="18"/>
      <c r="CD7" s="76"/>
      <c r="CE7" s="76"/>
    </row>
    <row r="8" spans="1:86" ht="25.5" customHeight="1" thickBot="1">
      <c r="A8" s="81"/>
      <c r="B8" s="71" t="s">
        <v>107</v>
      </c>
      <c r="O8" s="22"/>
      <c r="P8" s="31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24" t="s">
        <v>3</v>
      </c>
      <c r="AC8" s="325"/>
      <c r="AD8" s="325"/>
      <c r="AE8" s="326"/>
      <c r="AF8" s="30"/>
      <c r="AG8" s="30"/>
      <c r="AH8" s="30"/>
      <c r="AI8" s="30"/>
      <c r="AJ8" s="30"/>
      <c r="AK8" s="30"/>
      <c r="AL8" s="30"/>
      <c r="AM8" s="4"/>
      <c r="AN8" s="32"/>
      <c r="AO8" s="32"/>
      <c r="AP8" s="32"/>
      <c r="AQ8" s="33"/>
      <c r="AR8" s="85"/>
      <c r="AS8" s="90"/>
      <c r="AT8" s="19"/>
      <c r="AU8" s="571" t="s">
        <v>153</v>
      </c>
      <c r="AV8" s="571"/>
      <c r="AW8" s="571"/>
      <c r="AX8" s="571"/>
      <c r="AY8" s="571"/>
      <c r="AZ8" s="571"/>
      <c r="BA8" s="571"/>
      <c r="BB8" s="571"/>
      <c r="BC8" s="571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0"/>
      <c r="BU8" s="20"/>
      <c r="BV8" s="20"/>
      <c r="BW8" s="20"/>
      <c r="BX8" s="20"/>
      <c r="BY8" s="20"/>
      <c r="BZ8" s="20"/>
      <c r="CA8" s="20"/>
      <c r="CB8" s="20"/>
      <c r="CC8" s="23"/>
      <c r="CD8" s="76"/>
      <c r="CE8" s="76"/>
    </row>
    <row r="9" spans="1:86" ht="21.75" customHeight="1">
      <c r="A9" s="76"/>
      <c r="B9" s="29"/>
      <c r="C9" s="62"/>
      <c r="D9" s="581" t="s">
        <v>11</v>
      </c>
      <c r="E9" s="581"/>
      <c r="F9" s="581"/>
      <c r="G9" s="581"/>
      <c r="H9" s="581"/>
      <c r="I9" s="581"/>
      <c r="J9" s="581"/>
      <c r="K9" s="581"/>
      <c r="L9" s="272"/>
      <c r="M9" s="272"/>
      <c r="N9" s="192"/>
      <c r="O9" s="201"/>
      <c r="P9" s="202"/>
      <c r="Q9" s="202"/>
      <c r="R9" s="202"/>
      <c r="S9" s="202"/>
      <c r="T9" s="202"/>
      <c r="U9" s="203"/>
      <c r="V9" s="203"/>
      <c r="W9" s="203"/>
      <c r="X9" s="203"/>
      <c r="Y9" s="203"/>
      <c r="Z9" s="203"/>
      <c r="AA9" s="203"/>
      <c r="AB9" s="69" t="s">
        <v>140</v>
      </c>
      <c r="AC9" s="4"/>
      <c r="AD9" s="4"/>
      <c r="AE9" s="4"/>
      <c r="AF9" s="30"/>
      <c r="AG9" s="30"/>
      <c r="AH9" s="30"/>
      <c r="AI9" s="30"/>
      <c r="AJ9" s="30"/>
      <c r="AK9" s="30"/>
      <c r="AL9" s="30"/>
      <c r="AM9" s="4"/>
      <c r="AN9" s="32"/>
      <c r="AO9" s="32"/>
      <c r="AP9" s="32"/>
      <c r="AQ9" s="33"/>
      <c r="AR9" s="85"/>
      <c r="AS9" s="90"/>
      <c r="AT9" s="19"/>
      <c r="AU9" s="94" t="s">
        <v>110</v>
      </c>
      <c r="AV9" s="94"/>
      <c r="AW9" s="94"/>
      <c r="AX9" s="94"/>
      <c r="AY9" s="94"/>
      <c r="AZ9" s="94"/>
      <c r="BA9" s="94"/>
      <c r="BB9" s="94"/>
      <c r="BC9" s="9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0"/>
      <c r="BU9" s="20"/>
      <c r="BV9" s="20"/>
      <c r="BW9" s="20"/>
      <c r="BX9" s="20"/>
      <c r="BY9" s="20"/>
      <c r="BZ9" s="20"/>
      <c r="CA9" s="20"/>
      <c r="CB9" s="20"/>
      <c r="CC9" s="23"/>
      <c r="CD9" s="76"/>
      <c r="CE9" s="76"/>
    </row>
    <row r="10" spans="1:86" ht="21.75" customHeight="1" thickBot="1">
      <c r="A10" s="76"/>
      <c r="B10" s="29"/>
      <c r="C10" s="63"/>
      <c r="D10" s="582"/>
      <c r="E10" s="582"/>
      <c r="F10" s="582"/>
      <c r="G10" s="582"/>
      <c r="H10" s="582"/>
      <c r="I10" s="582"/>
      <c r="J10" s="582"/>
      <c r="K10" s="582"/>
      <c r="L10" s="273"/>
      <c r="M10" s="273"/>
      <c r="N10" s="193"/>
      <c r="O10" s="201"/>
      <c r="P10" s="202"/>
      <c r="Q10" s="202"/>
      <c r="R10" s="202"/>
      <c r="S10" s="202"/>
      <c r="T10" s="202"/>
      <c r="U10" s="203"/>
      <c r="V10" s="203"/>
      <c r="W10" s="203"/>
      <c r="X10" s="203"/>
      <c r="Y10" s="189"/>
      <c r="Z10" s="189"/>
      <c r="AA10" s="203"/>
      <c r="AB10" s="69" t="s">
        <v>148</v>
      </c>
      <c r="AC10" s="4"/>
      <c r="AD10" s="4"/>
      <c r="AE10" s="4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3"/>
      <c r="AR10" s="85"/>
      <c r="AS10" s="90"/>
      <c r="AT10" s="19"/>
      <c r="AU10" s="97" t="s">
        <v>111</v>
      </c>
      <c r="AV10" s="94"/>
      <c r="AW10" s="94"/>
      <c r="AX10" s="94"/>
      <c r="AY10" s="94"/>
      <c r="AZ10" s="94"/>
      <c r="BA10" s="94"/>
      <c r="BB10" s="94"/>
      <c r="BC10" s="9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0"/>
      <c r="BU10" s="20"/>
      <c r="BV10" s="20"/>
      <c r="BW10" s="20"/>
      <c r="BX10" s="20"/>
      <c r="BY10" s="20"/>
      <c r="BZ10" s="20"/>
      <c r="CA10" s="20"/>
      <c r="CB10" s="20"/>
      <c r="CC10" s="23"/>
      <c r="CD10" s="76"/>
      <c r="CE10" s="76"/>
    </row>
    <row r="11" spans="1:86" ht="19.5" customHeight="1" thickBot="1">
      <c r="A11" s="76"/>
      <c r="B11" s="29"/>
      <c r="C11" s="64"/>
      <c r="D11" s="587" t="s">
        <v>14</v>
      </c>
      <c r="E11" s="588"/>
      <c r="F11" s="119"/>
      <c r="G11" s="120"/>
      <c r="H11" s="120"/>
      <c r="I11" s="120"/>
      <c r="J11" s="120"/>
      <c r="K11" s="120"/>
      <c r="L11" s="120"/>
      <c r="M11" s="120"/>
      <c r="N11" s="194"/>
      <c r="O11" s="204"/>
      <c r="P11" s="202"/>
      <c r="Q11" s="202"/>
      <c r="R11" s="202"/>
      <c r="S11" s="202"/>
      <c r="T11" s="202"/>
      <c r="U11" s="203"/>
      <c r="V11" s="203"/>
      <c r="W11" s="203"/>
      <c r="X11" s="203"/>
      <c r="Y11" s="189"/>
      <c r="Z11" s="189"/>
      <c r="AA11" s="203"/>
      <c r="AB11" s="322" t="s">
        <v>108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33"/>
      <c r="AR11" s="85"/>
      <c r="AS11" s="90"/>
      <c r="AT11" s="19"/>
      <c r="AU11" s="378" t="s">
        <v>24</v>
      </c>
      <c r="AV11" s="378"/>
      <c r="AW11" s="378"/>
      <c r="AX11" s="378"/>
      <c r="AY11" s="378"/>
      <c r="AZ11" s="378"/>
      <c r="BA11" s="378"/>
      <c r="BB11" s="94" t="s">
        <v>38</v>
      </c>
      <c r="BC11" s="9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0"/>
      <c r="BU11" s="20"/>
      <c r="BV11" s="20"/>
      <c r="BW11" s="20"/>
      <c r="BX11" s="20"/>
      <c r="BY11" s="20"/>
      <c r="BZ11" s="20"/>
      <c r="CA11" s="20"/>
      <c r="CB11" s="20"/>
      <c r="CC11" s="23"/>
      <c r="CD11" s="76"/>
      <c r="CE11" s="76"/>
    </row>
    <row r="12" spans="1:86" ht="21.75" thickBot="1">
      <c r="A12" s="76"/>
      <c r="B12" s="29"/>
      <c r="C12" s="580" t="s">
        <v>15</v>
      </c>
      <c r="D12" s="576"/>
      <c r="E12" s="577"/>
      <c r="F12" s="121"/>
      <c r="G12" s="122"/>
      <c r="H12" s="122"/>
      <c r="I12" s="122"/>
      <c r="J12" s="122"/>
      <c r="K12" s="122"/>
      <c r="L12" s="122"/>
      <c r="M12" s="122"/>
      <c r="N12" s="195"/>
      <c r="O12" s="205"/>
      <c r="P12" s="202"/>
      <c r="Q12" s="202"/>
      <c r="R12" s="202"/>
      <c r="S12" s="202"/>
      <c r="T12" s="202"/>
      <c r="U12" s="203"/>
      <c r="V12" s="203"/>
      <c r="W12" s="203"/>
      <c r="X12" s="203"/>
      <c r="Y12" s="189"/>
      <c r="Z12" s="189"/>
      <c r="AA12" s="203"/>
      <c r="AB12" s="69"/>
      <c r="AC12" s="73" t="s">
        <v>149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33"/>
      <c r="AR12" s="85"/>
      <c r="AS12" s="90"/>
      <c r="AT12" s="19"/>
      <c r="AU12" s="379" t="s">
        <v>120</v>
      </c>
      <c r="AV12" s="379"/>
      <c r="AW12" s="379"/>
      <c r="AX12" s="379"/>
      <c r="AY12" s="379"/>
      <c r="AZ12" s="379"/>
      <c r="BA12" s="379"/>
      <c r="BB12" s="96" t="s">
        <v>26</v>
      </c>
      <c r="BC12" s="9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0"/>
      <c r="BU12" s="20"/>
      <c r="BV12" s="20"/>
      <c r="BW12" s="20"/>
      <c r="BX12" s="20"/>
      <c r="BY12" s="20"/>
      <c r="BZ12" s="20"/>
      <c r="CA12" s="20"/>
      <c r="CB12" s="20"/>
      <c r="CC12" s="23"/>
      <c r="CD12" s="76"/>
      <c r="CE12" s="76"/>
    </row>
    <row r="13" spans="1:86" ht="21" customHeight="1" thickBot="1">
      <c r="A13" s="76"/>
      <c r="B13" s="29"/>
      <c r="C13" s="580"/>
      <c r="D13" s="578"/>
      <c r="E13" s="579"/>
      <c r="F13" s="122"/>
      <c r="G13" s="122"/>
      <c r="H13" s="122"/>
      <c r="I13" s="122"/>
      <c r="J13" s="122"/>
      <c r="K13" s="122"/>
      <c r="L13" s="122"/>
      <c r="M13" s="122"/>
      <c r="N13" s="195"/>
      <c r="O13" s="205"/>
      <c r="P13" s="601" t="s">
        <v>138</v>
      </c>
      <c r="Q13" s="601"/>
      <c r="R13" s="601"/>
      <c r="S13" s="601"/>
      <c r="T13" s="601"/>
      <c r="U13" s="601"/>
      <c r="V13" s="601"/>
      <c r="W13" s="601"/>
      <c r="X13" s="601"/>
      <c r="Y13" s="601"/>
      <c r="Z13" s="189"/>
      <c r="AA13" s="203"/>
      <c r="AB13" s="69" t="s">
        <v>139</v>
      </c>
      <c r="AC13" s="3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33"/>
      <c r="AR13" s="85"/>
      <c r="AS13" s="90"/>
      <c r="AT13" s="19"/>
      <c r="AU13" s="419"/>
      <c r="AV13" s="420"/>
      <c r="AW13" s="421"/>
      <c r="AX13" s="344" t="s">
        <v>19</v>
      </c>
      <c r="AY13" s="345"/>
      <c r="AZ13" s="600"/>
      <c r="BA13" s="335" t="s">
        <v>21</v>
      </c>
      <c r="BB13" s="336"/>
      <c r="BC13" s="337"/>
      <c r="BD13" s="344" t="s">
        <v>20</v>
      </c>
      <c r="BE13" s="345"/>
      <c r="BF13" s="346"/>
      <c r="BG13" s="353" t="s">
        <v>23</v>
      </c>
      <c r="BH13" s="353"/>
      <c r="BI13" s="353"/>
      <c r="BJ13" s="353"/>
      <c r="BK13" s="353"/>
      <c r="BL13" s="353"/>
      <c r="BM13" s="353"/>
      <c r="BN13" s="353"/>
      <c r="BO13" s="353"/>
      <c r="BP13" s="353"/>
      <c r="BQ13" s="353"/>
      <c r="BR13" s="353"/>
      <c r="BS13" s="353"/>
      <c r="BT13" s="353"/>
      <c r="BU13" s="353"/>
      <c r="BV13" s="353"/>
      <c r="BW13" s="353"/>
      <c r="BX13" s="353"/>
      <c r="BY13" s="353"/>
      <c r="BZ13" s="353"/>
      <c r="CA13" s="353"/>
      <c r="CB13" s="354"/>
      <c r="CC13" s="23"/>
      <c r="CD13" s="76"/>
      <c r="CE13" s="76"/>
    </row>
    <row r="14" spans="1:86" ht="19.5" customHeight="1" thickBot="1">
      <c r="A14" s="76"/>
      <c r="B14" s="29"/>
      <c r="C14" s="65"/>
      <c r="D14" s="591" t="s">
        <v>86</v>
      </c>
      <c r="E14" s="591"/>
      <c r="F14" s="118"/>
      <c r="G14" s="118" t="s">
        <v>54</v>
      </c>
      <c r="H14" s="254"/>
      <c r="I14" s="254" t="s">
        <v>55</v>
      </c>
      <c r="J14" s="118"/>
      <c r="K14" s="118" t="s">
        <v>117</v>
      </c>
      <c r="L14" s="254"/>
      <c r="M14" s="254" t="s">
        <v>136</v>
      </c>
      <c r="N14" s="196"/>
      <c r="O14" s="5"/>
      <c r="P14" s="602"/>
      <c r="Q14" s="602"/>
      <c r="R14" s="602"/>
      <c r="S14" s="602"/>
      <c r="T14" s="602"/>
      <c r="U14" s="602"/>
      <c r="V14" s="602"/>
      <c r="W14" s="602"/>
      <c r="X14" s="602"/>
      <c r="Y14" s="602"/>
      <c r="Z14" s="189"/>
      <c r="AA14" s="203"/>
      <c r="AB14" s="69" t="s">
        <v>150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33"/>
      <c r="AR14" s="85"/>
      <c r="AS14" s="90"/>
      <c r="AT14" s="19"/>
      <c r="AU14" s="422"/>
      <c r="AV14" s="423"/>
      <c r="AW14" s="424"/>
      <c r="AX14" s="347"/>
      <c r="AY14" s="348"/>
      <c r="AZ14" s="355"/>
      <c r="BA14" s="338"/>
      <c r="BB14" s="339"/>
      <c r="BC14" s="340"/>
      <c r="BD14" s="347"/>
      <c r="BE14" s="348"/>
      <c r="BF14" s="349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48"/>
      <c r="BW14" s="348"/>
      <c r="BX14" s="348"/>
      <c r="BY14" s="348"/>
      <c r="BZ14" s="348"/>
      <c r="CA14" s="348"/>
      <c r="CB14" s="355"/>
      <c r="CC14" s="23"/>
      <c r="CD14" s="76"/>
      <c r="CE14" s="76"/>
      <c r="CF14" s="1"/>
      <c r="CG14" s="1"/>
      <c r="CH14" s="1"/>
    </row>
    <row r="15" spans="1:86" ht="19.5" customHeight="1">
      <c r="A15" s="76"/>
      <c r="B15" s="29"/>
      <c r="C15" s="65"/>
      <c r="D15" s="574" t="s">
        <v>51</v>
      </c>
      <c r="E15" s="575"/>
      <c r="F15" s="185"/>
      <c r="G15" s="584" t="s">
        <v>52</v>
      </c>
      <c r="H15" s="186"/>
      <c r="I15" s="584" t="s">
        <v>119</v>
      </c>
      <c r="J15" s="186"/>
      <c r="K15" s="589" t="s">
        <v>147</v>
      </c>
      <c r="L15" s="186"/>
      <c r="M15" s="584" t="s">
        <v>137</v>
      </c>
      <c r="N15" s="197"/>
      <c r="O15" s="206"/>
      <c r="P15" s="594" t="s">
        <v>159</v>
      </c>
      <c r="Q15" s="595"/>
      <c r="R15" s="595"/>
      <c r="S15" s="595"/>
      <c r="T15" s="595"/>
      <c r="U15" s="595"/>
      <c r="V15" s="595"/>
      <c r="W15" s="596"/>
      <c r="X15" s="592" t="s">
        <v>118</v>
      </c>
      <c r="Y15" s="593"/>
      <c r="Z15" s="210"/>
      <c r="AA15" s="30"/>
      <c r="AC15" s="323" t="s">
        <v>141</v>
      </c>
      <c r="AJ15" s="4"/>
      <c r="AK15" s="4"/>
      <c r="AL15" s="4"/>
      <c r="AM15" s="4"/>
      <c r="AN15" s="4"/>
      <c r="AO15" s="4"/>
      <c r="AP15" s="4"/>
      <c r="AQ15" s="33"/>
      <c r="AR15" s="85"/>
      <c r="AS15" s="90"/>
      <c r="AT15" s="19"/>
      <c r="AU15" s="240"/>
      <c r="AV15" s="241"/>
      <c r="AW15" s="242"/>
      <c r="AX15" s="350"/>
      <c r="AY15" s="351"/>
      <c r="AZ15" s="356"/>
      <c r="BA15" s="341"/>
      <c r="BB15" s="342"/>
      <c r="BC15" s="343"/>
      <c r="BD15" s="350"/>
      <c r="BE15" s="351"/>
      <c r="BF15" s="352"/>
      <c r="BG15" s="351"/>
      <c r="BH15" s="351"/>
      <c r="BI15" s="351"/>
      <c r="BJ15" s="351"/>
      <c r="BK15" s="351"/>
      <c r="BL15" s="351"/>
      <c r="BM15" s="351"/>
      <c r="BN15" s="351"/>
      <c r="BO15" s="351"/>
      <c r="BP15" s="351"/>
      <c r="BQ15" s="351"/>
      <c r="BR15" s="351"/>
      <c r="BS15" s="351"/>
      <c r="BT15" s="351"/>
      <c r="BU15" s="351"/>
      <c r="BV15" s="351"/>
      <c r="BW15" s="351"/>
      <c r="BX15" s="351"/>
      <c r="BY15" s="351"/>
      <c r="BZ15" s="351"/>
      <c r="CA15" s="351"/>
      <c r="CB15" s="356"/>
      <c r="CC15" s="23"/>
      <c r="CD15" s="76"/>
      <c r="CE15" s="76"/>
      <c r="CF15" s="1"/>
      <c r="CG15" s="1"/>
      <c r="CH15" s="1"/>
    </row>
    <row r="16" spans="1:86" ht="19.5" customHeight="1">
      <c r="A16" s="76"/>
      <c r="B16" s="29"/>
      <c r="C16" s="108"/>
      <c r="D16" s="223" t="s">
        <v>39</v>
      </c>
      <c r="E16" s="224" t="s">
        <v>40</v>
      </c>
      <c r="F16" s="186"/>
      <c r="G16" s="586"/>
      <c r="H16" s="187"/>
      <c r="I16" s="585"/>
      <c r="J16" s="187"/>
      <c r="K16" s="590"/>
      <c r="L16" s="187"/>
      <c r="M16" s="586"/>
      <c r="N16" s="197"/>
      <c r="O16" s="207"/>
      <c r="P16" s="597"/>
      <c r="Q16" s="598"/>
      <c r="R16" s="598"/>
      <c r="S16" s="598"/>
      <c r="T16" s="598"/>
      <c r="U16" s="598"/>
      <c r="V16" s="598"/>
      <c r="W16" s="599"/>
      <c r="X16" s="188" t="s">
        <v>75</v>
      </c>
      <c r="Y16" s="257" t="s">
        <v>76</v>
      </c>
      <c r="Z16" s="211"/>
      <c r="AA16" s="30"/>
      <c r="AB16" s="69" t="s">
        <v>151</v>
      </c>
      <c r="AJ16" s="4"/>
      <c r="AK16" s="4"/>
      <c r="AL16" s="4"/>
      <c r="AM16" s="4"/>
      <c r="AN16" s="4"/>
      <c r="AO16" s="4"/>
      <c r="AP16" s="4"/>
      <c r="AQ16" s="33"/>
      <c r="AR16" s="85"/>
      <c r="AS16" s="90"/>
      <c r="AT16" s="19"/>
      <c r="AU16" s="565" t="s">
        <v>30</v>
      </c>
      <c r="AV16" s="566"/>
      <c r="AW16" s="567"/>
      <c r="AX16" s="552">
        <v>18070</v>
      </c>
      <c r="AY16" s="553"/>
      <c r="AZ16" s="554"/>
      <c r="BA16" s="552">
        <v>6050</v>
      </c>
      <c r="BB16" s="553"/>
      <c r="BC16" s="554"/>
      <c r="BD16" s="568">
        <v>4940</v>
      </c>
      <c r="BE16" s="569"/>
      <c r="BF16" s="570"/>
      <c r="BG16" s="560" t="s">
        <v>112</v>
      </c>
      <c r="BH16" s="561"/>
      <c r="BI16" s="561"/>
      <c r="BJ16" s="561"/>
      <c r="BK16" s="561"/>
      <c r="BL16" s="561"/>
      <c r="BM16" s="561"/>
      <c r="BN16" s="561"/>
      <c r="BO16" s="561"/>
      <c r="BP16" s="561"/>
      <c r="BQ16" s="561"/>
      <c r="BR16" s="561"/>
      <c r="BS16" s="561"/>
      <c r="BT16" s="561"/>
      <c r="BU16" s="561"/>
      <c r="BV16" s="561"/>
      <c r="BW16" s="561"/>
      <c r="BX16" s="561"/>
      <c r="BY16" s="561"/>
      <c r="BZ16" s="561"/>
      <c r="CA16" s="561"/>
      <c r="CB16" s="562"/>
      <c r="CC16" s="23"/>
      <c r="CD16" s="76"/>
      <c r="CE16" s="76"/>
      <c r="CF16" s="1"/>
    </row>
    <row r="17" spans="1:91" ht="19.5" customHeight="1">
      <c r="A17" s="76"/>
      <c r="B17" s="29"/>
      <c r="C17" s="95" t="str">
        <f>IF(D12=0,"",1)</f>
        <v/>
      </c>
      <c r="D17" s="214"/>
      <c r="E17" s="215"/>
      <c r="F17" s="123"/>
      <c r="G17" s="218"/>
      <c r="H17" s="123"/>
      <c r="I17" s="221"/>
      <c r="J17" s="123"/>
      <c r="K17" s="221"/>
      <c r="L17" s="123"/>
      <c r="M17" s="319"/>
      <c r="N17" s="198"/>
      <c r="O17" s="208"/>
      <c r="P17" s="477">
        <f>'１人目'!AE44</f>
        <v>0</v>
      </c>
      <c r="Q17" s="478"/>
      <c r="R17" s="478"/>
      <c r="S17" s="478"/>
      <c r="T17" s="478"/>
      <c r="U17" s="478"/>
      <c r="V17" s="479"/>
      <c r="W17" s="266" t="str">
        <f>IF(D12=0,"","円")</f>
        <v/>
      </c>
      <c r="X17" s="267" t="str">
        <f>IF(ISNUMBER(D17),IF(D17&gt;550000,"○",""),"")</f>
        <v/>
      </c>
      <c r="Y17" s="268" t="str">
        <f>IF(ISNUMBER(E17),IF(K17&gt;=65,(IF(E17&gt;1250000,"○","")),(IF(E17&gt;600000,"○",""))),"")</f>
        <v/>
      </c>
      <c r="Z17" s="189" t="str">
        <f>IF(AND(X17="○",Y17="○"),"＊"," ")</f>
        <v xml:space="preserve"> </v>
      </c>
      <c r="AA17" s="30"/>
      <c r="AC17" s="323" t="s">
        <v>143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33"/>
      <c r="AR17" s="85"/>
      <c r="AS17" s="90"/>
      <c r="AT17" s="19"/>
      <c r="AU17" s="549"/>
      <c r="AV17" s="550"/>
      <c r="AW17" s="551"/>
      <c r="AX17" s="555"/>
      <c r="AY17" s="556"/>
      <c r="AZ17" s="557"/>
      <c r="BA17" s="555"/>
      <c r="BB17" s="556"/>
      <c r="BC17" s="557"/>
      <c r="BD17" s="555"/>
      <c r="BE17" s="556"/>
      <c r="BF17" s="559"/>
      <c r="BG17" s="563"/>
      <c r="BH17" s="563"/>
      <c r="BI17" s="563"/>
      <c r="BJ17" s="563"/>
      <c r="BK17" s="563"/>
      <c r="BL17" s="563"/>
      <c r="BM17" s="563"/>
      <c r="BN17" s="563"/>
      <c r="BO17" s="563"/>
      <c r="BP17" s="563"/>
      <c r="BQ17" s="563"/>
      <c r="BR17" s="563"/>
      <c r="BS17" s="563"/>
      <c r="BT17" s="563"/>
      <c r="BU17" s="563"/>
      <c r="BV17" s="563"/>
      <c r="BW17" s="563"/>
      <c r="BX17" s="563"/>
      <c r="BY17" s="563"/>
      <c r="BZ17" s="563"/>
      <c r="CA17" s="563"/>
      <c r="CB17" s="564"/>
      <c r="CC17" s="23"/>
      <c r="CD17" s="76"/>
      <c r="CE17" s="76"/>
      <c r="CF17" s="1"/>
    </row>
    <row r="18" spans="1:91" ht="19.5" customHeight="1">
      <c r="A18" s="76"/>
      <c r="B18" s="29"/>
      <c r="C18" s="95" t="str">
        <f>IF(D12&gt;1,2,"")</f>
        <v/>
      </c>
      <c r="D18" s="214"/>
      <c r="E18" s="215"/>
      <c r="F18" s="123"/>
      <c r="G18" s="218"/>
      <c r="H18" s="123"/>
      <c r="I18" s="221"/>
      <c r="J18" s="123"/>
      <c r="K18" s="221"/>
      <c r="L18" s="123"/>
      <c r="M18" s="319"/>
      <c r="N18" s="198"/>
      <c r="O18" s="208"/>
      <c r="P18" s="477">
        <f>'２人目'!AE44</f>
        <v>0</v>
      </c>
      <c r="Q18" s="478"/>
      <c r="R18" s="478"/>
      <c r="S18" s="478"/>
      <c r="T18" s="478"/>
      <c r="U18" s="478"/>
      <c r="V18" s="479"/>
      <c r="W18" s="266" t="str">
        <f>IF(D12&gt;1,"円","")</f>
        <v/>
      </c>
      <c r="X18" s="267" t="str">
        <f>IF(ISNUMBER(D18),IF(D18&gt;550000,"○",""),"")</f>
        <v/>
      </c>
      <c r="Y18" s="268" t="str">
        <f>IF(ISNUMBER(E18),IF(K18&gt;=65,(IF(E18&gt;1250000,"○","")),(IF(E18&gt;600000,"○",""))),"")</f>
        <v/>
      </c>
      <c r="Z18" s="189" t="str">
        <f t="shared" ref="Z18:Z26" si="0">IF(AND(X18="○",Y18="○"),"＊"," ")</f>
        <v xml:space="preserve"> </v>
      </c>
      <c r="AA18" s="30"/>
      <c r="AB18" s="69" t="s">
        <v>144</v>
      </c>
      <c r="AC18" s="3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33"/>
      <c r="AR18" s="85"/>
      <c r="AS18" s="90"/>
      <c r="AT18" s="19"/>
      <c r="AU18" s="422" t="s">
        <v>31</v>
      </c>
      <c r="AV18" s="423"/>
      <c r="AW18" s="424"/>
      <c r="AX18" s="552">
        <v>29840</v>
      </c>
      <c r="AY18" s="553"/>
      <c r="AZ18" s="554"/>
      <c r="BA18" s="552">
        <v>9990</v>
      </c>
      <c r="BB18" s="553"/>
      <c r="BC18" s="554"/>
      <c r="BD18" s="552">
        <v>10090</v>
      </c>
      <c r="BE18" s="553"/>
      <c r="BF18" s="558"/>
      <c r="BG18" s="560" t="s">
        <v>113</v>
      </c>
      <c r="BH18" s="561"/>
      <c r="BI18" s="561"/>
      <c r="BJ18" s="561"/>
      <c r="BK18" s="561"/>
      <c r="BL18" s="561"/>
      <c r="BM18" s="561"/>
      <c r="BN18" s="561"/>
      <c r="BO18" s="561"/>
      <c r="BP18" s="561"/>
      <c r="BQ18" s="561"/>
      <c r="BR18" s="561"/>
      <c r="BS18" s="561"/>
      <c r="BT18" s="561"/>
      <c r="BU18" s="561"/>
      <c r="BV18" s="561"/>
      <c r="BW18" s="561"/>
      <c r="BX18" s="561"/>
      <c r="BY18" s="561"/>
      <c r="BZ18" s="561"/>
      <c r="CA18" s="561"/>
      <c r="CB18" s="562"/>
      <c r="CC18" s="23"/>
      <c r="CD18" s="76"/>
      <c r="CE18" s="76"/>
      <c r="CF18" s="1"/>
    </row>
    <row r="19" spans="1:91" ht="19.5" customHeight="1">
      <c r="A19" s="76"/>
      <c r="B19" s="29"/>
      <c r="C19" s="95" t="str">
        <f>IF(D12&gt;2,3,"")</f>
        <v/>
      </c>
      <c r="D19" s="214"/>
      <c r="E19" s="215"/>
      <c r="F19" s="123"/>
      <c r="G19" s="218"/>
      <c r="H19" s="123"/>
      <c r="I19" s="221"/>
      <c r="J19" s="123"/>
      <c r="K19" s="221"/>
      <c r="L19" s="123"/>
      <c r="M19" s="319"/>
      <c r="N19" s="198"/>
      <c r="O19" s="208"/>
      <c r="P19" s="477">
        <f>'３人目'!AE44</f>
        <v>0</v>
      </c>
      <c r="Q19" s="478"/>
      <c r="R19" s="478"/>
      <c r="S19" s="478"/>
      <c r="T19" s="478"/>
      <c r="U19" s="478"/>
      <c r="V19" s="479"/>
      <c r="W19" s="266" t="str">
        <f>IF(D12&gt;2,"円","")</f>
        <v/>
      </c>
      <c r="X19" s="267" t="str">
        <f t="shared" ref="X19:X26" si="1">IF(ISNUMBER(D19),IF(D19&gt;550000,"○",""),"")</f>
        <v/>
      </c>
      <c r="Y19" s="268" t="str">
        <f t="shared" ref="Y19:Y26" si="2">IF(ISNUMBER(E19),IF(K19&gt;=65,(IF(E19&gt;1250000,"○","")),(IF(E19&gt;600000,"○",""))),"")</f>
        <v/>
      </c>
      <c r="Z19" s="189" t="str">
        <f t="shared" si="0"/>
        <v xml:space="preserve"> </v>
      </c>
      <c r="AA19" s="30"/>
      <c r="AB19" s="69" t="s">
        <v>142</v>
      </c>
      <c r="AC19" s="3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33"/>
      <c r="AR19" s="85"/>
      <c r="AS19" s="90"/>
      <c r="AT19" s="19"/>
      <c r="AU19" s="549"/>
      <c r="AV19" s="550"/>
      <c r="AW19" s="551"/>
      <c r="AX19" s="555"/>
      <c r="AY19" s="556"/>
      <c r="AZ19" s="557"/>
      <c r="BA19" s="555"/>
      <c r="BB19" s="556"/>
      <c r="BC19" s="557"/>
      <c r="BD19" s="555"/>
      <c r="BE19" s="556"/>
      <c r="BF19" s="559"/>
      <c r="BG19" s="563"/>
      <c r="BH19" s="563"/>
      <c r="BI19" s="563"/>
      <c r="BJ19" s="563"/>
      <c r="BK19" s="563"/>
      <c r="BL19" s="563"/>
      <c r="BM19" s="563"/>
      <c r="BN19" s="563"/>
      <c r="BO19" s="563"/>
      <c r="BP19" s="563"/>
      <c r="BQ19" s="563"/>
      <c r="BR19" s="563"/>
      <c r="BS19" s="563"/>
      <c r="BT19" s="563"/>
      <c r="BU19" s="563"/>
      <c r="BV19" s="563"/>
      <c r="BW19" s="563"/>
      <c r="BX19" s="563"/>
      <c r="BY19" s="563"/>
      <c r="BZ19" s="563"/>
      <c r="CA19" s="563"/>
      <c r="CB19" s="564"/>
      <c r="CC19" s="23"/>
      <c r="CD19" s="76"/>
      <c r="CE19" s="76"/>
    </row>
    <row r="20" spans="1:91" ht="19.5" customHeight="1">
      <c r="A20" s="76"/>
      <c r="B20" s="29"/>
      <c r="C20" s="95" t="str">
        <f>IF(D12&gt;3,4,"")</f>
        <v/>
      </c>
      <c r="D20" s="214"/>
      <c r="E20" s="215"/>
      <c r="F20" s="123"/>
      <c r="G20" s="218"/>
      <c r="H20" s="123"/>
      <c r="I20" s="221"/>
      <c r="J20" s="123"/>
      <c r="K20" s="221"/>
      <c r="L20" s="123"/>
      <c r="M20" s="319"/>
      <c r="N20" s="198"/>
      <c r="O20" s="208"/>
      <c r="P20" s="477">
        <f>'４人目'!AE44</f>
        <v>0</v>
      </c>
      <c r="Q20" s="478"/>
      <c r="R20" s="478"/>
      <c r="S20" s="478"/>
      <c r="T20" s="478"/>
      <c r="U20" s="478"/>
      <c r="V20" s="479"/>
      <c r="W20" s="266" t="str">
        <f>IF(D12&gt;3,"円","")</f>
        <v/>
      </c>
      <c r="X20" s="267" t="str">
        <f t="shared" si="1"/>
        <v/>
      </c>
      <c r="Y20" s="268" t="str">
        <f t="shared" si="2"/>
        <v/>
      </c>
      <c r="Z20" s="189" t="str">
        <f t="shared" si="0"/>
        <v xml:space="preserve"> </v>
      </c>
      <c r="AA20" s="30"/>
      <c r="AB20" s="69" t="s">
        <v>89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33"/>
      <c r="AR20" s="85"/>
      <c r="AS20" s="90"/>
      <c r="AT20" s="19"/>
      <c r="AU20" s="506" t="s">
        <v>18</v>
      </c>
      <c r="AV20" s="507"/>
      <c r="AW20" s="508"/>
      <c r="AX20" s="386">
        <v>8.27</v>
      </c>
      <c r="AY20" s="387"/>
      <c r="AZ20" s="392"/>
      <c r="BA20" s="386">
        <v>2.67</v>
      </c>
      <c r="BB20" s="387"/>
      <c r="BC20" s="392"/>
      <c r="BD20" s="386">
        <v>2.37</v>
      </c>
      <c r="BE20" s="387"/>
      <c r="BF20" s="388"/>
      <c r="BG20" s="381" t="s">
        <v>154</v>
      </c>
      <c r="BH20" s="382"/>
      <c r="BI20" s="382"/>
      <c r="BJ20" s="382"/>
      <c r="BK20" s="382"/>
      <c r="BL20" s="382"/>
      <c r="BM20" s="382"/>
      <c r="BN20" s="382"/>
      <c r="BO20" s="382"/>
      <c r="BP20" s="382"/>
      <c r="BQ20" s="382"/>
      <c r="BR20" s="382"/>
      <c r="BS20" s="382"/>
      <c r="BT20" s="382"/>
      <c r="BU20" s="382"/>
      <c r="BV20" s="382"/>
      <c r="BW20" s="382"/>
      <c r="BX20" s="382"/>
      <c r="BY20" s="382"/>
      <c r="BZ20" s="382"/>
      <c r="CA20" s="382"/>
      <c r="CB20" s="383"/>
      <c r="CC20" s="23"/>
      <c r="CD20" s="76"/>
      <c r="CE20" s="76"/>
    </row>
    <row r="21" spans="1:91" ht="21.75" thickBot="1">
      <c r="A21" s="76"/>
      <c r="B21" s="29"/>
      <c r="C21" s="95" t="str">
        <f>IF(D12&gt;4,5,"")</f>
        <v/>
      </c>
      <c r="D21" s="214"/>
      <c r="E21" s="215"/>
      <c r="F21" s="123"/>
      <c r="G21" s="218"/>
      <c r="H21" s="123"/>
      <c r="I21" s="221"/>
      <c r="J21" s="123"/>
      <c r="K21" s="221"/>
      <c r="L21" s="123"/>
      <c r="M21" s="319"/>
      <c r="N21" s="198"/>
      <c r="O21" s="208"/>
      <c r="P21" s="477">
        <f>'５人目'!AE44</f>
        <v>0</v>
      </c>
      <c r="Q21" s="478"/>
      <c r="R21" s="478"/>
      <c r="S21" s="478"/>
      <c r="T21" s="478"/>
      <c r="U21" s="478"/>
      <c r="V21" s="479"/>
      <c r="W21" s="266" t="str">
        <f>IF(D12&gt;4,"円","")</f>
        <v/>
      </c>
      <c r="X21" s="267" t="str">
        <f t="shared" si="1"/>
        <v/>
      </c>
      <c r="Y21" s="268" t="str">
        <f t="shared" si="2"/>
        <v/>
      </c>
      <c r="Z21" s="189" t="str">
        <f t="shared" si="0"/>
        <v xml:space="preserve"> </v>
      </c>
      <c r="AA21" s="30"/>
      <c r="AB21" s="69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33"/>
      <c r="AR21" s="85"/>
      <c r="AS21" s="90"/>
      <c r="AT21" s="19"/>
      <c r="AU21" s="509"/>
      <c r="AV21" s="510"/>
      <c r="AW21" s="511"/>
      <c r="AX21" s="389"/>
      <c r="AY21" s="390"/>
      <c r="AZ21" s="393"/>
      <c r="BA21" s="389"/>
      <c r="BB21" s="390"/>
      <c r="BC21" s="393"/>
      <c r="BD21" s="389"/>
      <c r="BE21" s="390"/>
      <c r="BF21" s="391"/>
      <c r="BG21" s="384"/>
      <c r="BH21" s="384"/>
      <c r="BI21" s="384"/>
      <c r="BJ21" s="384"/>
      <c r="BK21" s="384"/>
      <c r="BL21" s="384"/>
      <c r="BM21" s="384"/>
      <c r="BN21" s="384"/>
      <c r="BO21" s="384"/>
      <c r="BP21" s="384"/>
      <c r="BQ21" s="384"/>
      <c r="BR21" s="384"/>
      <c r="BS21" s="384"/>
      <c r="BT21" s="384"/>
      <c r="BU21" s="384"/>
      <c r="BV21" s="384"/>
      <c r="BW21" s="384"/>
      <c r="BX21" s="384"/>
      <c r="BY21" s="384"/>
      <c r="BZ21" s="384"/>
      <c r="CA21" s="384"/>
      <c r="CB21" s="385"/>
      <c r="CC21" s="23"/>
      <c r="CD21" s="76"/>
      <c r="CE21" s="76"/>
    </row>
    <row r="22" spans="1:91" ht="21">
      <c r="A22" s="76"/>
      <c r="B22" s="29"/>
      <c r="C22" s="95" t="str">
        <f>IF(D12&gt;5,6,"")</f>
        <v/>
      </c>
      <c r="D22" s="214"/>
      <c r="E22" s="215"/>
      <c r="F22" s="123"/>
      <c r="G22" s="218"/>
      <c r="H22" s="123"/>
      <c r="I22" s="221"/>
      <c r="J22" s="123"/>
      <c r="K22" s="221"/>
      <c r="L22" s="123"/>
      <c r="M22" s="319"/>
      <c r="N22" s="198"/>
      <c r="O22" s="208"/>
      <c r="P22" s="477">
        <f>'６人目'!AE44</f>
        <v>0</v>
      </c>
      <c r="Q22" s="478"/>
      <c r="R22" s="478"/>
      <c r="S22" s="478"/>
      <c r="T22" s="478"/>
      <c r="U22" s="478"/>
      <c r="V22" s="479"/>
      <c r="W22" s="266" t="str">
        <f>IF(D12&gt;5,"円","")</f>
        <v/>
      </c>
      <c r="X22" s="267" t="str">
        <f t="shared" si="1"/>
        <v/>
      </c>
      <c r="Y22" s="268" t="str">
        <f t="shared" si="2"/>
        <v/>
      </c>
      <c r="Z22" s="189" t="str">
        <f>IF(AND(X22="○",Y22="○"),"＊"," ")</f>
        <v xml:space="preserve"> </v>
      </c>
      <c r="AA22" s="30"/>
      <c r="AB22" s="327" t="s">
        <v>4</v>
      </c>
      <c r="AC22" s="328"/>
      <c r="AD22" s="328"/>
      <c r="AE22" s="328"/>
      <c r="AF22" s="328"/>
      <c r="AG22" s="328"/>
      <c r="AH22" s="328"/>
      <c r="AI22" s="329"/>
      <c r="AJ22" s="4"/>
      <c r="AK22" s="4"/>
      <c r="AL22" s="4"/>
      <c r="AM22" s="4"/>
      <c r="AN22" s="4"/>
      <c r="AO22" s="4"/>
      <c r="AP22" s="4"/>
      <c r="AQ22" s="33"/>
      <c r="AR22" s="85"/>
      <c r="AS22" s="90"/>
      <c r="AT22" s="19"/>
      <c r="AU22" s="548" t="s">
        <v>22</v>
      </c>
      <c r="AV22" s="548"/>
      <c r="AW22" s="548"/>
      <c r="AX22" s="377">
        <v>660000</v>
      </c>
      <c r="AY22" s="377"/>
      <c r="AZ22" s="377"/>
      <c r="BA22" s="377">
        <v>260000</v>
      </c>
      <c r="BB22" s="377"/>
      <c r="BC22" s="377"/>
      <c r="BD22" s="377">
        <v>170000</v>
      </c>
      <c r="BE22" s="377"/>
      <c r="BF22" s="377"/>
      <c r="BG22" s="522" t="s">
        <v>114</v>
      </c>
      <c r="BH22" s="523"/>
      <c r="BI22" s="523"/>
      <c r="BJ22" s="523"/>
      <c r="BK22" s="523"/>
      <c r="BL22" s="523"/>
      <c r="BM22" s="523"/>
      <c r="BN22" s="523"/>
      <c r="BO22" s="523"/>
      <c r="BP22" s="523"/>
      <c r="BQ22" s="523"/>
      <c r="BR22" s="523"/>
      <c r="BS22" s="523"/>
      <c r="BT22" s="523"/>
      <c r="BU22" s="523"/>
      <c r="BV22" s="523"/>
      <c r="BW22" s="523"/>
      <c r="BX22" s="523"/>
      <c r="BY22" s="523"/>
      <c r="BZ22" s="523"/>
      <c r="CA22" s="523"/>
      <c r="CB22" s="524"/>
      <c r="CC22" s="23"/>
      <c r="CD22" s="76"/>
      <c r="CE22" s="76"/>
    </row>
    <row r="23" spans="1:91" ht="21">
      <c r="A23" s="76"/>
      <c r="B23" s="29"/>
      <c r="C23" s="95" t="str">
        <f>IF(D12&gt;6,7,"")</f>
        <v/>
      </c>
      <c r="D23" s="214"/>
      <c r="E23" s="215"/>
      <c r="F23" s="123"/>
      <c r="G23" s="218"/>
      <c r="H23" s="123"/>
      <c r="I23" s="221"/>
      <c r="J23" s="123"/>
      <c r="K23" s="221"/>
      <c r="L23" s="123"/>
      <c r="M23" s="319"/>
      <c r="N23" s="198"/>
      <c r="O23" s="208"/>
      <c r="P23" s="477">
        <f>'７人目'!AE44</f>
        <v>0</v>
      </c>
      <c r="Q23" s="478"/>
      <c r="R23" s="478"/>
      <c r="S23" s="478"/>
      <c r="T23" s="478"/>
      <c r="U23" s="478"/>
      <c r="V23" s="479"/>
      <c r="W23" s="266" t="str">
        <f>IF(D12&gt;6,"円","")</f>
        <v/>
      </c>
      <c r="X23" s="267" t="str">
        <f t="shared" si="1"/>
        <v/>
      </c>
      <c r="Y23" s="268" t="str">
        <f t="shared" si="2"/>
        <v/>
      </c>
      <c r="Z23" s="189" t="str">
        <f t="shared" si="0"/>
        <v xml:space="preserve"> </v>
      </c>
      <c r="AA23" s="30"/>
      <c r="AB23" s="69" t="s">
        <v>109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33"/>
      <c r="AR23" s="85"/>
      <c r="AS23" s="90"/>
      <c r="AT23" s="19"/>
      <c r="AU23" s="250" t="s">
        <v>155</v>
      </c>
      <c r="AV23" s="99"/>
      <c r="AW23" s="99"/>
      <c r="AX23" s="190"/>
      <c r="AY23" s="243"/>
      <c r="AZ23" s="243"/>
      <c r="BA23" s="243"/>
      <c r="BB23" s="243"/>
      <c r="BC23" s="243"/>
      <c r="BD23" s="243"/>
      <c r="BE23" s="243"/>
      <c r="BF23" s="243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23"/>
      <c r="CD23" s="76"/>
      <c r="CE23" s="76"/>
    </row>
    <row r="24" spans="1:91" ht="21">
      <c r="A24" s="76"/>
      <c r="B24" s="29"/>
      <c r="C24" s="95" t="str">
        <f>IF(D12&gt;7,8,"")</f>
        <v/>
      </c>
      <c r="D24" s="214"/>
      <c r="E24" s="215"/>
      <c r="F24" s="123"/>
      <c r="G24" s="218"/>
      <c r="H24" s="123"/>
      <c r="I24" s="221"/>
      <c r="J24" s="123"/>
      <c r="K24" s="221"/>
      <c r="L24" s="123"/>
      <c r="M24" s="319"/>
      <c r="N24" s="198"/>
      <c r="O24" s="208"/>
      <c r="P24" s="477">
        <f>'８人目'!AE44</f>
        <v>0</v>
      </c>
      <c r="Q24" s="478"/>
      <c r="R24" s="478"/>
      <c r="S24" s="478"/>
      <c r="T24" s="478"/>
      <c r="U24" s="478"/>
      <c r="V24" s="479"/>
      <c r="W24" s="266" t="str">
        <f>IF(D12&gt;7,"円","")</f>
        <v/>
      </c>
      <c r="X24" s="267" t="str">
        <f t="shared" si="1"/>
        <v/>
      </c>
      <c r="Y24" s="268" t="str">
        <f t="shared" si="2"/>
        <v/>
      </c>
      <c r="Z24" s="189" t="str">
        <f t="shared" si="0"/>
        <v xml:space="preserve"> </v>
      </c>
      <c r="AA24" s="30"/>
      <c r="AB24" s="684" t="s">
        <v>160</v>
      </c>
      <c r="AC24" s="684"/>
      <c r="AD24" s="684"/>
      <c r="AE24" s="684"/>
      <c r="AF24" s="684"/>
      <c r="AG24" s="684"/>
      <c r="AH24" s="684"/>
      <c r="AI24" s="684"/>
      <c r="AJ24" s="684"/>
      <c r="AK24" s="684"/>
      <c r="AL24" s="684"/>
      <c r="AM24" s="684"/>
      <c r="AN24" s="684"/>
      <c r="AO24" s="684"/>
      <c r="AP24" s="684"/>
      <c r="AQ24" s="685"/>
      <c r="AR24" s="85"/>
      <c r="AS24" s="90"/>
      <c r="AT24" s="19"/>
      <c r="AU24" s="250" t="s">
        <v>115</v>
      </c>
      <c r="AV24" s="99"/>
      <c r="AW24" s="99"/>
      <c r="AX24" s="190"/>
      <c r="AY24" s="243"/>
      <c r="AZ24" s="243"/>
      <c r="BA24" s="243"/>
      <c r="BB24" s="243"/>
      <c r="BC24" s="243"/>
      <c r="BD24" s="243"/>
      <c r="BE24" s="243"/>
      <c r="BF24" s="243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23"/>
      <c r="CD24" s="76"/>
      <c r="CE24" s="76"/>
    </row>
    <row r="25" spans="1:91" ht="21">
      <c r="A25" s="76"/>
      <c r="B25" s="29"/>
      <c r="C25" s="95" t="str">
        <f>IF(D12&gt;8,9,"")</f>
        <v/>
      </c>
      <c r="D25" s="214"/>
      <c r="E25" s="215"/>
      <c r="F25" s="123"/>
      <c r="G25" s="218"/>
      <c r="H25" s="123"/>
      <c r="I25" s="221"/>
      <c r="J25" s="123"/>
      <c r="K25" s="221"/>
      <c r="L25" s="123"/>
      <c r="M25" s="319"/>
      <c r="N25" s="198"/>
      <c r="O25" s="208"/>
      <c r="P25" s="477">
        <f>'９人目'!AE44</f>
        <v>0</v>
      </c>
      <c r="Q25" s="478"/>
      <c r="R25" s="478"/>
      <c r="S25" s="478"/>
      <c r="T25" s="478"/>
      <c r="U25" s="478"/>
      <c r="V25" s="479"/>
      <c r="W25" s="266" t="str">
        <f>IF(D12&gt;8,"円","")</f>
        <v/>
      </c>
      <c r="X25" s="267" t="str">
        <f t="shared" si="1"/>
        <v/>
      </c>
      <c r="Y25" s="268" t="str">
        <f t="shared" si="2"/>
        <v/>
      </c>
      <c r="Z25" s="189" t="str">
        <f t="shared" si="0"/>
        <v xml:space="preserve"> </v>
      </c>
      <c r="AA25" s="30"/>
      <c r="AB25" s="69" t="s">
        <v>37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33"/>
      <c r="AR25" s="85"/>
      <c r="AS25" s="90"/>
      <c r="AT25" s="19"/>
      <c r="AU25" s="104" t="s">
        <v>5</v>
      </c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23"/>
      <c r="CD25" s="78"/>
      <c r="CE25" s="76"/>
    </row>
    <row r="26" spans="1:91" ht="21.75" thickBot="1">
      <c r="A26" s="76"/>
      <c r="B26" s="29"/>
      <c r="C26" s="95" t="str">
        <f>IF(D12&gt;9,10,"")</f>
        <v/>
      </c>
      <c r="D26" s="216"/>
      <c r="E26" s="217"/>
      <c r="F26" s="123"/>
      <c r="G26" s="219"/>
      <c r="H26" s="123"/>
      <c r="I26" s="222"/>
      <c r="J26" s="123"/>
      <c r="K26" s="222"/>
      <c r="L26" s="123"/>
      <c r="M26" s="320"/>
      <c r="N26" s="198"/>
      <c r="O26" s="208"/>
      <c r="P26" s="480">
        <f>'10人目'!AE44</f>
        <v>0</v>
      </c>
      <c r="Q26" s="481"/>
      <c r="R26" s="481"/>
      <c r="S26" s="481"/>
      <c r="T26" s="481"/>
      <c r="U26" s="481"/>
      <c r="V26" s="482"/>
      <c r="W26" s="269" t="str">
        <f>IF(D12&gt;9,"円","")</f>
        <v/>
      </c>
      <c r="X26" s="270" t="str">
        <f t="shared" si="1"/>
        <v/>
      </c>
      <c r="Y26" s="271" t="str">
        <f t="shared" si="2"/>
        <v/>
      </c>
      <c r="Z26" s="189" t="str">
        <f t="shared" si="0"/>
        <v xml:space="preserve"> </v>
      </c>
      <c r="AA26" s="30"/>
      <c r="AB26" s="107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33"/>
      <c r="AR26" s="85"/>
      <c r="AS26" s="90"/>
      <c r="AT26" s="19"/>
      <c r="AU26" s="244" t="s">
        <v>156</v>
      </c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21"/>
      <c r="CD26" s="78"/>
      <c r="CE26" s="76"/>
    </row>
    <row r="27" spans="1:91" ht="21.75" customHeight="1">
      <c r="A27" s="76"/>
      <c r="B27" s="29"/>
      <c r="C27" s="124" t="s">
        <v>53</v>
      </c>
      <c r="D27" s="213">
        <v>900000</v>
      </c>
      <c r="E27" s="213">
        <v>1300000</v>
      </c>
      <c r="F27" s="125"/>
      <c r="G27" s="213">
        <v>300000</v>
      </c>
      <c r="H27" s="125"/>
      <c r="I27" s="220">
        <v>65</v>
      </c>
      <c r="J27" s="125"/>
      <c r="K27" s="220">
        <v>64</v>
      </c>
      <c r="L27" s="125"/>
      <c r="M27" s="321"/>
      <c r="N27" s="199"/>
      <c r="O27" s="208"/>
      <c r="P27" s="492"/>
      <c r="Q27" s="493"/>
      <c r="R27" s="493"/>
      <c r="S27" s="493"/>
      <c r="T27" s="493"/>
      <c r="U27" s="493"/>
      <c r="V27" s="494"/>
      <c r="W27" s="255"/>
      <c r="X27" s="256"/>
      <c r="Y27" s="189"/>
      <c r="Z27" s="189"/>
      <c r="AA27" s="30"/>
      <c r="AB27" s="73" t="s">
        <v>16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33"/>
      <c r="AR27" s="85"/>
      <c r="AS27" s="90"/>
      <c r="AT27" s="19"/>
      <c r="AU27" s="525" t="s">
        <v>0</v>
      </c>
      <c r="AV27" s="525"/>
      <c r="AW27" s="525"/>
      <c r="AX27" s="525"/>
      <c r="AY27" s="525"/>
      <c r="AZ27" s="525"/>
      <c r="BA27" s="532" t="s">
        <v>32</v>
      </c>
      <c r="BB27" s="533"/>
      <c r="BC27" s="533"/>
      <c r="BD27" s="533"/>
      <c r="BE27" s="533"/>
      <c r="BF27" s="533"/>
      <c r="BG27" s="533"/>
      <c r="BH27" s="533"/>
      <c r="BI27" s="533"/>
      <c r="BJ27" s="533"/>
      <c r="BK27" s="533"/>
      <c r="BL27" s="533"/>
      <c r="BM27" s="534"/>
      <c r="BN27" s="400" t="s">
        <v>33</v>
      </c>
      <c r="BO27" s="401"/>
      <c r="BP27" s="401"/>
      <c r="BQ27" s="401"/>
      <c r="BR27" s="401"/>
      <c r="BS27" s="401"/>
      <c r="BT27" s="401"/>
      <c r="BU27" s="401"/>
      <c r="BV27" s="401"/>
      <c r="BW27" s="401"/>
      <c r="BX27" s="401"/>
      <c r="BY27" s="401"/>
      <c r="BZ27" s="401"/>
      <c r="CA27" s="401"/>
      <c r="CB27" s="402"/>
      <c r="CC27" s="21"/>
      <c r="CD27" s="78"/>
      <c r="CE27" s="76"/>
    </row>
    <row r="28" spans="1:91" ht="21.75" thickBot="1">
      <c r="A28" s="76"/>
      <c r="B28" s="29"/>
      <c r="C28" s="66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00"/>
      <c r="O28" s="209"/>
      <c r="P28" s="212"/>
      <c r="Q28" s="212"/>
      <c r="R28" s="212"/>
      <c r="S28" s="212"/>
      <c r="T28" s="212"/>
      <c r="U28" s="212"/>
      <c r="V28" s="212"/>
      <c r="W28" s="212"/>
      <c r="X28" s="212"/>
      <c r="Y28" s="189"/>
      <c r="Z28" s="189"/>
      <c r="AA28" s="30"/>
      <c r="AB28" s="73" t="s">
        <v>17</v>
      </c>
      <c r="AC28" s="4"/>
      <c r="AD28" s="4"/>
      <c r="AE28" s="4"/>
      <c r="AF28" s="4"/>
      <c r="AG28" s="4"/>
      <c r="AH28" s="4"/>
      <c r="AI28" s="4"/>
      <c r="AM28" s="4"/>
      <c r="AN28" s="4"/>
      <c r="AO28" s="4"/>
      <c r="AP28" s="4"/>
      <c r="AQ28" s="33"/>
      <c r="AR28" s="85"/>
      <c r="AS28" s="90"/>
      <c r="AT28" s="19"/>
      <c r="AU28" s="513">
        <v>7</v>
      </c>
      <c r="AV28" s="513"/>
      <c r="AW28" s="513"/>
      <c r="AX28" s="513"/>
      <c r="AY28" s="513"/>
      <c r="AZ28" s="513"/>
      <c r="BA28" s="415">
        <v>430000</v>
      </c>
      <c r="BB28" s="416"/>
      <c r="BC28" s="416"/>
      <c r="BD28" s="416"/>
      <c r="BE28" s="417">
        <v>1</v>
      </c>
      <c r="BF28" s="417"/>
      <c r="BG28" s="417"/>
      <c r="BH28" s="417"/>
      <c r="BI28" s="413">
        <v>100000</v>
      </c>
      <c r="BJ28" s="413"/>
      <c r="BK28" s="413"/>
      <c r="BL28" s="413"/>
      <c r="BM28" s="414"/>
      <c r="BN28" s="403">
        <f>BA28+(MAX(((COUNTIF(X17:X26,"○")+COUNTIF(Y17:Y26,"○")-COUNTIF(Z17:Z26,"＊")-BE28)),0))*BI28</f>
        <v>430000</v>
      </c>
      <c r="BO28" s="404"/>
      <c r="BP28" s="404"/>
      <c r="BQ28" s="394" t="s">
        <v>157</v>
      </c>
      <c r="BR28" s="395"/>
      <c r="BS28" s="395"/>
      <c r="BT28" s="395"/>
      <c r="BU28" s="395"/>
      <c r="BV28" s="395"/>
      <c r="BW28" s="395"/>
      <c r="BX28" s="395"/>
      <c r="BY28" s="395"/>
      <c r="BZ28" s="395"/>
      <c r="CA28" s="395"/>
      <c r="CB28" s="396"/>
      <c r="CC28" s="21"/>
      <c r="CD28" s="78"/>
      <c r="CE28" s="76"/>
    </row>
    <row r="29" spans="1:91" ht="21" customHeight="1">
      <c r="A29" s="76"/>
      <c r="B29" s="2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4"/>
      <c r="Q29" s="4"/>
      <c r="R29" s="4"/>
      <c r="S29" s="4"/>
      <c r="T29" s="4"/>
      <c r="U29" s="4"/>
      <c r="V29" s="4"/>
      <c r="W29" s="4"/>
      <c r="X29" s="4"/>
      <c r="AA29" s="30"/>
      <c r="AB29" s="74" t="s">
        <v>84</v>
      </c>
      <c r="AC29" s="4"/>
      <c r="AD29" s="4"/>
      <c r="AE29" s="4"/>
      <c r="AF29" s="4"/>
      <c r="AG29" s="4"/>
      <c r="AH29" s="4"/>
      <c r="AI29" s="4"/>
      <c r="AN29"/>
      <c r="AO29"/>
      <c r="AP29"/>
      <c r="AQ29" s="33"/>
      <c r="AR29" s="85"/>
      <c r="AS29" s="90"/>
      <c r="AT29" s="19"/>
      <c r="AU29" s="380">
        <v>5</v>
      </c>
      <c r="AV29" s="380"/>
      <c r="AW29" s="380"/>
      <c r="AX29" s="380"/>
      <c r="AY29" s="380"/>
      <c r="AZ29" s="380"/>
      <c r="BA29" s="572">
        <v>430000</v>
      </c>
      <c r="BB29" s="572"/>
      <c r="BC29" s="573"/>
      <c r="BD29" s="526">
        <v>305000</v>
      </c>
      <c r="BE29" s="527"/>
      <c r="BF29" s="527"/>
      <c r="BG29" s="527"/>
      <c r="BH29" s="528"/>
      <c r="BI29" s="412">
        <v>1</v>
      </c>
      <c r="BJ29" s="412"/>
      <c r="BK29" s="412"/>
      <c r="BL29" s="418">
        <v>100000</v>
      </c>
      <c r="BM29" s="418"/>
      <c r="BN29" s="403">
        <f>BA29+(MAX(((COUNTIF(X17:X26,"○")+COUNTIF(Y17:Y26,"○")-COUNTIF(Z17:Z26,"＊")-BI29)),0))*BL29+(BD29*D12)</f>
        <v>430000</v>
      </c>
      <c r="BO29" s="404"/>
      <c r="BP29" s="404"/>
      <c r="BQ29" s="394"/>
      <c r="BR29" s="395"/>
      <c r="BS29" s="395"/>
      <c r="BT29" s="395"/>
      <c r="BU29" s="395"/>
      <c r="BV29" s="395"/>
      <c r="BW29" s="395"/>
      <c r="BX29" s="395"/>
      <c r="BY29" s="395"/>
      <c r="BZ29" s="395"/>
      <c r="CA29" s="395"/>
      <c r="CB29" s="396"/>
      <c r="CC29" s="21"/>
      <c r="CD29" s="76"/>
      <c r="CE29" s="76"/>
    </row>
    <row r="30" spans="1:91" ht="33" customHeight="1">
      <c r="A30" s="76"/>
      <c r="B30" s="29"/>
      <c r="C30" s="495" t="s">
        <v>121</v>
      </c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495"/>
      <c r="AC30" s="495"/>
      <c r="AD30" s="495"/>
      <c r="AE30" s="495"/>
      <c r="AF30" s="495"/>
      <c r="AG30" s="495"/>
      <c r="AH30" s="495"/>
      <c r="AI30" s="495"/>
      <c r="AJ30" s="495"/>
      <c r="AK30" s="495"/>
      <c r="AL30" s="495"/>
      <c r="AM30" s="495"/>
      <c r="AN30" s="495"/>
      <c r="AO30" s="495"/>
      <c r="AP30" s="495"/>
      <c r="AQ30" s="75"/>
      <c r="AR30" s="85"/>
      <c r="AS30" s="90"/>
      <c r="AT30" s="19"/>
      <c r="AU30" s="535">
        <v>2</v>
      </c>
      <c r="AV30" s="535"/>
      <c r="AW30" s="535"/>
      <c r="AX30" s="535"/>
      <c r="AY30" s="535"/>
      <c r="AZ30" s="535"/>
      <c r="BA30" s="407">
        <v>430000</v>
      </c>
      <c r="BB30" s="407"/>
      <c r="BC30" s="408"/>
      <c r="BD30" s="409">
        <v>560000</v>
      </c>
      <c r="BE30" s="410"/>
      <c r="BF30" s="410"/>
      <c r="BG30" s="410"/>
      <c r="BH30" s="411"/>
      <c r="BI30" s="516">
        <v>1</v>
      </c>
      <c r="BJ30" s="516"/>
      <c r="BK30" s="516"/>
      <c r="BL30" s="529">
        <v>100000</v>
      </c>
      <c r="BM30" s="529"/>
      <c r="BN30" s="405">
        <f>BA30+(MAX(((COUNTIF(X17:X26,"○")+COUNTIF(Y17:Y26,"○")-COUNTIF(Z17:Z26,"＊")-BI30)),0))*BL30+(BD30*D12)</f>
        <v>430000</v>
      </c>
      <c r="BO30" s="406"/>
      <c r="BP30" s="406"/>
      <c r="BQ30" s="397"/>
      <c r="BR30" s="398"/>
      <c r="BS30" s="398"/>
      <c r="BT30" s="398"/>
      <c r="BU30" s="398"/>
      <c r="BV30" s="398"/>
      <c r="BW30" s="398"/>
      <c r="BX30" s="398"/>
      <c r="BY30" s="398"/>
      <c r="BZ30" s="398"/>
      <c r="CA30" s="398"/>
      <c r="CB30" s="399"/>
      <c r="CC30" s="21"/>
      <c r="CD30" s="76"/>
      <c r="CE30" s="76"/>
      <c r="CM30" s="245"/>
    </row>
    <row r="31" spans="1:91" ht="33" customHeight="1">
      <c r="A31" s="76"/>
      <c r="B31" s="29"/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495"/>
      <c r="Y31" s="495"/>
      <c r="Z31" s="495"/>
      <c r="AA31" s="495"/>
      <c r="AB31" s="495"/>
      <c r="AC31" s="495"/>
      <c r="AD31" s="495"/>
      <c r="AE31" s="495"/>
      <c r="AF31" s="495"/>
      <c r="AG31" s="495"/>
      <c r="AH31" s="495"/>
      <c r="AI31" s="495"/>
      <c r="AJ31" s="495"/>
      <c r="AK31" s="495"/>
      <c r="AL31" s="495"/>
      <c r="AM31" s="495"/>
      <c r="AN31" s="495"/>
      <c r="AO31" s="495"/>
      <c r="AP31" s="495"/>
      <c r="AQ31" s="75"/>
      <c r="AR31" s="85"/>
      <c r="AS31" s="90"/>
      <c r="AT31" s="19"/>
      <c r="AU31" s="244" t="s">
        <v>116</v>
      </c>
      <c r="AV31" s="3"/>
      <c r="AW31" s="3"/>
      <c r="AX31" s="3"/>
      <c r="AY31" s="3"/>
      <c r="AZ31" s="3"/>
      <c r="BA31" s="3"/>
      <c r="BB31" s="3"/>
      <c r="BC31" s="3"/>
      <c r="BD31" s="8"/>
      <c r="BE31" s="7"/>
      <c r="BF31" s="7"/>
      <c r="BG31" s="7"/>
      <c r="BH31" s="7"/>
      <c r="BI31" s="7"/>
      <c r="BJ31" s="7"/>
      <c r="BK31" s="7"/>
      <c r="BL31" s="7"/>
      <c r="BM31" s="8"/>
      <c r="BN31" s="7"/>
      <c r="BO31" s="7"/>
      <c r="BP31" s="10"/>
      <c r="BQ31" s="11"/>
      <c r="BR31" s="11"/>
      <c r="BS31" s="11"/>
      <c r="BT31" s="11"/>
      <c r="BU31" s="11"/>
      <c r="BV31" s="4"/>
      <c r="BW31" s="4"/>
      <c r="BX31" s="4"/>
      <c r="BY31" s="4"/>
      <c r="BZ31" s="4"/>
      <c r="CA31" s="4"/>
      <c r="CB31" s="4"/>
      <c r="CC31" s="21"/>
      <c r="CD31" s="76"/>
      <c r="CE31" s="76"/>
      <c r="CM31" s="252"/>
    </row>
    <row r="32" spans="1:91" ht="27" customHeight="1">
      <c r="A32" s="76"/>
      <c r="B32" s="29"/>
      <c r="C32" s="70" t="s">
        <v>12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4"/>
      <c r="Q32" s="4"/>
      <c r="R32" s="4"/>
      <c r="S32" s="4"/>
      <c r="T32" s="4"/>
      <c r="U32" s="4"/>
      <c r="V32" s="4"/>
      <c r="W32" s="4"/>
      <c r="X32" s="4"/>
      <c r="Y32" s="35"/>
      <c r="Z32" s="3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32"/>
      <c r="AO32" s="32"/>
      <c r="AP32" s="32"/>
      <c r="AQ32" s="33"/>
      <c r="AR32" s="85"/>
      <c r="AS32" s="90"/>
      <c r="AT32" s="19"/>
      <c r="AU32" s="512" t="s">
        <v>158</v>
      </c>
      <c r="AV32" s="512"/>
      <c r="AW32" s="512"/>
      <c r="AX32" s="512"/>
      <c r="AY32" s="512"/>
      <c r="AZ32" s="512"/>
      <c r="BA32" s="512"/>
      <c r="BB32" s="512"/>
      <c r="BC32" s="512"/>
      <c r="BD32" s="512"/>
      <c r="BE32" s="512"/>
      <c r="BF32" s="512"/>
      <c r="BG32" s="512"/>
      <c r="BH32" s="512"/>
      <c r="BI32" s="512"/>
      <c r="BJ32" s="512"/>
      <c r="BK32" s="512"/>
      <c r="BL32" s="512"/>
      <c r="BM32" s="512"/>
      <c r="BN32" s="512"/>
      <c r="BO32" s="512"/>
      <c r="BP32" s="512"/>
      <c r="BQ32" s="512"/>
      <c r="BR32" s="512"/>
      <c r="BS32" s="512"/>
      <c r="BT32" s="512"/>
      <c r="BU32" s="512"/>
      <c r="BV32" s="512"/>
      <c r="BW32" s="512"/>
      <c r="BX32" s="512"/>
      <c r="BY32" s="512"/>
      <c r="BZ32" s="512"/>
      <c r="CA32" s="512"/>
      <c r="CB32" s="512"/>
      <c r="CC32" s="21"/>
      <c r="CD32" s="76"/>
      <c r="CE32" s="76"/>
      <c r="CM32" s="22"/>
    </row>
    <row r="33" spans="1:92" ht="21" customHeight="1" thickBot="1">
      <c r="A33" s="76"/>
      <c r="B33" s="29"/>
      <c r="C33" s="73" t="s">
        <v>13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32"/>
      <c r="AO33" s="32"/>
      <c r="AP33" s="32"/>
      <c r="AQ33" s="33"/>
      <c r="AR33" s="86"/>
      <c r="AS33" s="90"/>
      <c r="AT33" s="19"/>
      <c r="AU33" s="512"/>
      <c r="AV33" s="512"/>
      <c r="AW33" s="512"/>
      <c r="AX33" s="512"/>
      <c r="AY33" s="512"/>
      <c r="AZ33" s="512"/>
      <c r="BA33" s="512"/>
      <c r="BB33" s="512"/>
      <c r="BC33" s="512"/>
      <c r="BD33" s="512"/>
      <c r="BE33" s="512"/>
      <c r="BF33" s="512"/>
      <c r="BG33" s="512"/>
      <c r="BH33" s="512"/>
      <c r="BI33" s="512"/>
      <c r="BJ33" s="512"/>
      <c r="BK33" s="512"/>
      <c r="BL33" s="512"/>
      <c r="BM33" s="512"/>
      <c r="BN33" s="512"/>
      <c r="BO33" s="512"/>
      <c r="BP33" s="512"/>
      <c r="BQ33" s="512"/>
      <c r="BR33" s="512"/>
      <c r="BS33" s="512"/>
      <c r="BT33" s="512"/>
      <c r="BU33" s="512"/>
      <c r="BV33" s="512"/>
      <c r="BW33" s="512"/>
      <c r="BX33" s="512"/>
      <c r="BY33" s="512"/>
      <c r="BZ33" s="512"/>
      <c r="CA33" s="512"/>
      <c r="CB33" s="512"/>
      <c r="CC33" s="21"/>
      <c r="CD33" s="78"/>
      <c r="CE33" s="76"/>
      <c r="CM33" s="22"/>
    </row>
    <row r="34" spans="1:92" ht="21" customHeight="1">
      <c r="A34" s="76"/>
      <c r="B34" s="29"/>
      <c r="C34" s="73" t="s">
        <v>90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53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5"/>
      <c r="AQ34" s="67"/>
      <c r="AR34" s="86"/>
      <c r="AS34" s="90"/>
      <c r="AT34" s="19"/>
      <c r="AU34" s="512"/>
      <c r="AV34" s="512"/>
      <c r="AW34" s="512"/>
      <c r="AX34" s="512"/>
      <c r="AY34" s="512"/>
      <c r="AZ34" s="512"/>
      <c r="BA34" s="512"/>
      <c r="BB34" s="512"/>
      <c r="BC34" s="512"/>
      <c r="BD34" s="512"/>
      <c r="BE34" s="512"/>
      <c r="BF34" s="512"/>
      <c r="BG34" s="512"/>
      <c r="BH34" s="512"/>
      <c r="BI34" s="512"/>
      <c r="BJ34" s="512"/>
      <c r="BK34" s="512"/>
      <c r="BL34" s="512"/>
      <c r="BM34" s="512"/>
      <c r="BN34" s="512"/>
      <c r="BO34" s="512"/>
      <c r="BP34" s="512"/>
      <c r="BQ34" s="512"/>
      <c r="BR34" s="512"/>
      <c r="BS34" s="512"/>
      <c r="BT34" s="512"/>
      <c r="BU34" s="512"/>
      <c r="BV34" s="512"/>
      <c r="BW34" s="512"/>
      <c r="BX34" s="512"/>
      <c r="BY34" s="512"/>
      <c r="BZ34" s="512"/>
      <c r="CA34" s="512"/>
      <c r="CB34" s="512"/>
      <c r="CC34" s="23"/>
      <c r="CD34" s="78"/>
      <c r="CE34" s="76"/>
      <c r="CM34" s="22"/>
    </row>
    <row r="35" spans="1:92" ht="19.5" customHeight="1">
      <c r="A35" s="76"/>
      <c r="B35" s="29"/>
      <c r="C35" s="73" t="s">
        <v>91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6"/>
      <c r="AB35" s="93" t="s">
        <v>10</v>
      </c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8"/>
      <c r="AQ35" s="67"/>
      <c r="AR35" s="86"/>
      <c r="AS35" s="90"/>
      <c r="AT35" s="19"/>
      <c r="AU35" s="105" t="s">
        <v>25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23"/>
      <c r="CD35" s="78"/>
      <c r="CE35" s="76"/>
      <c r="CM35" s="22"/>
    </row>
    <row r="36" spans="1:92" ht="19.5" customHeight="1" thickBot="1">
      <c r="A36" s="76"/>
      <c r="B36" s="2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6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8"/>
      <c r="AQ36" s="67"/>
      <c r="AR36" s="86"/>
      <c r="AS36" s="90"/>
      <c r="AT36" s="19"/>
      <c r="AU36" s="583" t="s">
        <v>34</v>
      </c>
      <c r="AV36" s="583"/>
      <c r="AW36" s="583"/>
      <c r="AX36" s="583"/>
      <c r="AY36" s="9"/>
      <c r="AZ36" s="514"/>
      <c r="BA36" s="439" t="s">
        <v>74</v>
      </c>
      <c r="BB36" s="440"/>
      <c r="BC36" s="440"/>
      <c r="BD36" s="440"/>
      <c r="BE36" s="440"/>
      <c r="BF36" s="440"/>
      <c r="BG36" s="441"/>
      <c r="BH36" s="520" t="s">
        <v>8</v>
      </c>
      <c r="BI36" s="521"/>
      <c r="BJ36" s="521"/>
      <c r="BK36" s="521"/>
      <c r="BL36" s="521"/>
      <c r="BM36" s="521"/>
      <c r="BN36" s="521"/>
      <c r="BO36" s="521"/>
      <c r="BP36" s="521"/>
      <c r="BQ36" s="521"/>
      <c r="BR36" s="521"/>
      <c r="BS36" s="521"/>
      <c r="BT36" s="521"/>
      <c r="BU36" s="521"/>
      <c r="BV36" s="521"/>
      <c r="BW36" s="531" t="s">
        <v>94</v>
      </c>
      <c r="BX36" s="531"/>
      <c r="BY36" s="531"/>
      <c r="BZ36" s="531"/>
      <c r="CA36" s="531"/>
      <c r="CB36" s="531"/>
      <c r="CC36" s="23"/>
      <c r="CD36" s="78"/>
      <c r="CE36" s="76"/>
      <c r="CJ36" t="s">
        <v>105</v>
      </c>
    </row>
    <row r="37" spans="1:92" ht="21" customHeight="1" thickBot="1">
      <c r="A37" s="76"/>
      <c r="B37" s="2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56"/>
      <c r="AB37" s="545" t="s">
        <v>2</v>
      </c>
      <c r="AC37" s="546"/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7"/>
      <c r="AP37" s="58"/>
      <c r="AQ37" s="67"/>
      <c r="AR37" s="86"/>
      <c r="AS37" s="90"/>
      <c r="AT37" s="19"/>
      <c r="AU37" s="583"/>
      <c r="AV37" s="583"/>
      <c r="AW37" s="583"/>
      <c r="AX37" s="583"/>
      <c r="AY37" s="9"/>
      <c r="AZ37" s="515"/>
      <c r="BA37" s="442"/>
      <c r="BB37" s="443"/>
      <c r="BC37" s="443"/>
      <c r="BD37" s="443"/>
      <c r="BE37" s="443"/>
      <c r="BF37" s="443"/>
      <c r="BG37" s="444"/>
      <c r="BH37" s="430" t="s">
        <v>9</v>
      </c>
      <c r="BI37" s="431"/>
      <c r="BJ37" s="431"/>
      <c r="BK37" s="431"/>
      <c r="BL37" s="431"/>
      <c r="BM37" s="431"/>
      <c r="BN37" s="431"/>
      <c r="BO37" s="432"/>
      <c r="BP37" s="428" t="s">
        <v>35</v>
      </c>
      <c r="BQ37" s="428"/>
      <c r="BR37" s="428"/>
      <c r="BS37" s="428"/>
      <c r="BT37" s="428"/>
      <c r="BU37" s="428"/>
      <c r="BV37" s="429"/>
      <c r="BW37" s="515" t="s">
        <v>95</v>
      </c>
      <c r="BX37" s="515"/>
      <c r="BY37" s="515"/>
      <c r="BZ37" s="515"/>
      <c r="CA37" s="515"/>
      <c r="CB37" s="515"/>
      <c r="CC37" s="23"/>
      <c r="CD37" s="76"/>
      <c r="CE37" s="76"/>
      <c r="CJ37" s="330" t="s">
        <v>101</v>
      </c>
      <c r="CK37" s="334" t="s">
        <v>96</v>
      </c>
      <c r="CL37" s="331" t="s">
        <v>103</v>
      </c>
      <c r="CM37" s="330" t="s">
        <v>104</v>
      </c>
      <c r="CN37" s="330" t="s">
        <v>102</v>
      </c>
    </row>
    <row r="38" spans="1:92" ht="15.95" customHeight="1">
      <c r="A38" s="76"/>
      <c r="B38" s="2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56"/>
      <c r="AB38" s="483" t="str">
        <f>IF(D12="","",(IF(AU38&lt;=BN28,AU28,(IF(AU38&lt;=BN29,AU29,(IF(AU38&lt;=BN30,AU30,"法定減額は適用されません。")))))))</f>
        <v/>
      </c>
      <c r="AC38" s="484"/>
      <c r="AD38" s="484"/>
      <c r="AE38" s="484"/>
      <c r="AF38" s="484"/>
      <c r="AG38" s="484"/>
      <c r="AH38" s="484"/>
      <c r="AI38" s="484"/>
      <c r="AJ38" s="484"/>
      <c r="AK38" s="484"/>
      <c r="AL38" s="484"/>
      <c r="AM38" s="484"/>
      <c r="AN38" s="484"/>
      <c r="AO38" s="485"/>
      <c r="AP38" s="58"/>
      <c r="AQ38" s="67"/>
      <c r="AR38" s="86"/>
      <c r="AS38" s="90"/>
      <c r="AT38" s="19"/>
      <c r="AU38" s="505">
        <f>'１人目'!AE46+'２人目'!AE46+'３人目'!AE46+'４人目'!AE46+'５人目'!AE46+'６人目'!AE46+'７人目'!AE46+'８人目'!AE46+'９人目'!AE46+'10人目'!AE46</f>
        <v>0</v>
      </c>
      <c r="AV38" s="505"/>
      <c r="AW38" s="505"/>
      <c r="AX38" s="505"/>
      <c r="AY38" s="3"/>
      <c r="AZ38" s="14" t="str">
        <f>IF(D12=0,"",1)</f>
        <v/>
      </c>
      <c r="BA38" s="445">
        <f>'１人目'!AE45</f>
        <v>0</v>
      </c>
      <c r="BB38" s="446"/>
      <c r="BC38" s="446"/>
      <c r="BD38" s="446"/>
      <c r="BE38" s="446"/>
      <c r="BF38" s="446"/>
      <c r="BG38" s="225"/>
      <c r="BH38" s="433">
        <f>IF(ISNUMBER(I17),IF($D$12=0,0,IF(AND(40&lt;=I17,I17&lt;65),1,0)),0)</f>
        <v>0</v>
      </c>
      <c r="BI38" s="434"/>
      <c r="BJ38" s="434"/>
      <c r="BK38" s="434"/>
      <c r="BL38" s="434"/>
      <c r="BM38" s="434"/>
      <c r="BN38" s="434"/>
      <c r="BO38" s="435"/>
      <c r="BP38" s="360">
        <f>IF(BH38=0,0,BA38)</f>
        <v>0</v>
      </c>
      <c r="BQ38" s="360"/>
      <c r="BR38" s="360"/>
      <c r="BS38" s="360"/>
      <c r="BT38" s="360"/>
      <c r="BU38" s="360"/>
      <c r="BV38" s="361"/>
      <c r="BW38" s="433">
        <f>IF(ISNUMBER(M17),IF($D$12=0,0,IF(M17=1,1,0)),0)</f>
        <v>0</v>
      </c>
      <c r="BX38" s="434"/>
      <c r="BY38" s="434"/>
      <c r="BZ38" s="434"/>
      <c r="CA38" s="434"/>
      <c r="CB38" s="530"/>
      <c r="CC38" s="23"/>
      <c r="CD38" s="76"/>
      <c r="CE38" s="76"/>
      <c r="CJ38" s="330"/>
      <c r="CK38" s="334"/>
      <c r="CL38" s="332"/>
      <c r="CM38" s="330"/>
      <c r="CN38" s="330"/>
    </row>
    <row r="39" spans="1:92" ht="15.95" customHeight="1" thickBot="1">
      <c r="A39" s="76"/>
      <c r="B39" s="29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1"/>
      <c r="Q39" s="31"/>
      <c r="R39" s="31"/>
      <c r="S39" s="31"/>
      <c r="T39" s="31"/>
      <c r="U39" s="31"/>
      <c r="V39" s="31"/>
      <c r="W39" s="31"/>
      <c r="X39" s="31"/>
      <c r="Y39" s="4"/>
      <c r="Z39" s="4"/>
      <c r="AA39" s="56"/>
      <c r="AB39" s="486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7"/>
      <c r="AN39" s="487"/>
      <c r="AO39" s="488"/>
      <c r="AP39" s="58"/>
      <c r="AQ39" s="67"/>
      <c r="AR39" s="86"/>
      <c r="AS39" s="90"/>
      <c r="AT39" s="19"/>
      <c r="AU39" s="7"/>
      <c r="AV39" s="7"/>
      <c r="AW39" s="7"/>
      <c r="AX39" s="7"/>
      <c r="AY39" s="7"/>
      <c r="AZ39" s="12" t="str">
        <f>IF(D12&gt;1,2,"")</f>
        <v/>
      </c>
      <c r="BA39" s="362">
        <f>'２人目'!AE45</f>
        <v>0</v>
      </c>
      <c r="BB39" s="363"/>
      <c r="BC39" s="363"/>
      <c r="BD39" s="363"/>
      <c r="BE39" s="363"/>
      <c r="BF39" s="363"/>
      <c r="BG39" s="364"/>
      <c r="BH39" s="366">
        <f>IF(ISNUMBER(I18),IF($D$12=0,0,IF(AND(40&lt;=I18,I18&lt;65),1,0)),0)</f>
        <v>0</v>
      </c>
      <c r="BI39" s="367"/>
      <c r="BJ39" s="367"/>
      <c r="BK39" s="367"/>
      <c r="BL39" s="367"/>
      <c r="BM39" s="367"/>
      <c r="BN39" s="367"/>
      <c r="BO39" s="368"/>
      <c r="BP39" s="360">
        <f>IF(BH39=0,0,BA39)</f>
        <v>0</v>
      </c>
      <c r="BQ39" s="360"/>
      <c r="BR39" s="360"/>
      <c r="BS39" s="360"/>
      <c r="BT39" s="360"/>
      <c r="BU39" s="360"/>
      <c r="BV39" s="361"/>
      <c r="BW39" s="366">
        <f t="shared" ref="BW39:BW47" si="3">IF(ISNUMBER(M18),IF($D$12=0,0,IF(M18=1,1,0)),0)</f>
        <v>0</v>
      </c>
      <c r="BX39" s="367"/>
      <c r="BY39" s="367"/>
      <c r="BZ39" s="367"/>
      <c r="CA39" s="367"/>
      <c r="CB39" s="370"/>
      <c r="CC39" s="23"/>
      <c r="CD39" s="76"/>
      <c r="CE39" s="76"/>
      <c r="CJ39" s="330"/>
      <c r="CK39" s="334"/>
      <c r="CL39" s="333"/>
      <c r="CM39" s="330"/>
      <c r="CN39" s="330"/>
    </row>
    <row r="40" spans="1:92" ht="15.95" customHeight="1" thickBot="1">
      <c r="A40" s="76"/>
      <c r="B40" s="2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56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8"/>
      <c r="AQ40" s="67"/>
      <c r="AR40" s="86"/>
      <c r="AS40" s="90"/>
      <c r="AT40" s="19"/>
      <c r="AU40" s="525" t="s">
        <v>6</v>
      </c>
      <c r="AV40" s="525"/>
      <c r="AW40" s="525"/>
      <c r="AX40" s="525"/>
      <c r="AY40" s="3"/>
      <c r="AZ40" s="12" t="str">
        <f>IF(D12&gt;2,3,"")</f>
        <v/>
      </c>
      <c r="BA40" s="362">
        <f>'３人目'!AE45</f>
        <v>0</v>
      </c>
      <c r="BB40" s="363"/>
      <c r="BC40" s="363"/>
      <c r="BD40" s="363"/>
      <c r="BE40" s="363"/>
      <c r="BF40" s="363"/>
      <c r="BG40" s="364"/>
      <c r="BH40" s="366">
        <f>IF(ISNUMBER(I19),IF($D$12=0,0,IF(AND(40&lt;=I19,I19&lt;65),1,0)),0)</f>
        <v>0</v>
      </c>
      <c r="BI40" s="367"/>
      <c r="BJ40" s="367"/>
      <c r="BK40" s="367"/>
      <c r="BL40" s="367"/>
      <c r="BM40" s="367"/>
      <c r="BN40" s="367"/>
      <c r="BO40" s="368"/>
      <c r="BP40" s="360">
        <f>IF(BH40=0,0,BA40)</f>
        <v>0</v>
      </c>
      <c r="BQ40" s="360"/>
      <c r="BR40" s="360"/>
      <c r="BS40" s="360"/>
      <c r="BT40" s="360"/>
      <c r="BU40" s="360"/>
      <c r="BV40" s="361"/>
      <c r="BW40" s="366">
        <f t="shared" si="3"/>
        <v>0</v>
      </c>
      <c r="BX40" s="367"/>
      <c r="BY40" s="367"/>
      <c r="BZ40" s="367"/>
      <c r="CA40" s="367"/>
      <c r="CB40" s="370"/>
      <c r="CC40" s="23"/>
      <c r="CD40" s="76"/>
      <c r="CE40" s="76"/>
      <c r="CJ40" s="369">
        <v>29840</v>
      </c>
      <c r="CK40" s="251" t="s">
        <v>97</v>
      </c>
      <c r="CL40" s="253">
        <f>ROUNDUP($CJ$40*0.7,0)</f>
        <v>20888</v>
      </c>
      <c r="CM40" s="253">
        <f>ROUNDUP(($CJ$40-CL40)*0.5,0)</f>
        <v>4476</v>
      </c>
      <c r="CN40" s="253">
        <f>CM40*$BW$48</f>
        <v>0</v>
      </c>
    </row>
    <row r="41" spans="1:92" ht="15.95" customHeight="1">
      <c r="A41" s="76"/>
      <c r="B41" s="2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06"/>
      <c r="AB41" s="489" t="s">
        <v>27</v>
      </c>
      <c r="AC41" s="490"/>
      <c r="AD41" s="490"/>
      <c r="AE41" s="490"/>
      <c r="AF41" s="490"/>
      <c r="AG41" s="490"/>
      <c r="AH41" s="491"/>
      <c r="AI41" s="465" t="str">
        <f>IF(D12=0,"",IF(AU38&lt;=BN28,IF((AX16+AX18*D12)-((ROUNDUP((AX16+AX18*D12)*AU28/10,0))+CN40)+(ROUNDDOWN(AU41*AX20/100,-1))&gt;AX22,AX22,(AX16+AX18*D12)-((ROUNDUP((AX16+AX18*D12)*AU28/10,0))+CN40)+(ROUNDDOWN(AU41*AX20/100,-1))),IF(AU38&lt;=BN29,IF((AX16+AX18*D12)-((ROUNDUP((AX16+AX18*D12)*AU29/10,0))+CN41)+(ROUNDDOWN(AU41*AX20/100,-1))&gt;AX22,AX22,(AX16+AX18*D12)-((ROUNDUP((AX16+AX18*D12)*AU29/10,0))+CN41)+(ROUNDDOWN(AU41*AX20/100,-1))),IF(AU38&lt;=BN30,IF((AX16+AX18*D12)-((ROUNDUP((AX16+AX18*D12)*AU30/10,0))+CN42)+(ROUNDDOWN(AU41*AX20/100,-1))&gt;AX22,AX22,(AX16+AX18*D12)-((ROUNDUP((AX16+AX18*D12)*AU30/10,0))+CN42)+(ROUNDDOWN(AU41*AX20/100,-1))),IF(((AX16+AX18*D12)-CN43)+(ROUNDDOWN(AU41*AX20/100,-1))&gt;AX22,AX22,((AX16+AX18*D12)-CN43)+(ROUNDDOWN(AU41*AX20/100,-1)))))))</f>
        <v/>
      </c>
      <c r="AJ41" s="466"/>
      <c r="AK41" s="466"/>
      <c r="AL41" s="466"/>
      <c r="AM41" s="466"/>
      <c r="AN41" s="466"/>
      <c r="AO41" s="467"/>
      <c r="AP41" s="58"/>
      <c r="AQ41" s="67"/>
      <c r="AR41" s="86"/>
      <c r="AS41" s="90"/>
      <c r="AT41" s="19"/>
      <c r="AU41" s="505">
        <f>BA48</f>
        <v>0</v>
      </c>
      <c r="AV41" s="505"/>
      <c r="AW41" s="505"/>
      <c r="AX41" s="505"/>
      <c r="AY41" s="3"/>
      <c r="AZ41" s="12" t="str">
        <f>IF(D12&gt;3,4,"")</f>
        <v/>
      </c>
      <c r="BA41" s="362">
        <f>'４人目'!AE45</f>
        <v>0</v>
      </c>
      <c r="BB41" s="363"/>
      <c r="BC41" s="363"/>
      <c r="BD41" s="363"/>
      <c r="BE41" s="363"/>
      <c r="BF41" s="363"/>
      <c r="BG41" s="364"/>
      <c r="BH41" s="366">
        <f t="shared" ref="BH41:BH46" si="4">IF(ISNUMBER(I20),IF($D$12=0,0,IF(AND(40&lt;=I20,I20&lt;65),1,0)),0)</f>
        <v>0</v>
      </c>
      <c r="BI41" s="367"/>
      <c r="BJ41" s="367"/>
      <c r="BK41" s="367"/>
      <c r="BL41" s="367"/>
      <c r="BM41" s="367"/>
      <c r="BN41" s="367"/>
      <c r="BO41" s="368"/>
      <c r="BP41" s="360">
        <f t="shared" ref="BP41:BP47" si="5">IF(BH41=0,0,BA41)</f>
        <v>0</v>
      </c>
      <c r="BQ41" s="360"/>
      <c r="BR41" s="360"/>
      <c r="BS41" s="360"/>
      <c r="BT41" s="360"/>
      <c r="BU41" s="360"/>
      <c r="BV41" s="361"/>
      <c r="BW41" s="366">
        <f t="shared" si="3"/>
        <v>0</v>
      </c>
      <c r="BX41" s="367"/>
      <c r="BY41" s="367"/>
      <c r="BZ41" s="367"/>
      <c r="CA41" s="367"/>
      <c r="CB41" s="370"/>
      <c r="CC41" s="23"/>
      <c r="CD41" s="76"/>
      <c r="CE41" s="76"/>
      <c r="CJ41" s="369"/>
      <c r="CK41" s="251" t="s">
        <v>98</v>
      </c>
      <c r="CL41" s="253">
        <f>ROUNDUP($CJ$40*0.5,0)</f>
        <v>14920</v>
      </c>
      <c r="CM41" s="253">
        <f>ROUNDUP(($CJ$40-CL41)*0.5,0)</f>
        <v>7460</v>
      </c>
      <c r="CN41" s="253">
        <f t="shared" ref="CN41:CN43" si="6">CM41*$BW$48</f>
        <v>0</v>
      </c>
    </row>
    <row r="42" spans="1:92" ht="15.95" customHeight="1">
      <c r="A42" s="76"/>
      <c r="B42" s="2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06"/>
      <c r="AB42" s="450"/>
      <c r="AC42" s="451"/>
      <c r="AD42" s="451"/>
      <c r="AE42" s="451"/>
      <c r="AF42" s="451"/>
      <c r="AG42" s="451"/>
      <c r="AH42" s="452"/>
      <c r="AI42" s="468"/>
      <c r="AJ42" s="469"/>
      <c r="AK42" s="469"/>
      <c r="AL42" s="469"/>
      <c r="AM42" s="469"/>
      <c r="AN42" s="469"/>
      <c r="AO42" s="470"/>
      <c r="AP42" s="58"/>
      <c r="AQ42" s="67"/>
      <c r="AR42" s="86"/>
      <c r="AS42" s="90"/>
      <c r="AT42" s="19"/>
      <c r="AU42" s="7"/>
      <c r="AV42" s="7"/>
      <c r="AW42" s="7"/>
      <c r="AX42" s="7"/>
      <c r="AY42" s="7"/>
      <c r="AZ42" s="12" t="str">
        <f>IF(D12&gt;4,5,"")</f>
        <v/>
      </c>
      <c r="BA42" s="362">
        <f>'５人目'!AE45</f>
        <v>0</v>
      </c>
      <c r="BB42" s="363"/>
      <c r="BC42" s="363"/>
      <c r="BD42" s="363"/>
      <c r="BE42" s="363"/>
      <c r="BF42" s="363"/>
      <c r="BG42" s="364"/>
      <c r="BH42" s="366">
        <f t="shared" si="4"/>
        <v>0</v>
      </c>
      <c r="BI42" s="367"/>
      <c r="BJ42" s="367"/>
      <c r="BK42" s="367"/>
      <c r="BL42" s="367"/>
      <c r="BM42" s="367"/>
      <c r="BN42" s="367"/>
      <c r="BO42" s="368"/>
      <c r="BP42" s="360">
        <f t="shared" si="5"/>
        <v>0</v>
      </c>
      <c r="BQ42" s="360"/>
      <c r="BR42" s="360"/>
      <c r="BS42" s="360"/>
      <c r="BT42" s="360"/>
      <c r="BU42" s="360"/>
      <c r="BV42" s="361"/>
      <c r="BW42" s="366">
        <f t="shared" si="3"/>
        <v>0</v>
      </c>
      <c r="BX42" s="367"/>
      <c r="BY42" s="367"/>
      <c r="BZ42" s="367"/>
      <c r="CA42" s="367"/>
      <c r="CB42" s="370"/>
      <c r="CC42" s="23"/>
      <c r="CD42" s="76"/>
      <c r="CE42" s="76"/>
      <c r="CJ42" s="369"/>
      <c r="CK42" s="251" t="s">
        <v>99</v>
      </c>
      <c r="CL42" s="253">
        <f>ROUNDUP($CJ$40*0.2,0)</f>
        <v>5968</v>
      </c>
      <c r="CM42" s="253">
        <f>ROUNDUP(($CJ$40-CL42)*0.5,0)</f>
        <v>11936</v>
      </c>
      <c r="CN42" s="253">
        <f t="shared" si="6"/>
        <v>0</v>
      </c>
    </row>
    <row r="43" spans="1:92" ht="15.95" customHeight="1">
      <c r="A43" s="76"/>
      <c r="B43" s="2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106"/>
      <c r="AB43" s="447" t="s">
        <v>28</v>
      </c>
      <c r="AC43" s="448"/>
      <c r="AD43" s="448"/>
      <c r="AE43" s="448"/>
      <c r="AF43" s="448"/>
      <c r="AG43" s="448"/>
      <c r="AH43" s="449"/>
      <c r="AI43" s="471" t="str">
        <f>IF(D12=0,"",IF(AU38&lt;=BN28,IF((BA16+BA18*D12)-((ROUNDUP((BA16+BA18*D12)*AU28/10,0))+CN49)+(ROUNDDOWN(AU41*BA20/100,-1))&gt;BA22,BA22,(BA16+BA18*D12)-((ROUNDUP((BA16+BA18*D12)*AU28/10,0))+CN49)+(ROUNDDOWN(AU41*BA20/100,-1))),IF(AU38&lt;=BN29,IF((BA16+BA18*D12)-((ROUNDUP((BA16+BA18*D12)*AU29/10,0))+CN50)+(ROUNDDOWN(AU41*BA20/100,-1))&gt;BA22,BA22,(BA16+BA18*D12)-((ROUNDUP((BA16+BA18*D12)*AU29/10,0))+CN50)+(ROUNDDOWN(AU41*BA20/100,-1))),IF(AU38&lt;=BN30,IF((BA16+BA18*D12)-((ROUNDUP((BA16+BA18*D12)*AU30/10,0))+CN51)+(ROUNDDOWN(AU41*BA20/100,-1))&gt;BA22,BA22,(BA16+BA18*D12)-((ROUNDUP((BA16+BA18*D12)*AU30/10,0))+CN51)+(ROUNDDOWN(AU41*BA20/100,-1))),IF(((BA16+BA18*D12)-CN52)+(ROUNDDOWN(AU41*BA20/100,-1))&gt;BA22,BA22,((BA16+BA18*D12)-CN52)+(ROUNDDOWN(AU41*BA20/100,-1)))))))</f>
        <v/>
      </c>
      <c r="AJ43" s="472"/>
      <c r="AK43" s="472"/>
      <c r="AL43" s="472"/>
      <c r="AM43" s="472"/>
      <c r="AN43" s="472"/>
      <c r="AO43" s="473"/>
      <c r="AP43" s="58"/>
      <c r="AQ43" s="67"/>
      <c r="AR43" s="86"/>
      <c r="AS43" s="90"/>
      <c r="AT43" s="19"/>
      <c r="AU43" s="502" t="s">
        <v>36</v>
      </c>
      <c r="AV43" s="503"/>
      <c r="AW43" s="503"/>
      <c r="AX43" s="504"/>
      <c r="AY43" s="3"/>
      <c r="AZ43" s="12" t="str">
        <f>IF(D12&gt;5,6,"")</f>
        <v/>
      </c>
      <c r="BA43" s="362">
        <f>'６人目'!AE45</f>
        <v>0</v>
      </c>
      <c r="BB43" s="363"/>
      <c r="BC43" s="363"/>
      <c r="BD43" s="363"/>
      <c r="BE43" s="363"/>
      <c r="BF43" s="363"/>
      <c r="BG43" s="364"/>
      <c r="BH43" s="366">
        <f t="shared" si="4"/>
        <v>0</v>
      </c>
      <c r="BI43" s="367"/>
      <c r="BJ43" s="367"/>
      <c r="BK43" s="367"/>
      <c r="BL43" s="367"/>
      <c r="BM43" s="367"/>
      <c r="BN43" s="367"/>
      <c r="BO43" s="368"/>
      <c r="BP43" s="360">
        <f t="shared" si="5"/>
        <v>0</v>
      </c>
      <c r="BQ43" s="360"/>
      <c r="BR43" s="360"/>
      <c r="BS43" s="360"/>
      <c r="BT43" s="360"/>
      <c r="BU43" s="360"/>
      <c r="BV43" s="361"/>
      <c r="BW43" s="366">
        <f t="shared" si="3"/>
        <v>0</v>
      </c>
      <c r="BX43" s="367"/>
      <c r="BY43" s="367"/>
      <c r="BZ43" s="367"/>
      <c r="CA43" s="367"/>
      <c r="CB43" s="370"/>
      <c r="CC43" s="23"/>
      <c r="CD43" s="76"/>
      <c r="CE43" s="76"/>
      <c r="CJ43" s="369"/>
      <c r="CK43" s="251" t="s">
        <v>100</v>
      </c>
      <c r="CL43" s="253">
        <f>ROUNDUP($CJ$40*0,0)</f>
        <v>0</v>
      </c>
      <c r="CM43" s="253">
        <f>ROUNDUP(($CJ$40-CL43)*0.5,0)</f>
        <v>14920</v>
      </c>
      <c r="CN43" s="253">
        <f t="shared" si="6"/>
        <v>0</v>
      </c>
    </row>
    <row r="44" spans="1:92" ht="15.95" customHeight="1">
      <c r="A44" s="76"/>
      <c r="B44" s="2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106"/>
      <c r="AB44" s="450"/>
      <c r="AC44" s="451"/>
      <c r="AD44" s="451"/>
      <c r="AE44" s="451"/>
      <c r="AF44" s="451"/>
      <c r="AG44" s="451"/>
      <c r="AH44" s="452"/>
      <c r="AI44" s="474"/>
      <c r="AJ44" s="475"/>
      <c r="AK44" s="475"/>
      <c r="AL44" s="475"/>
      <c r="AM44" s="475"/>
      <c r="AN44" s="475"/>
      <c r="AO44" s="476"/>
      <c r="AP44" s="58"/>
      <c r="AQ44" s="67"/>
      <c r="AR44" s="86"/>
      <c r="AS44" s="90"/>
      <c r="AT44" s="19"/>
      <c r="AU44" s="517">
        <f>BP48</f>
        <v>0</v>
      </c>
      <c r="AV44" s="518"/>
      <c r="AW44" s="518"/>
      <c r="AX44" s="519"/>
      <c r="AY44" s="3"/>
      <c r="AZ44" s="12" t="str">
        <f>IF(D12&gt;6,7,"")</f>
        <v/>
      </c>
      <c r="BA44" s="362">
        <f>'７人目'!AE45</f>
        <v>0</v>
      </c>
      <c r="BB44" s="363"/>
      <c r="BC44" s="363"/>
      <c r="BD44" s="363"/>
      <c r="BE44" s="363"/>
      <c r="BF44" s="363"/>
      <c r="BG44" s="364"/>
      <c r="BH44" s="366">
        <f t="shared" si="4"/>
        <v>0</v>
      </c>
      <c r="BI44" s="367"/>
      <c r="BJ44" s="367"/>
      <c r="BK44" s="367"/>
      <c r="BL44" s="367"/>
      <c r="BM44" s="367"/>
      <c r="BN44" s="367"/>
      <c r="BO44" s="368"/>
      <c r="BP44" s="360">
        <f t="shared" si="5"/>
        <v>0</v>
      </c>
      <c r="BQ44" s="360"/>
      <c r="BR44" s="360"/>
      <c r="BS44" s="360"/>
      <c r="BT44" s="360"/>
      <c r="BU44" s="360"/>
      <c r="BV44" s="361"/>
      <c r="BW44" s="366">
        <f t="shared" si="3"/>
        <v>0</v>
      </c>
      <c r="BX44" s="367"/>
      <c r="BY44" s="367"/>
      <c r="BZ44" s="367"/>
      <c r="CA44" s="367"/>
      <c r="CB44" s="370"/>
      <c r="CC44" s="23"/>
      <c r="CD44" s="76"/>
      <c r="CE44" s="76"/>
    </row>
    <row r="45" spans="1:92" ht="15.95" customHeight="1">
      <c r="A45" s="76"/>
      <c r="B45" s="2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106"/>
      <c r="AB45" s="453" t="s">
        <v>29</v>
      </c>
      <c r="AC45" s="454"/>
      <c r="AD45" s="454"/>
      <c r="AE45" s="454"/>
      <c r="AF45" s="454"/>
      <c r="AG45" s="454"/>
      <c r="AH45" s="455"/>
      <c r="AI45" s="471" t="str">
        <f>IF(BH48=0,"",IF(AU38&lt;=BN28,IF((BD16+BD18*BH48)-(ROUNDUP((BD16+BD18*BH48)*AU28/10,0))+(ROUNDDOWN(AU44*BD20/100,-1))&gt;BD22,BD22,(BD16+BD18*BH48)-(ROUNDUP((BD16+BD18*BH48)*AU28/10,0))+(ROUNDDOWN(AU44*BD20/100,-1))),IF(AU38&lt;=BN29,IF((BD16+BD18*BH48)-(ROUNDUP((BD16+BD18*BH48)*AU29/10,0))+(ROUNDDOWN(AU44*BD20/100,-1))&gt;BD22,BD22,(BD16+BD18*BH48)-(ROUNDUP((BD16+BD18*BH48)*AU29/10,0))+(ROUNDDOWN(AU44*BD20/100,-1))),IF(AU38&lt;=BN30,IF((BD16+BD18*BH48)-(ROUNDUP((BD16+BD18*BH48)*AU30/10,0))+(ROUNDDOWN(AU44*BD20/100,-1))&gt;BD22,BD22,(BD16+BD18*BH48)-(ROUNDUP((BD16+BD18*BH48)*AU30/10,0))+(ROUNDDOWN(AU44*BD20/100,-1))),IF((BD16+BD18*BH48)+(ROUNDDOWN(AU44*BD20/100,-1))&gt;BD22,BD22,(BD16+BD18*BH48)+(ROUNDDOWN(AU44*BD20/100,-1)))))))</f>
        <v/>
      </c>
      <c r="AJ45" s="472"/>
      <c r="AK45" s="472"/>
      <c r="AL45" s="472"/>
      <c r="AM45" s="472"/>
      <c r="AN45" s="472"/>
      <c r="AO45" s="473"/>
      <c r="AP45" s="58"/>
      <c r="AQ45" s="67"/>
      <c r="AR45" s="86"/>
      <c r="AS45" s="90"/>
      <c r="AT45" s="19"/>
      <c r="AU45" s="5"/>
      <c r="AV45" s="5"/>
      <c r="AW45" s="5"/>
      <c r="AX45" s="5"/>
      <c r="AY45" s="5"/>
      <c r="AZ45" s="12" t="str">
        <f>IF(D12&gt;7,8,"")</f>
        <v/>
      </c>
      <c r="BA45" s="362">
        <f>'８人目'!AE45</f>
        <v>0</v>
      </c>
      <c r="BB45" s="363"/>
      <c r="BC45" s="363"/>
      <c r="BD45" s="363"/>
      <c r="BE45" s="363"/>
      <c r="BF45" s="363"/>
      <c r="BG45" s="364"/>
      <c r="BH45" s="366">
        <f t="shared" si="4"/>
        <v>0</v>
      </c>
      <c r="BI45" s="367"/>
      <c r="BJ45" s="367"/>
      <c r="BK45" s="367"/>
      <c r="BL45" s="367"/>
      <c r="BM45" s="367"/>
      <c r="BN45" s="367"/>
      <c r="BO45" s="368"/>
      <c r="BP45" s="360">
        <f t="shared" si="5"/>
        <v>0</v>
      </c>
      <c r="BQ45" s="360"/>
      <c r="BR45" s="360"/>
      <c r="BS45" s="360"/>
      <c r="BT45" s="360"/>
      <c r="BU45" s="360"/>
      <c r="BV45" s="361"/>
      <c r="BW45" s="366">
        <f t="shared" si="3"/>
        <v>0</v>
      </c>
      <c r="BX45" s="367"/>
      <c r="BY45" s="367"/>
      <c r="BZ45" s="367"/>
      <c r="CA45" s="367"/>
      <c r="CB45" s="370"/>
      <c r="CC45" s="23"/>
      <c r="CD45" s="76"/>
      <c r="CE45" s="76"/>
      <c r="CJ45" t="s">
        <v>106</v>
      </c>
    </row>
    <row r="46" spans="1:92" ht="15.95" customHeight="1" thickBot="1">
      <c r="A46" s="76"/>
      <c r="B46" s="29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2"/>
      <c r="Q46" s="22"/>
      <c r="R46" s="22"/>
      <c r="S46" s="22"/>
      <c r="T46" s="22"/>
      <c r="U46" s="22"/>
      <c r="V46" s="22"/>
      <c r="W46" s="22"/>
      <c r="X46" s="22"/>
      <c r="Y46" s="4"/>
      <c r="Z46" s="4"/>
      <c r="AA46" s="106"/>
      <c r="AB46" s="456"/>
      <c r="AC46" s="457"/>
      <c r="AD46" s="457"/>
      <c r="AE46" s="457"/>
      <c r="AF46" s="457"/>
      <c r="AG46" s="457"/>
      <c r="AH46" s="458"/>
      <c r="AI46" s="474"/>
      <c r="AJ46" s="475"/>
      <c r="AK46" s="475"/>
      <c r="AL46" s="475"/>
      <c r="AM46" s="475"/>
      <c r="AN46" s="475"/>
      <c r="AO46" s="476"/>
      <c r="AP46" s="58"/>
      <c r="AQ46" s="67"/>
      <c r="AR46" s="86"/>
      <c r="AS46" s="90"/>
      <c r="AT46" s="19"/>
      <c r="AU46" s="5"/>
      <c r="AV46" s="5"/>
      <c r="AW46" s="5"/>
      <c r="AX46" s="5"/>
      <c r="AY46" s="5"/>
      <c r="AZ46" s="12" t="str">
        <f>IF(D12&gt;8,9,"")</f>
        <v/>
      </c>
      <c r="BA46" s="362">
        <f>'９人目'!AE45</f>
        <v>0</v>
      </c>
      <c r="BB46" s="363"/>
      <c r="BC46" s="363"/>
      <c r="BD46" s="363"/>
      <c r="BE46" s="363"/>
      <c r="BF46" s="363"/>
      <c r="BG46" s="364"/>
      <c r="BH46" s="366">
        <f t="shared" si="4"/>
        <v>0</v>
      </c>
      <c r="BI46" s="367"/>
      <c r="BJ46" s="367"/>
      <c r="BK46" s="367"/>
      <c r="BL46" s="367"/>
      <c r="BM46" s="367"/>
      <c r="BN46" s="367"/>
      <c r="BO46" s="368"/>
      <c r="BP46" s="360">
        <f t="shared" si="5"/>
        <v>0</v>
      </c>
      <c r="BQ46" s="360"/>
      <c r="BR46" s="360"/>
      <c r="BS46" s="360"/>
      <c r="BT46" s="360"/>
      <c r="BU46" s="360"/>
      <c r="BV46" s="361"/>
      <c r="BW46" s="366">
        <f t="shared" si="3"/>
        <v>0</v>
      </c>
      <c r="BX46" s="367"/>
      <c r="BY46" s="367"/>
      <c r="BZ46" s="367"/>
      <c r="CA46" s="367"/>
      <c r="CB46" s="370"/>
      <c r="CC46" s="23"/>
      <c r="CD46" s="76"/>
      <c r="CE46" s="76"/>
      <c r="CJ46" s="330" t="s">
        <v>101</v>
      </c>
      <c r="CK46" s="334" t="s">
        <v>96</v>
      </c>
      <c r="CL46" s="331" t="s">
        <v>103</v>
      </c>
      <c r="CM46" s="330" t="s">
        <v>104</v>
      </c>
      <c r="CN46" s="330" t="s">
        <v>102</v>
      </c>
    </row>
    <row r="47" spans="1:92" ht="15.95" customHeight="1">
      <c r="A47" s="76"/>
      <c r="B47" s="29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2"/>
      <c r="Q47" s="22"/>
      <c r="R47" s="22"/>
      <c r="S47" s="22"/>
      <c r="T47" s="22"/>
      <c r="U47" s="22"/>
      <c r="V47" s="22"/>
      <c r="W47" s="22"/>
      <c r="X47" s="22"/>
      <c r="Y47" s="4"/>
      <c r="Z47" s="4"/>
      <c r="AA47" s="106"/>
      <c r="AB47" s="459" t="s">
        <v>1</v>
      </c>
      <c r="AC47" s="460"/>
      <c r="AD47" s="460"/>
      <c r="AE47" s="460"/>
      <c r="AF47" s="460"/>
      <c r="AG47" s="460"/>
      <c r="AH47" s="461"/>
      <c r="AI47" s="496" t="str">
        <f>IF(D12=0,"",SUM(AI41:AK46))</f>
        <v/>
      </c>
      <c r="AJ47" s="497"/>
      <c r="AK47" s="497"/>
      <c r="AL47" s="497"/>
      <c r="AM47" s="497"/>
      <c r="AN47" s="497"/>
      <c r="AO47" s="498"/>
      <c r="AP47" s="58"/>
      <c r="AQ47" s="67"/>
      <c r="AR47" s="87"/>
      <c r="AS47" s="90"/>
      <c r="AT47" s="19"/>
      <c r="AU47" s="5"/>
      <c r="AV47" s="5"/>
      <c r="AW47" s="5"/>
      <c r="AX47" s="5"/>
      <c r="AY47" s="5"/>
      <c r="AZ47" s="13" t="str">
        <f>IF(D12&gt;9,10,"")</f>
        <v/>
      </c>
      <c r="BA47" s="357">
        <f>'10人目'!AE45</f>
        <v>0</v>
      </c>
      <c r="BB47" s="358"/>
      <c r="BC47" s="358"/>
      <c r="BD47" s="358"/>
      <c r="BE47" s="358"/>
      <c r="BF47" s="358"/>
      <c r="BG47" s="359"/>
      <c r="BH47" s="366">
        <f>IF(ISNUMBER(I26),IF($D$12=0,0,IF(AND(40&lt;=I26,I26&lt;65),1,0)),0)</f>
        <v>0</v>
      </c>
      <c r="BI47" s="367"/>
      <c r="BJ47" s="367"/>
      <c r="BK47" s="367"/>
      <c r="BL47" s="367"/>
      <c r="BM47" s="367"/>
      <c r="BN47" s="367"/>
      <c r="BO47" s="368"/>
      <c r="BP47" s="365">
        <f t="shared" si="5"/>
        <v>0</v>
      </c>
      <c r="BQ47" s="358"/>
      <c r="BR47" s="358"/>
      <c r="BS47" s="358"/>
      <c r="BT47" s="358"/>
      <c r="BU47" s="358"/>
      <c r="BV47" s="359"/>
      <c r="BW47" s="371">
        <f t="shared" si="3"/>
        <v>0</v>
      </c>
      <c r="BX47" s="372"/>
      <c r="BY47" s="372"/>
      <c r="BZ47" s="372"/>
      <c r="CA47" s="372"/>
      <c r="CB47" s="373"/>
      <c r="CC47" s="23"/>
      <c r="CD47" s="76"/>
      <c r="CE47" s="76"/>
      <c r="CJ47" s="330"/>
      <c r="CK47" s="334"/>
      <c r="CL47" s="332"/>
      <c r="CM47" s="330"/>
      <c r="CN47" s="330"/>
    </row>
    <row r="48" spans="1:92" ht="21.2" customHeight="1" thickBot="1">
      <c r="A48" s="76"/>
      <c r="B48" s="2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2"/>
      <c r="Q48" s="22"/>
      <c r="R48" s="22"/>
      <c r="S48" s="22"/>
      <c r="T48" s="22"/>
      <c r="U48" s="22"/>
      <c r="V48" s="22"/>
      <c r="W48" s="22"/>
      <c r="X48" s="22"/>
      <c r="Y48" s="4"/>
      <c r="Z48" s="4"/>
      <c r="AA48" s="106"/>
      <c r="AB48" s="462"/>
      <c r="AC48" s="463"/>
      <c r="AD48" s="463"/>
      <c r="AE48" s="463"/>
      <c r="AF48" s="463"/>
      <c r="AG48" s="463"/>
      <c r="AH48" s="464"/>
      <c r="AI48" s="499"/>
      <c r="AJ48" s="500"/>
      <c r="AK48" s="500"/>
      <c r="AL48" s="500"/>
      <c r="AM48" s="500"/>
      <c r="AN48" s="500"/>
      <c r="AO48" s="501"/>
      <c r="AP48" s="58"/>
      <c r="AQ48" s="68"/>
      <c r="AR48" s="87"/>
      <c r="AS48" s="90"/>
      <c r="AT48" s="19"/>
      <c r="AU48" s="5"/>
      <c r="AV48" s="5"/>
      <c r="AW48" s="5"/>
      <c r="AX48" s="5"/>
      <c r="AY48" s="5"/>
      <c r="AZ48" s="92" t="s">
        <v>7</v>
      </c>
      <c r="BA48" s="425">
        <f>SUM(BA38:BG47)</f>
        <v>0</v>
      </c>
      <c r="BB48" s="426"/>
      <c r="BC48" s="426"/>
      <c r="BD48" s="426"/>
      <c r="BE48" s="426"/>
      <c r="BF48" s="426"/>
      <c r="BG48" s="427"/>
      <c r="BH48" s="436">
        <f>SUM(BH38:BO47)</f>
        <v>0</v>
      </c>
      <c r="BI48" s="437"/>
      <c r="BJ48" s="437"/>
      <c r="BK48" s="437"/>
      <c r="BL48" s="437"/>
      <c r="BM48" s="437"/>
      <c r="BN48" s="437"/>
      <c r="BO48" s="438"/>
      <c r="BP48" s="426">
        <f>SUM(BP38:BV47)</f>
        <v>0</v>
      </c>
      <c r="BQ48" s="426"/>
      <c r="BR48" s="426"/>
      <c r="BS48" s="426"/>
      <c r="BT48" s="426"/>
      <c r="BU48" s="426"/>
      <c r="BV48" s="427"/>
      <c r="BW48" s="374">
        <f>SUM(BW38:CB47)</f>
        <v>0</v>
      </c>
      <c r="BX48" s="375"/>
      <c r="BY48" s="375"/>
      <c r="BZ48" s="375"/>
      <c r="CA48" s="375"/>
      <c r="CB48" s="376"/>
      <c r="CC48" s="23"/>
      <c r="CD48" s="76"/>
      <c r="CE48" s="76"/>
      <c r="CJ48" s="330"/>
      <c r="CK48" s="334"/>
      <c r="CL48" s="333"/>
      <c r="CM48" s="330"/>
      <c r="CN48" s="330"/>
    </row>
    <row r="49" spans="1:92" ht="14.25" thickBot="1">
      <c r="A49" s="76"/>
      <c r="B49" s="29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59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0"/>
      <c r="AQ49" s="68"/>
      <c r="AR49" s="82"/>
      <c r="AS49" s="79"/>
      <c r="AT49" s="19"/>
      <c r="AU49" s="5"/>
      <c r="AV49" s="5"/>
      <c r="AW49" s="5"/>
      <c r="AX49" s="5"/>
      <c r="AY49" s="5"/>
      <c r="AZ49" s="100"/>
      <c r="BA49" s="101"/>
      <c r="BB49" s="101"/>
      <c r="BC49" s="101"/>
      <c r="BD49" s="101"/>
      <c r="BE49" s="101"/>
      <c r="BF49" s="101"/>
      <c r="BG49" s="101"/>
      <c r="BH49" s="102"/>
      <c r="BI49" s="102"/>
      <c r="BJ49" s="102"/>
      <c r="BK49" s="102"/>
      <c r="BL49" s="102"/>
      <c r="BM49" s="102"/>
      <c r="BN49" s="102"/>
      <c r="BO49" s="102"/>
      <c r="BP49" s="101"/>
      <c r="BQ49" s="101"/>
      <c r="BR49" s="101"/>
      <c r="BS49" s="101"/>
      <c r="BT49" s="101"/>
      <c r="BU49" s="101"/>
      <c r="BV49" s="101"/>
      <c r="BW49" s="103"/>
      <c r="BX49" s="7"/>
      <c r="BY49" s="22"/>
      <c r="BZ49" s="22"/>
      <c r="CA49" s="22"/>
      <c r="CB49" s="22"/>
      <c r="CC49" s="23"/>
      <c r="CD49" s="76"/>
      <c r="CE49" s="76"/>
      <c r="CJ49" s="369">
        <v>9990</v>
      </c>
      <c r="CK49" s="251" t="s">
        <v>97</v>
      </c>
      <c r="CL49" s="253">
        <f>ROUNDUP($CJ$49*0.7,0)</f>
        <v>6993</v>
      </c>
      <c r="CM49" s="253">
        <f>ROUNDUP(($CJ$49-CL49)*0.5,0)</f>
        <v>1499</v>
      </c>
      <c r="CN49" s="253">
        <f>CM49*$BW$48</f>
        <v>0</v>
      </c>
    </row>
    <row r="50" spans="1:92" ht="14.25" thickBot="1">
      <c r="A50" s="76"/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40"/>
      <c r="AM50" s="27"/>
      <c r="AN50" s="41"/>
      <c r="AO50" s="41"/>
      <c r="AP50" s="41"/>
      <c r="AQ50" s="42"/>
      <c r="AR50" s="80"/>
      <c r="AS50" s="79"/>
      <c r="AT50" s="24"/>
      <c r="AU50" s="26"/>
      <c r="AV50" s="26"/>
      <c r="AW50" s="26"/>
      <c r="AX50" s="26"/>
      <c r="AY50" s="26"/>
      <c r="AZ50" s="246"/>
      <c r="BA50" s="247"/>
      <c r="BB50" s="247"/>
      <c r="BC50" s="247"/>
      <c r="BD50" s="247"/>
      <c r="BE50" s="247"/>
      <c r="BF50" s="247"/>
      <c r="BG50" s="247"/>
      <c r="BH50" s="248"/>
      <c r="BI50" s="248"/>
      <c r="BJ50" s="248"/>
      <c r="BK50" s="248"/>
      <c r="BL50" s="248"/>
      <c r="BM50" s="248"/>
      <c r="BN50" s="248"/>
      <c r="BO50" s="248"/>
      <c r="BP50" s="247"/>
      <c r="BQ50" s="247"/>
      <c r="BR50" s="247"/>
      <c r="BS50" s="247"/>
      <c r="BT50" s="247"/>
      <c r="BU50" s="247"/>
      <c r="BV50" s="247"/>
      <c r="BW50" s="249"/>
      <c r="BX50" s="25"/>
      <c r="BY50" s="27"/>
      <c r="BZ50" s="27"/>
      <c r="CA50" s="27"/>
      <c r="CB50" s="27"/>
      <c r="CC50" s="28"/>
      <c r="CD50" s="76"/>
      <c r="CE50" s="76"/>
      <c r="CJ50" s="369"/>
      <c r="CK50" s="251" t="s">
        <v>98</v>
      </c>
      <c r="CL50" s="253">
        <f>ROUNDUP($CJ$49*0.5,0)</f>
        <v>4995</v>
      </c>
      <c r="CM50" s="253">
        <f>ROUNDUP(($CJ$49-CL50)*0.5,0)</f>
        <v>2498</v>
      </c>
      <c r="CN50" s="253">
        <f t="shared" ref="CN50:CN52" si="7">CM50*$BW$48</f>
        <v>0</v>
      </c>
    </row>
    <row r="51" spans="1:92">
      <c r="A51" s="76"/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8"/>
      <c r="AM51" s="76"/>
      <c r="AN51" s="79"/>
      <c r="AO51" s="79"/>
      <c r="AP51" s="79"/>
      <c r="AQ51" s="80"/>
      <c r="AR51" s="80"/>
      <c r="AS51" s="79"/>
      <c r="AT51" s="86"/>
      <c r="AU51" s="80"/>
      <c r="AV51" s="80"/>
      <c r="AW51" s="80"/>
      <c r="AX51" s="80"/>
      <c r="AY51" s="80"/>
      <c r="AZ51" s="80"/>
      <c r="BA51" s="80"/>
      <c r="BB51" s="80"/>
      <c r="BC51" s="80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0"/>
      <c r="BU51" s="80"/>
      <c r="BV51" s="80"/>
      <c r="BW51" s="76"/>
      <c r="BX51" s="76"/>
      <c r="BY51" s="76"/>
      <c r="BZ51" s="76"/>
      <c r="CA51" s="76"/>
      <c r="CB51" s="76"/>
      <c r="CC51" s="76"/>
      <c r="CD51" s="76"/>
      <c r="CJ51" s="369"/>
      <c r="CK51" s="251" t="s">
        <v>99</v>
      </c>
      <c r="CL51" s="253">
        <f>ROUNDUP($CJ$49*0.2,0)</f>
        <v>1998</v>
      </c>
      <c r="CM51" s="253">
        <f>ROUNDUP(($CJ$49-CL51)*0.5,0)</f>
        <v>3996</v>
      </c>
      <c r="CN51" s="253">
        <f t="shared" si="7"/>
        <v>0</v>
      </c>
    </row>
    <row r="52" spans="1:92">
      <c r="AS52" s="80"/>
      <c r="AT52" s="86"/>
      <c r="AU52" s="80"/>
      <c r="AV52" s="80"/>
      <c r="AW52" s="80"/>
      <c r="AX52" s="80"/>
      <c r="AY52" s="80"/>
      <c r="AZ52" s="80"/>
      <c r="BA52" s="80"/>
      <c r="BB52" s="80"/>
      <c r="BC52" s="80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0"/>
      <c r="BU52" s="80"/>
      <c r="BV52" s="80"/>
      <c r="BW52" s="76"/>
      <c r="BX52" s="76"/>
      <c r="BY52" s="76"/>
      <c r="BZ52" s="76"/>
      <c r="CA52" s="76"/>
      <c r="CB52" s="76"/>
      <c r="CC52" s="76"/>
      <c r="CD52" s="76"/>
      <c r="CJ52" s="369"/>
      <c r="CK52" s="251" t="s">
        <v>100</v>
      </c>
      <c r="CL52" s="253">
        <f>ROUNDUP($CJ$49*0,0)</f>
        <v>0</v>
      </c>
      <c r="CM52" s="253">
        <f>ROUNDUP(($CJ$49-CL52)*0.5,0)</f>
        <v>4995</v>
      </c>
      <c r="CN52" s="253">
        <f t="shared" si="7"/>
        <v>0</v>
      </c>
    </row>
    <row r="53" spans="1:92">
      <c r="AS53" s="80"/>
      <c r="AT53" s="86"/>
      <c r="AU53" s="80"/>
      <c r="AV53" s="80"/>
      <c r="AW53" s="80"/>
      <c r="AX53" s="80"/>
      <c r="AY53" s="80"/>
      <c r="AZ53" s="80"/>
      <c r="BA53" s="80"/>
      <c r="BB53" s="80"/>
      <c r="BC53" s="80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0"/>
      <c r="BU53" s="80"/>
      <c r="BV53" s="80"/>
      <c r="BW53" s="76"/>
      <c r="BX53" s="76"/>
      <c r="BY53" s="76"/>
      <c r="BZ53" s="76"/>
      <c r="CA53" s="76"/>
      <c r="CB53" s="76"/>
      <c r="CC53" s="76"/>
      <c r="CD53" s="76"/>
    </row>
    <row r="54" spans="1:92">
      <c r="AS54" s="80"/>
      <c r="AT54" s="86"/>
      <c r="AU54" s="80"/>
      <c r="AV54" s="80"/>
      <c r="AW54" s="80"/>
      <c r="AX54" s="80"/>
      <c r="AY54" s="80"/>
      <c r="AZ54" s="80"/>
      <c r="BA54" s="80"/>
      <c r="BB54" s="80"/>
      <c r="BC54" s="80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0"/>
      <c r="BU54" s="80"/>
      <c r="BV54" s="80"/>
      <c r="BW54" s="76"/>
      <c r="BX54" s="76"/>
      <c r="BY54" s="76"/>
      <c r="BZ54" s="76"/>
      <c r="CA54" s="76"/>
      <c r="CB54" s="76"/>
      <c r="CC54" s="76"/>
      <c r="CD54" s="76"/>
    </row>
    <row r="55" spans="1:92">
      <c r="AT55" s="78"/>
      <c r="AU55" s="80"/>
      <c r="AV55" s="80"/>
      <c r="AW55" s="80"/>
      <c r="AX55" s="80"/>
      <c r="AY55" s="80"/>
      <c r="AZ55" s="80"/>
      <c r="BA55" s="80"/>
      <c r="BB55" s="80"/>
      <c r="BC55" s="80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0"/>
      <c r="BU55" s="80"/>
      <c r="BV55" s="80"/>
      <c r="BW55" s="76"/>
      <c r="BX55" s="76"/>
      <c r="BY55" s="76"/>
      <c r="BZ55" s="76"/>
      <c r="CA55" s="76"/>
      <c r="CB55" s="76"/>
      <c r="CC55" s="76"/>
      <c r="CD55" s="76"/>
    </row>
    <row r="56" spans="1:92"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0"/>
      <c r="BU56" s="80"/>
      <c r="BV56" s="80"/>
      <c r="BW56" s="76"/>
      <c r="BX56" s="76"/>
      <c r="BY56" s="76"/>
      <c r="BZ56" s="76"/>
      <c r="CA56" s="76"/>
      <c r="CB56" s="76"/>
      <c r="CC56" s="76"/>
      <c r="CD56" s="76"/>
    </row>
    <row r="57" spans="1:92"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0"/>
      <c r="BU57" s="80"/>
      <c r="BV57" s="80"/>
      <c r="BW57" s="76"/>
      <c r="BX57" s="76"/>
      <c r="BY57" s="76"/>
      <c r="BZ57" s="76"/>
      <c r="CA57" s="78"/>
      <c r="CB57" s="78"/>
      <c r="CC57" s="78"/>
      <c r="CD57" s="76"/>
    </row>
    <row r="58" spans="1:92">
      <c r="AT58" s="80"/>
      <c r="AU58" s="78"/>
      <c r="AV58" s="80"/>
      <c r="AW58" s="80"/>
      <c r="AX58" s="80"/>
      <c r="AY58" s="80"/>
      <c r="AZ58" s="80"/>
      <c r="BA58" s="80"/>
      <c r="BB58" s="80"/>
      <c r="BC58" s="80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0"/>
      <c r="BU58" s="80"/>
      <c r="BV58" s="80"/>
      <c r="BW58" s="76"/>
      <c r="BX58" s="76"/>
      <c r="BY58" s="78"/>
      <c r="BZ58" s="78"/>
      <c r="CA58" s="78"/>
      <c r="CB58" s="78"/>
      <c r="CC58" s="78"/>
      <c r="CD58" s="76"/>
    </row>
    <row r="59" spans="1:92"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0"/>
      <c r="BU59" s="80"/>
      <c r="BV59" s="80"/>
      <c r="BW59" s="76"/>
      <c r="BX59" s="76"/>
      <c r="BY59" s="78"/>
      <c r="BZ59" s="78"/>
      <c r="CA59" s="78"/>
      <c r="CB59" s="78"/>
      <c r="CC59" s="78"/>
      <c r="CD59" s="76"/>
    </row>
    <row r="60" spans="1:92">
      <c r="AT60" s="80"/>
      <c r="AU60" s="80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0"/>
      <c r="BU60" s="80"/>
      <c r="BV60" s="80"/>
      <c r="BW60" s="76"/>
      <c r="BX60" s="76"/>
      <c r="BY60" s="78"/>
      <c r="BZ60" s="78"/>
      <c r="CA60" s="76"/>
      <c r="CB60" s="76"/>
      <c r="CC60" s="76"/>
      <c r="CD60" s="76"/>
    </row>
    <row r="61" spans="1:92">
      <c r="AT61" s="80"/>
      <c r="AU61" s="80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80"/>
      <c r="BU61" s="80"/>
      <c r="BV61" s="80"/>
      <c r="BW61" s="76"/>
      <c r="BX61" s="76"/>
      <c r="BY61" s="76"/>
      <c r="BZ61" s="76"/>
      <c r="CA61" s="76"/>
      <c r="CB61" s="76"/>
      <c r="CC61" s="76"/>
    </row>
    <row r="62" spans="1:92">
      <c r="AT62" s="80"/>
      <c r="AU62" s="80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80"/>
      <c r="BR62" s="80"/>
      <c r="BS62" s="80"/>
      <c r="BT62" s="80"/>
      <c r="BU62" s="80"/>
      <c r="BV62" s="80"/>
      <c r="BW62" s="76"/>
      <c r="BX62" s="76"/>
      <c r="BY62" s="76"/>
      <c r="BZ62" s="76"/>
      <c r="CA62" s="76"/>
      <c r="CB62" s="76"/>
      <c r="CC62" s="76"/>
    </row>
    <row r="63" spans="1:92">
      <c r="AT63" s="80"/>
      <c r="AU63" s="80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80"/>
      <c r="BR63" s="80"/>
      <c r="BS63" s="80"/>
      <c r="BT63" s="80"/>
      <c r="BU63" s="80"/>
      <c r="BV63" s="80"/>
      <c r="BW63" s="76"/>
      <c r="BX63" s="76"/>
      <c r="BY63" s="76"/>
      <c r="BZ63" s="76"/>
      <c r="CA63" s="76"/>
      <c r="CB63" s="76"/>
      <c r="CC63" s="76"/>
    </row>
    <row r="64" spans="1:92">
      <c r="AT64" s="80"/>
      <c r="AU64" s="80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80"/>
      <c r="BR64" s="80"/>
      <c r="BS64" s="80"/>
      <c r="BT64" s="80"/>
      <c r="BU64" s="80"/>
      <c r="BV64" s="80"/>
      <c r="BW64" s="76"/>
      <c r="BX64" s="76"/>
      <c r="BY64" s="76"/>
      <c r="BZ64" s="76"/>
      <c r="CA64" s="76"/>
      <c r="CB64" s="76"/>
      <c r="CC64" s="76"/>
    </row>
    <row r="65" spans="46:81">
      <c r="AT65" s="80"/>
      <c r="AU65" s="80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80"/>
      <c r="BR65" s="80"/>
      <c r="BS65" s="80"/>
      <c r="BT65" s="80"/>
      <c r="BU65" s="80"/>
      <c r="BV65" s="80"/>
      <c r="BW65" s="76"/>
      <c r="BX65" s="76"/>
      <c r="BY65" s="76"/>
      <c r="BZ65" s="76"/>
      <c r="CA65" s="76"/>
      <c r="CB65" s="76"/>
      <c r="CC65" s="76"/>
    </row>
    <row r="66" spans="46:81"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U66" s="6"/>
      <c r="BV66" s="6"/>
    </row>
    <row r="67" spans="46:81"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</row>
    <row r="68" spans="46:81"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</row>
    <row r="69" spans="46:81"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</row>
    <row r="70" spans="46:81"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</row>
    <row r="71" spans="46:81"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</row>
    <row r="72" spans="46:81"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</row>
    <row r="73" spans="46:81"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</row>
    <row r="74" spans="46:81"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</row>
    <row r="75" spans="46:81"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</row>
    <row r="76" spans="46:81"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</row>
    <row r="77" spans="46:81"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</row>
    <row r="78" spans="46:81"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</row>
    <row r="79" spans="46:81"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</row>
    <row r="80" spans="46:81"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</row>
    <row r="81" spans="59:66">
      <c r="BG81" s="7"/>
      <c r="BH81" s="7"/>
      <c r="BI81" s="7"/>
      <c r="BJ81" s="7"/>
      <c r="BK81" s="7"/>
      <c r="BL81" s="7"/>
      <c r="BM81" s="7"/>
      <c r="BN81" s="7"/>
    </row>
  </sheetData>
  <sheetProtection algorithmName="SHA-512" hashValue="rnQhzjTirZYopWQo9Zz8vgQxJM7jQseQM7ES+xjLjn7SuHGMEKpGkXO4ToxWZjQBaIS5177msxYMhE5H2nIz3A==" saltValue="7yoINWcK2t/HqnE5Ab/75A==" spinCount="100000" sheet="1" objects="1" scenarios="1"/>
  <mergeCells count="159">
    <mergeCell ref="AU36:AX37"/>
    <mergeCell ref="I15:I16"/>
    <mergeCell ref="P23:V23"/>
    <mergeCell ref="P24:V24"/>
    <mergeCell ref="G15:G16"/>
    <mergeCell ref="D11:E11"/>
    <mergeCell ref="K15:K16"/>
    <mergeCell ref="D14:E14"/>
    <mergeCell ref="X15:Y15"/>
    <mergeCell ref="P15:W16"/>
    <mergeCell ref="AX13:AZ15"/>
    <mergeCell ref="M15:M16"/>
    <mergeCell ref="P13:Y14"/>
    <mergeCell ref="P18:V18"/>
    <mergeCell ref="P19:V19"/>
    <mergeCell ref="AB24:AQ24"/>
    <mergeCell ref="AT2:CC6"/>
    <mergeCell ref="AB37:AO37"/>
    <mergeCell ref="AU22:AW22"/>
    <mergeCell ref="AU18:AW19"/>
    <mergeCell ref="AX18:AZ19"/>
    <mergeCell ref="BA18:BC19"/>
    <mergeCell ref="BD18:BF19"/>
    <mergeCell ref="BG18:CB19"/>
    <mergeCell ref="AU16:AW17"/>
    <mergeCell ref="AX16:AZ17"/>
    <mergeCell ref="BA16:BC17"/>
    <mergeCell ref="BD16:BF17"/>
    <mergeCell ref="BG16:CB17"/>
    <mergeCell ref="C3:AP5"/>
    <mergeCell ref="AU8:BC8"/>
    <mergeCell ref="BA29:BC29"/>
    <mergeCell ref="D15:E15"/>
    <mergeCell ref="D12:E13"/>
    <mergeCell ref="P20:V20"/>
    <mergeCell ref="C12:C13"/>
    <mergeCell ref="P21:V21"/>
    <mergeCell ref="P22:V22"/>
    <mergeCell ref="D9:K10"/>
    <mergeCell ref="P17:V17"/>
    <mergeCell ref="AU43:AX43"/>
    <mergeCell ref="AU41:AX41"/>
    <mergeCell ref="AU20:AW21"/>
    <mergeCell ref="AU32:CB34"/>
    <mergeCell ref="AU28:AZ28"/>
    <mergeCell ref="AZ36:AZ37"/>
    <mergeCell ref="BI30:BK30"/>
    <mergeCell ref="AU44:AX44"/>
    <mergeCell ref="BH36:BV36"/>
    <mergeCell ref="BG22:CB22"/>
    <mergeCell ref="BA22:BC22"/>
    <mergeCell ref="AU27:AZ27"/>
    <mergeCell ref="BD29:BH29"/>
    <mergeCell ref="BL30:BM30"/>
    <mergeCell ref="BW38:CB38"/>
    <mergeCell ref="BW39:CB39"/>
    <mergeCell ref="BW40:CB40"/>
    <mergeCell ref="BW36:CB36"/>
    <mergeCell ref="BW37:CB37"/>
    <mergeCell ref="AX22:AZ22"/>
    <mergeCell ref="BA27:BM27"/>
    <mergeCell ref="AU40:AX40"/>
    <mergeCell ref="AU30:AZ30"/>
    <mergeCell ref="AU38:AX38"/>
    <mergeCell ref="AB43:AH44"/>
    <mergeCell ref="AB45:AH46"/>
    <mergeCell ref="AB47:AH48"/>
    <mergeCell ref="AI41:AO42"/>
    <mergeCell ref="AI43:AO44"/>
    <mergeCell ref="P25:V25"/>
    <mergeCell ref="P26:V26"/>
    <mergeCell ref="AB38:AO39"/>
    <mergeCell ref="AB41:AH42"/>
    <mergeCell ref="P27:V27"/>
    <mergeCell ref="C30:AP31"/>
    <mergeCell ref="AI45:AO46"/>
    <mergeCell ref="AI47:AO48"/>
    <mergeCell ref="BA48:BG48"/>
    <mergeCell ref="BP48:BV48"/>
    <mergeCell ref="BP37:BV37"/>
    <mergeCell ref="BH37:BO37"/>
    <mergeCell ref="BH38:BO38"/>
    <mergeCell ref="BH39:BO39"/>
    <mergeCell ref="BH40:BO40"/>
    <mergeCell ref="BH41:BO41"/>
    <mergeCell ref="BH44:BO44"/>
    <mergeCell ref="BH45:BO45"/>
    <mergeCell ref="BH48:BO48"/>
    <mergeCell ref="BP38:BV38"/>
    <mergeCell ref="BP39:BV39"/>
    <mergeCell ref="BP40:BV40"/>
    <mergeCell ref="BA41:BG41"/>
    <mergeCell ref="BA42:BG42"/>
    <mergeCell ref="BA43:BG43"/>
    <mergeCell ref="BA39:BG39"/>
    <mergeCell ref="BA40:BG40"/>
    <mergeCell ref="BP44:BV44"/>
    <mergeCell ref="BA44:BG44"/>
    <mergeCell ref="BA36:BG37"/>
    <mergeCell ref="BA38:BF38"/>
    <mergeCell ref="BA45:BG45"/>
    <mergeCell ref="BD22:BF22"/>
    <mergeCell ref="AU11:BA11"/>
    <mergeCell ref="AU12:BA12"/>
    <mergeCell ref="AU29:AZ29"/>
    <mergeCell ref="BG20:CB21"/>
    <mergeCell ref="BD20:BF21"/>
    <mergeCell ref="BA20:BC21"/>
    <mergeCell ref="AX20:AZ21"/>
    <mergeCell ref="BQ28:CB30"/>
    <mergeCell ref="BN27:CB27"/>
    <mergeCell ref="BN28:BP28"/>
    <mergeCell ref="BN29:BP29"/>
    <mergeCell ref="BN30:BP30"/>
    <mergeCell ref="BA30:BC30"/>
    <mergeCell ref="BD30:BH30"/>
    <mergeCell ref="BI29:BK29"/>
    <mergeCell ref="BI28:BM28"/>
    <mergeCell ref="BA28:BD28"/>
    <mergeCell ref="BE28:BH28"/>
    <mergeCell ref="BL29:BM29"/>
    <mergeCell ref="AU13:AW14"/>
    <mergeCell ref="CJ49:CJ52"/>
    <mergeCell ref="BW45:CB45"/>
    <mergeCell ref="BW46:CB46"/>
    <mergeCell ref="BW47:CB47"/>
    <mergeCell ref="BW48:CB48"/>
    <mergeCell ref="CJ40:CJ43"/>
    <mergeCell ref="CM37:CM39"/>
    <mergeCell ref="CK37:CK39"/>
    <mergeCell ref="CJ37:CJ39"/>
    <mergeCell ref="BW41:CB41"/>
    <mergeCell ref="BW42:CB42"/>
    <mergeCell ref="BW43:CB43"/>
    <mergeCell ref="BW44:CB44"/>
    <mergeCell ref="AB8:AE8"/>
    <mergeCell ref="AB22:AI22"/>
    <mergeCell ref="CN37:CN39"/>
    <mergeCell ref="CL37:CL39"/>
    <mergeCell ref="CJ46:CJ48"/>
    <mergeCell ref="CK46:CK48"/>
    <mergeCell ref="CL46:CL48"/>
    <mergeCell ref="CM46:CM48"/>
    <mergeCell ref="CN46:CN48"/>
    <mergeCell ref="BA13:BC15"/>
    <mergeCell ref="BD13:BF15"/>
    <mergeCell ref="BG13:CB15"/>
    <mergeCell ref="BA47:BG47"/>
    <mergeCell ref="BP45:BV45"/>
    <mergeCell ref="BA46:BG46"/>
    <mergeCell ref="BP46:BV46"/>
    <mergeCell ref="BP47:BV47"/>
    <mergeCell ref="BH42:BO42"/>
    <mergeCell ref="BH43:BO43"/>
    <mergeCell ref="BH46:BO46"/>
    <mergeCell ref="BH47:BO47"/>
    <mergeCell ref="BP41:BV41"/>
    <mergeCell ref="BP42:BV42"/>
    <mergeCell ref="BP43:BV43"/>
  </mergeCells>
  <phoneticPr fontId="5"/>
  <dataValidations count="2">
    <dataValidation type="whole" operator="greaterThan" allowBlank="1" showInputMessage="1" showErrorMessage="1" sqref="D12" xr:uid="{00000000-0002-0000-0000-000000000000}">
      <formula1>0</formula1>
    </dataValidation>
    <dataValidation type="whole" operator="greaterThan" allowBlank="1" showInputMessage="1" showErrorMessage="1" sqref="Q19:V26 P17:P26" xr:uid="{00000000-0002-0000-0000-000001000000}">
      <formula1>-1</formula1>
    </dataValidation>
  </dataValidations>
  <printOptions headings="1"/>
  <pageMargins left="0.7" right="0.7" top="0.75" bottom="0.75" header="0.3" footer="0.3"/>
  <pageSetup paperSize="8" scale="61" orientation="landscape" r:id="rId1"/>
  <colBreaks count="1" manualBreakCount="1">
    <brk id="45" max="50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DAEFD-3A3B-4457-947D-19D52E2E5048}">
  <sheetPr>
    <pageSetUpPr fitToPage="1"/>
  </sheetPr>
  <dimension ref="A1:AH48"/>
  <sheetViews>
    <sheetView view="pageBreakPreview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'Ｒ７年度'!D25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IF('Ｒ７年度'!K25&gt;=65,0,'Ｒ７年度'!E25)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IF('Ｒ７年度'!K25&lt;65,0,'Ｒ７年度'!E25)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IF(ISNUMBER('Ｒ７年度'!G25),'Ｒ７年度'!G25,0)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CB4A-475D-4BCD-878A-3D20937FE626}">
  <sheetPr>
    <pageSetUpPr fitToPage="1"/>
  </sheetPr>
  <dimension ref="A1:AH48"/>
  <sheetViews>
    <sheetView view="pageBreakPreview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'Ｒ７年度'!D26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IF('Ｒ７年度'!K26&gt;=65,0,'Ｒ７年度'!E26)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IF('Ｒ７年度'!K26&lt;65,0,'Ｒ７年度'!E26)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IF(ISNUMBER('Ｒ７年度'!G26),'Ｒ７年度'!G26,0)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BEF98-A799-4851-AD32-DC1D40C9066D}">
  <sheetPr codeName="Sheet2">
    <pageSetUpPr fitToPage="1"/>
  </sheetPr>
  <dimension ref="A1:AH48"/>
  <sheetViews>
    <sheetView view="pageBreakPreview" topLeftCell="M1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183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'Ｒ７年度'!D17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IF('Ｒ７年度'!K17&gt;=65,0,'Ｒ７年度'!E17)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IF('Ｒ７年度'!K17&lt;65,0,'Ｒ７年度'!E17)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35" t="s">
        <v>79</v>
      </c>
      <c r="AB44" s="623">
        <f>IF(ISNUMBER('Ｒ７年度'!G17),'Ｒ７年度'!G17,0)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3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38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K6:K16"/>
    <mergeCell ref="C5:F5"/>
    <mergeCell ref="Z3:Z5"/>
    <mergeCell ref="C23:F23"/>
    <mergeCell ref="H23:K23"/>
    <mergeCell ref="H3:K4"/>
    <mergeCell ref="H5:K5"/>
    <mergeCell ref="W5:X5"/>
    <mergeCell ref="W6:X6"/>
    <mergeCell ref="W4:X4"/>
    <mergeCell ref="W7:X7"/>
    <mergeCell ref="H6:J16"/>
    <mergeCell ref="H36:J41"/>
    <mergeCell ref="K36:K41"/>
    <mergeCell ref="H21:K22"/>
    <mergeCell ref="H24:J29"/>
    <mergeCell ref="K24:K29"/>
    <mergeCell ref="C35:F35"/>
    <mergeCell ref="H35:K35"/>
    <mergeCell ref="H33:K34"/>
    <mergeCell ref="V22:X22"/>
    <mergeCell ref="V24:W24"/>
    <mergeCell ref="V25:W25"/>
    <mergeCell ref="V26:W26"/>
    <mergeCell ref="L33:M34"/>
    <mergeCell ref="N33:S34"/>
    <mergeCell ref="V34:X34"/>
    <mergeCell ref="L21:M22"/>
    <mergeCell ref="N21:S22"/>
    <mergeCell ref="AA3:AC5"/>
    <mergeCell ref="Z6:Z10"/>
    <mergeCell ref="AA6:AC10"/>
    <mergeCell ref="W23:X23"/>
    <mergeCell ref="W47:Y47"/>
    <mergeCell ref="AB44:AC44"/>
    <mergeCell ref="AB46:AC46"/>
    <mergeCell ref="W45:Y45"/>
    <mergeCell ref="AB45:AC45"/>
    <mergeCell ref="V36:W36"/>
    <mergeCell ref="V37:W37"/>
    <mergeCell ref="V38:W38"/>
    <mergeCell ref="Z33:Z35"/>
    <mergeCell ref="Z36:Z40"/>
    <mergeCell ref="Z24:Z28"/>
    <mergeCell ref="Z21:Z23"/>
    <mergeCell ref="AG36:AH36"/>
    <mergeCell ref="W44:Y44"/>
    <mergeCell ref="AA33:AC35"/>
    <mergeCell ref="AA36:AC40"/>
    <mergeCell ref="W46:Y46"/>
    <mergeCell ref="W35:X35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B152-D441-4635-A990-8A67C3630993}">
  <sheetPr>
    <pageSetUpPr fitToPage="1"/>
  </sheetPr>
  <dimension ref="A1:AH48"/>
  <sheetViews>
    <sheetView view="pageBreakPreview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'Ｒ７年度'!D18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IF('Ｒ７年度'!K18&gt;=65,0,'Ｒ７年度'!E18)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IF('Ｒ７年度'!K18&lt;65,0,'Ｒ７年度'!E18)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IF(ISNUMBER('Ｒ７年度'!G18),'Ｒ７年度'!G18,0)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1CD8-5CAB-47E4-8A0E-B6AA8865A588}">
  <sheetPr>
    <pageSetUpPr fitToPage="1"/>
  </sheetPr>
  <dimension ref="A1:AH48"/>
  <sheetViews>
    <sheetView view="pageBreakPreview" topLeftCell="A25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'Ｒ７年度'!D19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IF('Ｒ７年度'!K19&gt;=65,0,'Ｒ７年度'!E19)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IF('Ｒ７年度'!K19&lt;65,0,'Ｒ７年度'!E19)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IF(ISNUMBER('Ｒ７年度'!G19),'Ｒ７年度'!G19,0)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F9473-E9DB-4BE5-843A-D7A8DFC23746}">
  <sheetPr>
    <pageSetUpPr fitToPage="1"/>
  </sheetPr>
  <dimension ref="A1:AH48"/>
  <sheetViews>
    <sheetView view="pageBreakPreview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'Ｒ７年度'!D20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IF('Ｒ７年度'!K20&gt;=65,0,'Ｒ７年度'!E20)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IF('Ｒ７年度'!K20&lt;65,0,'Ｒ７年度'!E20)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IF(ISNUMBER('Ｒ７年度'!G20),'Ｒ７年度'!G20,0)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3E19-2E77-43A0-9059-316519276594}">
  <sheetPr>
    <pageSetUpPr fitToPage="1"/>
  </sheetPr>
  <dimension ref="A1:AH48"/>
  <sheetViews>
    <sheetView view="pageBreakPreview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'Ｒ７年度'!D21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IF('Ｒ７年度'!K21&gt;=65,0,'Ｒ７年度'!E21)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IF('Ｒ７年度'!K21&lt;65,0,'Ｒ７年度'!E21)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IF(ISNUMBER('Ｒ７年度'!G21),'Ｒ７年度'!G21,0)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D69D-1B57-47BA-A756-8DE013315CB8}">
  <sheetPr>
    <pageSetUpPr fitToPage="1"/>
  </sheetPr>
  <dimension ref="A1:AH48"/>
  <sheetViews>
    <sheetView view="pageBreakPreview" topLeftCell="A3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'Ｒ７年度'!D22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IF('Ｒ７年度'!K22&gt;=65,0,'Ｒ７年度'!E22)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IF('Ｒ７年度'!K22&lt;65,0,'Ｒ７年度'!E22)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IF(ISNUMBER('Ｒ７年度'!G22),'Ｒ７年度'!G22,0)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73D4-7048-4759-A1EE-1F841435DE61}">
  <sheetPr>
    <pageSetUpPr fitToPage="1"/>
  </sheetPr>
  <dimension ref="A1:AH48"/>
  <sheetViews>
    <sheetView view="pageBreakPreview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'Ｒ７年度'!D23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IF('Ｒ７年度'!K23&gt;=65,0,'Ｒ７年度'!E23)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IF('Ｒ７年度'!K23&lt;65,0,'Ｒ７年度'!E23)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IF(ISNUMBER('Ｒ７年度'!G23),'Ｒ７年度'!G23,0)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C7C0-952E-4EA1-A554-B65F7EE792EC}">
  <sheetPr>
    <pageSetUpPr fitToPage="1"/>
  </sheetPr>
  <dimension ref="A1:AH48"/>
  <sheetViews>
    <sheetView view="pageBreakPreview" topLeftCell="A10" zoomScale="55" zoomScaleNormal="75" zoomScaleSheetLayoutView="55" workbookViewId="0">
      <selection activeCell="P26" sqref="P26"/>
    </sheetView>
  </sheetViews>
  <sheetFormatPr defaultColWidth="7.375" defaultRowHeight="13.5"/>
  <cols>
    <col min="1" max="1" width="7.375" style="110"/>
    <col min="2" max="2" width="4.875" style="110" customWidth="1"/>
    <col min="3" max="3" width="17.75" style="110" customWidth="1"/>
    <col min="4" max="4" width="11.375" style="110" customWidth="1"/>
    <col min="5" max="5" width="17.75" style="110" customWidth="1"/>
    <col min="6" max="6" width="11.375" style="110" customWidth="1"/>
    <col min="7" max="7" width="3.25" style="110" customWidth="1"/>
    <col min="8" max="10" width="9.625" style="110" customWidth="1"/>
    <col min="11" max="11" width="7.375" style="110" customWidth="1"/>
    <col min="12" max="16" width="17.75" style="110" customWidth="1"/>
    <col min="17" max="17" width="21.5" style="110" customWidth="1"/>
    <col min="18" max="18" width="17.75" style="110" customWidth="1"/>
    <col min="19" max="19" width="17.5" style="110" customWidth="1"/>
    <col min="20" max="20" width="4.25" style="110" customWidth="1"/>
    <col min="21" max="21" width="10.75" style="110" customWidth="1"/>
    <col min="22" max="22" width="18.875" style="110" customWidth="1"/>
    <col min="23" max="23" width="7.375" style="110" customWidth="1"/>
    <col min="24" max="24" width="9.25" style="110" customWidth="1"/>
    <col min="25" max="25" width="6.125" style="110" customWidth="1"/>
    <col min="26" max="26" width="38" style="110" customWidth="1"/>
    <col min="27" max="28" width="9.625" style="110" customWidth="1"/>
    <col min="29" max="29" width="15.5" style="110" customWidth="1"/>
    <col min="30" max="30" width="7.375" style="110" customWidth="1"/>
    <col min="31" max="31" width="26.625" style="110" customWidth="1"/>
    <col min="32" max="32" width="4" style="110" customWidth="1"/>
    <col min="33" max="33" width="26.375" style="110" customWidth="1"/>
    <col min="34" max="34" width="17.75" style="110" customWidth="1"/>
    <col min="35" max="16384" width="7.375" style="110"/>
  </cols>
  <sheetData>
    <row r="1" spans="1:32" ht="6.75" customHeight="1" thickBot="1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/>
      <c r="U1" s="112"/>
      <c r="V1" s="112"/>
      <c r="W1" s="112"/>
      <c r="X1" s="112"/>
      <c r="Y1" s="112"/>
      <c r="Z1" s="114"/>
      <c r="AA1" s="114"/>
      <c r="AB1" s="114"/>
      <c r="AC1" s="114"/>
      <c r="AD1" s="114"/>
      <c r="AE1" s="228"/>
      <c r="AF1" s="228"/>
    </row>
    <row r="2" spans="1:32" ht="34.5" customHeight="1">
      <c r="B2" s="307" t="s">
        <v>50</v>
      </c>
      <c r="C2" s="131"/>
      <c r="D2" s="131"/>
      <c r="E2" s="131"/>
      <c r="F2" s="131"/>
      <c r="G2" s="131"/>
      <c r="H2" s="131"/>
      <c r="I2" s="131"/>
      <c r="J2" s="131"/>
      <c r="K2" s="131"/>
      <c r="L2" s="176"/>
      <c r="M2" s="176"/>
      <c r="N2" s="176"/>
      <c r="O2" s="176"/>
      <c r="P2" s="176"/>
      <c r="Q2" s="176"/>
      <c r="R2" s="176"/>
      <c r="S2" s="176"/>
      <c r="T2" s="133"/>
      <c r="U2" s="133"/>
      <c r="V2" s="133"/>
      <c r="W2" s="133"/>
      <c r="X2" s="133"/>
      <c r="Y2" s="133"/>
      <c r="Z2" s="176"/>
      <c r="AA2" s="176"/>
      <c r="AB2" s="176"/>
      <c r="AC2" s="176"/>
      <c r="AD2" s="184"/>
      <c r="AE2" s="228"/>
      <c r="AF2" s="229"/>
    </row>
    <row r="3" spans="1:32" ht="13.5" customHeight="1">
      <c r="B3" s="132"/>
      <c r="C3" s="133"/>
      <c r="D3" s="133"/>
      <c r="E3" s="133"/>
      <c r="F3" s="133"/>
      <c r="G3" s="133"/>
      <c r="H3" s="669" t="s">
        <v>59</v>
      </c>
      <c r="I3" s="670"/>
      <c r="J3" s="670"/>
      <c r="K3" s="671"/>
      <c r="L3" s="239"/>
      <c r="M3" s="299"/>
      <c r="N3" s="299"/>
      <c r="O3" s="299"/>
      <c r="P3" s="299"/>
      <c r="Q3" s="163"/>
      <c r="R3" s="163"/>
      <c r="S3" s="163"/>
      <c r="T3" s="163"/>
      <c r="U3" s="163"/>
      <c r="V3" s="239"/>
      <c r="W3" s="239"/>
      <c r="X3" s="239"/>
      <c r="Y3" s="163"/>
      <c r="Z3" s="609" t="s">
        <v>127</v>
      </c>
      <c r="AA3" s="609" t="s">
        <v>128</v>
      </c>
      <c r="AB3" s="610"/>
      <c r="AC3" s="610"/>
      <c r="AD3" s="174"/>
      <c r="AE3" s="228"/>
      <c r="AF3" s="229"/>
    </row>
    <row r="4" spans="1:32" ht="21.95" customHeight="1">
      <c r="B4" s="132"/>
      <c r="C4" s="133"/>
      <c r="D4" s="133"/>
      <c r="E4" s="133"/>
      <c r="F4" s="133"/>
      <c r="G4" s="133"/>
      <c r="H4" s="672"/>
      <c r="I4" s="673"/>
      <c r="J4" s="673"/>
      <c r="K4" s="674"/>
      <c r="L4" s="316" t="s">
        <v>134</v>
      </c>
      <c r="M4" s="300"/>
      <c r="N4" s="300"/>
      <c r="O4" s="300"/>
      <c r="P4" s="300"/>
      <c r="Q4" s="163"/>
      <c r="R4" s="239"/>
      <c r="S4" s="163"/>
      <c r="T4" s="163"/>
      <c r="U4" s="163"/>
      <c r="V4" s="298" t="s">
        <v>87</v>
      </c>
      <c r="W4" s="682" t="s">
        <v>88</v>
      </c>
      <c r="X4" s="682"/>
      <c r="Y4" s="163"/>
      <c r="Z4" s="610"/>
      <c r="AA4" s="610"/>
      <c r="AB4" s="610"/>
      <c r="AC4" s="610"/>
      <c r="AD4" s="174"/>
      <c r="AE4" s="228"/>
      <c r="AF4" s="229"/>
    </row>
    <row r="5" spans="1:32" ht="51" customHeight="1">
      <c r="B5" s="132"/>
      <c r="C5" s="662" t="s">
        <v>49</v>
      </c>
      <c r="D5" s="663"/>
      <c r="E5" s="663"/>
      <c r="F5" s="664"/>
      <c r="G5" s="134"/>
      <c r="H5" s="675" t="s">
        <v>71</v>
      </c>
      <c r="I5" s="676"/>
      <c r="J5" s="676"/>
      <c r="K5" s="677"/>
      <c r="L5" s="279" t="s">
        <v>122</v>
      </c>
      <c r="M5" s="280" t="s">
        <v>48</v>
      </c>
      <c r="N5" s="317" t="s">
        <v>130</v>
      </c>
      <c r="O5" s="318" t="s">
        <v>131</v>
      </c>
      <c r="P5" s="277" t="s">
        <v>132</v>
      </c>
      <c r="Q5" s="226" t="s">
        <v>135</v>
      </c>
      <c r="R5" s="239"/>
      <c r="S5" s="274" t="s">
        <v>47</v>
      </c>
      <c r="T5" s="177"/>
      <c r="U5" s="296" t="s">
        <v>70</v>
      </c>
      <c r="V5" s="178">
        <f>MAX(((V6+V7)-100000),0)</f>
        <v>0</v>
      </c>
      <c r="W5" s="678">
        <f>MAX(((W6+W7)-100000),0)</f>
        <v>0</v>
      </c>
      <c r="X5" s="679"/>
      <c r="Y5" s="177"/>
      <c r="Z5" s="610"/>
      <c r="AA5" s="610"/>
      <c r="AB5" s="610"/>
      <c r="AC5" s="610"/>
      <c r="AD5" s="174"/>
      <c r="AE5" s="228"/>
      <c r="AF5" s="229"/>
    </row>
    <row r="6" spans="1:32" ht="18.75" customHeight="1">
      <c r="A6" s="110" t="s">
        <v>73</v>
      </c>
      <c r="B6" s="132"/>
      <c r="C6" s="303">
        <v>550999</v>
      </c>
      <c r="D6" s="304" t="s">
        <v>41</v>
      </c>
      <c r="E6" s="305"/>
      <c r="F6" s="304"/>
      <c r="G6" s="134"/>
      <c r="H6" s="683">
        <f>'Ｒ７年度'!D24</f>
        <v>0</v>
      </c>
      <c r="I6" s="683"/>
      <c r="J6" s="683"/>
      <c r="K6" s="661" t="s">
        <v>42</v>
      </c>
      <c r="L6" s="281"/>
      <c r="M6" s="290">
        <v>0</v>
      </c>
      <c r="N6" s="281"/>
      <c r="O6" s="281"/>
      <c r="P6" s="281"/>
      <c r="Q6" s="282">
        <v>0</v>
      </c>
      <c r="R6" s="302"/>
      <c r="S6" s="314">
        <f>IF($H$6&lt;=C6,Q6," ")</f>
        <v>0</v>
      </c>
      <c r="T6" s="179"/>
      <c r="U6" s="297" t="s">
        <v>68</v>
      </c>
      <c r="V6" s="294">
        <f>IFERROR(MIN((SUM(S6:S16)),100000),0)</f>
        <v>0</v>
      </c>
      <c r="W6" s="680">
        <f>IFERROR(MIN((SUM(S6:S16)),100000),0)</f>
        <v>0</v>
      </c>
      <c r="X6" s="681"/>
      <c r="Y6" s="179"/>
      <c r="Z6" s="611">
        <f>IFERROR(SUM(S6:S16),0)</f>
        <v>0</v>
      </c>
      <c r="AA6" s="614">
        <f>MAX(Z6-V5,0)</f>
        <v>0</v>
      </c>
      <c r="AB6" s="615"/>
      <c r="AC6" s="616"/>
      <c r="AD6" s="174"/>
      <c r="AE6" s="228"/>
      <c r="AF6" s="229"/>
    </row>
    <row r="7" spans="1:32" ht="18.75" customHeight="1">
      <c r="B7" s="132"/>
      <c r="C7" s="303">
        <v>551000</v>
      </c>
      <c r="D7" s="306" t="s">
        <v>93</v>
      </c>
      <c r="E7" s="303">
        <v>1618999</v>
      </c>
      <c r="F7" s="306" t="s">
        <v>41</v>
      </c>
      <c r="G7" s="134"/>
      <c r="H7" s="683"/>
      <c r="I7" s="683"/>
      <c r="J7" s="683"/>
      <c r="K7" s="661"/>
      <c r="L7" s="281"/>
      <c r="M7" s="290">
        <v>0</v>
      </c>
      <c r="N7" s="281"/>
      <c r="O7" s="283">
        <v>550000</v>
      </c>
      <c r="P7" s="284">
        <f>O7</f>
        <v>550000</v>
      </c>
      <c r="Q7" s="285">
        <f>H6-P7</f>
        <v>-550000</v>
      </c>
      <c r="R7" s="302"/>
      <c r="S7" s="314" t="str">
        <f t="shared" ref="S7:S15" si="0">IF($H$6&gt;E7," ",(IF($H$6&gt;=C7,Q7," ")))</f>
        <v xml:space="preserve"> </v>
      </c>
      <c r="T7" s="180"/>
      <c r="U7" s="297" t="s">
        <v>69</v>
      </c>
      <c r="V7" s="295">
        <f>IFERROR(MIN((Z24+Z36),100000),0)</f>
        <v>0</v>
      </c>
      <c r="W7" s="680">
        <f>IFERROR(MIN((Z24+AA36),100000),0)</f>
        <v>0</v>
      </c>
      <c r="X7" s="681"/>
      <c r="Y7" s="182"/>
      <c r="Z7" s="612"/>
      <c r="AA7" s="617"/>
      <c r="AB7" s="618"/>
      <c r="AC7" s="619"/>
      <c r="AD7" s="174"/>
      <c r="AE7" s="228"/>
      <c r="AF7" s="229"/>
    </row>
    <row r="8" spans="1:32" ht="18.75" customHeight="1">
      <c r="B8" s="132"/>
      <c r="C8" s="303">
        <v>1619000</v>
      </c>
      <c r="D8" s="306" t="s">
        <v>93</v>
      </c>
      <c r="E8" s="303">
        <v>1619999</v>
      </c>
      <c r="F8" s="306" t="s">
        <v>41</v>
      </c>
      <c r="G8" s="134"/>
      <c r="H8" s="683"/>
      <c r="I8" s="683"/>
      <c r="J8" s="683"/>
      <c r="K8" s="661"/>
      <c r="L8" s="281"/>
      <c r="M8" s="290">
        <v>0</v>
      </c>
      <c r="N8" s="281"/>
      <c r="O8" s="286"/>
      <c r="P8" s="281"/>
      <c r="Q8" s="285">
        <v>1069000</v>
      </c>
      <c r="R8" s="302"/>
      <c r="S8" s="314" t="str">
        <f t="shared" si="0"/>
        <v xml:space="preserve"> </v>
      </c>
      <c r="T8" s="180"/>
      <c r="U8" s="133"/>
      <c r="V8" s="181"/>
      <c r="W8" s="181"/>
      <c r="X8" s="182"/>
      <c r="Y8" s="182"/>
      <c r="Z8" s="612"/>
      <c r="AA8" s="617"/>
      <c r="AB8" s="618"/>
      <c r="AC8" s="619"/>
      <c r="AD8" s="174"/>
      <c r="AE8" s="228"/>
      <c r="AF8" s="229"/>
    </row>
    <row r="9" spans="1:32" ht="18.75" customHeight="1">
      <c r="B9" s="132"/>
      <c r="C9" s="303">
        <v>1620000</v>
      </c>
      <c r="D9" s="306" t="s">
        <v>93</v>
      </c>
      <c r="E9" s="303">
        <v>1621999</v>
      </c>
      <c r="F9" s="306" t="s">
        <v>41</v>
      </c>
      <c r="G9" s="134"/>
      <c r="H9" s="683"/>
      <c r="I9" s="683"/>
      <c r="J9" s="683"/>
      <c r="K9" s="661"/>
      <c r="L9" s="281"/>
      <c r="M9" s="290">
        <v>0</v>
      </c>
      <c r="N9" s="281"/>
      <c r="O9" s="286"/>
      <c r="P9" s="281"/>
      <c r="Q9" s="285">
        <v>1070000</v>
      </c>
      <c r="R9" s="302"/>
      <c r="S9" s="314" t="str">
        <f t="shared" si="0"/>
        <v xml:space="preserve"> </v>
      </c>
      <c r="T9" s="180"/>
      <c r="U9" s="133"/>
      <c r="V9" s="181"/>
      <c r="W9" s="181"/>
      <c r="X9" s="182"/>
      <c r="Y9" s="182"/>
      <c r="Z9" s="612"/>
      <c r="AA9" s="617"/>
      <c r="AB9" s="618"/>
      <c r="AC9" s="619"/>
      <c r="AD9" s="174"/>
      <c r="AE9" s="228"/>
      <c r="AF9" s="229"/>
    </row>
    <row r="10" spans="1:32" ht="18.75" customHeight="1">
      <c r="B10" s="132"/>
      <c r="C10" s="303">
        <v>1622000</v>
      </c>
      <c r="D10" s="306" t="s">
        <v>93</v>
      </c>
      <c r="E10" s="303">
        <v>1623999</v>
      </c>
      <c r="F10" s="306" t="s">
        <v>41</v>
      </c>
      <c r="G10" s="134"/>
      <c r="H10" s="683"/>
      <c r="I10" s="683"/>
      <c r="J10" s="683"/>
      <c r="K10" s="661"/>
      <c r="L10" s="281"/>
      <c r="M10" s="290">
        <v>0</v>
      </c>
      <c r="N10" s="281"/>
      <c r="O10" s="286"/>
      <c r="P10" s="281"/>
      <c r="Q10" s="285">
        <v>1072000</v>
      </c>
      <c r="R10" s="302"/>
      <c r="S10" s="314" t="str">
        <f t="shared" si="0"/>
        <v xml:space="preserve"> </v>
      </c>
      <c r="T10" s="180"/>
      <c r="U10" s="133"/>
      <c r="V10" s="181"/>
      <c r="W10" s="181"/>
      <c r="X10" s="182"/>
      <c r="Y10" s="182"/>
      <c r="Z10" s="613"/>
      <c r="AA10" s="620"/>
      <c r="AB10" s="621"/>
      <c r="AC10" s="622"/>
      <c r="AD10" s="174"/>
      <c r="AE10" s="228"/>
      <c r="AF10" s="229"/>
    </row>
    <row r="11" spans="1:32" ht="18.75" customHeight="1">
      <c r="B11" s="132"/>
      <c r="C11" s="303">
        <v>1624000</v>
      </c>
      <c r="D11" s="306" t="s">
        <v>93</v>
      </c>
      <c r="E11" s="303">
        <v>1627999</v>
      </c>
      <c r="F11" s="306" t="s">
        <v>41</v>
      </c>
      <c r="G11" s="134"/>
      <c r="H11" s="683"/>
      <c r="I11" s="683"/>
      <c r="J11" s="683"/>
      <c r="K11" s="661"/>
      <c r="L11" s="287"/>
      <c r="M11" s="290">
        <v>0</v>
      </c>
      <c r="N11" s="281"/>
      <c r="O11" s="278"/>
      <c r="P11" s="288"/>
      <c r="Q11" s="289">
        <v>1074000</v>
      </c>
      <c r="R11" s="302"/>
      <c r="S11" s="314" t="str">
        <f t="shared" si="0"/>
        <v xml:space="preserve"> </v>
      </c>
      <c r="T11" s="180"/>
      <c r="U11" s="133"/>
      <c r="V11" s="181"/>
      <c r="W11" s="181"/>
      <c r="X11" s="182"/>
      <c r="Y11" s="182"/>
      <c r="Z11" s="301"/>
      <c r="AA11" s="301"/>
      <c r="AB11" s="301"/>
      <c r="AC11" s="301"/>
      <c r="AD11" s="174"/>
      <c r="AE11" s="228"/>
      <c r="AF11" s="229"/>
    </row>
    <row r="12" spans="1:32" ht="18.75" customHeight="1">
      <c r="B12" s="132"/>
      <c r="C12" s="303">
        <v>1628000</v>
      </c>
      <c r="D12" s="306" t="s">
        <v>93</v>
      </c>
      <c r="E12" s="303">
        <v>1799999</v>
      </c>
      <c r="F12" s="306" t="s">
        <v>41</v>
      </c>
      <c r="G12" s="134"/>
      <c r="H12" s="683"/>
      <c r="I12" s="683"/>
      <c r="J12" s="683"/>
      <c r="K12" s="661"/>
      <c r="L12" s="289">
        <f>ROUNDDOWN(H6/4,-3)</f>
        <v>0</v>
      </c>
      <c r="M12" s="290">
        <v>0.4</v>
      </c>
      <c r="N12" s="289">
        <f>ROUNDDOWN(H6/4,-3)*4*M12</f>
        <v>0</v>
      </c>
      <c r="O12" s="291">
        <v>-100000</v>
      </c>
      <c r="P12" s="292">
        <f>SUM(N12:O12)</f>
        <v>-100000</v>
      </c>
      <c r="Q12" s="289">
        <f>L12*4*(1-M12)-O12</f>
        <v>100000</v>
      </c>
      <c r="R12" s="302"/>
      <c r="S12" s="314" t="str">
        <f t="shared" si="0"/>
        <v xml:space="preserve"> </v>
      </c>
      <c r="T12" s="180"/>
      <c r="U12" s="133"/>
      <c r="V12" s="181"/>
      <c r="W12" s="181"/>
      <c r="X12" s="182"/>
      <c r="Y12" s="182"/>
      <c r="Z12" s="301"/>
      <c r="AA12" s="301"/>
      <c r="AB12" s="301"/>
      <c r="AC12" s="301"/>
      <c r="AD12" s="174"/>
      <c r="AE12" s="228"/>
      <c r="AF12" s="229"/>
    </row>
    <row r="13" spans="1:32" ht="18.75" customHeight="1">
      <c r="B13" s="132"/>
      <c r="C13" s="303">
        <v>1800000</v>
      </c>
      <c r="D13" s="306" t="s">
        <v>93</v>
      </c>
      <c r="E13" s="303">
        <v>3599999</v>
      </c>
      <c r="F13" s="306" t="s">
        <v>41</v>
      </c>
      <c r="G13" s="134"/>
      <c r="H13" s="683"/>
      <c r="I13" s="683"/>
      <c r="J13" s="683"/>
      <c r="K13" s="661"/>
      <c r="L13" s="289">
        <f>ROUNDDOWN(H6/4,-3)</f>
        <v>0</v>
      </c>
      <c r="M13" s="290">
        <v>0.3</v>
      </c>
      <c r="N13" s="289">
        <f>ROUNDDOWN(H6/4,-3)*4*M13</f>
        <v>0</v>
      </c>
      <c r="O13" s="291">
        <v>80000</v>
      </c>
      <c r="P13" s="292">
        <f>SUM(N13:O13)</f>
        <v>80000</v>
      </c>
      <c r="Q13" s="289">
        <f>L13*4*(1-M13)-O13</f>
        <v>-80000</v>
      </c>
      <c r="R13" s="302"/>
      <c r="S13" s="314" t="str">
        <f t="shared" si="0"/>
        <v xml:space="preserve"> </v>
      </c>
      <c r="T13" s="180"/>
      <c r="U13" s="133"/>
      <c r="V13" s="181"/>
      <c r="W13" s="181"/>
      <c r="X13" s="182"/>
      <c r="Y13" s="182"/>
      <c r="Z13" s="301"/>
      <c r="AA13" s="301"/>
      <c r="AB13" s="301"/>
      <c r="AC13" s="301"/>
      <c r="AD13" s="174"/>
      <c r="AE13" s="228"/>
      <c r="AF13" s="229"/>
    </row>
    <row r="14" spans="1:32" ht="18.75" customHeight="1">
      <c r="B14" s="132"/>
      <c r="C14" s="303">
        <v>3600000</v>
      </c>
      <c r="D14" s="306" t="s">
        <v>93</v>
      </c>
      <c r="E14" s="303">
        <v>6599999</v>
      </c>
      <c r="F14" s="306" t="s">
        <v>41</v>
      </c>
      <c r="G14" s="134"/>
      <c r="H14" s="683"/>
      <c r="I14" s="683"/>
      <c r="J14" s="683"/>
      <c r="K14" s="661"/>
      <c r="L14" s="289">
        <f>ROUNDDOWN(H6/4,-3)</f>
        <v>0</v>
      </c>
      <c r="M14" s="290">
        <v>0.2</v>
      </c>
      <c r="N14" s="289">
        <f>ROUNDDOWN(H6/4,-3)*4*M14</f>
        <v>0</v>
      </c>
      <c r="O14" s="291">
        <v>440000</v>
      </c>
      <c r="P14" s="292">
        <f>SUM(N14:O14)</f>
        <v>440000</v>
      </c>
      <c r="Q14" s="289">
        <f>L14*4*(1-M14)-O14</f>
        <v>-440000</v>
      </c>
      <c r="R14" s="302"/>
      <c r="S14" s="314" t="str">
        <f t="shared" si="0"/>
        <v xml:space="preserve"> </v>
      </c>
      <c r="T14" s="180"/>
      <c r="U14" s="133"/>
      <c r="V14" s="181"/>
      <c r="W14" s="181"/>
      <c r="X14" s="182"/>
      <c r="Y14" s="182"/>
      <c r="Z14" s="301"/>
      <c r="AA14" s="301"/>
      <c r="AB14" s="301"/>
      <c r="AC14" s="301"/>
      <c r="AD14" s="174"/>
      <c r="AE14" s="228"/>
      <c r="AF14" s="229"/>
    </row>
    <row r="15" spans="1:32" ht="18.75" customHeight="1">
      <c r="B15" s="132"/>
      <c r="C15" s="303">
        <v>6600000</v>
      </c>
      <c r="D15" s="306" t="s">
        <v>93</v>
      </c>
      <c r="E15" s="303">
        <v>8499999</v>
      </c>
      <c r="F15" s="306" t="s">
        <v>41</v>
      </c>
      <c r="G15" s="134"/>
      <c r="H15" s="683"/>
      <c r="I15" s="683"/>
      <c r="J15" s="683"/>
      <c r="K15" s="661"/>
      <c r="L15" s="293"/>
      <c r="M15" s="290">
        <v>0.1</v>
      </c>
      <c r="N15" s="289">
        <f>ROUNDDOWN(H6/4,-3)*4*M15</f>
        <v>0</v>
      </c>
      <c r="O15" s="291">
        <v>1100000</v>
      </c>
      <c r="P15" s="292">
        <f>SUM(N15:O15)</f>
        <v>1100000</v>
      </c>
      <c r="Q15" s="289">
        <f>ROUNDDOWN((H6*(1-M15)),0)-O15</f>
        <v>-1100000</v>
      </c>
      <c r="R15" s="302"/>
      <c r="S15" s="314" t="str">
        <f t="shared" si="0"/>
        <v xml:space="preserve"> </v>
      </c>
      <c r="T15" s="180"/>
      <c r="U15" s="133"/>
      <c r="V15" s="181"/>
      <c r="W15" s="181"/>
      <c r="X15" s="182"/>
      <c r="Y15" s="182"/>
      <c r="Z15" s="301"/>
      <c r="AA15" s="301"/>
      <c r="AB15" s="301"/>
      <c r="AC15" s="301"/>
      <c r="AD15" s="174"/>
      <c r="AE15" s="228"/>
      <c r="AF15" s="229"/>
    </row>
    <row r="16" spans="1:32" ht="18.75" customHeight="1">
      <c r="B16" s="132"/>
      <c r="C16" s="303">
        <v>8500000</v>
      </c>
      <c r="D16" s="306" t="s">
        <v>93</v>
      </c>
      <c r="E16" s="303"/>
      <c r="F16" s="306"/>
      <c r="G16" s="134"/>
      <c r="H16" s="683"/>
      <c r="I16" s="683"/>
      <c r="J16" s="683"/>
      <c r="K16" s="661"/>
      <c r="L16" s="293"/>
      <c r="M16" s="290">
        <v>0</v>
      </c>
      <c r="N16" s="293"/>
      <c r="O16" s="291">
        <v>1950000</v>
      </c>
      <c r="P16" s="292">
        <f>O16</f>
        <v>1950000</v>
      </c>
      <c r="Q16" s="289">
        <f>ROUNDDOWN((H6*(1-M16)),0)-O16</f>
        <v>-1950000</v>
      </c>
      <c r="R16" s="302"/>
      <c r="S16" s="315" t="str">
        <f>IF(H6&gt;=C16,Q16," ")</f>
        <v xml:space="preserve"> </v>
      </c>
      <c r="T16" s="180"/>
      <c r="U16" s="133"/>
      <c r="V16" s="181"/>
      <c r="W16" s="181"/>
      <c r="X16" s="182"/>
      <c r="Y16" s="182"/>
      <c r="Z16" s="301"/>
      <c r="AA16" s="301"/>
      <c r="AB16" s="301"/>
      <c r="AC16" s="301"/>
      <c r="AD16" s="174"/>
      <c r="AE16" s="228"/>
      <c r="AF16" s="229"/>
    </row>
    <row r="17" spans="1:32" ht="13.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74"/>
      <c r="AE17" s="228"/>
      <c r="AF17" s="229"/>
    </row>
    <row r="18" spans="1:32" ht="14.25" thickBo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75"/>
      <c r="AE18" s="228"/>
      <c r="AF18" s="229"/>
    </row>
    <row r="19" spans="1:32" ht="18.75" customHeight="1" thickBo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228"/>
      <c r="AF19" s="229"/>
    </row>
    <row r="20" spans="1:32" ht="34.5" customHeight="1">
      <c r="B20" s="308" t="s">
        <v>133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7"/>
      <c r="AB20" s="147"/>
      <c r="AC20" s="147"/>
      <c r="AD20" s="148"/>
      <c r="AE20" s="228"/>
      <c r="AF20" s="229"/>
    </row>
    <row r="21" spans="1:32" ht="13.5" customHeight="1">
      <c r="B21" s="156"/>
      <c r="C21" s="146"/>
      <c r="D21" s="146"/>
      <c r="E21" s="146"/>
      <c r="F21" s="146"/>
      <c r="G21" s="146"/>
      <c r="H21" s="658" t="s">
        <v>59</v>
      </c>
      <c r="I21" s="658"/>
      <c r="J21" s="658"/>
      <c r="K21" s="658"/>
      <c r="L21" s="644" t="s">
        <v>60</v>
      </c>
      <c r="M21" s="644"/>
      <c r="N21" s="645"/>
      <c r="O21" s="645"/>
      <c r="P21" s="645"/>
      <c r="Q21" s="645"/>
      <c r="R21" s="645"/>
      <c r="S21" s="645"/>
      <c r="T21" s="144"/>
      <c r="U21" s="144"/>
      <c r="V21" s="161"/>
      <c r="W21" s="144"/>
      <c r="X21" s="111"/>
      <c r="Y21" s="144"/>
      <c r="Z21" s="628" t="s">
        <v>66</v>
      </c>
      <c r="AA21" s="149"/>
      <c r="AB21" s="149"/>
      <c r="AC21" s="149"/>
      <c r="AD21" s="150"/>
      <c r="AE21" s="228"/>
      <c r="AF21" s="229"/>
    </row>
    <row r="22" spans="1:32" ht="21" customHeight="1">
      <c r="B22" s="156"/>
      <c r="C22" s="170"/>
      <c r="D22" s="145"/>
      <c r="E22" s="145"/>
      <c r="F22" s="145"/>
      <c r="G22" s="146"/>
      <c r="H22" s="658"/>
      <c r="I22" s="658"/>
      <c r="J22" s="658"/>
      <c r="K22" s="658"/>
      <c r="L22" s="644"/>
      <c r="M22" s="644"/>
      <c r="N22" s="645"/>
      <c r="O22" s="645"/>
      <c r="P22" s="645"/>
      <c r="Q22" s="645"/>
      <c r="R22" s="645"/>
      <c r="S22" s="645"/>
      <c r="T22" s="144"/>
      <c r="U22" s="144"/>
      <c r="V22" s="643" t="s">
        <v>62</v>
      </c>
      <c r="W22" s="643"/>
      <c r="X22" s="643"/>
      <c r="Y22" s="144"/>
      <c r="Z22" s="629"/>
      <c r="AA22" s="149"/>
      <c r="AB22" s="149"/>
      <c r="AC22" s="149"/>
      <c r="AD22" s="150"/>
      <c r="AE22" s="228"/>
      <c r="AF22" s="229"/>
    </row>
    <row r="23" spans="1:32" ht="51" customHeight="1">
      <c r="A23" s="110" t="s">
        <v>65</v>
      </c>
      <c r="B23" s="156"/>
      <c r="C23" s="665" t="s">
        <v>45</v>
      </c>
      <c r="D23" s="666"/>
      <c r="E23" s="666"/>
      <c r="F23" s="667"/>
      <c r="G23" s="157"/>
      <c r="H23" s="668" t="s">
        <v>72</v>
      </c>
      <c r="I23" s="668"/>
      <c r="J23" s="668"/>
      <c r="K23" s="668"/>
      <c r="L23" s="137" t="s">
        <v>44</v>
      </c>
      <c r="M23" s="138" t="s">
        <v>43</v>
      </c>
      <c r="N23" s="126" t="s">
        <v>126</v>
      </c>
      <c r="O23" s="259" t="s">
        <v>57</v>
      </c>
      <c r="P23" s="127" t="s">
        <v>125</v>
      </c>
      <c r="Q23" s="258" t="s">
        <v>57</v>
      </c>
      <c r="R23" s="129" t="s">
        <v>124</v>
      </c>
      <c r="S23" s="130" t="s">
        <v>58</v>
      </c>
      <c r="T23" s="145"/>
      <c r="U23" s="145"/>
      <c r="V23" s="173" t="s">
        <v>61</v>
      </c>
      <c r="W23" s="607">
        <f>IFERROR(Z6+AB44,0)</f>
        <v>0</v>
      </c>
      <c r="X23" s="608"/>
      <c r="Y23" s="162"/>
      <c r="Z23" s="629"/>
      <c r="AA23" s="151"/>
      <c r="AB23" s="151"/>
      <c r="AC23" s="151"/>
      <c r="AD23" s="150"/>
      <c r="AE23" s="228"/>
      <c r="AF23" s="229"/>
    </row>
    <row r="24" spans="1:32" ht="18.75" customHeight="1">
      <c r="B24" s="156"/>
      <c r="C24" s="309">
        <v>600000</v>
      </c>
      <c r="D24" s="310" t="s">
        <v>41</v>
      </c>
      <c r="E24" s="311"/>
      <c r="F24" s="312"/>
      <c r="G24" s="157"/>
      <c r="H24" s="659">
        <f>IF('Ｒ７年度'!K24&gt;=65,0,'Ｒ７年度'!E24)</f>
        <v>0</v>
      </c>
      <c r="I24" s="659"/>
      <c r="J24" s="659"/>
      <c r="K24" s="660" t="s">
        <v>42</v>
      </c>
      <c r="L24" s="139"/>
      <c r="M24" s="140"/>
      <c r="N24" s="166">
        <v>0</v>
      </c>
      <c r="O24" s="115">
        <f>IF(Y24="○",(IF(H24&gt;C24," ",N24)),"　")</f>
        <v>0</v>
      </c>
      <c r="P24" s="260">
        <v>0</v>
      </c>
      <c r="Q24" s="128" t="str">
        <f>IF(Y25="○",(IF(H24&gt;C24-100000," ",P24)),"　")</f>
        <v>　</v>
      </c>
      <c r="R24" s="262">
        <v>0</v>
      </c>
      <c r="S24" s="165" t="str">
        <f>IF(Y26="○",(IF(H24&gt;C24-200000," ",R24)),"　")</f>
        <v>　</v>
      </c>
      <c r="T24" s="145"/>
      <c r="U24" s="145"/>
      <c r="V24" s="626">
        <v>10000000</v>
      </c>
      <c r="W24" s="626"/>
      <c r="X24" s="167" t="s">
        <v>63</v>
      </c>
      <c r="Y24" s="145" t="str">
        <f>IF(W23&lt;=V24,"○","　")</f>
        <v>○</v>
      </c>
      <c r="Z24" s="630">
        <f>IFERROR(ROUNDDOWN((SUM(O24:O29)),0)+(ROUNDDOWN((SUM(Q24:Q29)),0))+(ROUNDDOWN((SUM(S24:S29)),0)),0)</f>
        <v>0</v>
      </c>
      <c r="AA24" s="152"/>
      <c r="AB24" s="152"/>
      <c r="AC24" s="153"/>
      <c r="AD24" s="150"/>
      <c r="AE24" s="228"/>
      <c r="AF24" s="229"/>
    </row>
    <row r="25" spans="1:32" ht="18.75" customHeight="1">
      <c r="B25" s="156"/>
      <c r="C25" s="309">
        <v>600001</v>
      </c>
      <c r="D25" s="310" t="s">
        <v>93</v>
      </c>
      <c r="E25" s="309">
        <v>1299999</v>
      </c>
      <c r="F25" s="312" t="s">
        <v>41</v>
      </c>
      <c r="G25" s="157"/>
      <c r="H25" s="659"/>
      <c r="I25" s="659"/>
      <c r="J25" s="659"/>
      <c r="K25" s="660"/>
      <c r="L25" s="141">
        <v>1</v>
      </c>
      <c r="M25" s="142">
        <v>600000</v>
      </c>
      <c r="N25" s="172">
        <f>H24*L25-M25</f>
        <v>-600000</v>
      </c>
      <c r="O25" s="172" t="str">
        <f>IF(Y24="○",(IF(H24&gt;E25," ",(IF(H24&gt;C24,N25," ")))),"　")</f>
        <v xml:space="preserve"> </v>
      </c>
      <c r="P25" s="260">
        <f>H24*L25-(M25-100000)</f>
        <v>-500000</v>
      </c>
      <c r="Q25" s="128" t="str">
        <f>IF(Y25="○",(IF(H24&gt;E25," ",(IF(H24&gt;(C24-100000),P25," ")))),"　")</f>
        <v>　</v>
      </c>
      <c r="R25" s="262">
        <f>H24*L25-(M25-200000)</f>
        <v>-400000</v>
      </c>
      <c r="S25" s="165" t="str">
        <f>IF(Y26="○",(IF(H24&gt;E25," ",(IF(H24&gt;(C24-200000),R25," ")))),"　")</f>
        <v>　</v>
      </c>
      <c r="T25" s="145"/>
      <c r="U25" s="145"/>
      <c r="V25" s="627">
        <v>20000000</v>
      </c>
      <c r="W25" s="627"/>
      <c r="X25" s="167" t="s">
        <v>63</v>
      </c>
      <c r="Y25" s="145" t="str">
        <f>IF(W23&gt;V24,(IF(W23&lt;=V25,"○","　")),"　")</f>
        <v>　</v>
      </c>
      <c r="Z25" s="630"/>
      <c r="AA25" s="152"/>
      <c r="AB25" s="152"/>
      <c r="AC25" s="153"/>
      <c r="AD25" s="150"/>
      <c r="AE25" s="228"/>
      <c r="AF25" s="229"/>
    </row>
    <row r="26" spans="1:32" ht="18.75" customHeight="1">
      <c r="B26" s="156"/>
      <c r="C26" s="309">
        <v>1300000</v>
      </c>
      <c r="D26" s="310" t="s">
        <v>92</v>
      </c>
      <c r="E26" s="309">
        <v>4099999</v>
      </c>
      <c r="F26" s="312" t="s">
        <v>41</v>
      </c>
      <c r="G26" s="157"/>
      <c r="H26" s="659"/>
      <c r="I26" s="659"/>
      <c r="J26" s="659"/>
      <c r="K26" s="660"/>
      <c r="L26" s="141">
        <v>0.75</v>
      </c>
      <c r="M26" s="142">
        <v>275000</v>
      </c>
      <c r="N26" s="172">
        <f>H24*L26-M26</f>
        <v>-275000</v>
      </c>
      <c r="O26" s="172" t="str">
        <f>IF(Y24="○",(IF(H24&gt;E26," ",(IF(H24&gt;E25,N26," ")))),"　")</f>
        <v xml:space="preserve"> </v>
      </c>
      <c r="P26" s="261">
        <f>H24*L26-(M26-100000)</f>
        <v>-175000</v>
      </c>
      <c r="Q26" s="128" t="str">
        <f>IF(Y25="○",(IF(H24&gt;E26," ",(IF(H24&gt;E25,P26," ")))),"　")</f>
        <v>　</v>
      </c>
      <c r="R26" s="262">
        <f>H24*L26-(M26-200000)</f>
        <v>-75000</v>
      </c>
      <c r="S26" s="165" t="str">
        <f>IF(Y26="○",(IF(H24&gt;E26," ",(IF(H24&gt;E25,R26," ")))),"　")</f>
        <v>　</v>
      </c>
      <c r="T26" s="145"/>
      <c r="U26" s="145"/>
      <c r="V26" s="627">
        <v>20000001</v>
      </c>
      <c r="W26" s="627"/>
      <c r="X26" s="167" t="s">
        <v>64</v>
      </c>
      <c r="Y26" s="145" t="str">
        <f>IF(W23&gt;=V26,"○","　")</f>
        <v>　</v>
      </c>
      <c r="Z26" s="630"/>
      <c r="AA26" s="152"/>
      <c r="AB26" s="152"/>
      <c r="AC26" s="153"/>
      <c r="AD26" s="150"/>
      <c r="AE26" s="228"/>
      <c r="AF26" s="229"/>
    </row>
    <row r="27" spans="1:32" ht="18.75" customHeight="1">
      <c r="B27" s="156"/>
      <c r="C27" s="309">
        <v>4100000</v>
      </c>
      <c r="D27" s="310" t="s">
        <v>92</v>
      </c>
      <c r="E27" s="309">
        <v>7699999</v>
      </c>
      <c r="F27" s="312" t="s">
        <v>41</v>
      </c>
      <c r="G27" s="157"/>
      <c r="H27" s="659"/>
      <c r="I27" s="659"/>
      <c r="J27" s="659"/>
      <c r="K27" s="660"/>
      <c r="L27" s="141">
        <v>0.85</v>
      </c>
      <c r="M27" s="142">
        <v>685000</v>
      </c>
      <c r="N27" s="172">
        <f>H24*L27-M27</f>
        <v>-685000</v>
      </c>
      <c r="O27" s="172" t="str">
        <f>IF(Y24="○",(IF(H24&gt;E27," ",(IF(H24&gt;E26,N27," ")))),"　")</f>
        <v xml:space="preserve"> </v>
      </c>
      <c r="P27" s="261">
        <f>H24*L27-(M27-100000)</f>
        <v>-585000</v>
      </c>
      <c r="Q27" s="128" t="str">
        <f>IF(Y25="○",(IF(H24&gt;E27," ",(IF(H24&gt;E26,P27," ")))),"　")</f>
        <v>　</v>
      </c>
      <c r="R27" s="262">
        <f>H24*L27-(M27-200000)</f>
        <v>-485000</v>
      </c>
      <c r="S27" s="165" t="str">
        <f>IF(Y26="○",(IF(H24&gt;E27," ",(IF(H24&gt;E26,R27," ")))),"　")</f>
        <v>　</v>
      </c>
      <c r="T27" s="145"/>
      <c r="U27" s="145"/>
      <c r="V27" s="164"/>
      <c r="W27" s="164"/>
      <c r="X27" s="164"/>
      <c r="Y27" s="145"/>
      <c r="Z27" s="630"/>
      <c r="AA27" s="152"/>
      <c r="AB27" s="152"/>
      <c r="AC27" s="153"/>
      <c r="AD27" s="150"/>
      <c r="AE27" s="228"/>
      <c r="AF27" s="229"/>
    </row>
    <row r="28" spans="1:32" ht="18.75" customHeight="1">
      <c r="B28" s="156"/>
      <c r="C28" s="309">
        <v>7700000</v>
      </c>
      <c r="D28" s="310" t="s">
        <v>92</v>
      </c>
      <c r="E28" s="309">
        <v>9999999</v>
      </c>
      <c r="F28" s="312" t="s">
        <v>41</v>
      </c>
      <c r="G28" s="157"/>
      <c r="H28" s="659"/>
      <c r="I28" s="659"/>
      <c r="J28" s="659"/>
      <c r="K28" s="660"/>
      <c r="L28" s="141">
        <v>0.95</v>
      </c>
      <c r="M28" s="142">
        <v>1455000</v>
      </c>
      <c r="N28" s="172">
        <f>H24*L28-M28</f>
        <v>-1455000</v>
      </c>
      <c r="O28" s="172" t="str">
        <f>IF(Y24="○",(IF(H24&gt;E28," ",(IF(H24&gt;E27,N28," ")))),"　")</f>
        <v xml:space="preserve"> </v>
      </c>
      <c r="P28" s="261">
        <f>H24*L28-(M28-100000)</f>
        <v>-1355000</v>
      </c>
      <c r="Q28" s="128" t="str">
        <f>IF(Y25="○",(IF(H24&gt;E28," ",(IF(H24&gt;E27,P28," ")))),"　")</f>
        <v>　</v>
      </c>
      <c r="R28" s="262">
        <f>H24*L28-(M28-200000)</f>
        <v>-1255000</v>
      </c>
      <c r="S28" s="165" t="str">
        <f>IF(Y26="○",(IF(H24&gt;E28," ",(IF(H24&gt;E27,R28," ")))),"　")</f>
        <v>　</v>
      </c>
      <c r="T28" s="145"/>
      <c r="U28" s="145"/>
      <c r="V28" s="164"/>
      <c r="W28" s="164"/>
      <c r="X28" s="164"/>
      <c r="Y28" s="145"/>
      <c r="Z28" s="630"/>
      <c r="AA28" s="152"/>
      <c r="AB28" s="152"/>
      <c r="AC28" s="153"/>
      <c r="AD28" s="150"/>
      <c r="AE28" s="228"/>
      <c r="AF28" s="229"/>
    </row>
    <row r="29" spans="1:32" ht="20.25" customHeight="1">
      <c r="B29" s="156"/>
      <c r="C29" s="309">
        <v>10000000</v>
      </c>
      <c r="D29" s="310" t="s">
        <v>92</v>
      </c>
      <c r="E29" s="311"/>
      <c r="F29" s="312"/>
      <c r="G29" s="146"/>
      <c r="H29" s="659"/>
      <c r="I29" s="659"/>
      <c r="J29" s="659"/>
      <c r="K29" s="660"/>
      <c r="L29" s="141">
        <v>1</v>
      </c>
      <c r="M29" s="142">
        <v>1955000</v>
      </c>
      <c r="N29" s="172">
        <f>H24*L29-M29</f>
        <v>-1955000</v>
      </c>
      <c r="O29" s="172" t="str">
        <f>IF(Y24="○",(IF(H24&gt;E28,N29," ")),"　")</f>
        <v xml:space="preserve"> </v>
      </c>
      <c r="P29" s="261">
        <f>H24*L29-(M29-100000)</f>
        <v>-1855000</v>
      </c>
      <c r="Q29" s="128" t="str">
        <f>IF(Y25="○",(IF(H24&gt;E28,P29," ")),"　")</f>
        <v>　</v>
      </c>
      <c r="R29" s="262">
        <f>H24*L29-(M29-200000)</f>
        <v>-1755000</v>
      </c>
      <c r="S29" s="165" t="str">
        <f>IF(Y26="○",(IF(H24&gt;E28,R29," ")),"　")</f>
        <v>　</v>
      </c>
      <c r="T29" s="146"/>
      <c r="U29" s="146"/>
      <c r="V29" s="164"/>
      <c r="W29" s="164"/>
      <c r="X29" s="164"/>
      <c r="Y29" s="146"/>
      <c r="Z29" s="146"/>
      <c r="AA29" s="146"/>
      <c r="AB29" s="146"/>
      <c r="AC29" s="146"/>
      <c r="AD29" s="150"/>
      <c r="AE29" s="228"/>
      <c r="AF29" s="229"/>
    </row>
    <row r="30" spans="1:32" ht="14.25" thickBot="1">
      <c r="B30" s="158"/>
      <c r="C30" s="159"/>
      <c r="D30" s="160"/>
      <c r="E30" s="159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228"/>
      <c r="AF30" s="229"/>
    </row>
    <row r="31" spans="1:32" ht="18.75" customHeight="1" thickBot="1">
      <c r="B31" s="114"/>
      <c r="C31" s="116"/>
      <c r="D31" s="117"/>
      <c r="E31" s="11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228"/>
      <c r="AF31" s="229"/>
    </row>
    <row r="32" spans="1:32" ht="34.5" customHeight="1">
      <c r="B32" s="308" t="s">
        <v>46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7"/>
      <c r="AB32" s="147"/>
      <c r="AC32" s="147"/>
      <c r="AD32" s="148"/>
      <c r="AE32" s="228"/>
      <c r="AF32" s="229"/>
    </row>
    <row r="33" spans="1:34" ht="13.5" customHeight="1">
      <c r="B33" s="169"/>
      <c r="C33" s="170"/>
      <c r="D33" s="171"/>
      <c r="E33" s="170"/>
      <c r="F33" s="146"/>
      <c r="G33" s="146"/>
      <c r="H33" s="637" t="s">
        <v>59</v>
      </c>
      <c r="I33" s="638"/>
      <c r="J33" s="638"/>
      <c r="K33" s="639"/>
      <c r="L33" s="644" t="s">
        <v>60</v>
      </c>
      <c r="M33" s="644"/>
      <c r="N33" s="645"/>
      <c r="O33" s="645"/>
      <c r="P33" s="645"/>
      <c r="Q33" s="645"/>
      <c r="R33" s="645"/>
      <c r="S33" s="645"/>
      <c r="T33" s="144"/>
      <c r="U33" s="144"/>
      <c r="V33" s="144"/>
      <c r="W33" s="144"/>
      <c r="X33" s="144"/>
      <c r="Y33" s="144"/>
      <c r="Z33" s="628" t="s">
        <v>67</v>
      </c>
      <c r="AA33" s="605" t="s">
        <v>77</v>
      </c>
      <c r="AB33" s="605"/>
      <c r="AC33" s="605"/>
      <c r="AD33" s="150"/>
      <c r="AE33" s="228"/>
      <c r="AF33" s="229"/>
    </row>
    <row r="34" spans="1:34" ht="21" customHeight="1">
      <c r="B34" s="156"/>
      <c r="C34" s="170"/>
      <c r="D34" s="171"/>
      <c r="E34" s="170"/>
      <c r="F34" s="146"/>
      <c r="G34" s="146"/>
      <c r="H34" s="640"/>
      <c r="I34" s="641"/>
      <c r="J34" s="641"/>
      <c r="K34" s="642"/>
      <c r="L34" s="644"/>
      <c r="M34" s="644"/>
      <c r="N34" s="645"/>
      <c r="O34" s="645"/>
      <c r="P34" s="645"/>
      <c r="Q34" s="645"/>
      <c r="R34" s="645"/>
      <c r="S34" s="645"/>
      <c r="T34" s="144"/>
      <c r="U34" s="144"/>
      <c r="V34" s="643" t="s">
        <v>62</v>
      </c>
      <c r="W34" s="643"/>
      <c r="X34" s="643"/>
      <c r="Y34" s="144"/>
      <c r="Z34" s="629"/>
      <c r="AA34" s="605"/>
      <c r="AB34" s="605"/>
      <c r="AC34" s="605"/>
      <c r="AD34" s="150"/>
      <c r="AE34" s="228"/>
      <c r="AF34" s="229"/>
    </row>
    <row r="35" spans="1:34" ht="51" customHeight="1">
      <c r="A35" s="110" t="s">
        <v>65</v>
      </c>
      <c r="B35" s="156"/>
      <c r="C35" s="631" t="s">
        <v>45</v>
      </c>
      <c r="D35" s="632"/>
      <c r="E35" s="632"/>
      <c r="F35" s="633"/>
      <c r="G35" s="157"/>
      <c r="H35" s="634" t="s">
        <v>129</v>
      </c>
      <c r="I35" s="635"/>
      <c r="J35" s="635"/>
      <c r="K35" s="636"/>
      <c r="L35" s="137" t="s">
        <v>44</v>
      </c>
      <c r="M35" s="138" t="s">
        <v>43</v>
      </c>
      <c r="N35" s="126" t="s">
        <v>123</v>
      </c>
      <c r="O35" s="259" t="s">
        <v>57</v>
      </c>
      <c r="P35" s="127" t="s">
        <v>125</v>
      </c>
      <c r="Q35" s="258" t="s">
        <v>57</v>
      </c>
      <c r="R35" s="129" t="s">
        <v>124</v>
      </c>
      <c r="S35" s="130" t="s">
        <v>58</v>
      </c>
      <c r="T35" s="145"/>
      <c r="U35" s="145"/>
      <c r="V35" s="173" t="s">
        <v>61</v>
      </c>
      <c r="W35" s="607">
        <f>IFERROR(Z6+AB44,0)</f>
        <v>0</v>
      </c>
      <c r="X35" s="608"/>
      <c r="Y35" s="162"/>
      <c r="Z35" s="629"/>
      <c r="AA35" s="605"/>
      <c r="AB35" s="605"/>
      <c r="AC35" s="605"/>
      <c r="AD35" s="150"/>
      <c r="AE35" s="228"/>
      <c r="AF35" s="229"/>
    </row>
    <row r="36" spans="1:34" ht="18.75" customHeight="1">
      <c r="B36" s="156"/>
      <c r="C36" s="309">
        <v>1100000</v>
      </c>
      <c r="D36" s="310" t="s">
        <v>41</v>
      </c>
      <c r="E36" s="309"/>
      <c r="F36" s="312"/>
      <c r="G36" s="157"/>
      <c r="H36" s="646">
        <f>IF('Ｒ７年度'!K24&lt;65,0,'Ｒ７年度'!E24)</f>
        <v>0</v>
      </c>
      <c r="I36" s="647"/>
      <c r="J36" s="648"/>
      <c r="K36" s="655" t="s">
        <v>42</v>
      </c>
      <c r="L36" s="139"/>
      <c r="M36" s="140"/>
      <c r="N36" s="166">
        <v>0</v>
      </c>
      <c r="O36" s="263">
        <f>IF(Y36="○",(IF(H36&gt;C36," ",N36)),"　")</f>
        <v>0</v>
      </c>
      <c r="P36" s="260">
        <v>0</v>
      </c>
      <c r="Q36" s="260" t="str">
        <f>IF(Y37="○",(IF(H36&gt;C36-100000," ",P36)),"　")</f>
        <v>　</v>
      </c>
      <c r="R36" s="262">
        <v>0</v>
      </c>
      <c r="S36" s="262" t="str">
        <f>IF(Y38="○",(IF(H36&gt;C36-200000," ",R36)),"　")</f>
        <v>　</v>
      </c>
      <c r="T36" s="145"/>
      <c r="U36" s="145"/>
      <c r="V36" s="626">
        <v>10000000</v>
      </c>
      <c r="W36" s="626"/>
      <c r="X36" s="167" t="s">
        <v>63</v>
      </c>
      <c r="Y36" s="145" t="str">
        <f>IF(W35&lt;=V36,"○","　")</f>
        <v>○</v>
      </c>
      <c r="Z36" s="630">
        <f>IFERROR(ROUNDDOWN((SUM(O36:O41)),0)+(ROUNDDOWN((SUM(Q36:Q41)),0))+(ROUNDDOWN((SUM(S36:S41)),0)),0)</f>
        <v>0</v>
      </c>
      <c r="AA36" s="606">
        <f>MAX(Z36-150000,0)</f>
        <v>0</v>
      </c>
      <c r="AB36" s="606"/>
      <c r="AC36" s="606"/>
      <c r="AD36" s="150"/>
      <c r="AE36" s="228"/>
      <c r="AF36" s="229"/>
      <c r="AG36" s="603" t="s">
        <v>83</v>
      </c>
      <c r="AH36" s="603"/>
    </row>
    <row r="37" spans="1:34" ht="18.75" customHeight="1">
      <c r="B37" s="156"/>
      <c r="C37" s="309">
        <v>1100001</v>
      </c>
      <c r="D37" s="310" t="s">
        <v>93</v>
      </c>
      <c r="E37" s="309">
        <v>3299999</v>
      </c>
      <c r="F37" s="312" t="s">
        <v>41</v>
      </c>
      <c r="G37" s="157"/>
      <c r="H37" s="649"/>
      <c r="I37" s="650"/>
      <c r="J37" s="651"/>
      <c r="K37" s="656"/>
      <c r="L37" s="141">
        <v>1</v>
      </c>
      <c r="M37" s="142">
        <v>1100000</v>
      </c>
      <c r="N37" s="265">
        <f>H36*L37-M37</f>
        <v>-1100000</v>
      </c>
      <c r="O37" s="264" t="str">
        <f>IF(Y36="○",(IF(H36&gt;E37," ",(IF(H36&gt;C36,N37," ")))),"　")</f>
        <v xml:space="preserve"> </v>
      </c>
      <c r="P37" s="260">
        <f>H36*L37-(M37-100000)</f>
        <v>-1000000</v>
      </c>
      <c r="Q37" s="260" t="str">
        <f>IF(Y37="○",(IF(H36&gt;E37," ",(IF(H36&gt;(C36-100000),P37," ")))),"　")</f>
        <v>　</v>
      </c>
      <c r="R37" s="262">
        <f>H36*L37-(M37-200000)</f>
        <v>-900000</v>
      </c>
      <c r="S37" s="262" t="str">
        <f>IF(Y38="○",(IF(H36&gt;E37," ",(IF(H36&gt;(C36-200000),R37," ")))),"　")</f>
        <v>　</v>
      </c>
      <c r="T37" s="145"/>
      <c r="U37" s="145"/>
      <c r="V37" s="627">
        <v>20000000</v>
      </c>
      <c r="W37" s="627"/>
      <c r="X37" s="167" t="s">
        <v>63</v>
      </c>
      <c r="Y37" s="145" t="str">
        <f>IF(W35&gt;V36,(IF(W35&lt;=V37,"○","　")),"　")</f>
        <v>　</v>
      </c>
      <c r="Z37" s="630"/>
      <c r="AA37" s="606"/>
      <c r="AB37" s="606"/>
      <c r="AC37" s="606"/>
      <c r="AD37" s="150"/>
      <c r="AE37" s="228"/>
      <c r="AF37" s="229"/>
      <c r="AG37" s="168"/>
      <c r="AH37" s="191">
        <v>430000</v>
      </c>
    </row>
    <row r="38" spans="1:34" ht="18.75" customHeight="1">
      <c r="B38" s="156"/>
      <c r="C38" s="309">
        <v>3300000</v>
      </c>
      <c r="D38" s="310" t="s">
        <v>92</v>
      </c>
      <c r="E38" s="309">
        <v>4099999</v>
      </c>
      <c r="F38" s="312" t="s">
        <v>41</v>
      </c>
      <c r="G38" s="157"/>
      <c r="H38" s="649"/>
      <c r="I38" s="650"/>
      <c r="J38" s="651"/>
      <c r="K38" s="656"/>
      <c r="L38" s="141">
        <v>0.75</v>
      </c>
      <c r="M38" s="142">
        <v>275000</v>
      </c>
      <c r="N38" s="265">
        <f>H36*L38-M38</f>
        <v>-275000</v>
      </c>
      <c r="O38" s="264" t="str">
        <f>IF(Y36="○",(IF(H36&gt;E38," ",(IF(H36&gt;E37,N38," ")))),"　")</f>
        <v xml:space="preserve"> </v>
      </c>
      <c r="P38" s="261">
        <f>H36*L38-(M38-100000)</f>
        <v>-175000</v>
      </c>
      <c r="Q38" s="260" t="str">
        <f>IF(Y37="○",(IF(H36&gt;E38," ",(IF(H36&gt;E37,P38," ")))),"　")</f>
        <v>　</v>
      </c>
      <c r="R38" s="262">
        <f>H36*L38-(M38-200000)</f>
        <v>-75000</v>
      </c>
      <c r="S38" s="262" t="str">
        <f>IF(Y38="○",(IF(H36&gt;E38," ",(IF(H36&gt;E37,R38," ")))),"　")</f>
        <v>　</v>
      </c>
      <c r="T38" s="145"/>
      <c r="U38" s="145"/>
      <c r="V38" s="627">
        <v>20000001</v>
      </c>
      <c r="W38" s="627"/>
      <c r="X38" s="167" t="s">
        <v>64</v>
      </c>
      <c r="Y38" s="145" t="str">
        <f>IF(W35&gt;=V38,"○","　")</f>
        <v>　</v>
      </c>
      <c r="Z38" s="630"/>
      <c r="AA38" s="606"/>
      <c r="AB38" s="606"/>
      <c r="AC38" s="606"/>
      <c r="AD38" s="150"/>
      <c r="AE38" s="228"/>
      <c r="AF38" s="229"/>
      <c r="AG38" s="191">
        <v>24000000</v>
      </c>
      <c r="AH38" s="191">
        <v>290000</v>
      </c>
    </row>
    <row r="39" spans="1:34" ht="18.75" customHeight="1">
      <c r="B39" s="156"/>
      <c r="C39" s="309">
        <v>4100000</v>
      </c>
      <c r="D39" s="310" t="s">
        <v>92</v>
      </c>
      <c r="E39" s="309">
        <v>7699999</v>
      </c>
      <c r="F39" s="312" t="s">
        <v>41</v>
      </c>
      <c r="G39" s="157"/>
      <c r="H39" s="649"/>
      <c r="I39" s="650"/>
      <c r="J39" s="651"/>
      <c r="K39" s="656"/>
      <c r="L39" s="141">
        <v>0.85</v>
      </c>
      <c r="M39" s="142">
        <v>685000</v>
      </c>
      <c r="N39" s="265">
        <f>H36*L39-M39</f>
        <v>-685000</v>
      </c>
      <c r="O39" s="264" t="str">
        <f>IF(Y36="○",(IF(H36&gt;E39," ",(IF(H36&gt;E38,N39," ")))),"　")</f>
        <v xml:space="preserve"> </v>
      </c>
      <c r="P39" s="261">
        <f>H36*L39-(M39-100000)</f>
        <v>-585000</v>
      </c>
      <c r="Q39" s="260" t="str">
        <f>IF(Y37="○",(IF(H36&gt;E39," ",(IF(H36&gt;E38,P39," ")))),"　")</f>
        <v>　</v>
      </c>
      <c r="R39" s="262">
        <f>H36*L39-(M39-200000)</f>
        <v>-485000</v>
      </c>
      <c r="S39" s="262" t="str">
        <f>IF(Y38="○",(IF(H36&gt;E39," ",(IF(H36&gt;E38,R39," ")))),"　")</f>
        <v>　</v>
      </c>
      <c r="T39" s="145"/>
      <c r="U39" s="145"/>
      <c r="V39" s="145"/>
      <c r="W39" s="145"/>
      <c r="X39" s="145"/>
      <c r="Y39" s="145"/>
      <c r="Z39" s="630"/>
      <c r="AA39" s="606"/>
      <c r="AB39" s="606"/>
      <c r="AC39" s="606"/>
      <c r="AD39" s="150"/>
      <c r="AE39" s="228"/>
      <c r="AF39" s="229"/>
      <c r="AG39" s="191">
        <v>24500000</v>
      </c>
      <c r="AH39" s="191">
        <v>150000</v>
      </c>
    </row>
    <row r="40" spans="1:34" ht="18.75" customHeight="1">
      <c r="B40" s="156"/>
      <c r="C40" s="309">
        <v>7700000</v>
      </c>
      <c r="D40" s="310" t="s">
        <v>92</v>
      </c>
      <c r="E40" s="309">
        <v>9999999</v>
      </c>
      <c r="F40" s="312" t="s">
        <v>41</v>
      </c>
      <c r="G40" s="157"/>
      <c r="H40" s="649"/>
      <c r="I40" s="650"/>
      <c r="J40" s="651"/>
      <c r="K40" s="656"/>
      <c r="L40" s="141">
        <v>0.95</v>
      </c>
      <c r="M40" s="142">
        <v>1455000</v>
      </c>
      <c r="N40" s="265">
        <f>H36*L40-M40</f>
        <v>-1455000</v>
      </c>
      <c r="O40" s="264" t="str">
        <f>IF(Y36="○",(IF(H36&gt;E40," ",(IF(H36&gt;E39,N40," ")))),"　")</f>
        <v xml:space="preserve"> </v>
      </c>
      <c r="P40" s="261">
        <f>H36*L40-(M40-100000)</f>
        <v>-1355000</v>
      </c>
      <c r="Q40" s="260" t="str">
        <f>IF(Y37="○",(IF(H36&gt;E40," ",(IF(H36&gt;E39,P40," ")))),"　")</f>
        <v>　</v>
      </c>
      <c r="R40" s="262">
        <f>H36*L40-(M40-200000)</f>
        <v>-1255000</v>
      </c>
      <c r="S40" s="262" t="str">
        <f>IF(Y38="○",(IF(H36&gt;E40," ",(IF(H36&gt;E39,R40," ")))),"　")</f>
        <v>　</v>
      </c>
      <c r="T40" s="145"/>
      <c r="U40" s="145"/>
      <c r="V40" s="145"/>
      <c r="W40" s="145"/>
      <c r="X40" s="145"/>
      <c r="Y40" s="145"/>
      <c r="Z40" s="630"/>
      <c r="AA40" s="606"/>
      <c r="AB40" s="606"/>
      <c r="AC40" s="606"/>
      <c r="AD40" s="150"/>
      <c r="AE40" s="228"/>
      <c r="AF40" s="229"/>
      <c r="AG40" s="191">
        <v>25000000</v>
      </c>
      <c r="AH40" s="168"/>
    </row>
    <row r="41" spans="1:34" ht="18.75" customHeight="1">
      <c r="B41" s="156"/>
      <c r="C41" s="313">
        <v>10000000</v>
      </c>
      <c r="D41" s="310" t="s">
        <v>92</v>
      </c>
      <c r="E41" s="312"/>
      <c r="F41" s="312"/>
      <c r="G41" s="146"/>
      <c r="H41" s="652"/>
      <c r="I41" s="653"/>
      <c r="J41" s="654"/>
      <c r="K41" s="657"/>
      <c r="L41" s="141">
        <v>1</v>
      </c>
      <c r="M41" s="142">
        <v>1955000</v>
      </c>
      <c r="N41" s="265">
        <f>H36*L41-M41</f>
        <v>-1955000</v>
      </c>
      <c r="O41" s="264" t="str">
        <f>IF(Y36="○",(IF(H36&gt;E40,N41," ")),"　")</f>
        <v xml:space="preserve"> </v>
      </c>
      <c r="P41" s="261">
        <f>H36*L41-(M41-100000)</f>
        <v>-1855000</v>
      </c>
      <c r="Q41" s="260" t="str">
        <f>IF(Y37="○",(IF(H36&gt;E40,P41," ")),"　")</f>
        <v>　</v>
      </c>
      <c r="R41" s="262">
        <f>H36*L41-(M41-200000)</f>
        <v>-1755000</v>
      </c>
      <c r="S41" s="262" t="str">
        <f>IF(Y38="○",(IF(H36&gt;E40,R41," ")),"　")</f>
        <v>　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50"/>
      <c r="AE41" s="228"/>
      <c r="AF41" s="229"/>
    </row>
    <row r="42" spans="1:34" ht="14.25" thickBot="1">
      <c r="B42" s="158"/>
      <c r="C42" s="154"/>
      <c r="D42" s="154"/>
      <c r="E42" s="154"/>
      <c r="F42" s="154"/>
      <c r="G42" s="154"/>
      <c r="H42" s="154"/>
      <c r="I42" s="154"/>
      <c r="J42" s="154"/>
      <c r="K42" s="154"/>
      <c r="L42" s="113"/>
      <c r="M42" s="113"/>
      <c r="N42" s="113"/>
      <c r="O42" s="113"/>
      <c r="P42" s="113"/>
      <c r="Q42" s="113"/>
      <c r="R42" s="113"/>
      <c r="S42" s="113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5"/>
      <c r="AE42" s="228"/>
      <c r="AF42" s="229"/>
    </row>
    <row r="43" spans="1:34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7"/>
      <c r="X43" s="227"/>
      <c r="Y43" s="227"/>
      <c r="Z43" s="114"/>
      <c r="AA43" s="114"/>
      <c r="AB43" s="114"/>
      <c r="AC43" s="114"/>
      <c r="AD43" s="114"/>
      <c r="AE43" s="228"/>
      <c r="AF43" s="229"/>
    </row>
    <row r="44" spans="1:34" ht="38.25" customHeight="1">
      <c r="A44" s="229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 t="s">
        <v>85</v>
      </c>
      <c r="S44" s="229"/>
      <c r="T44" s="229"/>
      <c r="U44" s="229"/>
      <c r="V44" s="229"/>
      <c r="W44" s="604" t="s">
        <v>56</v>
      </c>
      <c r="X44" s="604"/>
      <c r="Y44" s="604"/>
      <c r="Z44" s="234">
        <f>AA6+Z24+Z36</f>
        <v>0</v>
      </c>
      <c r="AA44" s="275" t="s">
        <v>79</v>
      </c>
      <c r="AB44" s="623">
        <f>IF(ISNUMBER('Ｒ７年度'!G24),'Ｒ７年度'!G24,0)</f>
        <v>0</v>
      </c>
      <c r="AC44" s="623"/>
      <c r="AD44" s="236" t="s">
        <v>80</v>
      </c>
      <c r="AE44" s="230">
        <f>Z44+AB44</f>
        <v>0</v>
      </c>
      <c r="AF44" s="231"/>
      <c r="AG44" s="111"/>
    </row>
    <row r="45" spans="1:34" ht="44.2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625" t="s">
        <v>81</v>
      </c>
      <c r="X45" s="625"/>
      <c r="Y45" s="625"/>
      <c r="Z45" s="234">
        <f>AE44</f>
        <v>0</v>
      </c>
      <c r="AA45" s="275" t="s">
        <v>82</v>
      </c>
      <c r="AB45" s="623">
        <f>IF(Z45&lt;=AG38,AH37,(IF(Z45&lt;=AG39,AH38,(IF(Z45&lt;=AG40,AH39,0)))))</f>
        <v>430000</v>
      </c>
      <c r="AC45" s="623"/>
      <c r="AD45" s="236" t="s">
        <v>80</v>
      </c>
      <c r="AE45" s="230">
        <f>MAX(Z45-AB45,0)</f>
        <v>0</v>
      </c>
      <c r="AF45" s="231"/>
      <c r="AG45" s="111"/>
    </row>
    <row r="46" spans="1:34" ht="30.7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604" t="s">
        <v>78</v>
      </c>
      <c r="X46" s="604"/>
      <c r="Y46" s="604"/>
      <c r="Z46" s="237">
        <f>(Z6-W5)+Z24+AA36</f>
        <v>0</v>
      </c>
      <c r="AA46" s="276" t="s">
        <v>79</v>
      </c>
      <c r="AB46" s="624">
        <f>AB44</f>
        <v>0</v>
      </c>
      <c r="AC46" s="624"/>
      <c r="AD46" s="236" t="s">
        <v>80</v>
      </c>
      <c r="AE46" s="232">
        <f>Z46+AB46</f>
        <v>0</v>
      </c>
      <c r="AF46" s="231"/>
      <c r="AG46" s="111"/>
    </row>
    <row r="47" spans="1:34" ht="30.75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604"/>
      <c r="X47" s="604"/>
      <c r="Y47" s="604"/>
      <c r="Z47" s="233"/>
      <c r="AA47" s="233"/>
      <c r="AB47" s="233"/>
      <c r="AC47" s="233"/>
      <c r="AD47" s="233"/>
      <c r="AE47" s="233"/>
      <c r="AF47" s="229"/>
      <c r="AG47" s="111"/>
    </row>
    <row r="48" spans="1:34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</sheetData>
  <sheetProtection selectLockedCells="1"/>
  <mergeCells count="51">
    <mergeCell ref="W46:Y46"/>
    <mergeCell ref="AB46:AC46"/>
    <mergeCell ref="W47:Y47"/>
    <mergeCell ref="AG36:AH36"/>
    <mergeCell ref="V37:W37"/>
    <mergeCell ref="V38:W38"/>
    <mergeCell ref="W45:Y45"/>
    <mergeCell ref="AB45:AC45"/>
    <mergeCell ref="W44:Y44"/>
    <mergeCell ref="AB44:AC44"/>
    <mergeCell ref="Z36:Z40"/>
    <mergeCell ref="AA36:AC40"/>
    <mergeCell ref="C35:F35"/>
    <mergeCell ref="H35:K35"/>
    <mergeCell ref="W35:X35"/>
    <mergeCell ref="H36:J41"/>
    <mergeCell ref="K36:K41"/>
    <mergeCell ref="V36:W36"/>
    <mergeCell ref="H33:K34"/>
    <mergeCell ref="L33:M34"/>
    <mergeCell ref="N33:S34"/>
    <mergeCell ref="Z33:Z35"/>
    <mergeCell ref="AA33:AC35"/>
    <mergeCell ref="V34:X34"/>
    <mergeCell ref="H24:J29"/>
    <mergeCell ref="K24:K29"/>
    <mergeCell ref="V24:W24"/>
    <mergeCell ref="Z24:Z28"/>
    <mergeCell ref="V25:W25"/>
    <mergeCell ref="V26:W26"/>
    <mergeCell ref="H3:K4"/>
    <mergeCell ref="Z3:Z5"/>
    <mergeCell ref="AA3:AC5"/>
    <mergeCell ref="W4:X4"/>
    <mergeCell ref="C23:F23"/>
    <mergeCell ref="H23:K23"/>
    <mergeCell ref="W23:X23"/>
    <mergeCell ref="H6:J16"/>
    <mergeCell ref="K6:K16"/>
    <mergeCell ref="W6:X6"/>
    <mergeCell ref="H21:K22"/>
    <mergeCell ref="L21:M22"/>
    <mergeCell ref="N21:S22"/>
    <mergeCell ref="Z21:Z23"/>
    <mergeCell ref="V22:X22"/>
    <mergeCell ref="C5:F5"/>
    <mergeCell ref="H5:K5"/>
    <mergeCell ref="W5:X5"/>
    <mergeCell ref="Z6:Z10"/>
    <mergeCell ref="AA6:AC10"/>
    <mergeCell ref="W7:X7"/>
  </mergeCells>
  <phoneticPr fontId="5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>&amp;P ページ&amp;R&amp;A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Ｒ７年度</vt:lpstr>
      <vt:lpstr>１人目</vt:lpstr>
      <vt:lpstr>２人目</vt:lpstr>
      <vt:lpstr>３人目</vt:lpstr>
      <vt:lpstr>４人目</vt:lpstr>
      <vt:lpstr>５人目</vt:lpstr>
      <vt:lpstr>６人目</vt:lpstr>
      <vt:lpstr>７人目</vt:lpstr>
      <vt:lpstr>８人目</vt:lpstr>
      <vt:lpstr>９人目</vt:lpstr>
      <vt:lpstr>10人目</vt:lpstr>
      <vt:lpstr>'10人目'!Print_Area</vt:lpstr>
      <vt:lpstr>'１人目'!Print_Area</vt:lpstr>
      <vt:lpstr>'２人目'!Print_Area</vt:lpstr>
      <vt:lpstr>'３人目'!Print_Area</vt:lpstr>
      <vt:lpstr>'４人目'!Print_Area</vt:lpstr>
      <vt:lpstr>'５人目'!Print_Area</vt:lpstr>
      <vt:lpstr>'６人目'!Print_Area</vt:lpstr>
      <vt:lpstr>'７人目'!Print_Area</vt:lpstr>
      <vt:lpstr>'８人目'!Print_Area</vt:lpstr>
      <vt:lpstr>'９人目'!Print_Area</vt:lpstr>
      <vt:lpstr>'Ｒ７年度'!Print_Area</vt:lpstr>
    </vt:vector>
  </TitlesOfParts>
  <Company>Kyoto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2024-02-29T05:55:55Z</cp:lastPrinted>
  <dcterms:created xsi:type="dcterms:W3CDTF">2014-04-01T07:45:10Z</dcterms:created>
  <dcterms:modified xsi:type="dcterms:W3CDTF">2025-03-21T09:24:26Z</dcterms:modified>
  <cp:contentStatus/>
</cp:coreProperties>
</file>