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Docserve\docserve\free_space(2230020000)\【H29はぐくみ局移管先フォルダ】\０１企画\０６保育料\●無償化\●償還払い\●要綱・様式\②様式\③ホームページ\R011021\"/>
    </mc:Choice>
  </mc:AlternateContent>
  <xr:revisionPtr revIDLastSave="0" documentId="13_ncr:1_{EC299CB2-B853-455E-8252-AD99469A623A}" xr6:coauthVersionLast="36" xr6:coauthVersionMax="36" xr10:uidLastSave="{00000000-0000-0000-0000-000000000000}"/>
  <workbookProtection workbookAlgorithmName="SHA-512" workbookHashValue="CbM9JHPw8yjH+4XsayhH5C15gtZAfj/YlR+N2Kjdj07PbRIrRPiPBeskXhDfvSd2U2aSPU/GA1bWjOcw3Sqm3w==" workbookSaltValue="Hxad6nB9Yu9vro+EW2L/Tg==" workbookSpinCount="100000" lockStructure="1"/>
  <bookViews>
    <workbookView xWindow="0" yWindow="0" windowWidth="20490" windowHeight="7710" activeTab="1" xr2:uid="{89502E50-FA4D-4898-95AD-B28EB0E765D3}"/>
  </bookViews>
  <sheets>
    <sheet name="入力例" sheetId="6" r:id="rId1"/>
    <sheet name="入力用" sheetId="3" r:id="rId2"/>
    <sheet name="【触らない】【印刷用】提出シート" sheetId="1" r:id="rId3"/>
    <sheet name="【触らない】リスト" sheetId="2" state="hidden" r:id="rId4"/>
    <sheet name="【触らない】申請日付チェック" sheetId="5" state="hidden" r:id="rId5"/>
  </sheets>
  <definedNames>
    <definedName name="_xlnm.Print_Area" localSheetId="2">【触らない】【印刷用】提出シート!$A$1:$AB$82</definedName>
    <definedName name="_xlnm.Print_Area" localSheetId="1">入力用!$A$1:$K$269</definedName>
    <definedName name="_xlnm.Print_Area" localSheetId="0">入力例!$A$1:$K$269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25" i="3" l="1"/>
  <c r="H125" i="3"/>
  <c r="F125" i="3"/>
  <c r="E125" i="3"/>
  <c r="J124" i="3"/>
  <c r="H124" i="3"/>
  <c r="F124" i="3"/>
  <c r="E124" i="3"/>
  <c r="E121" i="3"/>
  <c r="E117" i="3"/>
  <c r="O91" i="3" l="1"/>
  <c r="O75" i="3"/>
  <c r="N75" i="3"/>
  <c r="N59" i="3"/>
  <c r="M59" i="3"/>
  <c r="M121" i="3" l="1"/>
  <c r="N229" i="3" l="1"/>
  <c r="N172" i="3"/>
  <c r="M229" i="3"/>
  <c r="N138" i="3" l="1"/>
  <c r="O47" i="3"/>
  <c r="O46" i="3"/>
  <c r="Q265" i="3"/>
  <c r="Q256" i="3"/>
  <c r="Q208" i="3"/>
  <c r="Q166" i="3"/>
  <c r="Q157" i="3"/>
  <c r="H138" i="3" l="1"/>
  <c r="M33" i="3"/>
  <c r="N237" i="6" l="1"/>
  <c r="N180" i="6"/>
  <c r="N138" i="6"/>
  <c r="J125" i="6"/>
  <c r="H125" i="6"/>
  <c r="F125" i="6"/>
  <c r="E125" i="6"/>
  <c r="J124" i="6"/>
  <c r="H124" i="6"/>
  <c r="F124" i="6"/>
  <c r="E124" i="6"/>
  <c r="E121" i="6"/>
  <c r="N236" i="6" s="1"/>
  <c r="E119" i="6"/>
  <c r="E117" i="6"/>
  <c r="H103" i="6"/>
  <c r="H104" i="6" s="1"/>
  <c r="H87" i="6"/>
  <c r="H88" i="6" s="1"/>
  <c r="H71" i="6"/>
  <c r="H72" i="6" s="1"/>
  <c r="P236" i="6" l="1"/>
  <c r="H237" i="6" s="1"/>
  <c r="N269" i="6" s="1"/>
  <c r="N179" i="6"/>
  <c r="N137" i="6"/>
  <c r="E119" i="3"/>
  <c r="P137" i="6" l="1"/>
  <c r="H138" i="6" s="1"/>
  <c r="N170" i="6" s="1"/>
  <c r="P179" i="6"/>
  <c r="H180" i="6" s="1"/>
  <c r="N212" i="6" s="1"/>
  <c r="H269" i="6"/>
  <c r="D6" i="5"/>
  <c r="H6" i="5"/>
  <c r="F6" i="5"/>
  <c r="D5" i="5"/>
  <c r="H5" i="5"/>
  <c r="F5" i="5"/>
  <c r="M13" i="3"/>
  <c r="H4" i="5"/>
  <c r="F4" i="5"/>
  <c r="D4" i="5"/>
  <c r="M43" i="3"/>
  <c r="Q52" i="3"/>
  <c r="P52" i="3"/>
  <c r="O52" i="3"/>
  <c r="H12" i="5"/>
  <c r="F12" i="5"/>
  <c r="D12" i="5"/>
  <c r="H11" i="5"/>
  <c r="F11" i="5"/>
  <c r="D11" i="5"/>
  <c r="Q51" i="3"/>
  <c r="P51" i="3"/>
  <c r="O51" i="3"/>
  <c r="M52" i="3"/>
  <c r="M51" i="3"/>
  <c r="H212" i="6" l="1"/>
  <c r="H170" i="6"/>
  <c r="J6" i="5"/>
  <c r="L6" i="5" s="1"/>
  <c r="N34" i="3" s="1"/>
  <c r="J5" i="5"/>
  <c r="L5" i="5" s="1"/>
  <c r="N22" i="3" s="1"/>
  <c r="J4" i="5"/>
  <c r="L4" i="5" s="1"/>
  <c r="N13" i="3" s="1"/>
  <c r="J11" i="5"/>
  <c r="J12" i="5"/>
  <c r="L12" i="5" s="1"/>
  <c r="N52" i="3" s="1"/>
  <c r="N91" i="3"/>
  <c r="P267" i="3"/>
  <c r="P265" i="3"/>
  <c r="P264" i="3"/>
  <c r="P258" i="3"/>
  <c r="P256" i="3"/>
  <c r="P255" i="3"/>
  <c r="P249" i="3"/>
  <c r="P247" i="3"/>
  <c r="P246" i="3"/>
  <c r="P210" i="3"/>
  <c r="P208" i="3"/>
  <c r="P207" i="3"/>
  <c r="P201" i="3"/>
  <c r="P199" i="3"/>
  <c r="P198" i="3"/>
  <c r="P192" i="3"/>
  <c r="P190" i="3"/>
  <c r="P189" i="3"/>
  <c r="P168" i="3"/>
  <c r="P166" i="3"/>
  <c r="P165" i="3"/>
  <c r="P159" i="3"/>
  <c r="P157" i="3"/>
  <c r="P156" i="3"/>
  <c r="P150" i="3"/>
  <c r="P148" i="3"/>
  <c r="P147" i="3"/>
  <c r="F16" i="5"/>
  <c r="F15" i="5"/>
  <c r="Q47" i="3"/>
  <c r="Q46" i="3"/>
  <c r="P47" i="3"/>
  <c r="P46" i="3"/>
  <c r="M119" i="3"/>
  <c r="M117" i="3"/>
  <c r="Q18" i="1"/>
  <c r="S20" i="1"/>
  <c r="M21" i="3"/>
  <c r="M91" i="3"/>
  <c r="M75" i="3"/>
  <c r="E50" i="2"/>
  <c r="E51" i="2" s="1"/>
  <c r="F91" i="5"/>
  <c r="J91" i="5" s="1"/>
  <c r="D91" i="5"/>
  <c r="J90" i="5" s="1"/>
  <c r="L90" i="5" s="1"/>
  <c r="F87" i="5"/>
  <c r="J87" i="5" s="1"/>
  <c r="D87" i="5"/>
  <c r="J86" i="5" s="1"/>
  <c r="L86" i="5" s="1"/>
  <c r="F83" i="5"/>
  <c r="D83" i="5"/>
  <c r="F79" i="5"/>
  <c r="D79" i="5"/>
  <c r="J78" i="5" s="1"/>
  <c r="L78" i="5" s="1"/>
  <c r="F78" i="5"/>
  <c r="F82" i="5" s="1"/>
  <c r="F86" i="5" s="1"/>
  <c r="F90" i="5" s="1"/>
  <c r="D78" i="5"/>
  <c r="D82" i="5" s="1"/>
  <c r="N237" i="3"/>
  <c r="H237" i="3" s="1"/>
  <c r="M234" i="3"/>
  <c r="J79" i="5" l="1"/>
  <c r="J83" i="5"/>
  <c r="P78" i="5" s="1"/>
  <c r="J82" i="5"/>
  <c r="H15" i="5"/>
  <c r="L11" i="5"/>
  <c r="N51" i="3" s="1"/>
  <c r="R52" i="3"/>
  <c r="H63" i="1"/>
  <c r="H16" i="5"/>
  <c r="O16" i="5" s="1"/>
  <c r="D16" i="5"/>
  <c r="D15" i="5"/>
  <c r="H50" i="1"/>
  <c r="D37" i="1"/>
  <c r="H37" i="1"/>
  <c r="D50" i="1"/>
  <c r="L83" i="5"/>
  <c r="E53" i="2"/>
  <c r="E52" i="2"/>
  <c r="L87" i="5"/>
  <c r="L91" i="5"/>
  <c r="L79" i="5"/>
  <c r="D86" i="5"/>
  <c r="N78" i="5"/>
  <c r="M79" i="5"/>
  <c r="P232" i="3" s="1"/>
  <c r="S40" i="1"/>
  <c r="E44" i="2"/>
  <c r="E45" i="2" s="1"/>
  <c r="F73" i="5"/>
  <c r="J73" i="5" s="1"/>
  <c r="D73" i="5"/>
  <c r="J72" i="5" s="1"/>
  <c r="L72" i="5" s="1"/>
  <c r="F69" i="5"/>
  <c r="D69" i="5"/>
  <c r="F65" i="5"/>
  <c r="D65" i="5"/>
  <c r="F61" i="5"/>
  <c r="J61" i="5" s="1"/>
  <c r="D61" i="5"/>
  <c r="J60" i="5" s="1"/>
  <c r="F60" i="5"/>
  <c r="F64" i="5" s="1"/>
  <c r="F68" i="5" s="1"/>
  <c r="F72" i="5" s="1"/>
  <c r="D60" i="5"/>
  <c r="D64" i="5" s="1"/>
  <c r="N180" i="3"/>
  <c r="H180" i="3" s="1"/>
  <c r="M177" i="3"/>
  <c r="F55" i="5"/>
  <c r="J55" i="5" s="1"/>
  <c r="D55" i="5"/>
  <c r="J54" i="5" s="1"/>
  <c r="L54" i="5" s="1"/>
  <c r="F51" i="5"/>
  <c r="J51" i="5" s="1"/>
  <c r="D51" i="5"/>
  <c r="J50" i="5" s="1"/>
  <c r="L50" i="5" s="1"/>
  <c r="F47" i="5"/>
  <c r="D47" i="5"/>
  <c r="L60" i="5" l="1"/>
  <c r="A40" i="1"/>
  <c r="H40" i="1"/>
  <c r="N82" i="5"/>
  <c r="L82" i="5"/>
  <c r="M83" i="5"/>
  <c r="Q247" i="3" s="1"/>
  <c r="P77" i="5"/>
  <c r="P76" i="5" s="1"/>
  <c r="J64" i="5"/>
  <c r="J65" i="5"/>
  <c r="M65" i="5" s="1"/>
  <c r="Q190" i="3" s="1"/>
  <c r="L69" i="5"/>
  <c r="X45" i="1"/>
  <c r="S44" i="1"/>
  <c r="I43" i="1"/>
  <c r="X44" i="1"/>
  <c r="S43" i="1"/>
  <c r="B45" i="1"/>
  <c r="X43" i="1"/>
  <c r="I45" i="1"/>
  <c r="B44" i="1"/>
  <c r="S45" i="1"/>
  <c r="I44" i="1"/>
  <c r="B43" i="1"/>
  <c r="S53" i="1"/>
  <c r="P53" i="1" s="1"/>
  <c r="B56" i="1"/>
  <c r="P40" i="1"/>
  <c r="D63" i="1"/>
  <c r="L55" i="5"/>
  <c r="L73" i="5"/>
  <c r="D90" i="5"/>
  <c r="M87" i="5"/>
  <c r="N86" i="5"/>
  <c r="E47" i="2"/>
  <c r="E46" i="2"/>
  <c r="L65" i="5"/>
  <c r="L61" i="5"/>
  <c r="D68" i="5"/>
  <c r="J68" i="5" s="1"/>
  <c r="N60" i="5"/>
  <c r="M61" i="5"/>
  <c r="P175" i="3" s="1"/>
  <c r="L51" i="5"/>
  <c r="F42" i="5"/>
  <c r="F46" i="5" s="1"/>
  <c r="F50" i="5" s="1"/>
  <c r="F54" i="5" s="1"/>
  <c r="D42" i="5"/>
  <c r="D46" i="5" s="1"/>
  <c r="L47" i="5"/>
  <c r="F33" i="1"/>
  <c r="F32" i="1"/>
  <c r="F31" i="1"/>
  <c r="Q29" i="1"/>
  <c r="D29" i="1"/>
  <c r="E38" i="2"/>
  <c r="E39" i="2" s="1"/>
  <c r="M63" i="3"/>
  <c r="M79" i="3"/>
  <c r="M95" i="3"/>
  <c r="M135" i="3"/>
  <c r="F43" i="5"/>
  <c r="D43" i="5"/>
  <c r="E14" i="5"/>
  <c r="F34" i="5"/>
  <c r="D34" i="5"/>
  <c r="F33" i="5"/>
  <c r="D33" i="5"/>
  <c r="F28" i="5"/>
  <c r="D28" i="5"/>
  <c r="H103" i="3"/>
  <c r="H87" i="3"/>
  <c r="F27" i="5"/>
  <c r="D27" i="5"/>
  <c r="D10" i="5"/>
  <c r="F10" i="5"/>
  <c r="H10" i="5"/>
  <c r="F22" i="5"/>
  <c r="D22" i="5"/>
  <c r="F21" i="5"/>
  <c r="D21" i="5"/>
  <c r="H71" i="3"/>
  <c r="H9" i="5"/>
  <c r="F9" i="5"/>
  <c r="D9" i="5"/>
  <c r="E8" i="5"/>
  <c r="M34" i="3"/>
  <c r="M22" i="3"/>
  <c r="E32" i="2"/>
  <c r="E33" i="2" s="1"/>
  <c r="E26" i="2"/>
  <c r="E27" i="2" s="1"/>
  <c r="E20" i="2"/>
  <c r="E21" i="2" s="1"/>
  <c r="E14" i="2"/>
  <c r="E15" i="2" s="1"/>
  <c r="E8" i="2"/>
  <c r="E9" i="2" s="1"/>
  <c r="E2" i="2"/>
  <c r="E3" i="2" s="1"/>
  <c r="E4" i="2" s="1"/>
  <c r="M4" i="3"/>
  <c r="O23" i="1"/>
  <c r="V24" i="1"/>
  <c r="S24" i="1"/>
  <c r="Z17" i="1"/>
  <c r="W17" i="1"/>
  <c r="Z1" i="1"/>
  <c r="W1" i="1"/>
  <c r="S33" i="1" l="1"/>
  <c r="N32" i="1"/>
  <c r="I31" i="1"/>
  <c r="S32" i="1"/>
  <c r="N31" i="1"/>
  <c r="S31" i="1"/>
  <c r="I33" i="1"/>
  <c r="N33" i="1"/>
  <c r="I32" i="1"/>
  <c r="J42" i="5"/>
  <c r="L42" i="5" s="1"/>
  <c r="J43" i="5"/>
  <c r="P26" i="5" s="1"/>
  <c r="Q26" i="5" s="1"/>
  <c r="J21" i="5"/>
  <c r="J22" i="5"/>
  <c r="H53" i="1"/>
  <c r="A53" i="1"/>
  <c r="J33" i="5"/>
  <c r="J34" i="5"/>
  <c r="J28" i="5"/>
  <c r="J27" i="5"/>
  <c r="N64" i="5"/>
  <c r="L64" i="5"/>
  <c r="P59" i="5"/>
  <c r="L68" i="5"/>
  <c r="J47" i="5"/>
  <c r="P42" i="5" s="1"/>
  <c r="J46" i="5"/>
  <c r="J69" i="5"/>
  <c r="P60" i="5" s="1"/>
  <c r="X46" i="1"/>
  <c r="M11" i="3"/>
  <c r="H88" i="3"/>
  <c r="X32" i="1" s="1"/>
  <c r="H104" i="3"/>
  <c r="X33" i="1" s="1"/>
  <c r="H72" i="3"/>
  <c r="X31" i="1" s="1"/>
  <c r="M46" i="3"/>
  <c r="M172" i="3"/>
  <c r="S71" i="1"/>
  <c r="S70" i="1"/>
  <c r="S69" i="1"/>
  <c r="I71" i="1"/>
  <c r="I70" i="1"/>
  <c r="I69" i="1"/>
  <c r="B71" i="1"/>
  <c r="B70" i="1"/>
  <c r="B69" i="1"/>
  <c r="X71" i="1"/>
  <c r="X70" i="1"/>
  <c r="X69" i="1"/>
  <c r="S66" i="1"/>
  <c r="A66" i="1" s="1"/>
  <c r="M91" i="5"/>
  <c r="N90" i="5"/>
  <c r="D50" i="5"/>
  <c r="S58" i="1"/>
  <c r="S57" i="1"/>
  <c r="X56" i="1"/>
  <c r="I58" i="1"/>
  <c r="I57" i="1"/>
  <c r="S56" i="1"/>
  <c r="X57" i="1"/>
  <c r="I56" i="1"/>
  <c r="X58" i="1"/>
  <c r="B58" i="1"/>
  <c r="B57" i="1"/>
  <c r="D72" i="5"/>
  <c r="N68" i="5"/>
  <c r="M130" i="3"/>
  <c r="M124" i="3"/>
  <c r="M125" i="3"/>
  <c r="E41" i="2"/>
  <c r="E40" i="2"/>
  <c r="J16" i="5"/>
  <c r="P80" i="5" s="1"/>
  <c r="L43" i="5"/>
  <c r="J15" i="5"/>
  <c r="P75" i="5" s="1"/>
  <c r="Q76" i="5" s="1"/>
  <c r="J9" i="5"/>
  <c r="N12" i="5" s="1"/>
  <c r="J10" i="5"/>
  <c r="N11" i="5" s="1"/>
  <c r="M47" i="3"/>
  <c r="E34" i="2"/>
  <c r="E35" i="2"/>
  <c r="E29" i="2"/>
  <c r="E28" i="2"/>
  <c r="E23" i="2"/>
  <c r="E22" i="2"/>
  <c r="E16" i="2"/>
  <c r="E17" i="2"/>
  <c r="E11" i="2"/>
  <c r="E10" i="2"/>
  <c r="E5" i="2"/>
  <c r="S1" i="1" s="1"/>
  <c r="P25" i="5" l="1"/>
  <c r="Q25" i="5" s="1"/>
  <c r="P24" i="5"/>
  <c r="Q24" i="5" s="1"/>
  <c r="P23" i="5"/>
  <c r="Q23" i="5" s="1"/>
  <c r="H66" i="1"/>
  <c r="N42" i="5"/>
  <c r="P58" i="5"/>
  <c r="P41" i="5"/>
  <c r="P40" i="5" s="1"/>
  <c r="L46" i="5"/>
  <c r="L41" i="5" s="1"/>
  <c r="M47" i="5"/>
  <c r="Q148" i="3" s="1"/>
  <c r="P44" i="5"/>
  <c r="P62" i="5"/>
  <c r="P39" i="5"/>
  <c r="P57" i="5"/>
  <c r="N46" i="5"/>
  <c r="M43" i="5"/>
  <c r="P133" i="3" s="1"/>
  <c r="N15" i="5"/>
  <c r="L15" i="5"/>
  <c r="M69" i="5"/>
  <c r="Q199" i="3" s="1"/>
  <c r="L16" i="5"/>
  <c r="O125" i="3" s="1"/>
  <c r="N16" i="5"/>
  <c r="E30" i="5"/>
  <c r="L27" i="5"/>
  <c r="G36" i="5"/>
  <c r="L34" i="5"/>
  <c r="P93" i="3" s="1"/>
  <c r="E36" i="5"/>
  <c r="L33" i="5"/>
  <c r="G30" i="5"/>
  <c r="L28" i="5"/>
  <c r="P77" i="3" s="1"/>
  <c r="E24" i="5"/>
  <c r="L21" i="5"/>
  <c r="G24" i="5"/>
  <c r="L22" i="5"/>
  <c r="P61" i="3" s="1"/>
  <c r="G23" i="5"/>
  <c r="O12" i="5"/>
  <c r="S52" i="3" s="1"/>
  <c r="L9" i="5"/>
  <c r="N46" i="3" s="1"/>
  <c r="O11" i="5"/>
  <c r="S51" i="3" s="1"/>
  <c r="L10" i="5"/>
  <c r="N47" i="3" s="1"/>
  <c r="R47" i="3"/>
  <c r="X66" i="1"/>
  <c r="N125" i="3"/>
  <c r="A33" i="1"/>
  <c r="A31" i="1"/>
  <c r="E88" i="5"/>
  <c r="N124" i="3"/>
  <c r="G31" i="5"/>
  <c r="O77" i="3" s="1"/>
  <c r="G37" i="5"/>
  <c r="O93" i="3" s="1"/>
  <c r="E31" i="5"/>
  <c r="E29" i="5"/>
  <c r="E66" i="5"/>
  <c r="E62" i="5"/>
  <c r="E37" i="5"/>
  <c r="E35" i="5"/>
  <c r="E48" i="5"/>
  <c r="N148" i="3" s="1"/>
  <c r="E44" i="5"/>
  <c r="E84" i="5"/>
  <c r="E80" i="5"/>
  <c r="G35" i="5"/>
  <c r="G29" i="5"/>
  <c r="E70" i="5"/>
  <c r="G92" i="5"/>
  <c r="G84" i="5"/>
  <c r="G66" i="5"/>
  <c r="G48" i="5"/>
  <c r="G88" i="5"/>
  <c r="G80" i="5"/>
  <c r="G70" i="5"/>
  <c r="G62" i="5"/>
  <c r="G44" i="5"/>
  <c r="E92" i="5"/>
  <c r="G25" i="5"/>
  <c r="O61" i="3" s="1"/>
  <c r="E23" i="5"/>
  <c r="E25" i="5"/>
  <c r="X72" i="1"/>
  <c r="P66" i="1"/>
  <c r="L77" i="5"/>
  <c r="P79" i="5" s="1"/>
  <c r="Q79" i="5" s="1"/>
  <c r="X59" i="1"/>
  <c r="D54" i="5"/>
  <c r="M51" i="5"/>
  <c r="M73" i="5"/>
  <c r="A32" i="1"/>
  <c r="O24" i="1"/>
  <c r="S17" i="1"/>
  <c r="P22" i="5" l="1"/>
  <c r="Q22" i="5" s="1"/>
  <c r="P21" i="5"/>
  <c r="Q58" i="5"/>
  <c r="Q40" i="5"/>
  <c r="O64" i="5"/>
  <c r="O15" i="5"/>
  <c r="O46" i="5" s="1"/>
  <c r="I29" i="5"/>
  <c r="N76" i="3" s="1"/>
  <c r="E74" i="5"/>
  <c r="N208" i="3" s="1"/>
  <c r="N72" i="5"/>
  <c r="E52" i="5"/>
  <c r="N157" i="3" s="1"/>
  <c r="N50" i="5"/>
  <c r="O124" i="3"/>
  <c r="I23" i="5"/>
  <c r="N60" i="3" s="1"/>
  <c r="K35" i="5"/>
  <c r="O92" i="3" s="1"/>
  <c r="I35" i="5"/>
  <c r="N92" i="3" s="1"/>
  <c r="K29" i="5"/>
  <c r="O76" i="3" s="1"/>
  <c r="K23" i="5"/>
  <c r="O60" i="3" s="1"/>
  <c r="M50" i="3"/>
  <c r="M45" i="3"/>
  <c r="N61" i="3"/>
  <c r="N93" i="3"/>
  <c r="N77" i="3"/>
  <c r="O199" i="3"/>
  <c r="O190" i="3"/>
  <c r="O232" i="3"/>
  <c r="O247" i="3"/>
  <c r="O133" i="3"/>
  <c r="O256" i="3"/>
  <c r="O265" i="3"/>
  <c r="O175" i="3"/>
  <c r="O148" i="3"/>
  <c r="N133" i="3"/>
  <c r="N190" i="3"/>
  <c r="N265" i="3"/>
  <c r="N232" i="3"/>
  <c r="N175" i="3"/>
  <c r="N199" i="3"/>
  <c r="N247" i="3"/>
  <c r="N256" i="3"/>
  <c r="X53" i="1"/>
  <c r="G52" i="5"/>
  <c r="G74" i="5"/>
  <c r="M55" i="5"/>
  <c r="L59" i="5"/>
  <c r="P61" i="5" s="1"/>
  <c r="Q61" i="5" s="1"/>
  <c r="Q21" i="5" l="1"/>
  <c r="Q39" i="5" s="1"/>
  <c r="Q77" i="5"/>
  <c r="Q59" i="5"/>
  <c r="Q41" i="5"/>
  <c r="S41" i="5" s="1"/>
  <c r="M74" i="3"/>
  <c r="M58" i="3"/>
  <c r="M90" i="3"/>
  <c r="O90" i="5"/>
  <c r="O68" i="5"/>
  <c r="O82" i="5"/>
  <c r="O86" i="5"/>
  <c r="O72" i="5"/>
  <c r="O50" i="5"/>
  <c r="E56" i="5"/>
  <c r="N166" i="3" s="1"/>
  <c r="N54" i="5"/>
  <c r="O208" i="3"/>
  <c r="M185" i="3" s="1"/>
  <c r="M171" i="3" s="1"/>
  <c r="O157" i="3"/>
  <c r="M242" i="3"/>
  <c r="M228" i="3" s="1"/>
  <c r="G56" i="5"/>
  <c r="Q57" i="5" l="1"/>
  <c r="Q60" i="5" s="1"/>
  <c r="S60" i="5" s="1"/>
  <c r="Q75" i="5"/>
  <c r="Q78" i="5" s="1"/>
  <c r="R78" i="5" s="1"/>
  <c r="S77" i="5"/>
  <c r="R41" i="5"/>
  <c r="Q42" i="5"/>
  <c r="S42" i="5" s="1"/>
  <c r="R77" i="5"/>
  <c r="R59" i="5"/>
  <c r="P43" i="5"/>
  <c r="Q43" i="5" s="1"/>
  <c r="O74" i="5"/>
  <c r="P212" i="3" s="1"/>
  <c r="O92" i="5"/>
  <c r="P269" i="3" s="1"/>
  <c r="O54" i="5"/>
  <c r="O56" i="5" s="1"/>
  <c r="P170" i="3" s="1"/>
  <c r="O170" i="3" s="1"/>
  <c r="M37" i="3"/>
  <c r="X40" i="1"/>
  <c r="O166" i="3"/>
  <c r="M143" i="3" s="1"/>
  <c r="R60" i="5" l="1"/>
  <c r="R42" i="5"/>
  <c r="R43" i="5" s="1"/>
  <c r="S43" i="5"/>
  <c r="R79" i="5"/>
  <c r="R61" i="5"/>
  <c r="S59" i="5"/>
  <c r="S61" i="5" s="1"/>
  <c r="S78" i="5"/>
  <c r="S79" i="5" s="1"/>
  <c r="O269" i="3"/>
  <c r="N269" i="3" s="1"/>
  <c r="O212" i="3"/>
  <c r="N212" i="3" s="1"/>
  <c r="N170" i="3"/>
  <c r="M129" i="3"/>
  <c r="M114" i="3" s="1"/>
  <c r="M9" i="3" s="1"/>
  <c r="D24" i="1" s="1"/>
  <c r="Q170" i="3" l="1"/>
  <c r="H170" i="3" s="1"/>
  <c r="X47" i="1" s="1"/>
  <c r="X48" i="1" s="1"/>
  <c r="Q269" i="3"/>
  <c r="H269" i="3" s="1"/>
  <c r="X73" i="1" s="1"/>
  <c r="X74" i="1" s="1"/>
  <c r="Q212" i="3"/>
  <c r="H212" i="3" s="1"/>
  <c r="X60" i="1" s="1"/>
  <c r="X61" i="1" s="1"/>
  <c r="D23" i="1"/>
  <c r="D17" i="1"/>
  <c r="N17" i="1"/>
  <c r="D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いのうえ</author>
  </authors>
  <commentList>
    <comment ref="M3" authorId="0" shapeId="0" xr:uid="{61A8752D-1ADB-4A90-BB6B-F23CE23C94A0}">
      <text>
        <r>
          <rPr>
            <sz val="9"/>
            <color indexed="81"/>
            <rFont val="MS P ゴシック"/>
            <family val="3"/>
            <charset val="128"/>
          </rPr>
          <t>申請時期に応じて，入力しなおしてください。</t>
        </r>
      </text>
    </comment>
  </commentList>
</comments>
</file>

<file path=xl/sharedStrings.xml><?xml version="1.0" encoding="utf-8"?>
<sst xmlns="http://schemas.openxmlformats.org/spreadsheetml/2006/main" count="1346" uniqueCount="245">
  <si>
    <t>日</t>
    <rPh sb="0" eb="1">
      <t>ニチ</t>
    </rPh>
    <phoneticPr fontId="2"/>
  </si>
  <si>
    <t>年</t>
    <rPh sb="0" eb="1">
      <t>ネン</t>
    </rPh>
    <phoneticPr fontId="2"/>
  </si>
  <si>
    <t>申請日：</t>
    <rPh sb="0" eb="2">
      <t>シンセイ</t>
    </rPh>
    <rPh sb="2" eb="3">
      <t>ビ</t>
    </rPh>
    <phoneticPr fontId="2"/>
  </si>
  <si>
    <t>（宛先）京都市長</t>
    <rPh sb="1" eb="3">
      <t>アテサキ</t>
    </rPh>
    <rPh sb="4" eb="8">
      <t>キョウトシチョウ</t>
    </rPh>
    <phoneticPr fontId="2"/>
  </si>
  <si>
    <t>＜同意事項＞</t>
  </si>
  <si>
    <t>１　施設等利用給付認定保護者（申請者）</t>
    <rPh sb="2" eb="4">
      <t>シセツ</t>
    </rPh>
    <rPh sb="4" eb="5">
      <t>トウ</t>
    </rPh>
    <rPh sb="5" eb="7">
      <t>リヨウ</t>
    </rPh>
    <rPh sb="7" eb="9">
      <t>キュウフ</t>
    </rPh>
    <rPh sb="9" eb="11">
      <t>ニンテイ</t>
    </rPh>
    <rPh sb="11" eb="14">
      <t>ホゴシャ</t>
    </rPh>
    <rPh sb="15" eb="18">
      <t>シンセイシャ</t>
    </rPh>
    <phoneticPr fontId="2"/>
  </si>
  <si>
    <t>フリガナ</t>
    <phoneticPr fontId="2"/>
  </si>
  <si>
    <t>生年月日</t>
    <rPh sb="0" eb="2">
      <t>セイネン</t>
    </rPh>
    <rPh sb="2" eb="4">
      <t>ガッピ</t>
    </rPh>
    <phoneticPr fontId="2"/>
  </si>
  <si>
    <t>現住所</t>
    <rPh sb="0" eb="3">
      <t>ゲンジュウショ</t>
    </rPh>
    <phoneticPr fontId="2"/>
  </si>
  <si>
    <t>月</t>
    <rPh sb="0" eb="1">
      <t>ガツ</t>
    </rPh>
    <phoneticPr fontId="2"/>
  </si>
  <si>
    <t>電話：</t>
    <rPh sb="0" eb="2">
      <t>デンワ</t>
    </rPh>
    <phoneticPr fontId="2"/>
  </si>
  <si>
    <t>氏　名</t>
    <rPh sb="0" eb="1">
      <t>シ</t>
    </rPh>
    <rPh sb="2" eb="3">
      <t>メイ</t>
    </rPh>
    <phoneticPr fontId="2"/>
  </si>
  <si>
    <t>２　認定子ども（認定子どもごとに申請してください。）</t>
    <rPh sb="2" eb="4">
      <t>ニンテイ</t>
    </rPh>
    <rPh sb="4" eb="5">
      <t>コ</t>
    </rPh>
    <rPh sb="8" eb="10">
      <t>ニンテイ</t>
    </rPh>
    <rPh sb="10" eb="11">
      <t>コ</t>
    </rPh>
    <rPh sb="16" eb="18">
      <t>シンセイ</t>
    </rPh>
    <phoneticPr fontId="2"/>
  </si>
  <si>
    <t>認定番号</t>
    <rPh sb="0" eb="2">
      <t>ニンテイ</t>
    </rPh>
    <rPh sb="2" eb="4">
      <t>バンゴウ</t>
    </rPh>
    <phoneticPr fontId="2"/>
  </si>
  <si>
    <r>
      <t xml:space="preserve">所在地
</t>
    </r>
    <r>
      <rPr>
        <sz val="6"/>
        <color theme="1"/>
        <rFont val="ＭＳ 明朝"/>
        <family val="1"/>
        <charset val="128"/>
      </rPr>
      <t>（京都市外の場合のみ記入）</t>
    </r>
    <rPh sb="0" eb="2">
      <t>ショザイ</t>
    </rPh>
    <rPh sb="2" eb="3">
      <t>チ</t>
    </rPh>
    <rPh sb="5" eb="8">
      <t>キョウトシ</t>
    </rPh>
    <rPh sb="8" eb="9">
      <t>ガイ</t>
    </rPh>
    <rPh sb="10" eb="12">
      <t>バアイ</t>
    </rPh>
    <rPh sb="14" eb="16">
      <t>キニュウ</t>
    </rPh>
    <phoneticPr fontId="2"/>
  </si>
  <si>
    <t>申請額</t>
    <rPh sb="0" eb="3">
      <t>シンセイガク</t>
    </rPh>
    <phoneticPr fontId="2"/>
  </si>
  <si>
    <t>利用日数</t>
    <rPh sb="0" eb="2">
      <t>リヨウ</t>
    </rPh>
    <rPh sb="2" eb="4">
      <t>ニッスウ</t>
    </rPh>
    <phoneticPr fontId="2"/>
  </si>
  <si>
    <t>月</t>
    <rPh sb="0" eb="1">
      <t>ツキ</t>
    </rPh>
    <phoneticPr fontId="2"/>
  </si>
  <si>
    <t>円</t>
    <rPh sb="0" eb="1">
      <t>エン</t>
    </rPh>
    <phoneticPr fontId="2"/>
  </si>
  <si>
    <t>利用年月</t>
    <rPh sb="0" eb="2">
      <t>リヨウ</t>
    </rPh>
    <rPh sb="2" eb="4">
      <t>ネンゲツ</t>
    </rPh>
    <phoneticPr fontId="2"/>
  </si>
  <si>
    <t>保育料①</t>
    <rPh sb="0" eb="2">
      <t>ホイク</t>
    </rPh>
    <rPh sb="2" eb="3">
      <t>リョウ</t>
    </rPh>
    <phoneticPr fontId="2"/>
  </si>
  <si>
    <t>入園料(月割)②</t>
    <rPh sb="0" eb="3">
      <t>ニュウエンリョウ</t>
    </rPh>
    <rPh sb="4" eb="6">
      <t>ツキワリ</t>
    </rPh>
    <phoneticPr fontId="2"/>
  </si>
  <si>
    <t>費用計①＋②</t>
    <rPh sb="0" eb="2">
      <t>ヒヨウ</t>
    </rPh>
    <rPh sb="2" eb="3">
      <t>ケイ</t>
    </rPh>
    <phoneticPr fontId="2"/>
  </si>
  <si>
    <t>印</t>
    <rPh sb="0" eb="1">
      <t>イン</t>
    </rPh>
    <phoneticPr fontId="2"/>
  </si>
  <si>
    <t>　</t>
    <phoneticPr fontId="2"/>
  </si>
  <si>
    <t>３　施設等利用費（幼稚園）の申請内容</t>
    <rPh sb="2" eb="4">
      <t>シセツ</t>
    </rPh>
    <rPh sb="4" eb="5">
      <t>トウ</t>
    </rPh>
    <rPh sb="5" eb="7">
      <t>リヨウ</t>
    </rPh>
    <rPh sb="7" eb="8">
      <t>ヒ</t>
    </rPh>
    <rPh sb="9" eb="12">
      <t>ヨウチエン</t>
    </rPh>
    <rPh sb="14" eb="16">
      <t>シンセイ</t>
    </rPh>
    <rPh sb="16" eb="18">
      <t>ナイヨウ</t>
    </rPh>
    <phoneticPr fontId="2"/>
  </si>
  <si>
    <t>支援の内容</t>
    <rPh sb="0" eb="2">
      <t>シエン</t>
    </rPh>
    <rPh sb="3" eb="5">
      <t>ナイヨウ</t>
    </rPh>
    <phoneticPr fontId="2"/>
  </si>
  <si>
    <r>
      <t>４　施設等利用費（預かり保育・認可外保育施設等</t>
    </r>
    <r>
      <rPr>
        <sz val="8"/>
        <color theme="1"/>
        <rFont val="ＭＳ 明朝"/>
        <family val="1"/>
        <charset val="128"/>
      </rPr>
      <t>※</t>
    </r>
    <r>
      <rPr>
        <sz val="10.5"/>
        <color theme="1"/>
        <rFont val="ＭＳ 明朝"/>
        <family val="1"/>
        <charset val="128"/>
      </rPr>
      <t>）の申請内容</t>
    </r>
    <rPh sb="2" eb="4">
      <t>シセツ</t>
    </rPh>
    <rPh sb="4" eb="5">
      <t>トウ</t>
    </rPh>
    <rPh sb="5" eb="7">
      <t>リヨウ</t>
    </rPh>
    <rPh sb="7" eb="8">
      <t>ヒ</t>
    </rPh>
    <rPh sb="9" eb="10">
      <t>アズ</t>
    </rPh>
    <rPh sb="12" eb="14">
      <t>ホイク</t>
    </rPh>
    <rPh sb="15" eb="17">
      <t>ニンカ</t>
    </rPh>
    <rPh sb="17" eb="18">
      <t>ガイ</t>
    </rPh>
    <rPh sb="18" eb="20">
      <t>ホイク</t>
    </rPh>
    <rPh sb="20" eb="23">
      <t>シセツトウ</t>
    </rPh>
    <rPh sb="26" eb="28">
      <t>シンセイ</t>
    </rPh>
    <rPh sb="28" eb="30">
      <t>ナイヨウ</t>
    </rPh>
    <phoneticPr fontId="2"/>
  </si>
  <si>
    <t>計</t>
    <rPh sb="0" eb="1">
      <t>ケイ</t>
    </rPh>
    <phoneticPr fontId="2"/>
  </si>
  <si>
    <t>利用料・保育料</t>
    <rPh sb="0" eb="2">
      <t>リヨウ</t>
    </rPh>
    <rPh sb="2" eb="3">
      <t>リョウ</t>
    </rPh>
    <rPh sb="4" eb="6">
      <t>ホイク</t>
    </rPh>
    <rPh sb="6" eb="7">
      <t>リョウ</t>
    </rPh>
    <phoneticPr fontId="2"/>
  </si>
  <si>
    <t>施設・事業所の名称</t>
    <rPh sb="0" eb="2">
      <t>シセツ</t>
    </rPh>
    <rPh sb="3" eb="6">
      <t>ジギョウショ</t>
    </rPh>
    <rPh sb="7" eb="9">
      <t>メイショウ</t>
    </rPh>
    <phoneticPr fontId="2"/>
  </si>
  <si>
    <t>施設の名称</t>
    <rPh sb="0" eb="2">
      <t>シセツ</t>
    </rPh>
    <rPh sb="3" eb="5">
      <t>メイショウ</t>
    </rPh>
    <phoneticPr fontId="2"/>
  </si>
  <si>
    <t>【預かり保育】</t>
    <rPh sb="1" eb="2">
      <t>アズ</t>
    </rPh>
    <rPh sb="4" eb="6">
      <t>ホイク</t>
    </rPh>
    <phoneticPr fontId="2"/>
  </si>
  <si>
    <t>【認可外保育施設等】</t>
    <rPh sb="1" eb="3">
      <t>ニンカ</t>
    </rPh>
    <rPh sb="3" eb="4">
      <t>ガイ</t>
    </rPh>
    <rPh sb="4" eb="6">
      <t>ホイク</t>
    </rPh>
    <rPh sb="6" eb="8">
      <t>シセツ</t>
    </rPh>
    <rPh sb="8" eb="9">
      <t>トウ</t>
    </rPh>
    <phoneticPr fontId="2"/>
  </si>
  <si>
    <t>申請額小計③</t>
    <rPh sb="0" eb="3">
      <t>シンセイガク</t>
    </rPh>
    <rPh sb="3" eb="5">
      <t>ショウケイ</t>
    </rPh>
    <phoneticPr fontId="2"/>
  </si>
  <si>
    <t>申請額小計④</t>
    <rPh sb="0" eb="3">
      <t>シンセイガク</t>
    </rPh>
    <rPh sb="3" eb="5">
      <t>ショウケイ</t>
    </rPh>
    <phoneticPr fontId="2"/>
  </si>
  <si>
    <t>申請額計③＋④</t>
    <rPh sb="0" eb="3">
      <t>シンセイガク</t>
    </rPh>
    <rPh sb="3" eb="4">
      <t>ケイ</t>
    </rPh>
    <phoneticPr fontId="2"/>
  </si>
  <si>
    <t>申請額小計⑤</t>
    <rPh sb="0" eb="3">
      <t>シンセイガク</t>
    </rPh>
    <rPh sb="3" eb="5">
      <t>ショウケイ</t>
    </rPh>
    <phoneticPr fontId="2"/>
  </si>
  <si>
    <t>申請額小計⑥</t>
    <rPh sb="0" eb="3">
      <t>シンセイガク</t>
    </rPh>
    <rPh sb="3" eb="5">
      <t>ショウケイ</t>
    </rPh>
    <phoneticPr fontId="2"/>
  </si>
  <si>
    <t>申請額計⑤＋⑥</t>
    <rPh sb="0" eb="3">
      <t>シンセイガク</t>
    </rPh>
    <rPh sb="3" eb="4">
      <t>ケイ</t>
    </rPh>
    <phoneticPr fontId="2"/>
  </si>
  <si>
    <t>申請額小計⑦</t>
    <rPh sb="0" eb="3">
      <t>シンセイガク</t>
    </rPh>
    <rPh sb="3" eb="5">
      <t>ショウケイ</t>
    </rPh>
    <phoneticPr fontId="2"/>
  </si>
  <si>
    <t>申請額小計⑧</t>
    <rPh sb="0" eb="3">
      <t>シンセイガク</t>
    </rPh>
    <rPh sb="3" eb="5">
      <t>ショウケイ</t>
    </rPh>
    <phoneticPr fontId="2"/>
  </si>
  <si>
    <t>申請額計⑦＋⑧</t>
    <rPh sb="0" eb="3">
      <t>シンセイガク</t>
    </rPh>
    <rPh sb="3" eb="4">
      <t>ケイ</t>
    </rPh>
    <phoneticPr fontId="2"/>
  </si>
  <si>
    <r>
      <t>所在地</t>
    </r>
    <r>
      <rPr>
        <sz val="6"/>
        <color theme="1"/>
        <rFont val="ＭＳ 明朝"/>
        <family val="1"/>
        <charset val="128"/>
      </rPr>
      <t>（京都市外の場合のみ記入）</t>
    </r>
    <rPh sb="0" eb="3">
      <t>ショザイチ</t>
    </rPh>
    <phoneticPr fontId="2"/>
  </si>
  <si>
    <t>　・　特定子ども・子育て支援提供証明書</t>
    <rPh sb="3" eb="5">
      <t>トクテイ</t>
    </rPh>
    <rPh sb="5" eb="6">
      <t>コ</t>
    </rPh>
    <rPh sb="9" eb="11">
      <t>コソダ</t>
    </rPh>
    <rPh sb="12" eb="14">
      <t>シエン</t>
    </rPh>
    <rPh sb="14" eb="16">
      <t>テイキョウ</t>
    </rPh>
    <rPh sb="16" eb="18">
      <t>ショウメイ</t>
    </rPh>
    <rPh sb="18" eb="19">
      <t>ショ</t>
    </rPh>
    <phoneticPr fontId="2"/>
  </si>
  <si>
    <t>　・　特定子ども・子育て支援の提供に係る領収証</t>
    <rPh sb="3" eb="5">
      <t>トクテイ</t>
    </rPh>
    <rPh sb="5" eb="6">
      <t>コ</t>
    </rPh>
    <rPh sb="9" eb="11">
      <t>コソダ</t>
    </rPh>
    <rPh sb="12" eb="14">
      <t>シエン</t>
    </rPh>
    <rPh sb="15" eb="17">
      <t>テイキョウ</t>
    </rPh>
    <rPh sb="18" eb="19">
      <t>カカ</t>
    </rPh>
    <rPh sb="20" eb="23">
      <t>リョウシュウショウ</t>
    </rPh>
    <phoneticPr fontId="2"/>
  </si>
  <si>
    <t>　　書の閲覧又は資料の提供を求めること。</t>
    <phoneticPr fontId="2"/>
  </si>
  <si>
    <t>施設等利用費申請書（請求書）</t>
    <phoneticPr fontId="2"/>
  </si>
  <si>
    <t>園　名</t>
    <rPh sb="0" eb="1">
      <t>エン</t>
    </rPh>
    <rPh sb="2" eb="3">
      <t>メイ</t>
    </rPh>
    <phoneticPr fontId="2"/>
  </si>
  <si>
    <r>
      <t>所在地</t>
    </r>
    <r>
      <rPr>
        <sz val="6"/>
        <color theme="1"/>
        <rFont val="ＭＳ 明朝"/>
        <family val="1"/>
        <charset val="128"/>
      </rPr>
      <t>（京都市外の場合のみ記入）</t>
    </r>
    <rPh sb="0" eb="3">
      <t>ショザイチ</t>
    </rPh>
    <rPh sb="4" eb="8">
      <t>キョウトシガイ</t>
    </rPh>
    <rPh sb="9" eb="11">
      <t>バアイ</t>
    </rPh>
    <rPh sb="13" eb="15">
      <t>キニュウ</t>
    </rPh>
    <phoneticPr fontId="2"/>
  </si>
  <si>
    <t>認可外保育施設</t>
    <rPh sb="0" eb="2">
      <t>ニンカ</t>
    </rPh>
    <rPh sb="2" eb="3">
      <t>ガイ</t>
    </rPh>
    <rPh sb="3" eb="5">
      <t>ホイク</t>
    </rPh>
    <rPh sb="5" eb="7">
      <t>シセツ</t>
    </rPh>
    <phoneticPr fontId="2"/>
  </si>
  <si>
    <t>一時預かり事業</t>
    <rPh sb="0" eb="2">
      <t>イチジ</t>
    </rPh>
    <rPh sb="2" eb="3">
      <t>アズ</t>
    </rPh>
    <rPh sb="5" eb="7">
      <t>ジギョウ</t>
    </rPh>
    <phoneticPr fontId="2"/>
  </si>
  <si>
    <t>病児保育事業</t>
    <rPh sb="0" eb="1">
      <t>ビョウ</t>
    </rPh>
    <rPh sb="1" eb="2">
      <t>ジ</t>
    </rPh>
    <rPh sb="2" eb="4">
      <t>ホイク</t>
    </rPh>
    <rPh sb="4" eb="6">
      <t>ジギョウ</t>
    </rPh>
    <phoneticPr fontId="2"/>
  </si>
  <si>
    <t>【幼稚園・預かり保育・認可外保育施設等】</t>
    <rPh sb="1" eb="4">
      <t>ヨウチエン</t>
    </rPh>
    <rPh sb="5" eb="6">
      <t>アズ</t>
    </rPh>
    <rPh sb="8" eb="10">
      <t>ホイク</t>
    </rPh>
    <rPh sb="11" eb="14">
      <t>ニンカガイ</t>
    </rPh>
    <rPh sb="14" eb="16">
      <t>ホイク</t>
    </rPh>
    <rPh sb="16" eb="19">
      <t>シセツトウ</t>
    </rPh>
    <phoneticPr fontId="2"/>
  </si>
  <si>
    <t>利用料</t>
    <rPh sb="0" eb="2">
      <t>リヨウ</t>
    </rPh>
    <rPh sb="2" eb="3">
      <t>リョウ</t>
    </rPh>
    <phoneticPr fontId="2"/>
  </si>
  <si>
    <t>※　ここからの項目は，特定子ども・子育て支援提供証明書等の内容を月ごとに転記してください。</t>
    <rPh sb="7" eb="9">
      <t>コウモク</t>
    </rPh>
    <rPh sb="27" eb="28">
      <t>トウ</t>
    </rPh>
    <rPh sb="29" eb="31">
      <t>ナイヨウ</t>
    </rPh>
    <rPh sb="36" eb="38">
      <t>テンキ</t>
    </rPh>
    <phoneticPr fontId="2"/>
  </si>
  <si>
    <r>
      <rPr>
        <sz val="9"/>
        <color theme="1"/>
        <rFont val="ＭＳ 明朝"/>
        <family val="1"/>
        <charset val="128"/>
      </rPr>
      <t>　</t>
    </r>
    <r>
      <rPr>
        <u/>
        <sz val="9"/>
        <color theme="1"/>
        <rFont val="ＭＳ 明朝"/>
        <family val="1"/>
        <charset val="128"/>
      </rPr>
      <t>※　施設等利用給付認定(変更認定)通知書に記載されている保護者の方が申請してください。</t>
    </r>
    <phoneticPr fontId="2"/>
  </si>
  <si>
    <t>認定
子どもとの
続柄</t>
    <rPh sb="0" eb="2">
      <t>ニンテイ</t>
    </rPh>
    <rPh sb="3" eb="4">
      <t>コ</t>
    </rPh>
    <rPh sb="9" eb="11">
      <t>ゾクガラ</t>
    </rPh>
    <phoneticPr fontId="2"/>
  </si>
  <si>
    <t>　１　申請者や同居親族の住基情報や課税状況等の確認のため，京都市が官公署に対し必要な文</t>
    <rPh sb="3" eb="6">
      <t>シンセイシャ</t>
    </rPh>
    <rPh sb="7" eb="9">
      <t>ドウキョ</t>
    </rPh>
    <rPh sb="9" eb="11">
      <t>シンゾク</t>
    </rPh>
    <rPh sb="12" eb="13">
      <t>ジュウ</t>
    </rPh>
    <rPh sb="13" eb="14">
      <t>モト</t>
    </rPh>
    <rPh sb="14" eb="16">
      <t>ジョウホウ</t>
    </rPh>
    <rPh sb="17" eb="19">
      <t>カゼイ</t>
    </rPh>
    <rPh sb="19" eb="21">
      <t>ジョウキョウ</t>
    </rPh>
    <rPh sb="21" eb="22">
      <t>トウ</t>
    </rPh>
    <rPh sb="23" eb="25">
      <t>カクニン</t>
    </rPh>
    <rPh sb="29" eb="32">
      <t>キョウトシ</t>
    </rPh>
    <rPh sb="33" eb="36">
      <t>カンコウショ</t>
    </rPh>
    <rPh sb="37" eb="38">
      <t>タイ</t>
    </rPh>
    <phoneticPr fontId="2"/>
  </si>
  <si>
    <t>　２　京都市が対象施設・事業所に対し施設等の利用状況や利用料の支払い状況等を確認すること。</t>
    <rPh sb="12" eb="15">
      <t>ジギョウショ</t>
    </rPh>
    <rPh sb="16" eb="17">
      <t>タイ</t>
    </rPh>
    <rPh sb="18" eb="20">
      <t>シセツ</t>
    </rPh>
    <rPh sb="20" eb="21">
      <t>トウ</t>
    </rPh>
    <rPh sb="22" eb="24">
      <t>リヨウ</t>
    </rPh>
    <rPh sb="24" eb="26">
      <t>ジョウキョウ</t>
    </rPh>
    <rPh sb="27" eb="29">
      <t>リヨウ</t>
    </rPh>
    <rPh sb="29" eb="30">
      <t>リョウ</t>
    </rPh>
    <rPh sb="31" eb="33">
      <t>シハラ</t>
    </rPh>
    <rPh sb="34" eb="36">
      <t>ジョウキョウ</t>
    </rPh>
    <rPh sb="36" eb="37">
      <t>トウ</t>
    </rPh>
    <rPh sb="38" eb="40">
      <t>カクニン</t>
    </rPh>
    <phoneticPr fontId="2"/>
  </si>
  <si>
    <t>※認可外保育施設等には，認可外保育施設，一時預かり事業，病児保育事業，子育て援助活動支援事業が含まれます。</t>
    <rPh sb="1" eb="3">
      <t>ニンカ</t>
    </rPh>
    <rPh sb="3" eb="4">
      <t>ガイ</t>
    </rPh>
    <rPh sb="4" eb="6">
      <t>ホイク</t>
    </rPh>
    <rPh sb="6" eb="9">
      <t>シセツトウ</t>
    </rPh>
    <rPh sb="12" eb="14">
      <t>ニンカ</t>
    </rPh>
    <rPh sb="14" eb="15">
      <t>ガイ</t>
    </rPh>
    <rPh sb="15" eb="17">
      <t>ホイク</t>
    </rPh>
    <rPh sb="17" eb="19">
      <t>シセツ</t>
    </rPh>
    <rPh sb="20" eb="22">
      <t>イチジ</t>
    </rPh>
    <rPh sb="22" eb="23">
      <t>アズ</t>
    </rPh>
    <rPh sb="25" eb="27">
      <t>ジギョウ</t>
    </rPh>
    <rPh sb="28" eb="29">
      <t>ビョウ</t>
    </rPh>
    <rPh sb="29" eb="30">
      <t>ジ</t>
    </rPh>
    <rPh sb="30" eb="32">
      <t>ホイク</t>
    </rPh>
    <rPh sb="32" eb="34">
      <t>ジギョウ</t>
    </rPh>
    <rPh sb="47" eb="48">
      <t>フク</t>
    </rPh>
    <phoneticPr fontId="2"/>
  </si>
  <si>
    <t>子育て援助活動支援事業</t>
    <phoneticPr fontId="2"/>
  </si>
  <si>
    <t>【子育て援助活動支援事業】</t>
    <phoneticPr fontId="2"/>
  </si>
  <si>
    <t>【幼稚園，預かり保育，認可外保育施設，一時預かり事業，病児保育事業】</t>
    <rPh sb="1" eb="4">
      <t>ヨウチエン</t>
    </rPh>
    <rPh sb="5" eb="6">
      <t>アズ</t>
    </rPh>
    <rPh sb="8" eb="10">
      <t>ホイク</t>
    </rPh>
    <rPh sb="11" eb="12">
      <t>ニン</t>
    </rPh>
    <phoneticPr fontId="2"/>
  </si>
  <si>
    <t>　子ども・子育て支援法施行規則第２８条の１９の規定に基づき，施設等利用費の支給について，下記のとおり申請します。</t>
    <rPh sb="11" eb="13">
      <t>シコウ</t>
    </rPh>
    <rPh sb="13" eb="15">
      <t>キソク</t>
    </rPh>
    <rPh sb="15" eb="16">
      <t>ダイ</t>
    </rPh>
    <rPh sb="18" eb="19">
      <t>ジョウ</t>
    </rPh>
    <rPh sb="37" eb="39">
      <t>シキュウ</t>
    </rPh>
    <rPh sb="44" eb="46">
      <t>カキ</t>
    </rPh>
    <phoneticPr fontId="2"/>
  </si>
  <si>
    <t>記</t>
    <rPh sb="0" eb="1">
      <t>キ</t>
    </rPh>
    <phoneticPr fontId="2"/>
  </si>
  <si>
    <t>　なお，当該支給に係る審査に当たっては，次の事項に同意します。</t>
    <rPh sb="4" eb="6">
      <t>トウガイ</t>
    </rPh>
    <rPh sb="6" eb="8">
      <t>シキュウ</t>
    </rPh>
    <rPh sb="9" eb="10">
      <t>カカ</t>
    </rPh>
    <rPh sb="14" eb="15">
      <t>ア</t>
    </rPh>
    <phoneticPr fontId="2"/>
  </si>
  <si>
    <t>（添付書類）※申請をされる施設・事業の利用年月ごとの全ての原本の添付が必要</t>
    <rPh sb="1" eb="3">
      <t>テンプ</t>
    </rPh>
    <rPh sb="3" eb="5">
      <t>ショルイ</t>
    </rPh>
    <rPh sb="7" eb="9">
      <t>シンセイ</t>
    </rPh>
    <rPh sb="19" eb="21">
      <t>リヨウ</t>
    </rPh>
    <rPh sb="21" eb="23">
      <t>ネンゲツ</t>
    </rPh>
    <rPh sb="26" eb="27">
      <t>スベ</t>
    </rPh>
    <rPh sb="32" eb="34">
      <t>テンプ</t>
    </rPh>
    <rPh sb="35" eb="37">
      <t>ヒツヨウ</t>
    </rPh>
    <phoneticPr fontId="2"/>
  </si>
  <si>
    <t>　・　援助活動の報告</t>
    <rPh sb="3" eb="5">
      <t>エンジョ</t>
    </rPh>
    <rPh sb="5" eb="7">
      <t>カツドウ</t>
    </rPh>
    <rPh sb="8" eb="10">
      <t>ホウコク</t>
    </rPh>
    <phoneticPr fontId="2"/>
  </si>
  <si>
    <t>ver.1.0</t>
    <phoneticPr fontId="2"/>
  </si>
  <si>
    <t>１　基本情報</t>
    <rPh sb="2" eb="4">
      <t>キホン</t>
    </rPh>
    <rPh sb="4" eb="6">
      <t>ジョウホウ</t>
    </rPh>
    <phoneticPr fontId="2"/>
  </si>
  <si>
    <t>令和</t>
    <rPh sb="0" eb="1">
      <t>レイ</t>
    </rPh>
    <rPh sb="1" eb="2">
      <t>ワ</t>
    </rPh>
    <phoneticPr fontId="2"/>
  </si>
  <si>
    <t>↑数字を入力</t>
    <rPh sb="1" eb="3">
      <t>スウジ</t>
    </rPh>
    <rPh sb="4" eb="6">
      <t>ニュウリョク</t>
    </rPh>
    <phoneticPr fontId="2"/>
  </si>
  <si>
    <t>京都市</t>
    <rPh sb="0" eb="2">
      <t>キョウト</t>
    </rPh>
    <rPh sb="2" eb="3">
      <t>シ</t>
    </rPh>
    <phoneticPr fontId="2"/>
  </si>
  <si>
    <t>北区</t>
    <rPh sb="0" eb="2">
      <t>キタク</t>
    </rPh>
    <phoneticPr fontId="2"/>
  </si>
  <si>
    <t>上京区</t>
    <rPh sb="0" eb="2">
      <t>カミギョウ</t>
    </rPh>
    <rPh sb="2" eb="3">
      <t>ク</t>
    </rPh>
    <phoneticPr fontId="2"/>
  </si>
  <si>
    <t>左京区</t>
    <rPh sb="0" eb="2">
      <t>サキョウ</t>
    </rPh>
    <rPh sb="2" eb="3">
      <t>ク</t>
    </rPh>
    <phoneticPr fontId="2"/>
  </si>
  <si>
    <t>中京区</t>
    <rPh sb="0" eb="2">
      <t>ナカギョウ</t>
    </rPh>
    <rPh sb="2" eb="3">
      <t>ク</t>
    </rPh>
    <phoneticPr fontId="2"/>
  </si>
  <si>
    <t>東山区</t>
    <rPh sb="0" eb="2">
      <t>ヒガシヤマ</t>
    </rPh>
    <rPh sb="2" eb="3">
      <t>ク</t>
    </rPh>
    <phoneticPr fontId="2"/>
  </si>
  <si>
    <t>山科区</t>
    <rPh sb="0" eb="2">
      <t>ヤマシナ</t>
    </rPh>
    <rPh sb="2" eb="3">
      <t>ク</t>
    </rPh>
    <phoneticPr fontId="2"/>
  </si>
  <si>
    <t>下京区</t>
    <rPh sb="0" eb="2">
      <t>シモギョウ</t>
    </rPh>
    <rPh sb="2" eb="3">
      <t>ク</t>
    </rPh>
    <phoneticPr fontId="2"/>
  </si>
  <si>
    <t>南区</t>
    <rPh sb="0" eb="1">
      <t>ミナミ</t>
    </rPh>
    <rPh sb="1" eb="2">
      <t>ク</t>
    </rPh>
    <phoneticPr fontId="2"/>
  </si>
  <si>
    <t>右京区</t>
    <rPh sb="0" eb="2">
      <t>ウキョウ</t>
    </rPh>
    <rPh sb="2" eb="3">
      <t>ク</t>
    </rPh>
    <phoneticPr fontId="2"/>
  </si>
  <si>
    <t>西京区</t>
    <rPh sb="0" eb="2">
      <t>ニシキョウ</t>
    </rPh>
    <rPh sb="2" eb="3">
      <t>ク</t>
    </rPh>
    <phoneticPr fontId="2"/>
  </si>
  <si>
    <t>伏見区</t>
    <rPh sb="0" eb="2">
      <t>フシミ</t>
    </rPh>
    <rPh sb="2" eb="3">
      <t>ク</t>
    </rPh>
    <phoneticPr fontId="2"/>
  </si>
  <si>
    <t>◆申請日</t>
    <phoneticPr fontId="2"/>
  </si>
  <si>
    <t>◆保護者生年月日</t>
    <rPh sb="1" eb="4">
      <t>ホゴシャ</t>
    </rPh>
    <rPh sb="4" eb="6">
      <t>セイネン</t>
    </rPh>
    <rPh sb="6" eb="8">
      <t>ガッピ</t>
    </rPh>
    <phoneticPr fontId="2"/>
  </si>
  <si>
    <t>◆子ども生年月日</t>
    <rPh sb="1" eb="2">
      <t>コ</t>
    </rPh>
    <rPh sb="4" eb="6">
      <t>セイネン</t>
    </rPh>
    <rPh sb="6" eb="8">
      <t>ガッピ</t>
    </rPh>
    <phoneticPr fontId="2"/>
  </si>
  <si>
    <t>◆申請日：</t>
    <rPh sb="1" eb="3">
      <t>シンセイ</t>
    </rPh>
    <rPh sb="3" eb="4">
      <t>ビ</t>
    </rPh>
    <phoneticPr fontId="2"/>
  </si>
  <si>
    <t>↑選ぶ</t>
    <phoneticPr fontId="2"/>
  </si>
  <si>
    <t>◆氏名：</t>
    <rPh sb="1" eb="3">
      <t>シメイ</t>
    </rPh>
    <phoneticPr fontId="2"/>
  </si>
  <si>
    <t>◆フリガナ：</t>
    <phoneticPr fontId="2"/>
  </si>
  <si>
    <t>◆認定子どもとの続柄：</t>
    <rPh sb="1" eb="3">
      <t>ニンテイ</t>
    </rPh>
    <rPh sb="3" eb="4">
      <t>コ</t>
    </rPh>
    <rPh sb="8" eb="10">
      <t>ゾクガラ</t>
    </rPh>
    <phoneticPr fontId="2"/>
  </si>
  <si>
    <t>←選ぶ</t>
    <rPh sb="1" eb="2">
      <t>エラ</t>
    </rPh>
    <phoneticPr fontId="2"/>
  </si>
  <si>
    <t>その他の場合</t>
    <rPh sb="2" eb="3">
      <t>タ</t>
    </rPh>
    <rPh sb="4" eb="6">
      <t>バアイ</t>
    </rPh>
    <phoneticPr fontId="2"/>
  </si>
  <si>
    <t>◆生年月日：</t>
    <rPh sb="1" eb="3">
      <t>セイネン</t>
    </rPh>
    <rPh sb="3" eb="5">
      <t>ガッピ</t>
    </rPh>
    <phoneticPr fontId="2"/>
  </si>
  <si>
    <t>◆現住所：</t>
    <rPh sb="1" eb="4">
      <t>ゲンジュウショ</t>
    </rPh>
    <phoneticPr fontId="2"/>
  </si>
  <si>
    <t>↑行政区を選択</t>
    <rPh sb="1" eb="4">
      <t>ギョウセイク</t>
    </rPh>
    <rPh sb="5" eb="7">
      <t>センタク</t>
    </rPh>
    <phoneticPr fontId="2"/>
  </si>
  <si>
    <t>◆電話番号：</t>
    <rPh sb="1" eb="3">
      <t>デンワ</t>
    </rPh>
    <rPh sb="3" eb="5">
      <t>バンゴウ</t>
    </rPh>
    <phoneticPr fontId="2"/>
  </si>
  <si>
    <t>◆認定番号：</t>
    <rPh sb="1" eb="3">
      <t>ニンテイ</t>
    </rPh>
    <rPh sb="3" eb="5">
      <t>バンゴウ</t>
    </rPh>
    <phoneticPr fontId="2"/>
  </si>
  <si>
    <t>◆園名：</t>
    <rPh sb="1" eb="3">
      <t>エンメイ</t>
    </rPh>
    <phoneticPr fontId="2"/>
  </si>
  <si>
    <t>◆所在地（京都市外の場合のみ，入力してください）：</t>
    <rPh sb="1" eb="4">
      <t>ショザイチ</t>
    </rPh>
    <rPh sb="5" eb="7">
      <t>キョウト</t>
    </rPh>
    <rPh sb="7" eb="8">
      <t>シ</t>
    </rPh>
    <rPh sb="8" eb="9">
      <t>ガイ</t>
    </rPh>
    <rPh sb="10" eb="12">
      <t>バアイ</t>
    </rPh>
    <rPh sb="15" eb="17">
      <t>ニュウリョク</t>
    </rPh>
    <phoneticPr fontId="2"/>
  </si>
  <si>
    <t>◆幼稚園１</t>
    <rPh sb="1" eb="4">
      <t>ヨウチエン</t>
    </rPh>
    <phoneticPr fontId="2"/>
  </si>
  <si>
    <t>◆幼稚園２</t>
    <rPh sb="1" eb="4">
      <t>ヨウチエン</t>
    </rPh>
    <phoneticPr fontId="2"/>
  </si>
  <si>
    <t>◆幼稚園３</t>
    <rPh sb="1" eb="4">
      <t>ヨウチエン</t>
    </rPh>
    <phoneticPr fontId="2"/>
  </si>
  <si>
    <t>月分</t>
    <rPh sb="0" eb="1">
      <t>ガツ</t>
    </rPh>
    <rPh sb="1" eb="2">
      <t>ブン</t>
    </rPh>
    <phoneticPr fontId="2"/>
  </si>
  <si>
    <t>◆利用年月ごと：最大３か月分を１枚の申請書で申請できます。</t>
    <rPh sb="1" eb="3">
      <t>リヨウ</t>
    </rPh>
    <rPh sb="3" eb="5">
      <t>ネンゲツ</t>
    </rPh>
    <rPh sb="8" eb="10">
      <t>サイダイ</t>
    </rPh>
    <rPh sb="12" eb="14">
      <t>ゲツブン</t>
    </rPh>
    <rPh sb="16" eb="17">
      <t>マイ</t>
    </rPh>
    <rPh sb="18" eb="20">
      <t>シンセイ</t>
    </rPh>
    <rPh sb="20" eb="21">
      <t>ショ</t>
    </rPh>
    <rPh sb="22" eb="24">
      <t>シンセイ</t>
    </rPh>
    <phoneticPr fontId="2"/>
  </si>
  <si>
    <t>◆認定の種類：施設等利用給付認定（変更認定）通知書の認定区分</t>
    <rPh sb="1" eb="3">
      <t>ニンテイ</t>
    </rPh>
    <rPh sb="4" eb="6">
      <t>シュルイ</t>
    </rPh>
    <rPh sb="7" eb="10">
      <t>シセツトウ</t>
    </rPh>
    <rPh sb="10" eb="12">
      <t>リヨウ</t>
    </rPh>
    <rPh sb="12" eb="14">
      <t>キュウフ</t>
    </rPh>
    <rPh sb="14" eb="16">
      <t>ニンテイ</t>
    </rPh>
    <rPh sb="17" eb="19">
      <t>ヘンコウ</t>
    </rPh>
    <rPh sb="19" eb="21">
      <t>ニンテイ</t>
    </rPh>
    <rPh sb="22" eb="25">
      <t>ツウチショ</t>
    </rPh>
    <rPh sb="26" eb="28">
      <t>ニンテイ</t>
    </rPh>
    <rPh sb="28" eb="30">
      <t>クブン</t>
    </rPh>
    <phoneticPr fontId="2"/>
  </si>
  <si>
    <t>新</t>
    <rPh sb="0" eb="1">
      <t>シン</t>
    </rPh>
    <phoneticPr fontId="2"/>
  </si>
  <si>
    <t>号認定</t>
    <rPh sb="0" eb="1">
      <t>ゴウ</t>
    </rPh>
    <rPh sb="1" eb="3">
      <t>ニンテイ</t>
    </rPh>
    <phoneticPr fontId="2"/>
  </si>
  <si>
    <t>認定区分：</t>
    <rPh sb="0" eb="2">
      <t>ニンテイ</t>
    </rPh>
    <rPh sb="2" eb="4">
      <t>クブン</t>
    </rPh>
    <phoneticPr fontId="2"/>
  </si>
  <si>
    <t>１　基本情報（全員）</t>
    <rPh sb="2" eb="4">
      <t>キホン</t>
    </rPh>
    <rPh sb="4" eb="6">
      <t>ジョウホウ</t>
    </rPh>
    <rPh sb="7" eb="9">
      <t>ゼンイン</t>
    </rPh>
    <phoneticPr fontId="2"/>
  </si>
  <si>
    <t>２　幼稚園の申請内容（幼稚園利用者のみ）</t>
    <rPh sb="2" eb="5">
      <t>ヨウチエン</t>
    </rPh>
    <rPh sb="6" eb="8">
      <t>シンセイ</t>
    </rPh>
    <rPh sb="8" eb="10">
      <t>ナイヨウ</t>
    </rPh>
    <rPh sb="11" eb="14">
      <t>ヨウチエン</t>
    </rPh>
    <rPh sb="14" eb="17">
      <t>リヨウシャ</t>
    </rPh>
    <phoneticPr fontId="2"/>
  </si>
  <si>
    <t>提供した日：</t>
    <rPh sb="0" eb="2">
      <t>テイキョウ</t>
    </rPh>
    <rPh sb="4" eb="5">
      <t>ヒ</t>
    </rPh>
    <phoneticPr fontId="2"/>
  </si>
  <si>
    <t>～</t>
    <phoneticPr fontId="2"/>
  </si>
  <si>
    <t>在籍期間開園日数：</t>
    <rPh sb="0" eb="2">
      <t>ザイセキ</t>
    </rPh>
    <rPh sb="2" eb="4">
      <t>キカン</t>
    </rPh>
    <rPh sb="4" eb="6">
      <t>カイエン</t>
    </rPh>
    <rPh sb="6" eb="8">
      <t>ニッスウ</t>
    </rPh>
    <phoneticPr fontId="2"/>
  </si>
  <si>
    <t>開園日数：</t>
    <rPh sb="0" eb="2">
      <t>カイエン</t>
    </rPh>
    <rPh sb="2" eb="4">
      <t>ニッスウ</t>
    </rPh>
    <phoneticPr fontId="2"/>
  </si>
  <si>
    <t>保育料：</t>
    <rPh sb="0" eb="2">
      <t>ホイク</t>
    </rPh>
    <rPh sb="2" eb="3">
      <t>リョウ</t>
    </rPh>
    <phoneticPr fontId="2"/>
  </si>
  <si>
    <t>入園料（月額換算）：</t>
    <rPh sb="0" eb="3">
      <t>ニュウエンリョウ</t>
    </rPh>
    <rPh sb="4" eb="5">
      <t>ツキ</t>
    </rPh>
    <rPh sb="5" eb="6">
      <t>ガク</t>
    </rPh>
    <rPh sb="6" eb="8">
      <t>カンサン</t>
    </rPh>
    <phoneticPr fontId="2"/>
  </si>
  <si>
    <t>費用計：</t>
    <rPh sb="0" eb="2">
      <t>ヒヨウ</t>
    </rPh>
    <rPh sb="2" eb="3">
      <t>ケイ</t>
    </rPh>
    <phoneticPr fontId="2"/>
  </si>
  <si>
    <t>申請額：</t>
    <rPh sb="0" eb="2">
      <t>シンセイ</t>
    </rPh>
    <rPh sb="2" eb="3">
      <t>ガク</t>
    </rPh>
    <phoneticPr fontId="2"/>
  </si>
  <si>
    <t>※　申請額が提供証明書と異なる場合は，幼稚園にお問合せください。</t>
    <rPh sb="2" eb="5">
      <t>シンセイガク</t>
    </rPh>
    <rPh sb="6" eb="8">
      <t>テイキョウ</t>
    </rPh>
    <rPh sb="8" eb="11">
      <t>ショウメイショ</t>
    </rPh>
    <rPh sb="12" eb="13">
      <t>コト</t>
    </rPh>
    <rPh sb="15" eb="17">
      <t>バアイ</t>
    </rPh>
    <rPh sb="19" eb="22">
      <t>ヨウチエン</t>
    </rPh>
    <rPh sb="24" eb="26">
      <t>トイアワ</t>
    </rPh>
    <phoneticPr fontId="2"/>
  </si>
  <si>
    <t>２　幼稚園</t>
    <rPh sb="2" eb="4">
      <t>ヨウチ</t>
    </rPh>
    <rPh sb="4" eb="5">
      <t>エン</t>
    </rPh>
    <phoneticPr fontId="2"/>
  </si>
  <si>
    <t>【１月目】</t>
    <rPh sb="2" eb="3">
      <t>ツキ</t>
    </rPh>
    <rPh sb="3" eb="4">
      <t>メ</t>
    </rPh>
    <phoneticPr fontId="2"/>
  </si>
  <si>
    <t>申請月：</t>
    <rPh sb="0" eb="2">
      <t>シンセイ</t>
    </rPh>
    <rPh sb="2" eb="3">
      <t>ツキ</t>
    </rPh>
    <phoneticPr fontId="2"/>
  </si>
  <si>
    <t>提供日：</t>
    <rPh sb="0" eb="2">
      <t>テイキョウ</t>
    </rPh>
    <rPh sb="2" eb="3">
      <t>ビ</t>
    </rPh>
    <phoneticPr fontId="2"/>
  </si>
  <si>
    <t>日～</t>
    <rPh sb="0" eb="1">
      <t>ニチ</t>
    </rPh>
    <phoneticPr fontId="2"/>
  </si>
  <si>
    <t>◆有効期間：施設等利用給付認定（変更認定）通知書の有効期間</t>
    <rPh sb="1" eb="3">
      <t>ユウコウ</t>
    </rPh>
    <rPh sb="3" eb="5">
      <t>キカン</t>
    </rPh>
    <rPh sb="6" eb="9">
      <t>シセツトウ</t>
    </rPh>
    <rPh sb="9" eb="11">
      <t>リヨウ</t>
    </rPh>
    <rPh sb="11" eb="13">
      <t>キュウフ</t>
    </rPh>
    <rPh sb="13" eb="15">
      <t>ニンテイ</t>
    </rPh>
    <rPh sb="16" eb="18">
      <t>ヘンコウ</t>
    </rPh>
    <rPh sb="18" eb="20">
      <t>ニンテイ</t>
    </rPh>
    <rPh sb="21" eb="24">
      <t>ツウチショ</t>
    </rPh>
    <rPh sb="25" eb="27">
      <t>ユウコウ</t>
    </rPh>
    <rPh sb="27" eb="29">
      <t>キカン</t>
    </rPh>
    <phoneticPr fontId="2"/>
  </si>
  <si>
    <t>有効期間：</t>
    <rPh sb="0" eb="2">
      <t>ユウコウ</t>
    </rPh>
    <rPh sb="2" eb="4">
      <t>キカン</t>
    </rPh>
    <phoneticPr fontId="2"/>
  </si>
  <si>
    <t>有効期間と重複：</t>
    <rPh sb="0" eb="2">
      <t>ユウコウ</t>
    </rPh>
    <rPh sb="2" eb="4">
      <t>キカン</t>
    </rPh>
    <rPh sb="5" eb="7">
      <t>チョウフク</t>
    </rPh>
    <phoneticPr fontId="2"/>
  </si>
  <si>
    <t>開始日</t>
    <rPh sb="0" eb="3">
      <t>カイシビ</t>
    </rPh>
    <phoneticPr fontId="2"/>
  </si>
  <si>
    <t>終了日</t>
    <rPh sb="0" eb="3">
      <t>シュウリョウビ</t>
    </rPh>
    <phoneticPr fontId="2"/>
  </si>
  <si>
    <t>利用開始日と重複：</t>
    <rPh sb="0" eb="2">
      <t>リヨウ</t>
    </rPh>
    <rPh sb="2" eb="5">
      <t>カイシビ</t>
    </rPh>
    <rPh sb="6" eb="8">
      <t>チョウフク</t>
    </rPh>
    <phoneticPr fontId="2"/>
  </si>
  <si>
    <t>有効期間</t>
    <rPh sb="0" eb="2">
      <t>ユウコウ</t>
    </rPh>
    <rPh sb="2" eb="4">
      <t>キカン</t>
    </rPh>
    <phoneticPr fontId="2"/>
  </si>
  <si>
    <t>利用日</t>
    <rPh sb="0" eb="3">
      <t>リヨウビ</t>
    </rPh>
    <phoneticPr fontId="2"/>
  </si>
  <si>
    <t>【２月目】</t>
    <rPh sb="2" eb="3">
      <t>ツキ</t>
    </rPh>
    <rPh sb="3" eb="4">
      <t>メ</t>
    </rPh>
    <phoneticPr fontId="2"/>
  </si>
  <si>
    <t>【３月目】</t>
    <rPh sb="2" eb="3">
      <t>ツキ</t>
    </rPh>
    <rPh sb="3" eb="4">
      <t>メ</t>
    </rPh>
    <phoneticPr fontId="2"/>
  </si>
  <si>
    <t>３　預かり保育</t>
    <rPh sb="2" eb="3">
      <t>アズ</t>
    </rPh>
    <rPh sb="5" eb="7">
      <t>ホイク</t>
    </rPh>
    <phoneticPr fontId="2"/>
  </si>
  <si>
    <t>利用料：</t>
    <rPh sb="0" eb="2">
      <t>リヨウ</t>
    </rPh>
    <rPh sb="2" eb="3">
      <t>リョウ</t>
    </rPh>
    <phoneticPr fontId="2"/>
  </si>
  <si>
    <t>３　預かり保育・認可外保育施設等の申請内容（預かり保育等利用者のみ）</t>
    <rPh sb="2" eb="3">
      <t>アズ</t>
    </rPh>
    <rPh sb="5" eb="7">
      <t>ホイク</t>
    </rPh>
    <rPh sb="8" eb="10">
      <t>ニンカ</t>
    </rPh>
    <rPh sb="10" eb="11">
      <t>ガイ</t>
    </rPh>
    <rPh sb="11" eb="13">
      <t>ホイク</t>
    </rPh>
    <rPh sb="13" eb="16">
      <t>シセツトウ</t>
    </rPh>
    <rPh sb="17" eb="19">
      <t>シンセイ</t>
    </rPh>
    <rPh sb="19" eb="21">
      <t>ナイヨウ</t>
    </rPh>
    <rPh sb="22" eb="23">
      <t>アズ</t>
    </rPh>
    <rPh sb="25" eb="27">
      <t>ホイク</t>
    </rPh>
    <rPh sb="27" eb="28">
      <t>トウ</t>
    </rPh>
    <rPh sb="28" eb="31">
      <t>リヨウシャ</t>
    </rPh>
    <phoneticPr fontId="2"/>
  </si>
  <si>
    <t>※　新１号認定の方は対象外です。</t>
    <rPh sb="2" eb="3">
      <t>シン</t>
    </rPh>
    <rPh sb="4" eb="5">
      <t>ゴウ</t>
    </rPh>
    <rPh sb="5" eb="7">
      <t>ニンテイ</t>
    </rPh>
    <rPh sb="8" eb="9">
      <t>カタ</t>
    </rPh>
    <rPh sb="10" eb="13">
      <t>タイショウガイ</t>
    </rPh>
    <phoneticPr fontId="2"/>
  </si>
  <si>
    <t>【幼稚園】</t>
    <rPh sb="1" eb="3">
      <t>ヨウチ</t>
    </rPh>
    <rPh sb="3" eb="4">
      <t>エン</t>
    </rPh>
    <phoneticPr fontId="2"/>
  </si>
  <si>
    <t>【預かり・認可外】</t>
    <rPh sb="1" eb="2">
      <t>アズ</t>
    </rPh>
    <rPh sb="5" eb="7">
      <t>ニンカ</t>
    </rPh>
    <rPh sb="7" eb="8">
      <t>ガイ</t>
    </rPh>
    <phoneticPr fontId="2"/>
  </si>
  <si>
    <t>提供日数：</t>
    <rPh sb="0" eb="2">
      <t>テイキョウ</t>
    </rPh>
    <rPh sb="2" eb="4">
      <t>ニッスウ</t>
    </rPh>
    <phoneticPr fontId="2"/>
  </si>
  <si>
    <t>◆預かり１</t>
    <rPh sb="1" eb="2">
      <t>アズ</t>
    </rPh>
    <phoneticPr fontId="2"/>
  </si>
  <si>
    <t>◇所在地（京都市外の場合のみ，入力してください）：</t>
    <rPh sb="1" eb="4">
      <t>ショザイチ</t>
    </rPh>
    <rPh sb="5" eb="7">
      <t>キョウト</t>
    </rPh>
    <rPh sb="7" eb="8">
      <t>シ</t>
    </rPh>
    <rPh sb="8" eb="9">
      <t>ガイ</t>
    </rPh>
    <rPh sb="10" eb="12">
      <t>バアイ</t>
    </rPh>
    <rPh sb="15" eb="17">
      <t>ニュウリョク</t>
    </rPh>
    <phoneticPr fontId="2"/>
  </si>
  <si>
    <t>○１園目</t>
    <rPh sb="2" eb="3">
      <t>エン</t>
    </rPh>
    <rPh sb="3" eb="4">
      <t>メ</t>
    </rPh>
    <phoneticPr fontId="2"/>
  </si>
  <si>
    <t>※　申請額が提供証明書と異なる場合は，園にお問合せください。</t>
    <rPh sb="2" eb="5">
      <t>シンセイガク</t>
    </rPh>
    <rPh sb="6" eb="8">
      <t>テイキョウ</t>
    </rPh>
    <rPh sb="8" eb="11">
      <t>ショウメイショ</t>
    </rPh>
    <rPh sb="12" eb="13">
      <t>コト</t>
    </rPh>
    <rPh sb="15" eb="17">
      <t>バアイ</t>
    </rPh>
    <rPh sb="19" eb="20">
      <t>エン</t>
    </rPh>
    <rPh sb="22" eb="24">
      <t>トイアワ</t>
    </rPh>
    <phoneticPr fontId="2"/>
  </si>
  <si>
    <t>支援の内容：</t>
    <rPh sb="0" eb="2">
      <t>シエン</t>
    </rPh>
    <rPh sb="3" eb="5">
      <t>ナイヨウ</t>
    </rPh>
    <phoneticPr fontId="2"/>
  </si>
  <si>
    <t>費用：</t>
    <rPh sb="0" eb="2">
      <t>ヒヨウ</t>
    </rPh>
    <phoneticPr fontId="2"/>
  </si>
  <si>
    <t>月額上限</t>
    <rPh sb="0" eb="1">
      <t>ツキ</t>
    </rPh>
    <rPh sb="1" eb="2">
      <t>ガク</t>
    </rPh>
    <rPh sb="2" eb="4">
      <t>ジョウゲン</t>
    </rPh>
    <phoneticPr fontId="2"/>
  </si>
  <si>
    <t>日額上限</t>
    <rPh sb="0" eb="1">
      <t>ニチ</t>
    </rPh>
    <rPh sb="1" eb="2">
      <t>ガク</t>
    </rPh>
    <rPh sb="2" eb="4">
      <t>ジョウゲン</t>
    </rPh>
    <phoneticPr fontId="2"/>
  </si>
  <si>
    <t>上限</t>
    <rPh sb="0" eb="2">
      <t>ジョウゲン</t>
    </rPh>
    <phoneticPr fontId="2"/>
  </si>
  <si>
    <t>認可外１</t>
    <rPh sb="0" eb="2">
      <t>ニンカ</t>
    </rPh>
    <rPh sb="2" eb="3">
      <t>ガイ</t>
    </rPh>
    <phoneticPr fontId="2"/>
  </si>
  <si>
    <t>【認可外保育施設等】</t>
    <rPh sb="1" eb="3">
      <t>ニンカ</t>
    </rPh>
    <rPh sb="3" eb="4">
      <t>ガイ</t>
    </rPh>
    <rPh sb="4" eb="6">
      <t>ホイク</t>
    </rPh>
    <rPh sb="6" eb="8">
      <t>シセツ</t>
    </rPh>
    <rPh sb="8" eb="9">
      <t>ナド</t>
    </rPh>
    <phoneticPr fontId="2"/>
  </si>
  <si>
    <t>○２園目</t>
    <rPh sb="2" eb="3">
      <t>エン</t>
    </rPh>
    <rPh sb="3" eb="4">
      <t>メ</t>
    </rPh>
    <phoneticPr fontId="2"/>
  </si>
  <si>
    <t>認可外２</t>
    <rPh sb="0" eb="2">
      <t>ニンカ</t>
    </rPh>
    <rPh sb="2" eb="3">
      <t>ガイ</t>
    </rPh>
    <phoneticPr fontId="2"/>
  </si>
  <si>
    <t>○３園目</t>
    <rPh sb="2" eb="3">
      <t>エン</t>
    </rPh>
    <rPh sb="3" eb="4">
      <t>メ</t>
    </rPh>
    <phoneticPr fontId="2"/>
  </si>
  <si>
    <t>認可外３</t>
    <rPh sb="0" eb="2">
      <t>ニンカ</t>
    </rPh>
    <rPh sb="2" eb="3">
      <t>ガイ</t>
    </rPh>
    <phoneticPr fontId="2"/>
  </si>
  <si>
    <t>※　４施設以上利用されている場合は，京都市に御相談ください。</t>
    <rPh sb="3" eb="5">
      <t>シセツ</t>
    </rPh>
    <rPh sb="5" eb="7">
      <t>イジョウ</t>
    </rPh>
    <rPh sb="7" eb="9">
      <t>リヨウ</t>
    </rPh>
    <rPh sb="14" eb="16">
      <t>バアイ</t>
    </rPh>
    <rPh sb="18" eb="20">
      <t>キョウト</t>
    </rPh>
    <rPh sb="20" eb="21">
      <t>シ</t>
    </rPh>
    <rPh sb="22" eb="25">
      <t>ゴソウダン</t>
    </rPh>
    <phoneticPr fontId="2"/>
  </si>
  <si>
    <t>◆預かり２</t>
    <rPh sb="1" eb="2">
      <t>アズ</t>
    </rPh>
    <phoneticPr fontId="2"/>
  </si>
  <si>
    <t>申請日付チェック</t>
    <rPh sb="0" eb="2">
      <t>シンセイ</t>
    </rPh>
    <rPh sb="2" eb="4">
      <t>ヒヅケ</t>
    </rPh>
    <phoneticPr fontId="2"/>
  </si>
  <si>
    <t>※　提供した日は，認定有効期間内のみ，入力可能です。</t>
    <rPh sb="2" eb="4">
      <t>テイキョウ</t>
    </rPh>
    <rPh sb="6" eb="7">
      <t>ヒ</t>
    </rPh>
    <rPh sb="9" eb="11">
      <t>ニンテイ</t>
    </rPh>
    <rPh sb="11" eb="13">
      <t>ユウコウ</t>
    </rPh>
    <rPh sb="13" eb="15">
      <t>キカン</t>
    </rPh>
    <rPh sb="15" eb="16">
      <t>ナイ</t>
    </rPh>
    <rPh sb="19" eb="21">
      <t>ニュウリョク</t>
    </rPh>
    <rPh sb="21" eb="23">
      <t>カノウ</t>
    </rPh>
    <phoneticPr fontId="2"/>
  </si>
  <si>
    <t>◆預かり３</t>
    <rPh sb="1" eb="2">
      <t>アズ</t>
    </rPh>
    <phoneticPr fontId="2"/>
  </si>
  <si>
    <t>↓３ヶ月目は次ページ</t>
    <rPh sb="3" eb="4">
      <t>ゲツ</t>
    </rPh>
    <rPh sb="4" eb="5">
      <t>メ</t>
    </rPh>
    <rPh sb="6" eb="7">
      <t>ジ</t>
    </rPh>
    <phoneticPr fontId="2"/>
  </si>
  <si>
    <t>来年は</t>
    <rPh sb="0" eb="2">
      <t>ライネン</t>
    </rPh>
    <phoneticPr fontId="2"/>
  </si>
  <si>
    <t>←その他の場合，必ず入力</t>
    <rPh sb="3" eb="4">
      <t>タ</t>
    </rPh>
    <rPh sb="5" eb="7">
      <t>バアイ</t>
    </rPh>
    <rPh sb="8" eb="9">
      <t>カナラ</t>
    </rPh>
    <rPh sb="10" eb="12">
      <t>ニュウリョク</t>
    </rPh>
    <phoneticPr fontId="2"/>
  </si>
  <si>
    <t>※24文字以下</t>
    <rPh sb="3" eb="5">
      <t>モジ</t>
    </rPh>
    <rPh sb="5" eb="7">
      <t>イカ</t>
    </rPh>
    <phoneticPr fontId="2"/>
  </si>
  <si>
    <t>↑町名以下を入力。全角３２文字まで。通り名・マンション名は省略可。</t>
    <rPh sb="1" eb="3">
      <t>チョウメイ</t>
    </rPh>
    <rPh sb="3" eb="5">
      <t>イカ</t>
    </rPh>
    <rPh sb="6" eb="8">
      <t>ニュウリョク</t>
    </rPh>
    <rPh sb="9" eb="11">
      <t>ゼンカク</t>
    </rPh>
    <rPh sb="13" eb="15">
      <t>モジ</t>
    </rPh>
    <rPh sb="18" eb="19">
      <t>トオ</t>
    </rPh>
    <rPh sb="20" eb="21">
      <t>ナ</t>
    </rPh>
    <rPh sb="27" eb="28">
      <t>メイ</t>
    </rPh>
    <rPh sb="29" eb="31">
      <t>ショウリャク</t>
    </rPh>
    <rPh sb="31" eb="32">
      <t>カ</t>
    </rPh>
    <phoneticPr fontId="2"/>
  </si>
  <si>
    <t>※38文字以下</t>
    <rPh sb="3" eb="5">
      <t>モジ</t>
    </rPh>
    <rPh sb="5" eb="7">
      <t>イカ</t>
    </rPh>
    <phoneticPr fontId="2"/>
  </si>
  <si>
    <t>◇同上の場合はこちらを選択：</t>
    <rPh sb="1" eb="3">
      <t>ドウジョウ</t>
    </rPh>
    <rPh sb="4" eb="6">
      <t>バアイ</t>
    </rPh>
    <rPh sb="11" eb="13">
      <t>センタク</t>
    </rPh>
    <phoneticPr fontId="2"/>
  </si>
  <si>
    <t>※　黄色セルに入力してください。一部「選択する」，「数字しか入らない」セルがあります。</t>
    <rPh sb="2" eb="4">
      <t>キイロ</t>
    </rPh>
    <rPh sb="7" eb="9">
      <t>ニュウリョク</t>
    </rPh>
    <rPh sb="16" eb="18">
      <t>イチブ</t>
    </rPh>
    <rPh sb="19" eb="21">
      <t>センタク</t>
    </rPh>
    <rPh sb="26" eb="28">
      <t>スウジ</t>
    </rPh>
    <rPh sb="30" eb="31">
      <t>ハイ</t>
    </rPh>
    <phoneticPr fontId="2"/>
  </si>
  <si>
    <t>※　赤色セルはエラーです。再入力してください。</t>
    <rPh sb="2" eb="4">
      <t>アカイロ</t>
    </rPh>
    <rPh sb="13" eb="14">
      <t>サイ</t>
    </rPh>
    <rPh sb="14" eb="16">
      <t>ニュウリョク</t>
    </rPh>
    <phoneticPr fontId="2"/>
  </si>
  <si>
    <t>※　全て入力が終わりましたら，「【触らない】【印刷用】提出シート」を印刷してください。</t>
    <rPh sb="2" eb="3">
      <t>スベ</t>
    </rPh>
    <rPh sb="4" eb="6">
      <t>ニュウリョク</t>
    </rPh>
    <rPh sb="7" eb="8">
      <t>オ</t>
    </rPh>
    <rPh sb="17" eb="18">
      <t>サワ</t>
    </rPh>
    <rPh sb="23" eb="26">
      <t>インサツヨウ</t>
    </rPh>
    <rPh sb="27" eb="29">
      <t>テイシュツ</t>
    </rPh>
    <rPh sb="34" eb="36">
      <t>インサツ</t>
    </rPh>
    <phoneticPr fontId="2"/>
  </si>
  <si>
    <t>※32文字以下</t>
    <rPh sb="3" eb="5">
      <t>モジ</t>
    </rPh>
    <rPh sb="5" eb="7">
      <t>イカ</t>
    </rPh>
    <phoneticPr fontId="2"/>
  </si>
  <si>
    <t>新１号有効期間：</t>
    <rPh sb="0" eb="1">
      <t>シン</t>
    </rPh>
    <rPh sb="2" eb="3">
      <t>ゴウ</t>
    </rPh>
    <rPh sb="3" eb="5">
      <t>ユウコウ</t>
    </rPh>
    <rPh sb="5" eb="7">
      <t>キカン</t>
    </rPh>
    <phoneticPr fontId="2"/>
  </si>
  <si>
    <t>新１号有効期間と重複：</t>
    <rPh sb="0" eb="1">
      <t>シン</t>
    </rPh>
    <rPh sb="2" eb="3">
      <t>ゴウ</t>
    </rPh>
    <rPh sb="3" eb="5">
      <t>ユウコウ</t>
    </rPh>
    <rPh sb="5" eb="7">
      <t>キカン</t>
    </rPh>
    <rPh sb="8" eb="10">
      <t>チョウフク</t>
    </rPh>
    <phoneticPr fontId="2"/>
  </si>
  <si>
    <t>前接続</t>
    <rPh sb="0" eb="1">
      <t>マエ</t>
    </rPh>
    <rPh sb="1" eb="3">
      <t>セツゾク</t>
    </rPh>
    <phoneticPr fontId="2"/>
  </si>
  <si>
    <t>後接続</t>
    <rPh sb="0" eb="1">
      <t>アト</t>
    </rPh>
    <rPh sb="1" eb="3">
      <t>セツゾク</t>
    </rPh>
    <phoneticPr fontId="2"/>
  </si>
  <si>
    <t>申請日：</t>
    <rPh sb="0" eb="2">
      <t>シンセイ</t>
    </rPh>
    <rPh sb="2" eb="3">
      <t>ビ</t>
    </rPh>
    <phoneticPr fontId="2"/>
  </si>
  <si>
    <t>保護者誕生日：</t>
    <rPh sb="0" eb="3">
      <t>ホゴシャ</t>
    </rPh>
    <rPh sb="3" eb="5">
      <t>タンジョウ</t>
    </rPh>
    <rPh sb="5" eb="6">
      <t>ビ</t>
    </rPh>
    <phoneticPr fontId="2"/>
  </si>
  <si>
    <t>子誕生日：</t>
    <rPh sb="0" eb="1">
      <t>コ</t>
    </rPh>
    <rPh sb="1" eb="3">
      <t>タンジョウ</t>
    </rPh>
    <rPh sb="3" eb="4">
      <t>ビ</t>
    </rPh>
    <phoneticPr fontId="2"/>
  </si>
  <si>
    <t>エラー判定（error）</t>
    <rPh sb="3" eb="5">
      <t>ハンテイ</t>
    </rPh>
    <phoneticPr fontId="2"/>
  </si>
  <si>
    <t>令和</t>
  </si>
  <si>
    <t>京都　太郎</t>
    <rPh sb="0" eb="2">
      <t>キョウト</t>
    </rPh>
    <rPh sb="3" eb="5">
      <t>タロウ</t>
    </rPh>
    <phoneticPr fontId="2"/>
  </si>
  <si>
    <t>キョウト　タロウ</t>
    <phoneticPr fontId="2"/>
  </si>
  <si>
    <t>父</t>
  </si>
  <si>
    <t>昭和</t>
  </si>
  <si>
    <t>虎屋町５６６－１</t>
    <rPh sb="0" eb="2">
      <t>トラヤ</t>
    </rPh>
    <rPh sb="2" eb="3">
      <t>チョウ</t>
    </rPh>
    <phoneticPr fontId="2"/>
  </si>
  <si>
    <t>０７５－２５１－２３９０</t>
    <phoneticPr fontId="2"/>
  </si>
  <si>
    <t>京都　花子</t>
    <rPh sb="0" eb="2">
      <t>キョウト</t>
    </rPh>
    <rPh sb="3" eb="5">
      <t>ハナコ</t>
    </rPh>
    <phoneticPr fontId="2"/>
  </si>
  <si>
    <t>キョウト　ハナコ</t>
    <phoneticPr fontId="2"/>
  </si>
  <si>
    <t>平成</t>
  </si>
  <si>
    <t>京都市役所幼稚園</t>
    <rPh sb="0" eb="2">
      <t>キョウト</t>
    </rPh>
    <rPh sb="2" eb="3">
      <t>シ</t>
    </rPh>
    <rPh sb="3" eb="5">
      <t>ヤクショ</t>
    </rPh>
    <rPh sb="5" eb="7">
      <t>ヨウチ</t>
    </rPh>
    <rPh sb="7" eb="8">
      <t>エン</t>
    </rPh>
    <phoneticPr fontId="2"/>
  </si>
  <si>
    <t>同上</t>
  </si>
  <si>
    <t>認可外保育施設</t>
  </si>
  <si>
    <t>中京区ファミサポ</t>
    <rPh sb="0" eb="3">
      <t>ナカギョウク</t>
    </rPh>
    <phoneticPr fontId="2"/>
  </si>
  <si>
    <t>子育て援助活動支援事業</t>
  </si>
  <si>
    <t>１ヶ月目：</t>
    <rPh sb="2" eb="3">
      <t>ゲツ</t>
    </rPh>
    <rPh sb="3" eb="4">
      <t>メ</t>
    </rPh>
    <phoneticPr fontId="2"/>
  </si>
  <si>
    <t>２ヶ月目：</t>
    <rPh sb="2" eb="3">
      <t>ゲツ</t>
    </rPh>
    <rPh sb="3" eb="4">
      <t>メ</t>
    </rPh>
    <phoneticPr fontId="2"/>
  </si>
  <si>
    <t>３ヶ月目：</t>
    <rPh sb="2" eb="3">
      <t>ゲツ</t>
    </rPh>
    <rPh sb="3" eb="4">
      <t>メ</t>
    </rPh>
    <phoneticPr fontId="2"/>
  </si>
  <si>
    <t>※エクセルが最新版でない場合，西暦入力すると申請用紙に「平成」と表記される場合があります。</t>
    <rPh sb="6" eb="9">
      <t>サイシンバン</t>
    </rPh>
    <rPh sb="12" eb="14">
      <t>バアイ</t>
    </rPh>
    <rPh sb="15" eb="17">
      <t>セイレキ</t>
    </rPh>
    <rPh sb="17" eb="19">
      <t>ニュウリョク</t>
    </rPh>
    <rPh sb="22" eb="24">
      <t>シンセイ</t>
    </rPh>
    <rPh sb="24" eb="26">
      <t>ヨウシ</t>
    </rPh>
    <rPh sb="28" eb="30">
      <t>ヘイセイ</t>
    </rPh>
    <rPh sb="32" eb="34">
      <t>ヒョウキ</t>
    </rPh>
    <rPh sb="37" eb="39">
      <t>バアイ</t>
    </rPh>
    <phoneticPr fontId="2"/>
  </si>
  <si>
    <t>◇施設・事業所名：</t>
    <rPh sb="1" eb="3">
      <t>シセツ</t>
    </rPh>
    <rPh sb="4" eb="7">
      <t>ジギョウショ</t>
    </rPh>
    <rPh sb="7" eb="8">
      <t>メイ</t>
    </rPh>
    <phoneticPr fontId="2"/>
  </si>
  <si>
    <t>※　申請期間途中に認定区分が変わった場合は，新２号（もしくは</t>
    <rPh sb="2" eb="4">
      <t>シンセイ</t>
    </rPh>
    <rPh sb="4" eb="6">
      <t>キカン</t>
    </rPh>
    <rPh sb="6" eb="8">
      <t>トチュウ</t>
    </rPh>
    <rPh sb="9" eb="11">
      <t>ニンテイ</t>
    </rPh>
    <rPh sb="11" eb="13">
      <t>クブン</t>
    </rPh>
    <rPh sb="14" eb="15">
      <t>カ</t>
    </rPh>
    <rPh sb="18" eb="20">
      <t>バアイ</t>
    </rPh>
    <rPh sb="22" eb="23">
      <t>シン</t>
    </rPh>
    <rPh sb="24" eb="25">
      <t>ゴウ</t>
    </rPh>
    <phoneticPr fontId="2"/>
  </si>
  <si>
    <t>　新３号）を選択し，その有効期間を入力</t>
    <rPh sb="6" eb="8">
      <t>センタク</t>
    </rPh>
    <rPh sb="12" eb="14">
      <t>ユウコウ</t>
    </rPh>
    <rPh sb="14" eb="16">
      <t>キカン</t>
    </rPh>
    <rPh sb="17" eb="19">
      <t>ニュウリョク</t>
    </rPh>
    <phoneticPr fontId="2"/>
  </si>
  <si>
    <t>◆認定区分が変わった場合（新１号⇔新２，３号）の，新１号の有効期間：</t>
    <rPh sb="1" eb="3">
      <t>ニンテイ</t>
    </rPh>
    <rPh sb="3" eb="5">
      <t>クブン</t>
    </rPh>
    <rPh sb="6" eb="7">
      <t>カ</t>
    </rPh>
    <rPh sb="10" eb="12">
      <t>バアイ</t>
    </rPh>
    <rPh sb="13" eb="14">
      <t>シン</t>
    </rPh>
    <rPh sb="15" eb="16">
      <t>ゴウ</t>
    </rPh>
    <rPh sb="17" eb="18">
      <t>シン</t>
    </rPh>
    <rPh sb="21" eb="22">
      <t>ゴウ</t>
    </rPh>
    <rPh sb="25" eb="26">
      <t>シン</t>
    </rPh>
    <rPh sb="27" eb="28">
      <t>ゴウ</t>
    </rPh>
    <rPh sb="29" eb="31">
      <t>ユウコウ</t>
    </rPh>
    <rPh sb="31" eb="33">
      <t>キカン</t>
    </rPh>
    <phoneticPr fontId="2"/>
  </si>
  <si>
    <t>※　施設の利用方法，認定の切り替え状況によっては利用できない場合があります。</t>
    <rPh sb="2" eb="4">
      <t>シセツ</t>
    </rPh>
    <rPh sb="5" eb="7">
      <t>リヨウ</t>
    </rPh>
    <rPh sb="7" eb="9">
      <t>ホウホウ</t>
    </rPh>
    <rPh sb="10" eb="12">
      <t>ニンテイ</t>
    </rPh>
    <rPh sb="13" eb="14">
      <t>キ</t>
    </rPh>
    <rPh sb="15" eb="16">
      <t>カ</t>
    </rPh>
    <rPh sb="17" eb="19">
      <t>ジョウキョウ</t>
    </rPh>
    <rPh sb="24" eb="26">
      <t>リヨウ</t>
    </rPh>
    <rPh sb="30" eb="32">
      <t>バアイ</t>
    </rPh>
    <phoneticPr fontId="2"/>
  </si>
  <si>
    <t>認可外上限算定用</t>
    <rPh sb="0" eb="2">
      <t>ニンカ</t>
    </rPh>
    <rPh sb="2" eb="3">
      <t>ガイ</t>
    </rPh>
    <rPh sb="3" eb="5">
      <t>ジョウゲン</t>
    </rPh>
    <rPh sb="5" eb="7">
      <t>サンテイ</t>
    </rPh>
    <rPh sb="7" eb="8">
      <t>ヨウ</t>
    </rPh>
    <phoneticPr fontId="2"/>
  </si>
  <si>
    <t>認可外上限（認可外オンリー併用ケース）</t>
    <rPh sb="0" eb="2">
      <t>ニンカ</t>
    </rPh>
    <rPh sb="2" eb="3">
      <t>ガイ</t>
    </rPh>
    <rPh sb="3" eb="5">
      <t>ジョウゲン</t>
    </rPh>
    <rPh sb="6" eb="8">
      <t>ニンカ</t>
    </rPh>
    <rPh sb="8" eb="9">
      <t>ガイ</t>
    </rPh>
    <rPh sb="13" eb="15">
      <t>ヘイヨウ</t>
    </rPh>
    <phoneticPr fontId="2"/>
  </si>
  <si>
    <t>幼稚園利用初日</t>
    <rPh sb="0" eb="2">
      <t>ヨウチ</t>
    </rPh>
    <rPh sb="2" eb="3">
      <t>エン</t>
    </rPh>
    <rPh sb="3" eb="5">
      <t>リヨウ</t>
    </rPh>
    <rPh sb="5" eb="7">
      <t>ショニチ</t>
    </rPh>
    <phoneticPr fontId="2"/>
  </si>
  <si>
    <t>幼稚園利用最終日</t>
    <rPh sb="0" eb="2">
      <t>ヨウチ</t>
    </rPh>
    <rPh sb="2" eb="3">
      <t>エン</t>
    </rPh>
    <rPh sb="3" eb="5">
      <t>リヨウ</t>
    </rPh>
    <rPh sb="5" eb="8">
      <t>サイシュウビ</t>
    </rPh>
    <phoneticPr fontId="2"/>
  </si>
  <si>
    <t>認可外初日</t>
    <rPh sb="0" eb="2">
      <t>ニンカ</t>
    </rPh>
    <rPh sb="2" eb="3">
      <t>ガイ</t>
    </rPh>
    <rPh sb="3" eb="5">
      <t>ショニチ</t>
    </rPh>
    <phoneticPr fontId="2"/>
  </si>
  <si>
    <t>認可外最終日</t>
    <rPh sb="0" eb="2">
      <t>ニンカ</t>
    </rPh>
    <rPh sb="2" eb="3">
      <t>ガイ</t>
    </rPh>
    <rPh sb="3" eb="6">
      <t>サイシュウビ</t>
    </rPh>
    <phoneticPr fontId="2"/>
  </si>
  <si>
    <t>認可外オンリー併用ケース</t>
    <rPh sb="0" eb="2">
      <t>ニンカ</t>
    </rPh>
    <rPh sb="2" eb="3">
      <t>ガイ</t>
    </rPh>
    <rPh sb="7" eb="9">
      <t>ヘイヨウ</t>
    </rPh>
    <phoneticPr fontId="2"/>
  </si>
  <si>
    <t>単あり併あり</t>
    <rPh sb="0" eb="1">
      <t>タン</t>
    </rPh>
    <rPh sb="3" eb="4">
      <t>ヘイ</t>
    </rPh>
    <phoneticPr fontId="2"/>
  </si>
  <si>
    <t>単あり併なし</t>
    <rPh sb="0" eb="1">
      <t>タン</t>
    </rPh>
    <rPh sb="3" eb="4">
      <t>ヘイ</t>
    </rPh>
    <phoneticPr fontId="2"/>
  </si>
  <si>
    <t>月頭</t>
    <rPh sb="0" eb="1">
      <t>ツキ</t>
    </rPh>
    <rPh sb="1" eb="2">
      <t>アタマ</t>
    </rPh>
    <phoneticPr fontId="2"/>
  </si>
  <si>
    <t>月末</t>
    <rPh sb="0" eb="2">
      <t>ゲツマツ</t>
    </rPh>
    <phoneticPr fontId="2"/>
  </si>
  <si>
    <t>認可頭</t>
    <rPh sb="0" eb="2">
      <t>ニンカ</t>
    </rPh>
    <rPh sb="2" eb="3">
      <t>アタマ</t>
    </rPh>
    <phoneticPr fontId="2"/>
  </si>
  <si>
    <t>認可末</t>
    <rPh sb="0" eb="2">
      <t>ニンカ</t>
    </rPh>
    <rPh sb="2" eb="3">
      <t>マツ</t>
    </rPh>
    <phoneticPr fontId="2"/>
  </si>
  <si>
    <t>注意</t>
    <rPh sb="0" eb="2">
      <t>チュウイ</t>
    </rPh>
    <phoneticPr fontId="2"/>
  </si>
  <si>
    <t>当該月？</t>
    <rPh sb="0" eb="2">
      <t>トウガイ</t>
    </rPh>
    <rPh sb="2" eb="3">
      <t>ツキ</t>
    </rPh>
    <phoneticPr fontId="2"/>
  </si>
  <si>
    <t>※　幼稚園と認可外施設等の利用期間が重なる期間は，併用可能な幼稚園のみが対象となります。</t>
    <rPh sb="2" eb="5">
      <t>ヨウチエン</t>
    </rPh>
    <rPh sb="6" eb="8">
      <t>ニンカ</t>
    </rPh>
    <rPh sb="8" eb="9">
      <t>ガイ</t>
    </rPh>
    <rPh sb="9" eb="12">
      <t>シセツナド</t>
    </rPh>
    <rPh sb="13" eb="15">
      <t>リヨウ</t>
    </rPh>
    <rPh sb="15" eb="17">
      <t>キカン</t>
    </rPh>
    <rPh sb="18" eb="19">
      <t>カサ</t>
    </rPh>
    <rPh sb="21" eb="23">
      <t>キカン</t>
    </rPh>
    <rPh sb="25" eb="27">
      <t>ヘイヨウ</t>
    </rPh>
    <rPh sb="27" eb="29">
      <t>カノウ</t>
    </rPh>
    <rPh sb="30" eb="33">
      <t>ヨウチエン</t>
    </rPh>
    <rPh sb="36" eb="38">
      <t>タイショウ</t>
    </rPh>
    <phoneticPr fontId="2"/>
  </si>
  <si>
    <t>※　提出される際には，印刷をした申請書に「押印」をお願いします。</t>
    <rPh sb="2" eb="4">
      <t>テイシュツ</t>
    </rPh>
    <rPh sb="7" eb="8">
      <t>サイ</t>
    </rPh>
    <rPh sb="11" eb="13">
      <t>インサツ</t>
    </rPh>
    <rPh sb="16" eb="18">
      <t>シンセイ</t>
    </rPh>
    <rPh sb="18" eb="19">
      <t>ショ</t>
    </rPh>
    <rPh sb="21" eb="23">
      <t>オウイン</t>
    </rPh>
    <rPh sb="26" eb="27">
      <t>ネガ</t>
    </rPh>
    <phoneticPr fontId="2"/>
  </si>
  <si>
    <t>中京区園</t>
    <rPh sb="0" eb="3">
      <t>ナカギョウク</t>
    </rPh>
    <rPh sb="3" eb="4">
      <t>エン</t>
    </rPh>
    <phoneticPr fontId="2"/>
  </si>
  <si>
    <t>一時預かり事業</t>
  </si>
  <si>
    <t>※　施設等利用給付認定の有効期間中に市外転出をされた場合は，転出日の前日が有効期間の終了日となります。</t>
    <rPh sb="2" eb="5">
      <t>シセツトウ</t>
    </rPh>
    <rPh sb="5" eb="7">
      <t>リヨウ</t>
    </rPh>
    <rPh sb="7" eb="9">
      <t>キュウフ</t>
    </rPh>
    <rPh sb="9" eb="11">
      <t>ニンテイ</t>
    </rPh>
    <rPh sb="12" eb="14">
      <t>ユウコウ</t>
    </rPh>
    <rPh sb="14" eb="17">
      <t>キカンチュウ</t>
    </rPh>
    <rPh sb="18" eb="20">
      <t>シガイ</t>
    </rPh>
    <rPh sb="20" eb="22">
      <t>テンシュツ</t>
    </rPh>
    <rPh sb="26" eb="28">
      <t>バアイ</t>
    </rPh>
    <rPh sb="30" eb="32">
      <t>テンシュツ</t>
    </rPh>
    <rPh sb="32" eb="33">
      <t>ヒ</t>
    </rPh>
    <rPh sb="34" eb="36">
      <t>ゼンジツ</t>
    </rPh>
    <rPh sb="37" eb="39">
      <t>ユウコウ</t>
    </rPh>
    <rPh sb="39" eb="41">
      <t>キカン</t>
    </rPh>
    <rPh sb="42" eb="45">
      <t>シュウリョウビ</t>
    </rPh>
    <phoneticPr fontId="2"/>
  </si>
  <si>
    <t>　※　一度下欄に入力すると効かなくなります。</t>
    <rPh sb="3" eb="5">
      <t>イチド</t>
    </rPh>
    <rPh sb="5" eb="6">
      <t>シタ</t>
    </rPh>
    <rPh sb="6" eb="7">
      <t>ラン</t>
    </rPh>
    <rPh sb="8" eb="10">
      <t>ニュウリョク</t>
    </rPh>
    <rPh sb="13" eb="14">
      <t>キ</t>
    </rPh>
    <phoneticPr fontId="2"/>
  </si>
  <si>
    <t>※　幼稚園によっては給付対象外となります。対象となるかは幼稚園に御確認ください。</t>
    <rPh sb="10" eb="12">
      <t>キュウフ</t>
    </rPh>
    <rPh sb="12" eb="14">
      <t>タイショウ</t>
    </rPh>
    <rPh sb="14" eb="15">
      <t>ガイ</t>
    </rPh>
    <rPh sb="21" eb="23">
      <t>タイショウ</t>
    </rPh>
    <rPh sb="28" eb="31">
      <t>ヨウチエン</t>
    </rPh>
    <rPh sb="32" eb="35">
      <t>ゴカクニン</t>
    </rPh>
    <phoneticPr fontId="2"/>
  </si>
  <si>
    <t>※　一時預かり事業・病児保育事業の日額用の特定子ども・子育て支援の提供に係る領収証（兼提供証明書）及び子育て援助活動支援事業に係る援助活動の報告については，施設・事業所ごとに合算した金額を記入してください。その場合の「提供した日」には，その月の初日の利用日と最終の利用日を記載してください。</t>
    <rPh sb="2" eb="4">
      <t>イチジ</t>
    </rPh>
    <rPh sb="4" eb="5">
      <t>アズ</t>
    </rPh>
    <rPh sb="7" eb="9">
      <t>ジギョウ</t>
    </rPh>
    <rPh sb="10" eb="11">
      <t>ビョウ</t>
    </rPh>
    <rPh sb="11" eb="12">
      <t>ジ</t>
    </rPh>
    <rPh sb="12" eb="14">
      <t>ホイク</t>
    </rPh>
    <rPh sb="14" eb="16">
      <t>ジギョウ</t>
    </rPh>
    <rPh sb="17" eb="19">
      <t>ニチガク</t>
    </rPh>
    <rPh sb="19" eb="20">
      <t>ヨウ</t>
    </rPh>
    <rPh sb="21" eb="23">
      <t>トクテイ</t>
    </rPh>
    <rPh sb="23" eb="24">
      <t>コ</t>
    </rPh>
    <rPh sb="27" eb="29">
      <t>コソダ</t>
    </rPh>
    <rPh sb="30" eb="32">
      <t>シエン</t>
    </rPh>
    <rPh sb="33" eb="35">
      <t>テイキョウ</t>
    </rPh>
    <rPh sb="36" eb="37">
      <t>カカ</t>
    </rPh>
    <rPh sb="38" eb="41">
      <t>リョウシュウショウ</t>
    </rPh>
    <rPh sb="42" eb="43">
      <t>カ</t>
    </rPh>
    <rPh sb="43" eb="45">
      <t>テイキョウ</t>
    </rPh>
    <rPh sb="45" eb="48">
      <t>ショウメイショ</t>
    </rPh>
    <rPh sb="49" eb="50">
      <t>オヨ</t>
    </rPh>
    <rPh sb="63" eb="64">
      <t>カカ</t>
    </rPh>
    <rPh sb="78" eb="80">
      <t>シセツ</t>
    </rPh>
    <rPh sb="81" eb="83">
      <t>ジギョウ</t>
    </rPh>
    <rPh sb="83" eb="84">
      <t>ショ</t>
    </rPh>
    <rPh sb="87" eb="89">
      <t>ガッサン</t>
    </rPh>
    <rPh sb="91" eb="93">
      <t>キンガク</t>
    </rPh>
    <rPh sb="94" eb="96">
      <t>キニュウ</t>
    </rPh>
    <phoneticPr fontId="2"/>
  </si>
  <si>
    <t>※　一時預かり事業・病児保育事業の日額用の特定子ども・子育て支援の提供に係る領収証（兼提供証明書）及び子育て援助活動支援事業に係る援助活動の報告については，施設・事業所ごとに合算した金額を記入してください。</t>
    <rPh sb="2" eb="4">
      <t>イチジ</t>
    </rPh>
    <rPh sb="4" eb="5">
      <t>アズ</t>
    </rPh>
    <rPh sb="7" eb="9">
      <t>ジギョウ</t>
    </rPh>
    <rPh sb="10" eb="11">
      <t>ビョウ</t>
    </rPh>
    <rPh sb="11" eb="12">
      <t>ジ</t>
    </rPh>
    <rPh sb="12" eb="14">
      <t>ホイク</t>
    </rPh>
    <rPh sb="14" eb="16">
      <t>ジギョウ</t>
    </rPh>
    <rPh sb="17" eb="19">
      <t>ニチガク</t>
    </rPh>
    <rPh sb="19" eb="20">
      <t>ヨウ</t>
    </rPh>
    <rPh sb="21" eb="23">
      <t>トクテイ</t>
    </rPh>
    <rPh sb="23" eb="24">
      <t>コ</t>
    </rPh>
    <rPh sb="27" eb="29">
      <t>コソダ</t>
    </rPh>
    <rPh sb="30" eb="32">
      <t>シエン</t>
    </rPh>
    <rPh sb="33" eb="35">
      <t>テイキョウ</t>
    </rPh>
    <rPh sb="36" eb="37">
      <t>カカ</t>
    </rPh>
    <rPh sb="38" eb="41">
      <t>リョウシュウショウ</t>
    </rPh>
    <rPh sb="42" eb="43">
      <t>カ</t>
    </rPh>
    <rPh sb="43" eb="45">
      <t>テイキョウ</t>
    </rPh>
    <rPh sb="45" eb="48">
      <t>ショウメイショ</t>
    </rPh>
    <rPh sb="49" eb="50">
      <t>オヨ</t>
    </rPh>
    <rPh sb="63" eb="64">
      <t>カカ</t>
    </rPh>
    <rPh sb="78" eb="80">
      <t>シセツ</t>
    </rPh>
    <rPh sb="81" eb="83">
      <t>ジギョウ</t>
    </rPh>
    <rPh sb="83" eb="84">
      <t>ショ</t>
    </rPh>
    <rPh sb="87" eb="89">
      <t>ガッサン</t>
    </rPh>
    <rPh sb="91" eb="93">
      <t>キンガク</t>
    </rPh>
    <rPh sb="94" eb="96">
      <t>キニュウ</t>
    </rPh>
    <phoneticPr fontId="2"/>
  </si>
  <si>
    <t>幼稚園・認定こども園　利用者用</t>
    <rPh sb="0" eb="2">
      <t>ヨウチ</t>
    </rPh>
    <rPh sb="2" eb="3">
      <t>エン</t>
    </rPh>
    <rPh sb="4" eb="6">
      <t>ニンテイ</t>
    </rPh>
    <rPh sb="9" eb="10">
      <t>エン</t>
    </rPh>
    <rPh sb="11" eb="14">
      <t>リヨウシャ</t>
    </rPh>
    <rPh sb="14" eb="15">
      <t>ヨウ</t>
    </rPh>
    <phoneticPr fontId="2"/>
  </si>
  <si>
    <t>施設等利用費申請書入力フォーム</t>
    <rPh sb="0" eb="2">
      <t>シセツ</t>
    </rPh>
    <rPh sb="2" eb="3">
      <t>トウ</t>
    </rPh>
    <rPh sb="3" eb="5">
      <t>リヨウ</t>
    </rPh>
    <rPh sb="5" eb="6">
      <t>ヒ</t>
    </rPh>
    <rPh sb="6" eb="8">
      <t>シンセイ</t>
    </rPh>
    <rPh sb="8" eb="9">
      <t>ショ</t>
    </rPh>
    <rPh sb="9" eb="11">
      <t>ニュウリョク</t>
    </rPh>
    <phoneticPr fontId="2"/>
  </si>
  <si>
    <r>
      <t>【申請者（保護者）】</t>
    </r>
    <r>
      <rPr>
        <sz val="10"/>
        <color rgb="FFFF0000"/>
        <rFont val="ＭＳ 明朝"/>
        <family val="1"/>
        <charset val="128"/>
      </rPr>
      <t>※施設等利用給付認定(変更認定)通知書に記載されている方</t>
    </r>
    <rPh sb="1" eb="4">
      <t>シンセイシャ</t>
    </rPh>
    <rPh sb="5" eb="8">
      <t>ホゴシャ</t>
    </rPh>
    <phoneticPr fontId="2"/>
  </si>
  <si>
    <r>
      <t>【認定子ども】</t>
    </r>
    <r>
      <rPr>
        <sz val="10"/>
        <color rgb="FFFF0000"/>
        <rFont val="ＭＳ 明朝"/>
        <family val="1"/>
        <charset val="128"/>
      </rPr>
      <t>※　認定番号は施設等利用給付認定(変更認定)通知書に記載されています。</t>
    </r>
    <rPh sb="1" eb="3">
      <t>ニンテイ</t>
    </rPh>
    <rPh sb="3" eb="4">
      <t>コ</t>
    </rPh>
    <rPh sb="9" eb="11">
      <t>ニンテイ</t>
    </rPh>
    <rPh sb="11" eb="13">
      <t>バンゴウ</t>
    </rPh>
    <phoneticPr fontId="2"/>
  </si>
  <si>
    <t>※　利用した施設が発行した特定子ども・子育て支援提供証明書を見ながら入力してください。</t>
    <rPh sb="2" eb="4">
      <t>リヨウ</t>
    </rPh>
    <rPh sb="6" eb="8">
      <t>シセツ</t>
    </rPh>
    <rPh sb="9" eb="11">
      <t>ハッコウ</t>
    </rPh>
    <rPh sb="13" eb="15">
      <t>トクテイ</t>
    </rPh>
    <rPh sb="15" eb="16">
      <t>コ</t>
    </rPh>
    <rPh sb="19" eb="21">
      <t>コソダ</t>
    </rPh>
    <rPh sb="22" eb="24">
      <t>シエン</t>
    </rPh>
    <rPh sb="24" eb="26">
      <t>テイキョウ</t>
    </rPh>
    <rPh sb="26" eb="29">
      <t>ショウメイショ</t>
    </rPh>
    <rPh sb="30" eb="31">
      <t>ミ</t>
    </rPh>
    <rPh sb="34" eb="36">
      <t>ニュウリョク</t>
    </rPh>
    <phoneticPr fontId="2"/>
  </si>
  <si>
    <r>
      <t>【預かり保育】</t>
    </r>
    <r>
      <rPr>
        <sz val="9"/>
        <color rgb="FFFF0000"/>
        <rFont val="ＭＳ ゴシック"/>
        <family val="3"/>
        <charset val="128"/>
      </rPr>
      <t>※　園が代理申請している場合も入力してください。</t>
    </r>
    <rPh sb="1" eb="2">
      <t>アズ</t>
    </rPh>
    <rPh sb="4" eb="6">
      <t>ホイク</t>
    </rPh>
    <rPh sb="9" eb="10">
      <t>エン</t>
    </rPh>
    <rPh sb="11" eb="13">
      <t>ダイリ</t>
    </rPh>
    <rPh sb="13" eb="15">
      <t>シンセイ</t>
    </rPh>
    <rPh sb="19" eb="21">
      <t>バアイ</t>
    </rPh>
    <rPh sb="22" eb="24">
      <t>ニュウリョク</t>
    </rPh>
    <phoneticPr fontId="2"/>
  </si>
  <si>
    <r>
      <t>　その場合は，和暦で入力してください。また，</t>
    </r>
    <r>
      <rPr>
        <sz val="9"/>
        <color rgb="FFFF0000"/>
        <rFont val="ＭＳ 明朝"/>
        <family val="1"/>
        <charset val="128"/>
      </rPr>
      <t>元年は「１年」と入力</t>
    </r>
    <r>
      <rPr>
        <sz val="9"/>
        <color theme="1"/>
        <rFont val="ＭＳ 明朝"/>
        <family val="1"/>
        <charset val="128"/>
      </rPr>
      <t>してください。</t>
    </r>
    <rPh sb="3" eb="5">
      <t>バアイ</t>
    </rPh>
    <rPh sb="7" eb="9">
      <t>ワレキ</t>
    </rPh>
    <rPh sb="10" eb="12">
      <t>ニュウリョク</t>
    </rPh>
    <phoneticPr fontId="2"/>
  </si>
  <si>
    <t>※　園が代理申請している場合は入力しないでください。</t>
    <rPh sb="2" eb="3">
      <t>エン</t>
    </rPh>
    <rPh sb="4" eb="6">
      <t>ダイリ</t>
    </rPh>
    <rPh sb="6" eb="8">
      <t>シンセイ</t>
    </rPh>
    <rPh sb="12" eb="14">
      <t>バアイ</t>
    </rPh>
    <rPh sb="15" eb="17">
      <t>ニュウリョク</t>
    </rPh>
    <phoneticPr fontId="2"/>
  </si>
  <si>
    <t>預かり利用初日</t>
    <rPh sb="0" eb="1">
      <t>アズ</t>
    </rPh>
    <rPh sb="3" eb="5">
      <t>リヨウ</t>
    </rPh>
    <rPh sb="5" eb="7">
      <t>ショニチ</t>
    </rPh>
    <phoneticPr fontId="2"/>
  </si>
  <si>
    <t>預かり利用最終日</t>
    <rPh sb="0" eb="1">
      <t>アズ</t>
    </rPh>
    <rPh sb="3" eb="5">
      <t>リヨウ</t>
    </rPh>
    <rPh sb="5" eb="8">
      <t>サイシュウビ</t>
    </rPh>
    <phoneticPr fontId="2"/>
  </si>
  <si>
    <t>幼稚園・預かり利用初日</t>
    <rPh sb="0" eb="2">
      <t>ヨウチ</t>
    </rPh>
    <rPh sb="2" eb="3">
      <t>エン</t>
    </rPh>
    <rPh sb="4" eb="5">
      <t>アズ</t>
    </rPh>
    <rPh sb="7" eb="9">
      <t>リヨウ</t>
    </rPh>
    <rPh sb="9" eb="11">
      <t>ショニチ</t>
    </rPh>
    <phoneticPr fontId="2"/>
  </si>
  <si>
    <t>幼稚園・預かり利用最終日</t>
    <rPh sb="0" eb="2">
      <t>ヨウチ</t>
    </rPh>
    <rPh sb="2" eb="3">
      <t>エン</t>
    </rPh>
    <rPh sb="4" eb="5">
      <t>アズ</t>
    </rPh>
    <rPh sb="7" eb="9">
      <t>リヨウ</t>
    </rPh>
    <rPh sb="9" eb="12">
      <t>サイシュウビ</t>
    </rPh>
    <phoneticPr fontId="2"/>
  </si>
  <si>
    <t>　</t>
  </si>
  <si>
    <t>令和元年10月21日</t>
    <rPh sb="0" eb="1">
      <t>レイ</t>
    </rPh>
    <rPh sb="1" eb="2">
      <t>ワ</t>
    </rPh>
    <rPh sb="2" eb="4">
      <t>ガンネン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</si>
</sst>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3">
    <font>
      <sz val="11"/>
      <color theme="1"/>
      <name val="ＭＳ Ｐゴシック"/>
      <family val="2"/>
      <charset val="128"/>
    </font>
    <font>
      <sz val="10.5"/>
      <color theme="1"/>
      <name val="ＭＳ 明朝"/>
      <family val="1"/>
      <charset val="128"/>
    </font>
    <font>
      <sz val="6"/>
      <name val="ＭＳ Ｐゴシック"/>
      <family val="2"/>
      <charset val="128"/>
    </font>
    <font>
      <sz val="8"/>
      <color theme="1"/>
      <name val="ＭＳ 明朝"/>
      <family val="1"/>
      <charset val="128"/>
    </font>
    <font>
      <b/>
      <sz val="10.5"/>
      <color theme="1"/>
      <name val="ＭＳ 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u/>
      <sz val="10.5"/>
      <color theme="1"/>
      <name val="ＭＳ 明朝"/>
      <family val="1"/>
      <charset val="128"/>
    </font>
    <font>
      <u/>
      <sz val="9"/>
      <color theme="1"/>
      <name val="ＭＳ 明朝"/>
      <family val="1"/>
      <charset val="128"/>
    </font>
    <font>
      <sz val="11"/>
      <color theme="1"/>
      <name val="ＭＳ Ｐゴシック"/>
      <family val="2"/>
      <charset val="128"/>
    </font>
    <font>
      <sz val="12"/>
      <color theme="1"/>
      <name val="ＭＳ 明朝"/>
      <family val="1"/>
      <charset val="128"/>
    </font>
    <font>
      <sz val="16"/>
      <color theme="1"/>
      <name val="ＭＳ ゴシック"/>
      <family val="3"/>
      <charset val="128"/>
    </font>
    <font>
      <sz val="20"/>
      <color theme="1"/>
      <name val="Meiryo UI"/>
      <family val="3"/>
      <charset val="128"/>
    </font>
    <font>
      <u/>
      <sz val="12"/>
      <color theme="1"/>
      <name val="ＭＳ ゴシック"/>
      <family val="3"/>
      <charset val="128"/>
    </font>
    <font>
      <b/>
      <u/>
      <sz val="12"/>
      <color theme="1"/>
      <name val="ＭＳ ゴシック"/>
      <family val="3"/>
      <charset val="128"/>
    </font>
    <font>
      <b/>
      <sz val="12"/>
      <color theme="1"/>
      <name val="ＭＳ ゴシック"/>
      <family val="3"/>
      <charset val="128"/>
    </font>
    <font>
      <b/>
      <sz val="12"/>
      <color theme="1"/>
      <name val="ＭＳ 明朝"/>
      <family val="3"/>
      <charset val="128"/>
    </font>
    <font>
      <sz val="9"/>
      <color theme="1"/>
      <name val="ＭＳ 明朝"/>
      <family val="3"/>
      <charset val="128"/>
    </font>
    <font>
      <sz val="9"/>
      <color indexed="81"/>
      <name val="MS P ゴシック"/>
      <family val="3"/>
      <charset val="128"/>
    </font>
    <font>
      <sz val="10"/>
      <color rgb="FFFF0000"/>
      <name val="ＭＳ 明朝"/>
      <family val="1"/>
      <charset val="128"/>
    </font>
    <font>
      <sz val="9"/>
      <color rgb="FFFF0000"/>
      <name val="ＭＳ ゴシック"/>
      <family val="3"/>
      <charset val="128"/>
    </font>
    <font>
      <sz val="9"/>
      <color rgb="FFFF0000"/>
      <name val="ＭＳ 明朝"/>
      <family val="1"/>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6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vertical="center" textRotation="255"/>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vertical="center" textRotation="255" wrapText="1"/>
    </xf>
    <xf numFmtId="0" fontId="1" fillId="0" borderId="19" xfId="0" applyFont="1" applyBorder="1" applyAlignment="1">
      <alignment horizontal="center" vertical="center"/>
    </xf>
    <xf numFmtId="0" fontId="5" fillId="0" borderId="0" xfId="0" applyFont="1" applyBorder="1" applyAlignment="1">
      <alignment vertical="center" wrapText="1"/>
    </xf>
    <xf numFmtId="0" fontId="1" fillId="0" borderId="0" xfId="0" applyFont="1" applyBorder="1" applyAlignment="1">
      <alignment vertical="center" shrinkToFit="1"/>
    </xf>
    <xf numFmtId="176" fontId="1" fillId="0" borderId="8" xfId="0" applyNumberFormat="1" applyFont="1" applyBorder="1" applyAlignment="1">
      <alignment horizontal="center" vertical="center" shrinkToFit="1"/>
    </xf>
    <xf numFmtId="176" fontId="1" fillId="0" borderId="7" xfId="0" applyNumberFormat="1" applyFont="1" applyBorder="1" applyAlignment="1">
      <alignment horizontal="center" vertical="center" shrinkToFit="1"/>
    </xf>
    <xf numFmtId="176" fontId="1" fillId="0" borderId="27" xfId="0" applyNumberFormat="1" applyFont="1" applyBorder="1" applyAlignment="1">
      <alignment horizontal="center" vertical="center" shrinkToFit="1"/>
    </xf>
    <xf numFmtId="176" fontId="1" fillId="0" borderId="30" xfId="0" applyNumberFormat="1" applyFont="1" applyBorder="1" applyAlignment="1">
      <alignment horizontal="center" vertical="center" shrinkToFit="1"/>
    </xf>
    <xf numFmtId="0" fontId="3" fillId="0" borderId="0" xfId="0" applyFont="1">
      <alignment vertical="center"/>
    </xf>
    <xf numFmtId="0" fontId="1" fillId="0" borderId="5" xfId="0" applyFont="1" applyBorder="1" applyAlignment="1">
      <alignment horizontal="center" vertical="center"/>
    </xf>
    <xf numFmtId="0" fontId="1" fillId="0" borderId="1" xfId="0" applyFont="1" applyBorder="1">
      <alignment vertical="center"/>
    </xf>
    <xf numFmtId="0" fontId="1" fillId="0" borderId="5" xfId="0" applyFont="1" applyBorder="1" applyAlignment="1">
      <alignment vertical="center"/>
    </xf>
    <xf numFmtId="176" fontId="1" fillId="0" borderId="0" xfId="0" applyNumberFormat="1" applyFont="1" applyBorder="1" applyAlignment="1">
      <alignment horizontal="center" vertical="center" shrinkToFit="1"/>
    </xf>
    <xf numFmtId="176" fontId="1" fillId="0" borderId="0" xfId="0" applyNumberFormat="1" applyFont="1" applyBorder="1" applyAlignment="1">
      <alignment horizontal="right" vertical="center" shrinkToFit="1"/>
    </xf>
    <xf numFmtId="0" fontId="1" fillId="0" borderId="0" xfId="0" applyFont="1" applyBorder="1" applyAlignment="1">
      <alignment horizontal="left" vertical="center"/>
    </xf>
    <xf numFmtId="176" fontId="1" fillId="0" borderId="34" xfId="0" applyNumberFormat="1" applyFont="1" applyBorder="1" applyAlignment="1">
      <alignment horizontal="center" vertical="center" shrinkToFit="1"/>
    </xf>
    <xf numFmtId="0" fontId="1" fillId="0" borderId="7" xfId="0" applyFont="1" applyBorder="1" applyAlignment="1">
      <alignment horizontal="left" vertical="center"/>
    </xf>
    <xf numFmtId="0" fontId="1" fillId="0" borderId="0" xfId="0" applyFont="1" applyAlignment="1">
      <alignment horizontal="left" vertical="center"/>
    </xf>
    <xf numFmtId="176" fontId="1" fillId="0" borderId="36" xfId="0" applyNumberFormat="1" applyFont="1" applyBorder="1" applyAlignment="1">
      <alignment horizontal="center" vertical="center" shrinkToFit="1"/>
    </xf>
    <xf numFmtId="176" fontId="1" fillId="0" borderId="7" xfId="0" applyNumberFormat="1" applyFont="1" applyBorder="1" applyAlignment="1">
      <alignment horizontal="center" vertical="center" shrinkToFit="1"/>
    </xf>
    <xf numFmtId="0" fontId="8" fillId="0" borderId="0" xfId="0" applyFont="1">
      <alignment vertical="center"/>
    </xf>
    <xf numFmtId="0" fontId="9" fillId="0" borderId="0" xfId="0" applyFont="1">
      <alignment vertical="center"/>
    </xf>
    <xf numFmtId="0" fontId="3" fillId="0" borderId="0" xfId="0" applyFont="1" applyBorder="1" applyAlignment="1">
      <alignment vertical="center" wrapText="1"/>
    </xf>
    <xf numFmtId="0" fontId="3" fillId="0" borderId="37" xfId="0" applyFont="1" applyBorder="1" applyAlignment="1">
      <alignment vertical="center" wrapText="1"/>
    </xf>
    <xf numFmtId="0" fontId="1" fillId="0" borderId="0" xfId="0" applyFont="1" applyAlignment="1">
      <alignment horizontal="left" vertical="center"/>
    </xf>
    <xf numFmtId="176" fontId="1" fillId="0" borderId="7" xfId="0" applyNumberFormat="1" applyFont="1" applyBorder="1" applyAlignment="1">
      <alignment horizontal="center" vertical="center" shrinkToFit="1"/>
    </xf>
    <xf numFmtId="176" fontId="1" fillId="0" borderId="7" xfId="0" applyNumberFormat="1" applyFont="1" applyBorder="1" applyAlignment="1">
      <alignment horizontal="center" vertical="center" shrinkToFit="1"/>
    </xf>
    <xf numFmtId="0" fontId="11" fillId="0" borderId="0" xfId="0" applyFont="1">
      <alignment vertical="center"/>
    </xf>
    <xf numFmtId="0" fontId="12" fillId="0" borderId="0" xfId="0" applyFo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4" fillId="0" borderId="0" xfId="0" applyFont="1">
      <alignment vertical="center"/>
    </xf>
    <xf numFmtId="0" fontId="11" fillId="2" borderId="38" xfId="0" applyFont="1" applyFill="1" applyBorder="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5" fillId="0" borderId="0" xfId="0" applyFont="1">
      <alignment vertical="center"/>
    </xf>
    <xf numFmtId="0" fontId="11" fillId="2" borderId="38" xfId="0" applyFont="1" applyFill="1" applyBorder="1" applyAlignment="1" applyProtection="1">
      <alignment horizontal="right" vertical="center"/>
      <protection locked="0"/>
    </xf>
    <xf numFmtId="0" fontId="11" fillId="2" borderId="38" xfId="0" applyFont="1" applyFill="1" applyBorder="1" applyProtection="1">
      <alignment vertical="center"/>
      <protection locked="0"/>
    </xf>
    <xf numFmtId="0" fontId="15" fillId="0" borderId="0" xfId="0" applyFont="1">
      <alignment vertical="center"/>
    </xf>
    <xf numFmtId="177" fontId="0" fillId="0" borderId="0" xfId="0" applyNumberFormat="1">
      <alignment vertical="center"/>
    </xf>
    <xf numFmtId="0" fontId="11" fillId="2" borderId="38"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11" fillId="0" borderId="4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0" xfId="0" applyFont="1" applyBorder="1">
      <alignment vertical="center"/>
    </xf>
    <xf numFmtId="0" fontId="11" fillId="0" borderId="0" xfId="0" applyFont="1" applyBorder="1">
      <alignment vertical="center"/>
    </xf>
    <xf numFmtId="0" fontId="11" fillId="0" borderId="39" xfId="0" applyFont="1" applyBorder="1">
      <alignment vertical="center"/>
    </xf>
    <xf numFmtId="0" fontId="11" fillId="0" borderId="0" xfId="0" applyFont="1" applyBorder="1" applyAlignment="1">
      <alignment horizontal="right" vertical="center"/>
    </xf>
    <xf numFmtId="38" fontId="11" fillId="0" borderId="0" xfId="1" applyFont="1" applyAlignment="1">
      <alignment horizontal="center" vertical="center"/>
    </xf>
    <xf numFmtId="0" fontId="11" fillId="0" borderId="0" xfId="0" applyFont="1" applyAlignment="1">
      <alignment horizontal="left" vertical="center"/>
    </xf>
    <xf numFmtId="0" fontId="16" fillId="0" borderId="0" xfId="0" applyFont="1" applyAlignment="1">
      <alignment horizontal="left" vertical="center"/>
    </xf>
    <xf numFmtId="38" fontId="11" fillId="0" borderId="0" xfId="1" applyFo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1" fillId="0" borderId="5" xfId="0" applyFont="1" applyBorder="1">
      <alignment vertical="center"/>
    </xf>
    <xf numFmtId="0" fontId="11" fillId="0" borderId="1" xfId="0" applyFont="1" applyBorder="1">
      <alignment vertical="center"/>
    </xf>
    <xf numFmtId="0" fontId="11" fillId="0" borderId="38" xfId="0" applyFont="1" applyBorder="1">
      <alignment vertical="center"/>
    </xf>
    <xf numFmtId="38" fontId="11" fillId="0" borderId="0" xfId="1" applyFont="1" applyAlignment="1">
      <alignment horizontal="center" vertical="center"/>
    </xf>
    <xf numFmtId="0" fontId="11" fillId="0" borderId="0" xfId="0" applyNumberFormat="1" applyFont="1">
      <alignment vertical="center"/>
    </xf>
    <xf numFmtId="38" fontId="11" fillId="0" borderId="0" xfId="0" applyNumberFormat="1" applyFont="1">
      <alignment vertical="center"/>
    </xf>
    <xf numFmtId="38" fontId="11" fillId="0" borderId="0" xfId="1" applyFont="1" applyAlignment="1">
      <alignment horizontal="center" vertical="center"/>
    </xf>
    <xf numFmtId="0" fontId="11" fillId="0" borderId="0" xfId="0" applyFont="1" applyAlignment="1">
      <alignment vertical="top" wrapText="1"/>
    </xf>
    <xf numFmtId="0" fontId="20" fillId="0" borderId="0" xfId="0" applyFont="1">
      <alignment vertical="center"/>
    </xf>
    <xf numFmtId="0" fontId="20" fillId="0" borderId="0" xfId="0" applyFont="1" applyBorder="1">
      <alignment vertical="center"/>
    </xf>
    <xf numFmtId="0" fontId="16" fillId="0" borderId="0" xfId="0" applyFont="1" applyAlignment="1">
      <alignment horizontal="right"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1" xfId="0" applyFont="1" applyFill="1" applyBorder="1" applyAlignment="1" applyProtection="1">
      <alignment vertical="center"/>
      <protection locked="0"/>
    </xf>
    <xf numFmtId="0" fontId="11" fillId="2" borderId="32" xfId="0" applyFont="1" applyFill="1" applyBorder="1" applyAlignment="1" applyProtection="1">
      <alignment vertical="center"/>
      <protection locked="0"/>
    </xf>
    <xf numFmtId="0" fontId="11" fillId="2" borderId="34" xfId="0" applyFont="1" applyFill="1" applyBorder="1" applyAlignment="1" applyProtection="1">
      <alignment vertical="center"/>
      <protection locked="0"/>
    </xf>
    <xf numFmtId="38" fontId="11" fillId="2" borderId="31" xfId="1" applyFont="1" applyFill="1" applyBorder="1" applyAlignment="1" applyProtection="1">
      <alignment horizontal="center" vertical="center"/>
      <protection locked="0"/>
    </xf>
    <xf numFmtId="38" fontId="11" fillId="2" borderId="34" xfId="1" applyFont="1" applyFill="1" applyBorder="1" applyAlignment="1" applyProtection="1">
      <alignment horizontal="center" vertical="center"/>
      <protection locked="0"/>
    </xf>
    <xf numFmtId="38" fontId="11" fillId="0" borderId="0" xfId="1" applyFont="1" applyAlignment="1">
      <alignment horizontal="center" vertical="center"/>
    </xf>
    <xf numFmtId="0" fontId="11" fillId="0" borderId="5" xfId="0" applyFont="1" applyBorder="1" applyAlignment="1">
      <alignment vertical="top" wrapTex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4"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 fillId="0" borderId="12" xfId="0" applyFont="1" applyBorder="1" applyAlignment="1">
      <alignment horizontal="center" vertical="center" shrinkToFit="1"/>
    </xf>
    <xf numFmtId="0" fontId="1" fillId="0" borderId="1"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7"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11" xfId="0" applyFont="1" applyBorder="1" applyAlignment="1">
      <alignment horizontal="left" vertical="center" shrinkToFi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1" fillId="0" borderId="5" xfId="0" applyFont="1" applyBorder="1" applyAlignment="1">
      <alignment horizontal="center" vertical="center" shrinkToFit="1"/>
    </xf>
    <xf numFmtId="0" fontId="1" fillId="0" borderId="4"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1" fillId="0" borderId="1" xfId="0" applyNumberFormat="1" applyFont="1" applyBorder="1" applyAlignment="1">
      <alignment horizontal="center" vertical="center" shrinkToFit="1"/>
    </xf>
    <xf numFmtId="0" fontId="1" fillId="0" borderId="11" xfId="0" applyNumberFormat="1" applyFont="1" applyBorder="1" applyAlignment="1">
      <alignment horizontal="center" vertical="center"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176" fontId="1" fillId="0" borderId="7" xfId="0" applyNumberFormat="1" applyFont="1" applyBorder="1" applyAlignment="1">
      <alignment horizontal="right" vertical="center" shrinkToFit="1"/>
    </xf>
    <xf numFmtId="176" fontId="1" fillId="0" borderId="22" xfId="0" applyNumberFormat="1" applyFont="1" applyBorder="1" applyAlignment="1">
      <alignment horizontal="right" vertical="center" shrinkToFit="1"/>
    </xf>
    <xf numFmtId="0" fontId="1" fillId="0" borderId="21"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176" fontId="1" fillId="0" borderId="28" xfId="0" applyNumberFormat="1" applyFont="1" applyBorder="1" applyAlignment="1">
      <alignment horizontal="right" vertical="center" shrinkToFit="1"/>
    </xf>
    <xf numFmtId="176" fontId="1" fillId="0" borderId="29" xfId="0" applyNumberFormat="1" applyFont="1" applyBorder="1" applyAlignment="1">
      <alignment horizontal="right" vertical="center" shrinkToFit="1"/>
    </xf>
    <xf numFmtId="176" fontId="1" fillId="0" borderId="26" xfId="0" applyNumberFormat="1" applyFont="1" applyBorder="1" applyAlignment="1">
      <alignment horizontal="right" vertical="center" shrinkToFit="1"/>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17"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176" fontId="1" fillId="0" borderId="35" xfId="0" applyNumberFormat="1" applyFont="1" applyBorder="1" applyAlignment="1">
      <alignment horizontal="right" vertical="center" shrinkToFit="1"/>
    </xf>
    <xf numFmtId="0" fontId="1" fillId="0" borderId="8" xfId="0" applyFont="1" applyBorder="1" applyAlignment="1">
      <alignment horizontal="center" vertical="center" shrinkToFit="1"/>
    </xf>
    <xf numFmtId="176" fontId="1" fillId="0" borderId="6" xfId="0" applyNumberFormat="1" applyFont="1" applyBorder="1" applyAlignment="1">
      <alignment horizontal="center" vertical="center" shrinkToFit="1"/>
    </xf>
    <xf numFmtId="176" fontId="1" fillId="0" borderId="7" xfId="0" applyNumberFormat="1" applyFont="1" applyBorder="1" applyAlignment="1">
      <alignment horizontal="center" vertical="center" shrinkToFit="1"/>
    </xf>
    <xf numFmtId="176" fontId="1" fillId="0" borderId="8" xfId="0" applyNumberFormat="1" applyFont="1" applyBorder="1" applyAlignment="1">
      <alignment horizontal="center" vertical="center" shrinkToFit="1"/>
    </xf>
    <xf numFmtId="176" fontId="1" fillId="0" borderId="6" xfId="0" applyNumberFormat="1" applyFont="1" applyBorder="1" applyAlignment="1">
      <alignment horizontal="left" vertical="center" wrapText="1" shrinkToFit="1"/>
    </xf>
    <xf numFmtId="176" fontId="1" fillId="0" borderId="7" xfId="0" applyNumberFormat="1" applyFont="1" applyBorder="1" applyAlignment="1">
      <alignment horizontal="left" vertical="center" wrapText="1" shrinkToFit="1"/>
    </xf>
    <xf numFmtId="176" fontId="1" fillId="0" borderId="8" xfId="0" applyNumberFormat="1" applyFont="1" applyBorder="1" applyAlignment="1">
      <alignment horizontal="left" vertical="center" wrapText="1" shrinkToFit="1"/>
    </xf>
    <xf numFmtId="0" fontId="1" fillId="0" borderId="20" xfId="0" applyFont="1" applyBorder="1" applyAlignment="1">
      <alignment horizontal="center" vertical="center"/>
    </xf>
    <xf numFmtId="176" fontId="1" fillId="0" borderId="6" xfId="0" applyNumberFormat="1" applyFont="1" applyBorder="1" applyAlignment="1">
      <alignment horizontal="right" vertical="center" shrinkToFit="1"/>
    </xf>
    <xf numFmtId="0" fontId="3" fillId="0" borderId="19" xfId="0" applyFont="1" applyBorder="1" applyAlignment="1">
      <alignment horizontal="left" vertical="top" wrapText="1"/>
    </xf>
    <xf numFmtId="0" fontId="3" fillId="0" borderId="0" xfId="0" applyFont="1" applyBorder="1" applyAlignment="1">
      <alignment horizontal="left" vertical="top" wrapText="1"/>
    </xf>
    <xf numFmtId="0" fontId="1" fillId="0" borderId="27" xfId="0" applyFont="1" applyBorder="1" applyAlignment="1">
      <alignment horizontal="center" vertical="center" shrinkToFi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176" fontId="1" fillId="0" borderId="32" xfId="0" applyNumberFormat="1" applyFont="1" applyBorder="1" applyAlignment="1">
      <alignment horizontal="right" vertical="center" shrinkToFit="1"/>
    </xf>
    <xf numFmtId="0" fontId="1" fillId="0" borderId="13" xfId="0" applyFont="1" applyBorder="1" applyAlignment="1">
      <alignment horizontal="center" vertical="center"/>
    </xf>
  </cellXfs>
  <cellStyles count="2">
    <cellStyle name="桁区切り" xfId="1" builtinId="6"/>
    <cellStyle name="標準" xfId="0" builtinId="0"/>
  </cellStyles>
  <dxfs count="28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171450</xdr:colOff>
      <xdr:row>0</xdr:row>
      <xdr:rowOff>219076</xdr:rowOff>
    </xdr:from>
    <xdr:to>
      <xdr:col>7</xdr:col>
      <xdr:colOff>333375</xdr:colOff>
      <xdr:row>2</xdr:row>
      <xdr:rowOff>171451</xdr:rowOff>
    </xdr:to>
    <xdr:sp macro="" textlink="">
      <xdr:nvSpPr>
        <xdr:cNvPr id="2" name="テキスト ボックス 1">
          <a:extLst>
            <a:ext uri="{FF2B5EF4-FFF2-40B4-BE49-F238E27FC236}">
              <a16:creationId xmlns:a16="http://schemas.microsoft.com/office/drawing/2014/main" id="{FFBF8920-715E-4344-BF5F-1E17375DD3BC}"/>
            </a:ext>
          </a:extLst>
        </xdr:cNvPr>
        <xdr:cNvSpPr txBox="1"/>
      </xdr:nvSpPr>
      <xdr:spPr>
        <a:xfrm>
          <a:off x="2400300" y="219076"/>
          <a:ext cx="153352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P創英角ﾎﾟｯﾌﾟ体" panose="040B0A00000000000000" pitchFamily="50" charset="-128"/>
              <a:ea typeface="HGP創英角ﾎﾟｯﾌﾟ体" panose="040B0A00000000000000" pitchFamily="50" charset="-128"/>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47625</xdr:colOff>
      <xdr:row>10</xdr:row>
      <xdr:rowOff>0</xdr:rowOff>
    </xdr:from>
    <xdr:to>
      <xdr:col>41</xdr:col>
      <xdr:colOff>28575</xdr:colOff>
      <xdr:row>14</xdr:row>
      <xdr:rowOff>19050</xdr:rowOff>
    </xdr:to>
    <xdr:sp macro="" textlink="">
      <xdr:nvSpPr>
        <xdr:cNvPr id="2" name="四角形: 角を丸くする 1">
          <a:extLst>
            <a:ext uri="{FF2B5EF4-FFF2-40B4-BE49-F238E27FC236}">
              <a16:creationId xmlns:a16="http://schemas.microsoft.com/office/drawing/2014/main" id="{8C904429-7816-4CB2-8493-8F204F1263B2}"/>
            </a:ext>
          </a:extLst>
        </xdr:cNvPr>
        <xdr:cNvSpPr/>
      </xdr:nvSpPr>
      <xdr:spPr>
        <a:xfrm>
          <a:off x="6953250" y="2000250"/>
          <a:ext cx="2838450" cy="81915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プリントアウト後に，</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「１</a:t>
          </a:r>
          <a:r>
            <a:rPr kumimoji="1" lang="ja-JP" altLang="en-US" sz="1200" baseline="0">
              <a:solidFill>
                <a:schemeClr val="tx1"/>
              </a:solidFill>
              <a:latin typeface="HGS創英角ｺﾞｼｯｸUB" panose="020B0900000000000000" pitchFamily="50" charset="-128"/>
              <a:ea typeface="HGS創英角ｺﾞｼｯｸUB" panose="020B0900000000000000" pitchFamily="50" charset="-128"/>
            </a:rPr>
            <a:t> </a:t>
          </a:r>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施設等利用給付認定保護者」の</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氏名欄に押印をしてください。</a:t>
          </a:r>
        </a:p>
      </xdr:txBody>
    </xdr:sp>
    <xdr:clientData/>
  </xdr:twoCellAnchor>
  <xdr:twoCellAnchor>
    <xdr:from>
      <xdr:col>29</xdr:col>
      <xdr:colOff>0</xdr:colOff>
      <xdr:row>3</xdr:row>
      <xdr:rowOff>0</xdr:rowOff>
    </xdr:from>
    <xdr:to>
      <xdr:col>40</xdr:col>
      <xdr:colOff>219075</xdr:colOff>
      <xdr:row>9</xdr:row>
      <xdr:rowOff>0</xdr:rowOff>
    </xdr:to>
    <xdr:sp macro="" textlink="">
      <xdr:nvSpPr>
        <xdr:cNvPr id="3" name="四角形: 角を丸くする 2">
          <a:extLst>
            <a:ext uri="{FF2B5EF4-FFF2-40B4-BE49-F238E27FC236}">
              <a16:creationId xmlns:a16="http://schemas.microsoft.com/office/drawing/2014/main" id="{5B4E2B3E-D5A0-4F7B-8F21-FC84915EC161}"/>
            </a:ext>
          </a:extLst>
        </xdr:cNvPr>
        <xdr:cNvSpPr/>
      </xdr:nvSpPr>
      <xdr:spPr>
        <a:xfrm>
          <a:off x="6905625" y="600075"/>
          <a:ext cx="2838450" cy="120015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氏名欄が空欄になっている場合は，入力用シートにエラー（赤色セル）があるサインです。</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入力用シートを修正したうえで，</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プリントアウトしてください。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9B955-B2E0-41F3-B01A-E71E8F71C0CD}">
  <sheetPr codeName="Sheet1"/>
  <dimension ref="A1:P269"/>
  <sheetViews>
    <sheetView showGridLines="0" view="pageBreakPreview" zoomScaleNormal="100" zoomScaleSheetLayoutView="100" workbookViewId="0">
      <selection activeCell="K4" sqref="K4"/>
    </sheetView>
  </sheetViews>
  <sheetFormatPr defaultRowHeight="14.25"/>
  <cols>
    <col min="1" max="2" width="2.625" style="36" customWidth="1"/>
    <col min="3" max="3" width="6" style="36" customWidth="1"/>
    <col min="4" max="4" width="9" style="36" customWidth="1"/>
    <col min="5" max="10" width="9" style="36"/>
    <col min="11" max="11" width="14.5" style="36" customWidth="1"/>
    <col min="12" max="12" width="6.375" style="36" customWidth="1"/>
    <col min="13" max="16384" width="9" style="36"/>
  </cols>
  <sheetData>
    <row r="1" spans="1:13" ht="29.25" thickBot="1">
      <c r="A1" s="85" t="s">
        <v>231</v>
      </c>
      <c r="B1" s="86"/>
      <c r="C1" s="86"/>
      <c r="D1" s="86"/>
      <c r="E1" s="86"/>
      <c r="F1" s="86"/>
      <c r="G1" s="86"/>
      <c r="H1" s="86"/>
      <c r="I1" s="86"/>
      <c r="J1" s="86"/>
      <c r="K1" s="87"/>
    </row>
    <row r="2" spans="1:13" ht="15" thickBot="1">
      <c r="A2" s="42" t="s">
        <v>206</v>
      </c>
      <c r="K2" s="38" t="s">
        <v>69</v>
      </c>
    </row>
    <row r="3" spans="1:13" ht="15" thickBot="1">
      <c r="A3" s="42" t="s">
        <v>222</v>
      </c>
      <c r="K3" s="38" t="s">
        <v>244</v>
      </c>
      <c r="M3" s="41"/>
    </row>
    <row r="4" spans="1:13" ht="18.75">
      <c r="B4" s="37" t="s">
        <v>232</v>
      </c>
      <c r="K4" s="38"/>
      <c r="L4" s="38"/>
    </row>
    <row r="6" spans="1:13">
      <c r="C6" s="72" t="s">
        <v>171</v>
      </c>
    </row>
    <row r="7" spans="1:13">
      <c r="C7" s="72" t="s">
        <v>172</v>
      </c>
    </row>
    <row r="8" spans="1:13" ht="15" thickBot="1">
      <c r="C8" s="72" t="s">
        <v>173</v>
      </c>
    </row>
    <row r="9" spans="1:13" ht="15" thickBot="1">
      <c r="C9" s="72" t="s">
        <v>223</v>
      </c>
      <c r="M9" s="66"/>
    </row>
    <row r="10" spans="1:13">
      <c r="E10" s="44"/>
      <c r="F10" s="42"/>
      <c r="H10" s="42"/>
      <c r="J10" s="42"/>
    </row>
    <row r="11" spans="1:13">
      <c r="B11" s="48" t="s">
        <v>111</v>
      </c>
      <c r="M11" s="64"/>
    </row>
    <row r="12" spans="1:13" ht="15" thickBot="1"/>
    <row r="13" spans="1:13" ht="15" thickBot="1">
      <c r="C13" s="36" t="s">
        <v>88</v>
      </c>
      <c r="E13" s="46" t="s">
        <v>183</v>
      </c>
      <c r="F13" s="47">
        <v>2</v>
      </c>
      <c r="G13" s="36" t="s">
        <v>1</v>
      </c>
      <c r="H13" s="47">
        <v>1</v>
      </c>
      <c r="I13" s="36" t="s">
        <v>9</v>
      </c>
      <c r="J13" s="47">
        <v>15</v>
      </c>
      <c r="K13" s="36" t="s">
        <v>0</v>
      </c>
    </row>
    <row r="14" spans="1:13">
      <c r="E14" s="44" t="s">
        <v>89</v>
      </c>
      <c r="F14" s="42" t="s">
        <v>72</v>
      </c>
      <c r="H14" s="42" t="s">
        <v>72</v>
      </c>
      <c r="J14" s="42" t="s">
        <v>72</v>
      </c>
    </row>
    <row r="15" spans="1:13">
      <c r="D15" s="42" t="s">
        <v>201</v>
      </c>
      <c r="E15" s="44"/>
      <c r="F15" s="42"/>
      <c r="H15" s="42"/>
      <c r="J15" s="42"/>
    </row>
    <row r="16" spans="1:13">
      <c r="D16" s="42" t="s">
        <v>237</v>
      </c>
      <c r="E16" s="42"/>
      <c r="G16" s="42"/>
      <c r="I16" s="42"/>
    </row>
    <row r="17" spans="2:11" ht="15" thickBot="1">
      <c r="B17" s="36" t="s">
        <v>233</v>
      </c>
      <c r="D17" s="43"/>
      <c r="E17" s="42"/>
      <c r="G17" s="42"/>
      <c r="I17" s="42"/>
    </row>
    <row r="18" spans="2:11" ht="15" thickBot="1">
      <c r="C18" s="36" t="s">
        <v>90</v>
      </c>
      <c r="D18" s="43"/>
      <c r="E18" s="42"/>
      <c r="F18" s="75" t="s">
        <v>184</v>
      </c>
      <c r="G18" s="76"/>
      <c r="H18" s="76"/>
      <c r="I18" s="77"/>
    </row>
    <row r="19" spans="2:11" ht="15" thickBot="1">
      <c r="C19" s="36" t="s">
        <v>91</v>
      </c>
      <c r="F19" s="75" t="s">
        <v>185</v>
      </c>
      <c r="G19" s="76"/>
      <c r="H19" s="76"/>
      <c r="I19" s="77"/>
    </row>
    <row r="20" spans="2:11" ht="15" thickBot="1">
      <c r="C20" s="36" t="s">
        <v>92</v>
      </c>
      <c r="F20" s="75" t="s">
        <v>186</v>
      </c>
      <c r="G20" s="76"/>
      <c r="H20" s="76"/>
      <c r="I20" s="77"/>
      <c r="J20" s="44" t="s">
        <v>93</v>
      </c>
    </row>
    <row r="21" spans="2:11" ht="15" thickBot="1">
      <c r="E21" s="38" t="s">
        <v>94</v>
      </c>
      <c r="F21" s="75"/>
      <c r="G21" s="76"/>
      <c r="H21" s="76"/>
      <c r="I21" s="77"/>
      <c r="J21" s="44" t="s">
        <v>166</v>
      </c>
    </row>
    <row r="22" spans="2:11" ht="15" thickBot="1">
      <c r="C22" s="36" t="s">
        <v>95</v>
      </c>
      <c r="E22" s="46" t="s">
        <v>187</v>
      </c>
      <c r="F22" s="47">
        <v>50</v>
      </c>
      <c r="G22" s="36" t="s">
        <v>1</v>
      </c>
      <c r="H22" s="47">
        <v>1</v>
      </c>
      <c r="I22" s="36" t="s">
        <v>9</v>
      </c>
      <c r="J22" s="47">
        <v>1</v>
      </c>
      <c r="K22" s="36" t="s">
        <v>0</v>
      </c>
    </row>
    <row r="23" spans="2:11" ht="15" thickBot="1">
      <c r="E23" s="44" t="s">
        <v>89</v>
      </c>
      <c r="F23" s="42" t="s">
        <v>72</v>
      </c>
      <c r="H23" s="42" t="s">
        <v>72</v>
      </c>
      <c r="J23" s="42" t="s">
        <v>72</v>
      </c>
    </row>
    <row r="24" spans="2:11" ht="15" thickBot="1">
      <c r="C24" s="36" t="s">
        <v>96</v>
      </c>
      <c r="E24" s="38" t="s">
        <v>73</v>
      </c>
      <c r="F24" s="50" t="s">
        <v>77</v>
      </c>
    </row>
    <row r="25" spans="2:11" ht="15" thickBot="1">
      <c r="F25" s="42" t="s">
        <v>97</v>
      </c>
      <c r="H25" s="51"/>
      <c r="I25" s="51"/>
      <c r="J25" s="51"/>
      <c r="K25" s="51"/>
    </row>
    <row r="26" spans="2:11" ht="15" thickBot="1">
      <c r="D26" s="78" t="s">
        <v>188</v>
      </c>
      <c r="E26" s="79"/>
      <c r="F26" s="79"/>
      <c r="G26" s="79"/>
      <c r="H26" s="79"/>
      <c r="I26" s="79"/>
      <c r="J26" s="79"/>
      <c r="K26" s="80"/>
    </row>
    <row r="27" spans="2:11" ht="15" thickBot="1">
      <c r="D27" s="42" t="s">
        <v>168</v>
      </c>
    </row>
    <row r="28" spans="2:11" ht="15" thickBot="1">
      <c r="C28" s="36" t="s">
        <v>98</v>
      </c>
      <c r="E28" s="75" t="s">
        <v>189</v>
      </c>
      <c r="F28" s="76"/>
      <c r="G28" s="76"/>
      <c r="H28" s="76"/>
      <c r="I28" s="77"/>
    </row>
    <row r="30" spans="2:11" ht="15" thickBot="1">
      <c r="B30" s="36" t="s">
        <v>234</v>
      </c>
      <c r="D30" s="43"/>
      <c r="E30" s="42"/>
      <c r="G30" s="42"/>
      <c r="I30" s="42"/>
    </row>
    <row r="31" spans="2:11" ht="15" thickBot="1">
      <c r="C31" s="36" t="s">
        <v>90</v>
      </c>
      <c r="D31" s="43"/>
      <c r="E31" s="42"/>
      <c r="F31" s="75" t="s">
        <v>190</v>
      </c>
      <c r="G31" s="76"/>
      <c r="H31" s="76"/>
      <c r="I31" s="77"/>
    </row>
    <row r="32" spans="2:11" ht="15" thickBot="1">
      <c r="C32" s="36" t="s">
        <v>91</v>
      </c>
      <c r="F32" s="75" t="s">
        <v>191</v>
      </c>
      <c r="G32" s="76"/>
      <c r="H32" s="76"/>
      <c r="I32" s="77"/>
    </row>
    <row r="33" spans="2:13" ht="15" thickBot="1">
      <c r="C33" s="36" t="s">
        <v>99</v>
      </c>
      <c r="F33" s="75">
        <v>1900000</v>
      </c>
      <c r="G33" s="76"/>
      <c r="H33" s="76"/>
      <c r="I33" s="77"/>
    </row>
    <row r="34" spans="2:13" ht="15" thickBot="1">
      <c r="C34" s="36" t="s">
        <v>95</v>
      </c>
      <c r="E34" s="46" t="s">
        <v>192</v>
      </c>
      <c r="F34" s="47">
        <v>27</v>
      </c>
      <c r="G34" s="36" t="s">
        <v>1</v>
      </c>
      <c r="H34" s="47">
        <v>10</v>
      </c>
      <c r="I34" s="36" t="s">
        <v>9</v>
      </c>
      <c r="J34" s="47">
        <v>1</v>
      </c>
      <c r="K34" s="36" t="s">
        <v>0</v>
      </c>
    </row>
    <row r="35" spans="2:13">
      <c r="E35" s="44" t="s">
        <v>89</v>
      </c>
      <c r="F35" s="42" t="s">
        <v>72</v>
      </c>
      <c r="H35" s="42" t="s">
        <v>72</v>
      </c>
      <c r="J35" s="42" t="s">
        <v>72</v>
      </c>
    </row>
    <row r="37" spans="2:13">
      <c r="B37" s="48" t="s">
        <v>112</v>
      </c>
      <c r="M37" s="64"/>
    </row>
    <row r="38" spans="2:13" ht="15" thickBot="1"/>
    <row r="39" spans="2:13" ht="15" thickBot="1">
      <c r="C39" s="36" t="s">
        <v>100</v>
      </c>
      <c r="E39" s="75" t="s">
        <v>193</v>
      </c>
      <c r="F39" s="76"/>
      <c r="G39" s="76"/>
      <c r="H39" s="77"/>
    </row>
    <row r="40" spans="2:13" ht="15" thickBot="1">
      <c r="C40" s="36" t="s">
        <v>101</v>
      </c>
      <c r="K40" s="42" t="s">
        <v>169</v>
      </c>
    </row>
    <row r="41" spans="2:13" ht="15" thickBot="1">
      <c r="D41" s="78"/>
      <c r="E41" s="79"/>
      <c r="F41" s="79"/>
      <c r="G41" s="79"/>
      <c r="H41" s="79"/>
      <c r="I41" s="79"/>
      <c r="J41" s="79"/>
      <c r="K41" s="80"/>
    </row>
    <row r="42" spans="2:13" ht="15" thickBot="1">
      <c r="C42" s="36" t="s">
        <v>107</v>
      </c>
      <c r="D42" s="56"/>
      <c r="E42" s="56"/>
      <c r="F42" s="56"/>
      <c r="G42" s="56"/>
      <c r="H42" s="56"/>
      <c r="I42" s="56"/>
      <c r="J42" s="56"/>
    </row>
    <row r="43" spans="2:13" ht="15" thickBot="1">
      <c r="D43" s="57" t="s">
        <v>108</v>
      </c>
      <c r="E43" s="50">
        <v>2</v>
      </c>
      <c r="F43" s="55" t="s">
        <v>109</v>
      </c>
      <c r="G43" s="54" t="s">
        <v>203</v>
      </c>
      <c r="H43" s="55"/>
      <c r="I43" s="55"/>
      <c r="J43" s="55"/>
    </row>
    <row r="44" spans="2:13">
      <c r="D44" s="57"/>
      <c r="E44" s="53" t="s">
        <v>89</v>
      </c>
      <c r="F44" s="55"/>
      <c r="G44" s="54" t="s">
        <v>204</v>
      </c>
      <c r="H44" s="55"/>
      <c r="I44" s="55"/>
      <c r="J44" s="55"/>
    </row>
    <row r="45" spans="2:13" ht="15" thickBot="1">
      <c r="C45" s="36" t="s">
        <v>127</v>
      </c>
      <c r="D45" s="51"/>
      <c r="E45" s="52"/>
      <c r="F45" s="52"/>
      <c r="G45" s="51"/>
      <c r="H45" s="52"/>
      <c r="I45" s="51"/>
      <c r="J45" s="52"/>
      <c r="K45" s="51"/>
      <c r="M45" s="65"/>
    </row>
    <row r="46" spans="2:13" ht="15" thickBot="1">
      <c r="E46" s="46" t="s">
        <v>183</v>
      </c>
      <c r="F46" s="47">
        <v>1</v>
      </c>
      <c r="G46" s="36" t="s">
        <v>1</v>
      </c>
      <c r="H46" s="47">
        <v>10</v>
      </c>
      <c r="I46" s="36" t="s">
        <v>9</v>
      </c>
      <c r="J46" s="47">
        <v>1</v>
      </c>
      <c r="K46" s="36" t="s">
        <v>0</v>
      </c>
    </row>
    <row r="47" spans="2:13" ht="15" thickBot="1">
      <c r="D47" s="38" t="s">
        <v>114</v>
      </c>
      <c r="E47" s="46" t="s">
        <v>183</v>
      </c>
      <c r="F47" s="47">
        <v>4</v>
      </c>
      <c r="G47" s="36" t="s">
        <v>1</v>
      </c>
      <c r="H47" s="47">
        <v>3</v>
      </c>
      <c r="I47" s="36" t="s">
        <v>9</v>
      </c>
      <c r="J47" s="47">
        <v>31</v>
      </c>
      <c r="K47" s="36" t="s">
        <v>0</v>
      </c>
    </row>
    <row r="48" spans="2:13">
      <c r="E48" s="53" t="s">
        <v>89</v>
      </c>
      <c r="F48" s="54" t="s">
        <v>72</v>
      </c>
      <c r="G48" s="55"/>
      <c r="H48" s="54" t="s">
        <v>72</v>
      </c>
      <c r="I48" s="55"/>
      <c r="J48" s="54" t="s">
        <v>72</v>
      </c>
    </row>
    <row r="49" spans="3:13">
      <c r="D49" s="42" t="s">
        <v>226</v>
      </c>
      <c r="E49" s="44"/>
      <c r="F49" s="42"/>
      <c r="H49" s="42"/>
      <c r="J49" s="42"/>
    </row>
    <row r="50" spans="3:13" ht="15" thickBot="1">
      <c r="C50" s="36" t="s">
        <v>205</v>
      </c>
      <c r="D50" s="51"/>
      <c r="E50" s="52"/>
      <c r="F50" s="52"/>
      <c r="G50" s="51"/>
      <c r="H50" s="52"/>
      <c r="I50" s="51"/>
      <c r="J50" s="52"/>
      <c r="K50" s="51"/>
      <c r="M50" s="65"/>
    </row>
    <row r="51" spans="3:13" ht="15" thickBot="1">
      <c r="E51" s="46"/>
      <c r="F51" s="47"/>
      <c r="G51" s="36" t="s">
        <v>1</v>
      </c>
      <c r="H51" s="47"/>
      <c r="I51" s="36" t="s">
        <v>9</v>
      </c>
      <c r="J51" s="47"/>
      <c r="K51" s="36" t="s">
        <v>0</v>
      </c>
    </row>
    <row r="52" spans="3:13" ht="15" thickBot="1">
      <c r="D52" s="38" t="s">
        <v>114</v>
      </c>
      <c r="E52" s="46"/>
      <c r="F52" s="47"/>
      <c r="G52" s="36" t="s">
        <v>1</v>
      </c>
      <c r="H52" s="47"/>
      <c r="I52" s="36" t="s">
        <v>9</v>
      </c>
      <c r="J52" s="47"/>
      <c r="K52" s="36" t="s">
        <v>0</v>
      </c>
    </row>
    <row r="53" spans="3:13">
      <c r="E53" s="53" t="s">
        <v>89</v>
      </c>
      <c r="F53" s="54" t="s">
        <v>72</v>
      </c>
      <c r="G53" s="55"/>
      <c r="H53" s="54" t="s">
        <v>72</v>
      </c>
      <c r="I53" s="55"/>
      <c r="J53" s="54" t="s">
        <v>72</v>
      </c>
    </row>
    <row r="54" spans="3:13">
      <c r="E54" s="53"/>
      <c r="F54" s="54"/>
      <c r="G54" s="55"/>
      <c r="H54" s="54"/>
      <c r="I54" s="55"/>
      <c r="J54" s="54"/>
    </row>
    <row r="55" spans="3:13">
      <c r="E55" s="53"/>
      <c r="F55" s="54"/>
      <c r="G55" s="55"/>
      <c r="H55" s="54"/>
      <c r="I55" s="55"/>
      <c r="J55" s="54"/>
    </row>
    <row r="56" spans="3:13">
      <c r="D56" s="72" t="s">
        <v>235</v>
      </c>
      <c r="E56" s="53"/>
      <c r="F56" s="54"/>
      <c r="G56" s="55"/>
      <c r="H56" s="54"/>
      <c r="I56" s="55"/>
      <c r="J56" s="54"/>
    </row>
    <row r="57" spans="3:13">
      <c r="C57" s="36" t="s">
        <v>106</v>
      </c>
    </row>
    <row r="58" spans="3:13" ht="15" thickBot="1">
      <c r="D58" s="72" t="s">
        <v>238</v>
      </c>
      <c r="M58" s="65"/>
    </row>
    <row r="59" spans="3:13" ht="15" thickBot="1">
      <c r="D59" s="74" t="s">
        <v>198</v>
      </c>
      <c r="E59" s="46" t="s">
        <v>183</v>
      </c>
      <c r="F59" s="47">
        <v>1</v>
      </c>
      <c r="G59" s="36" t="s">
        <v>1</v>
      </c>
      <c r="H59" s="47">
        <v>10</v>
      </c>
      <c r="I59" s="36" t="s">
        <v>105</v>
      </c>
    </row>
    <row r="60" spans="3:13" ht="15" thickBot="1">
      <c r="E60" s="44" t="s">
        <v>89</v>
      </c>
      <c r="F60" s="42" t="s">
        <v>72</v>
      </c>
      <c r="H60" s="42" t="s">
        <v>72</v>
      </c>
    </row>
    <row r="61" spans="3:13" ht="15" thickBot="1">
      <c r="E61" s="36" t="s">
        <v>113</v>
      </c>
      <c r="G61" s="47">
        <v>1</v>
      </c>
      <c r="H61" s="36" t="s">
        <v>0</v>
      </c>
      <c r="I61" s="36" t="s">
        <v>114</v>
      </c>
      <c r="J61" s="47">
        <v>31</v>
      </c>
      <c r="K61" s="36" t="s">
        <v>0</v>
      </c>
    </row>
    <row r="62" spans="3:13" ht="15" thickBot="1">
      <c r="G62" s="54" t="s">
        <v>72</v>
      </c>
      <c r="J62" s="54" t="s">
        <v>72</v>
      </c>
    </row>
    <row r="63" spans="3:13" ht="15" thickBot="1">
      <c r="E63" s="36" t="s">
        <v>115</v>
      </c>
      <c r="H63" s="47">
        <v>21</v>
      </c>
      <c r="I63" s="36" t="s">
        <v>0</v>
      </c>
    </row>
    <row r="64" spans="3:13" ht="15" thickBot="1">
      <c r="H64" s="54" t="s">
        <v>72</v>
      </c>
    </row>
    <row r="65" spans="4:13" ht="15" thickBot="1">
      <c r="E65" s="36" t="s">
        <v>116</v>
      </c>
      <c r="H65" s="47">
        <v>21</v>
      </c>
      <c r="I65" s="36" t="s">
        <v>0</v>
      </c>
    </row>
    <row r="66" spans="4:13" ht="15" thickBot="1">
      <c r="H66" s="54" t="s">
        <v>72</v>
      </c>
    </row>
    <row r="67" spans="4:13" ht="15" thickBot="1">
      <c r="E67" s="36" t="s">
        <v>117</v>
      </c>
      <c r="H67" s="81">
        <v>22000</v>
      </c>
      <c r="I67" s="82"/>
      <c r="J67" s="36" t="s">
        <v>18</v>
      </c>
    </row>
    <row r="68" spans="4:13" ht="15" thickBot="1">
      <c r="H68" s="54" t="s">
        <v>72</v>
      </c>
    </row>
    <row r="69" spans="4:13" ht="15" thickBot="1">
      <c r="E69" s="36" t="s">
        <v>118</v>
      </c>
      <c r="H69" s="81">
        <v>5000</v>
      </c>
      <c r="I69" s="82"/>
      <c r="J69" s="36" t="s">
        <v>18</v>
      </c>
    </row>
    <row r="70" spans="4:13">
      <c r="H70" s="54" t="s">
        <v>72</v>
      </c>
    </row>
    <row r="71" spans="4:13">
      <c r="E71" s="36" t="s">
        <v>119</v>
      </c>
      <c r="H71" s="83">
        <f>SUM(H67,H69)</f>
        <v>27000</v>
      </c>
      <c r="I71" s="83"/>
      <c r="J71" s="36" t="s">
        <v>18</v>
      </c>
    </row>
    <row r="72" spans="4:13">
      <c r="E72" s="36" t="s">
        <v>120</v>
      </c>
      <c r="H72" s="83">
        <f>IF(H71=0,0,IF(H71&lt;=ROUNDDOWN(25700*H63/H65,-1),ROUNDDOWN(H71,-1),ROUNDDOWN(25700*H63/H65,-1)))</f>
        <v>25700</v>
      </c>
      <c r="I72" s="83"/>
      <c r="J72" s="36" t="s">
        <v>18</v>
      </c>
    </row>
    <row r="73" spans="4:13">
      <c r="E73" s="45" t="s">
        <v>121</v>
      </c>
    </row>
    <row r="74" spans="4:13" ht="15" thickBot="1">
      <c r="M74" s="65"/>
    </row>
    <row r="75" spans="4:13" ht="15" thickBot="1">
      <c r="D75" s="74" t="s">
        <v>199</v>
      </c>
      <c r="E75" s="46" t="s">
        <v>183</v>
      </c>
      <c r="F75" s="47">
        <v>1</v>
      </c>
      <c r="G75" s="36" t="s">
        <v>1</v>
      </c>
      <c r="H75" s="47">
        <v>11</v>
      </c>
      <c r="I75" s="36" t="s">
        <v>105</v>
      </c>
    </row>
    <row r="76" spans="4:13" ht="15" thickBot="1">
      <c r="E76" s="44" t="s">
        <v>89</v>
      </c>
      <c r="F76" s="42" t="s">
        <v>72</v>
      </c>
      <c r="H76" s="42" t="s">
        <v>72</v>
      </c>
    </row>
    <row r="77" spans="4:13" ht="15" thickBot="1">
      <c r="E77" s="36" t="s">
        <v>113</v>
      </c>
      <c r="G77" s="47">
        <v>1</v>
      </c>
      <c r="H77" s="36" t="s">
        <v>0</v>
      </c>
      <c r="I77" s="36" t="s">
        <v>114</v>
      </c>
      <c r="J77" s="47">
        <v>30</v>
      </c>
      <c r="K77" s="36" t="s">
        <v>0</v>
      </c>
    </row>
    <row r="78" spans="4:13" ht="15" thickBot="1">
      <c r="G78" s="54" t="s">
        <v>72</v>
      </c>
      <c r="J78" s="54" t="s">
        <v>72</v>
      </c>
    </row>
    <row r="79" spans="4:13" ht="15" thickBot="1">
      <c r="E79" s="36" t="s">
        <v>115</v>
      </c>
      <c r="H79" s="47">
        <v>20</v>
      </c>
      <c r="I79" s="36" t="s">
        <v>0</v>
      </c>
    </row>
    <row r="80" spans="4:13" ht="15" thickBot="1">
      <c r="H80" s="54" t="s">
        <v>72</v>
      </c>
    </row>
    <row r="81" spans="4:13" ht="15" thickBot="1">
      <c r="E81" s="36" t="s">
        <v>116</v>
      </c>
      <c r="H81" s="47">
        <v>20</v>
      </c>
      <c r="I81" s="36" t="s">
        <v>0</v>
      </c>
    </row>
    <row r="82" spans="4:13" ht="15" thickBot="1">
      <c r="H82" s="54" t="s">
        <v>72</v>
      </c>
    </row>
    <row r="83" spans="4:13" ht="15" thickBot="1">
      <c r="E83" s="36" t="s">
        <v>117</v>
      </c>
      <c r="H83" s="81">
        <v>22000</v>
      </c>
      <c r="I83" s="82"/>
      <c r="J83" s="36" t="s">
        <v>18</v>
      </c>
    </row>
    <row r="84" spans="4:13" ht="15" thickBot="1">
      <c r="H84" s="54" t="s">
        <v>72</v>
      </c>
    </row>
    <row r="85" spans="4:13" ht="15" thickBot="1">
      <c r="E85" s="36" t="s">
        <v>118</v>
      </c>
      <c r="H85" s="81">
        <v>5000</v>
      </c>
      <c r="I85" s="82"/>
      <c r="J85" s="36" t="s">
        <v>18</v>
      </c>
    </row>
    <row r="86" spans="4:13">
      <c r="H86" s="54" t="s">
        <v>72</v>
      </c>
    </row>
    <row r="87" spans="4:13">
      <c r="E87" s="36" t="s">
        <v>119</v>
      </c>
      <c r="H87" s="83">
        <f>SUM(H83,H85)</f>
        <v>27000</v>
      </c>
      <c r="I87" s="83"/>
      <c r="J87" s="36" t="s">
        <v>18</v>
      </c>
    </row>
    <row r="88" spans="4:13">
      <c r="E88" s="36" t="s">
        <v>120</v>
      </c>
      <c r="H88" s="83">
        <f>IF(H87=0,0,IF(H87&lt;=ROUNDDOWN(25700*H79/H81,-1),ROUNDDOWN(H87,-1),ROUNDDOWN(25700*H79/H81,-1)))</f>
        <v>25700</v>
      </c>
      <c r="I88" s="83"/>
      <c r="J88" s="36" t="s">
        <v>18</v>
      </c>
    </row>
    <row r="89" spans="4:13">
      <c r="E89" s="45" t="s">
        <v>121</v>
      </c>
    </row>
    <row r="90" spans="4:13" ht="15" thickBot="1">
      <c r="M90" s="65"/>
    </row>
    <row r="91" spans="4:13" ht="15" thickBot="1">
      <c r="D91" s="74" t="s">
        <v>200</v>
      </c>
      <c r="E91" s="46" t="s">
        <v>183</v>
      </c>
      <c r="F91" s="47">
        <v>1</v>
      </c>
      <c r="G91" s="36" t="s">
        <v>1</v>
      </c>
      <c r="H91" s="47">
        <v>12</v>
      </c>
      <c r="I91" s="36" t="s">
        <v>105</v>
      </c>
    </row>
    <row r="92" spans="4:13" ht="15" thickBot="1">
      <c r="E92" s="44" t="s">
        <v>89</v>
      </c>
      <c r="F92" s="42" t="s">
        <v>72</v>
      </c>
      <c r="H92" s="42" t="s">
        <v>72</v>
      </c>
    </row>
    <row r="93" spans="4:13" ht="15" thickBot="1">
      <c r="E93" s="36" t="s">
        <v>113</v>
      </c>
      <c r="G93" s="47">
        <v>1</v>
      </c>
      <c r="H93" s="36" t="s">
        <v>0</v>
      </c>
      <c r="I93" s="36" t="s">
        <v>114</v>
      </c>
      <c r="J93" s="47">
        <v>31</v>
      </c>
      <c r="K93" s="36" t="s">
        <v>0</v>
      </c>
    </row>
    <row r="94" spans="4:13" ht="15" thickBot="1">
      <c r="G94" s="54" t="s">
        <v>72</v>
      </c>
      <c r="J94" s="54" t="s">
        <v>72</v>
      </c>
    </row>
    <row r="95" spans="4:13" ht="15" thickBot="1">
      <c r="E95" s="36" t="s">
        <v>115</v>
      </c>
      <c r="H95" s="47">
        <v>15</v>
      </c>
      <c r="I95" s="36" t="s">
        <v>0</v>
      </c>
    </row>
    <row r="96" spans="4:13" ht="15" thickBot="1">
      <c r="H96" s="54" t="s">
        <v>72</v>
      </c>
    </row>
    <row r="97" spans="5:10" ht="15" thickBot="1">
      <c r="E97" s="36" t="s">
        <v>116</v>
      </c>
      <c r="H97" s="47">
        <v>15</v>
      </c>
      <c r="I97" s="36" t="s">
        <v>0</v>
      </c>
    </row>
    <row r="98" spans="5:10" ht="15" thickBot="1">
      <c r="H98" s="54" t="s">
        <v>72</v>
      </c>
    </row>
    <row r="99" spans="5:10" ht="15" thickBot="1">
      <c r="E99" s="36" t="s">
        <v>117</v>
      </c>
      <c r="H99" s="81">
        <v>22000</v>
      </c>
      <c r="I99" s="82"/>
      <c r="J99" s="36" t="s">
        <v>18</v>
      </c>
    </row>
    <row r="100" spans="5:10" ht="15" thickBot="1">
      <c r="H100" s="54" t="s">
        <v>72</v>
      </c>
    </row>
    <row r="101" spans="5:10" ht="15" thickBot="1">
      <c r="E101" s="36" t="s">
        <v>118</v>
      </c>
      <c r="H101" s="81">
        <v>5000</v>
      </c>
      <c r="I101" s="82"/>
      <c r="J101" s="36" t="s">
        <v>18</v>
      </c>
    </row>
    <row r="102" spans="5:10">
      <c r="H102" s="54" t="s">
        <v>72</v>
      </c>
    </row>
    <row r="103" spans="5:10">
      <c r="E103" s="36" t="s">
        <v>119</v>
      </c>
      <c r="H103" s="83">
        <f>SUM(H99,H101)</f>
        <v>27000</v>
      </c>
      <c r="I103" s="83"/>
      <c r="J103" s="36" t="s">
        <v>18</v>
      </c>
    </row>
    <row r="104" spans="5:10">
      <c r="E104" s="36" t="s">
        <v>120</v>
      </c>
      <c r="H104" s="83">
        <f>IF(H103=0,0,IF(H103&lt;=ROUNDDOWN(25700*H95/H97,-1),ROUNDDOWN(H103,-1),ROUNDDOWN(25700*H95/H97,-1)))</f>
        <v>25700</v>
      </c>
      <c r="I104" s="83"/>
      <c r="J104" s="36" t="s">
        <v>18</v>
      </c>
    </row>
    <row r="105" spans="5:10">
      <c r="E105" s="45" t="s">
        <v>121</v>
      </c>
    </row>
    <row r="114" spans="2:13">
      <c r="B114" s="48" t="s">
        <v>139</v>
      </c>
      <c r="M114" s="64"/>
    </row>
    <row r="115" spans="2:13" ht="15" thickBot="1">
      <c r="B115" s="48"/>
      <c r="M115" s="55"/>
    </row>
    <row r="116" spans="2:13" ht="15" thickBot="1">
      <c r="B116" s="48"/>
      <c r="C116" s="36" t="s">
        <v>170</v>
      </c>
      <c r="G116" s="50" t="s">
        <v>194</v>
      </c>
      <c r="H116" s="42" t="s">
        <v>227</v>
      </c>
    </row>
    <row r="117" spans="2:13" ht="15" thickBot="1">
      <c r="C117" s="36" t="s">
        <v>100</v>
      </c>
      <c r="E117" s="75" t="str">
        <f>IF($G$116="同上",E39,"")</f>
        <v>京都市役所幼稚園</v>
      </c>
      <c r="F117" s="76"/>
      <c r="G117" s="76"/>
      <c r="H117" s="77"/>
    </row>
    <row r="118" spans="2:13" ht="15" thickBot="1">
      <c r="C118" s="36" t="s">
        <v>101</v>
      </c>
    </row>
    <row r="119" spans="2:13" ht="15" thickBot="1">
      <c r="E119" s="78" t="str">
        <f>IF($G$116="同上",IF(D41="","",D41),"")</f>
        <v/>
      </c>
      <c r="F119" s="79"/>
      <c r="G119" s="79"/>
      <c r="H119" s="79"/>
      <c r="I119" s="79"/>
      <c r="J119" s="80"/>
      <c r="K119" s="42" t="s">
        <v>167</v>
      </c>
    </row>
    <row r="120" spans="2:13" ht="15" thickBot="1">
      <c r="C120" s="36" t="s">
        <v>107</v>
      </c>
      <c r="D120" s="55"/>
      <c r="E120" s="55"/>
      <c r="F120" s="55"/>
      <c r="G120" s="55"/>
      <c r="H120" s="55"/>
      <c r="I120" s="55"/>
      <c r="J120" s="55"/>
    </row>
    <row r="121" spans="2:13" ht="15" thickBot="1">
      <c r="D121" s="57" t="s">
        <v>108</v>
      </c>
      <c r="E121" s="50">
        <f>IF($G$116="同上",E43,"")</f>
        <v>2</v>
      </c>
      <c r="F121" s="55" t="s">
        <v>109</v>
      </c>
      <c r="G121" s="73" t="s">
        <v>140</v>
      </c>
      <c r="H121" s="55"/>
      <c r="I121" s="55"/>
      <c r="J121" s="55"/>
    </row>
    <row r="122" spans="2:13">
      <c r="D122" s="57"/>
      <c r="E122" s="53" t="s">
        <v>89</v>
      </c>
      <c r="F122" s="55"/>
      <c r="G122" s="55"/>
      <c r="H122" s="55"/>
      <c r="I122" s="55"/>
      <c r="J122" s="55"/>
    </row>
    <row r="123" spans="2:13" ht="15" thickBot="1">
      <c r="C123" s="36" t="s">
        <v>127</v>
      </c>
      <c r="D123" s="51"/>
      <c r="E123" s="52"/>
      <c r="F123" s="52"/>
      <c r="G123" s="51"/>
      <c r="H123" s="52"/>
      <c r="I123" s="51"/>
      <c r="J123" s="52"/>
      <c r="K123" s="51"/>
    </row>
    <row r="124" spans="2:13" ht="15" thickBot="1">
      <c r="E124" s="46" t="str">
        <f>IF($G$116="同上",E46,"")</f>
        <v>令和</v>
      </c>
      <c r="F124" s="47">
        <f>IF($G$116="同上",F46,"")</f>
        <v>1</v>
      </c>
      <c r="G124" s="36" t="s">
        <v>1</v>
      </c>
      <c r="H124" s="47">
        <f>IF($G$116="同上",H46,"")</f>
        <v>10</v>
      </c>
      <c r="I124" s="36" t="s">
        <v>9</v>
      </c>
      <c r="J124" s="47">
        <f>IF($G$116="同上",J46,"")</f>
        <v>1</v>
      </c>
      <c r="K124" s="36" t="s">
        <v>0</v>
      </c>
    </row>
    <row r="125" spans="2:13" ht="15" thickBot="1">
      <c r="D125" s="38" t="s">
        <v>114</v>
      </c>
      <c r="E125" s="46" t="str">
        <f>IF($G$116="同上",E47,"")</f>
        <v>令和</v>
      </c>
      <c r="F125" s="47">
        <f>IF($G$116="同上",F47,"")</f>
        <v>4</v>
      </c>
      <c r="G125" s="36" t="s">
        <v>1</v>
      </c>
      <c r="H125" s="47">
        <f>IF($G$116="同上",H47,"")</f>
        <v>3</v>
      </c>
      <c r="I125" s="36" t="s">
        <v>9</v>
      </c>
      <c r="J125" s="47">
        <f>IF($G$116="同上",J47,"")</f>
        <v>31</v>
      </c>
      <c r="K125" s="36" t="s">
        <v>0</v>
      </c>
    </row>
    <row r="126" spans="2:13">
      <c r="E126" s="53" t="s">
        <v>89</v>
      </c>
      <c r="F126" s="54" t="s">
        <v>72</v>
      </c>
      <c r="G126" s="55"/>
      <c r="H126" s="54" t="s">
        <v>72</v>
      </c>
      <c r="I126" s="55"/>
      <c r="J126" s="54" t="s">
        <v>72</v>
      </c>
    </row>
    <row r="127" spans="2:13">
      <c r="C127" s="36" t="s">
        <v>106</v>
      </c>
    </row>
    <row r="128" spans="2:13">
      <c r="D128" s="72" t="s">
        <v>235</v>
      </c>
    </row>
    <row r="129" spans="4:16" ht="15" thickBot="1">
      <c r="D129" s="45" t="s">
        <v>162</v>
      </c>
      <c r="M129" s="65"/>
    </row>
    <row r="130" spans="4:16" ht="15" thickBot="1">
      <c r="D130" s="74" t="s">
        <v>198</v>
      </c>
      <c r="E130" s="46" t="s">
        <v>183</v>
      </c>
      <c r="F130" s="47">
        <v>1</v>
      </c>
      <c r="G130" s="36" t="s">
        <v>1</v>
      </c>
      <c r="H130" s="47">
        <v>10</v>
      </c>
      <c r="I130" s="36" t="s">
        <v>105</v>
      </c>
    </row>
    <row r="131" spans="4:16">
      <c r="E131" s="44" t="s">
        <v>89</v>
      </c>
      <c r="F131" s="42" t="s">
        <v>72</v>
      </c>
      <c r="H131" s="42" t="s">
        <v>72</v>
      </c>
    </row>
    <row r="132" spans="4:16" ht="15" thickBot="1">
      <c r="E132" s="60" t="s">
        <v>236</v>
      </c>
      <c r="F132" s="42"/>
      <c r="H132" s="42"/>
    </row>
    <row r="133" spans="4:16" ht="15" thickBot="1">
      <c r="E133" s="36" t="s">
        <v>113</v>
      </c>
      <c r="G133" s="47">
        <v>1</v>
      </c>
      <c r="H133" s="36" t="s">
        <v>0</v>
      </c>
      <c r="I133" s="36" t="s">
        <v>114</v>
      </c>
      <c r="J133" s="47">
        <v>31</v>
      </c>
      <c r="K133" s="36" t="s">
        <v>0</v>
      </c>
    </row>
    <row r="134" spans="4:16" ht="15" thickBot="1">
      <c r="G134" s="54" t="s">
        <v>72</v>
      </c>
      <c r="J134" s="54" t="s">
        <v>72</v>
      </c>
    </row>
    <row r="135" spans="4:16" ht="15" thickBot="1">
      <c r="E135" s="36" t="s">
        <v>143</v>
      </c>
      <c r="H135" s="47">
        <v>9</v>
      </c>
      <c r="I135" s="36" t="s">
        <v>0</v>
      </c>
    </row>
    <row r="136" spans="4:16" ht="15" thickBot="1">
      <c r="E136" s="36" t="s">
        <v>138</v>
      </c>
      <c r="H136" s="81">
        <v>4500</v>
      </c>
      <c r="I136" s="82"/>
      <c r="J136" s="36" t="s">
        <v>18</v>
      </c>
    </row>
    <row r="137" spans="4:16">
      <c r="H137" s="54" t="s">
        <v>72</v>
      </c>
      <c r="M137" s="36" t="s">
        <v>150</v>
      </c>
      <c r="N137" s="61">
        <f>IFERROR(IF($E$121=2,ROUNDDOWN(11300*31/31,-1),IF($E$121=3,ROUNDDOWN(16300*【触らない】申請日付チェック!L43/【触らない】申請日付チェック!L42,-1),0)),0)</f>
        <v>11300</v>
      </c>
      <c r="O137" s="36" t="s">
        <v>152</v>
      </c>
      <c r="P137" s="61">
        <f>IF(N137&gt;N138,N138,N137)</f>
        <v>4050</v>
      </c>
    </row>
    <row r="138" spans="4:16">
      <c r="E138" s="36" t="s">
        <v>120</v>
      </c>
      <c r="H138" s="83">
        <f>IF(H136&lt;=P137,ROUNDDOWN(H136,-1),P137)</f>
        <v>4050</v>
      </c>
      <c r="I138" s="83"/>
      <c r="J138" s="36" t="s">
        <v>18</v>
      </c>
      <c r="M138" s="36" t="s">
        <v>151</v>
      </c>
      <c r="N138" s="61">
        <f>450*H135</f>
        <v>4050</v>
      </c>
    </row>
    <row r="139" spans="4:16">
      <c r="E139" s="42" t="s">
        <v>147</v>
      </c>
    </row>
    <row r="140" spans="4:16">
      <c r="E140" s="62" t="s">
        <v>154</v>
      </c>
    </row>
    <row r="141" spans="4:16">
      <c r="E141" s="63" t="s">
        <v>228</v>
      </c>
    </row>
    <row r="142" spans="4:16">
      <c r="E142" s="63" t="s">
        <v>159</v>
      </c>
    </row>
    <row r="143" spans="4:16" ht="15" thickBot="1">
      <c r="E143" s="59" t="s">
        <v>146</v>
      </c>
      <c r="M143" s="65"/>
    </row>
    <row r="144" spans="4:16" ht="15" thickBot="1">
      <c r="E144" s="36" t="s">
        <v>202</v>
      </c>
      <c r="G144" s="75" t="s">
        <v>224</v>
      </c>
      <c r="H144" s="76"/>
      <c r="I144" s="76"/>
      <c r="J144" s="77"/>
    </row>
    <row r="145" spans="4:11" ht="15" thickBot="1">
      <c r="E145" s="36" t="s">
        <v>145</v>
      </c>
      <c r="K145" s="42" t="s">
        <v>174</v>
      </c>
    </row>
    <row r="146" spans="4:11" ht="15" thickBot="1">
      <c r="D146" s="78"/>
      <c r="E146" s="79"/>
      <c r="F146" s="79"/>
      <c r="G146" s="79"/>
      <c r="H146" s="79"/>
      <c r="I146" s="79"/>
      <c r="J146" s="79"/>
      <c r="K146" s="80"/>
    </row>
    <row r="147" spans="4:11" ht="15" thickBot="1">
      <c r="E147" s="36" t="s">
        <v>148</v>
      </c>
      <c r="G147" s="75" t="s">
        <v>225</v>
      </c>
      <c r="H147" s="76"/>
      <c r="I147" s="76"/>
      <c r="J147" s="77"/>
      <c r="K147" s="42" t="s">
        <v>93</v>
      </c>
    </row>
    <row r="148" spans="4:11" ht="15" thickBot="1">
      <c r="E148" s="36" t="s">
        <v>113</v>
      </c>
      <c r="G148" s="47">
        <v>3</v>
      </c>
      <c r="H148" s="36" t="s">
        <v>0</v>
      </c>
      <c r="I148" s="36" t="s">
        <v>114</v>
      </c>
      <c r="J148" s="47">
        <v>21</v>
      </c>
      <c r="K148" s="36" t="s">
        <v>0</v>
      </c>
    </row>
    <row r="149" spans="4:11" ht="15" thickBot="1">
      <c r="G149" s="54" t="s">
        <v>72</v>
      </c>
      <c r="J149" s="54" t="s">
        <v>72</v>
      </c>
    </row>
    <row r="150" spans="4:11" ht="15" thickBot="1">
      <c r="E150" s="36" t="s">
        <v>149</v>
      </c>
      <c r="H150" s="81">
        <v>6000</v>
      </c>
      <c r="I150" s="82"/>
      <c r="J150" s="36" t="s">
        <v>18</v>
      </c>
    </row>
    <row r="151" spans="4:11">
      <c r="H151" s="54" t="s">
        <v>72</v>
      </c>
    </row>
    <row r="152" spans="4:11" ht="15" thickBot="1">
      <c r="E152" s="59" t="s">
        <v>155</v>
      </c>
    </row>
    <row r="153" spans="4:11" ht="15" thickBot="1">
      <c r="E153" s="36" t="s">
        <v>202</v>
      </c>
      <c r="G153" s="75"/>
      <c r="H153" s="76"/>
      <c r="I153" s="76"/>
      <c r="J153" s="77"/>
    </row>
    <row r="154" spans="4:11" ht="15" thickBot="1">
      <c r="E154" s="36" t="s">
        <v>145</v>
      </c>
      <c r="K154" s="42" t="s">
        <v>174</v>
      </c>
    </row>
    <row r="155" spans="4:11" ht="15" thickBot="1">
      <c r="D155" s="78"/>
      <c r="E155" s="79"/>
      <c r="F155" s="79"/>
      <c r="G155" s="79"/>
      <c r="H155" s="79"/>
      <c r="I155" s="79"/>
      <c r="J155" s="79"/>
      <c r="K155" s="80"/>
    </row>
    <row r="156" spans="4:11" ht="15" thickBot="1">
      <c r="E156" s="36" t="s">
        <v>148</v>
      </c>
      <c r="G156" s="75"/>
      <c r="H156" s="76"/>
      <c r="I156" s="76"/>
      <c r="J156" s="77"/>
      <c r="K156" s="42" t="s">
        <v>93</v>
      </c>
    </row>
    <row r="157" spans="4:11" ht="15" thickBot="1">
      <c r="E157" s="36" t="s">
        <v>113</v>
      </c>
      <c r="G157" s="47"/>
      <c r="H157" s="36" t="s">
        <v>0</v>
      </c>
      <c r="I157" s="36" t="s">
        <v>114</v>
      </c>
      <c r="J157" s="47"/>
      <c r="K157" s="36" t="s">
        <v>0</v>
      </c>
    </row>
    <row r="158" spans="4:11" ht="15" thickBot="1">
      <c r="G158" s="54" t="s">
        <v>72</v>
      </c>
      <c r="J158" s="54" t="s">
        <v>72</v>
      </c>
    </row>
    <row r="159" spans="4:11" ht="15" thickBot="1">
      <c r="E159" s="36" t="s">
        <v>149</v>
      </c>
      <c r="H159" s="81"/>
      <c r="I159" s="82"/>
      <c r="J159" s="36" t="s">
        <v>18</v>
      </c>
    </row>
    <row r="160" spans="4:11">
      <c r="H160" s="54" t="s">
        <v>72</v>
      </c>
    </row>
    <row r="161" spans="4:16" ht="15" thickBot="1">
      <c r="E161" s="59" t="s">
        <v>157</v>
      </c>
    </row>
    <row r="162" spans="4:16" ht="15" thickBot="1">
      <c r="E162" s="36" t="s">
        <v>202</v>
      </c>
      <c r="G162" s="75"/>
      <c r="H162" s="76"/>
      <c r="I162" s="76"/>
      <c r="J162" s="77"/>
    </row>
    <row r="163" spans="4:16" ht="15" thickBot="1">
      <c r="E163" s="36" t="s">
        <v>145</v>
      </c>
      <c r="K163" s="42" t="s">
        <v>174</v>
      </c>
    </row>
    <row r="164" spans="4:16" ht="15" thickBot="1">
      <c r="D164" s="78"/>
      <c r="E164" s="79"/>
      <c r="F164" s="79"/>
      <c r="G164" s="79"/>
      <c r="H164" s="79"/>
      <c r="I164" s="79"/>
      <c r="J164" s="79"/>
      <c r="K164" s="80"/>
    </row>
    <row r="165" spans="4:16" ht="15" thickBot="1">
      <c r="E165" s="36" t="s">
        <v>148</v>
      </c>
      <c r="G165" s="75"/>
      <c r="H165" s="76"/>
      <c r="I165" s="76"/>
      <c r="J165" s="77"/>
      <c r="K165" s="42" t="s">
        <v>93</v>
      </c>
    </row>
    <row r="166" spans="4:16" ht="15" thickBot="1">
      <c r="E166" s="36" t="s">
        <v>113</v>
      </c>
      <c r="G166" s="47"/>
      <c r="H166" s="36" t="s">
        <v>0</v>
      </c>
      <c r="I166" s="36" t="s">
        <v>114</v>
      </c>
      <c r="J166" s="47"/>
      <c r="K166" s="36" t="s">
        <v>0</v>
      </c>
    </row>
    <row r="167" spans="4:16" ht="15" thickBot="1">
      <c r="G167" s="54" t="s">
        <v>72</v>
      </c>
      <c r="J167" s="54" t="s">
        <v>72</v>
      </c>
    </row>
    <row r="168" spans="4:16" ht="15" thickBot="1">
      <c r="E168" s="36" t="s">
        <v>149</v>
      </c>
      <c r="H168" s="81"/>
      <c r="I168" s="82"/>
      <c r="J168" s="36" t="s">
        <v>18</v>
      </c>
    </row>
    <row r="169" spans="4:16">
      <c r="H169" s="54" t="s">
        <v>72</v>
      </c>
    </row>
    <row r="170" spans="4:16">
      <c r="E170" s="36" t="s">
        <v>120</v>
      </c>
      <c r="H170" s="83">
        <f>IF(SUM(H150,H159,H168)&lt;=N170,ROUNDDOWN(SUM(H150,H159,H168),-1),N170)</f>
        <v>6000</v>
      </c>
      <c r="I170" s="83"/>
      <c r="J170" s="36" t="s">
        <v>18</v>
      </c>
      <c r="M170" s="36" t="s">
        <v>150</v>
      </c>
      <c r="N170" s="61">
        <f>N137-H138</f>
        <v>7250</v>
      </c>
      <c r="P170" s="61"/>
    </row>
    <row r="171" spans="4:16" ht="15" thickBot="1">
      <c r="M171" s="65"/>
      <c r="N171" s="61"/>
    </row>
    <row r="172" spans="4:16" ht="15" thickBot="1">
      <c r="D172" s="74" t="s">
        <v>199</v>
      </c>
      <c r="E172" s="46" t="s">
        <v>183</v>
      </c>
      <c r="F172" s="47">
        <v>1</v>
      </c>
      <c r="G172" s="36" t="s">
        <v>1</v>
      </c>
      <c r="H172" s="47">
        <v>11</v>
      </c>
      <c r="I172" s="36" t="s">
        <v>105</v>
      </c>
    </row>
    <row r="173" spans="4:16">
      <c r="E173" s="44" t="s">
        <v>89</v>
      </c>
      <c r="F173" s="42" t="s">
        <v>72</v>
      </c>
      <c r="H173" s="42" t="s">
        <v>72</v>
      </c>
    </row>
    <row r="174" spans="4:16" ht="15" thickBot="1">
      <c r="E174" s="60" t="s">
        <v>236</v>
      </c>
      <c r="F174" s="42"/>
      <c r="H174" s="42"/>
    </row>
    <row r="175" spans="4:16" ht="15" thickBot="1">
      <c r="E175" s="36" t="s">
        <v>113</v>
      </c>
      <c r="G175" s="47">
        <v>1</v>
      </c>
      <c r="H175" s="36" t="s">
        <v>0</v>
      </c>
      <c r="I175" s="36" t="s">
        <v>114</v>
      </c>
      <c r="J175" s="47">
        <v>30</v>
      </c>
      <c r="K175" s="36" t="s">
        <v>0</v>
      </c>
    </row>
    <row r="176" spans="4:16" ht="15" thickBot="1">
      <c r="G176" s="54" t="s">
        <v>72</v>
      </c>
      <c r="J176" s="54" t="s">
        <v>72</v>
      </c>
    </row>
    <row r="177" spans="4:16" ht="15" thickBot="1">
      <c r="E177" s="36" t="s">
        <v>143</v>
      </c>
      <c r="H177" s="47">
        <v>8</v>
      </c>
      <c r="I177" s="36" t="s">
        <v>0</v>
      </c>
    </row>
    <row r="178" spans="4:16" ht="15" thickBot="1">
      <c r="E178" s="36" t="s">
        <v>138</v>
      </c>
      <c r="H178" s="81">
        <v>4000</v>
      </c>
      <c r="I178" s="82"/>
      <c r="J178" s="36" t="s">
        <v>18</v>
      </c>
    </row>
    <row r="179" spans="4:16">
      <c r="H179" s="54" t="s">
        <v>72</v>
      </c>
      <c r="M179" s="36" t="s">
        <v>150</v>
      </c>
      <c r="N179" s="61">
        <f>IFERROR(IF($E$121=2,ROUNDDOWN(11300*30/30,-1),IF($E$121=3,ROUNDDOWN(16300*【触らない】申請日付チェック!L61/【触らない】申請日付チェック!L60,-1),0)),0)</f>
        <v>11300</v>
      </c>
      <c r="O179" s="36" t="s">
        <v>152</v>
      </c>
      <c r="P179" s="61">
        <f>IF(N179&gt;N180,N180,N179)</f>
        <v>3600</v>
      </c>
    </row>
    <row r="180" spans="4:16">
      <c r="E180" s="36" t="s">
        <v>120</v>
      </c>
      <c r="H180" s="83">
        <f>IF(H178&lt;=P179,ROUNDDOWN(H178,-1),P179)</f>
        <v>3600</v>
      </c>
      <c r="I180" s="83"/>
      <c r="J180" s="36" t="s">
        <v>18</v>
      </c>
      <c r="M180" s="36" t="s">
        <v>151</v>
      </c>
      <c r="N180" s="61">
        <f>450*H177</f>
        <v>3600</v>
      </c>
    </row>
    <row r="181" spans="4:16">
      <c r="E181" s="42" t="s">
        <v>147</v>
      </c>
    </row>
    <row r="182" spans="4:16">
      <c r="E182" s="62" t="s">
        <v>154</v>
      </c>
    </row>
    <row r="183" spans="4:16">
      <c r="E183" s="63" t="s">
        <v>228</v>
      </c>
    </row>
    <row r="184" spans="4:16">
      <c r="E184" s="63" t="s">
        <v>159</v>
      </c>
    </row>
    <row r="185" spans="4:16" ht="15" thickBot="1">
      <c r="E185" s="59" t="s">
        <v>146</v>
      </c>
      <c r="M185" s="65"/>
    </row>
    <row r="186" spans="4:16" ht="15" thickBot="1">
      <c r="E186" s="36" t="s">
        <v>202</v>
      </c>
      <c r="G186" s="75" t="s">
        <v>196</v>
      </c>
      <c r="H186" s="76"/>
      <c r="I186" s="76"/>
      <c r="J186" s="77"/>
    </row>
    <row r="187" spans="4:16" ht="15" thickBot="1">
      <c r="E187" s="36" t="s">
        <v>145</v>
      </c>
      <c r="K187" s="42" t="s">
        <v>174</v>
      </c>
    </row>
    <row r="188" spans="4:16" ht="15" thickBot="1">
      <c r="D188" s="78"/>
      <c r="E188" s="79"/>
      <c r="F188" s="79"/>
      <c r="G188" s="79"/>
      <c r="H188" s="79"/>
      <c r="I188" s="79"/>
      <c r="J188" s="79"/>
      <c r="K188" s="80"/>
    </row>
    <row r="189" spans="4:16" ht="15" thickBot="1">
      <c r="E189" s="36" t="s">
        <v>148</v>
      </c>
      <c r="G189" s="75" t="s">
        <v>197</v>
      </c>
      <c r="H189" s="76"/>
      <c r="I189" s="76"/>
      <c r="J189" s="77"/>
      <c r="K189" s="42" t="s">
        <v>93</v>
      </c>
    </row>
    <row r="190" spans="4:16" ht="15" thickBot="1">
      <c r="E190" s="36" t="s">
        <v>113</v>
      </c>
      <c r="G190" s="47">
        <v>1</v>
      </c>
      <c r="H190" s="36" t="s">
        <v>0</v>
      </c>
      <c r="I190" s="36" t="s">
        <v>114</v>
      </c>
      <c r="J190" s="47">
        <v>29</v>
      </c>
      <c r="K190" s="36" t="s">
        <v>0</v>
      </c>
    </row>
    <row r="191" spans="4:16" ht="15" thickBot="1">
      <c r="G191" s="54" t="s">
        <v>72</v>
      </c>
      <c r="J191" s="54" t="s">
        <v>72</v>
      </c>
    </row>
    <row r="192" spans="4:16" ht="15" thickBot="1">
      <c r="E192" s="36" t="s">
        <v>149</v>
      </c>
      <c r="H192" s="81">
        <v>5000</v>
      </c>
      <c r="I192" s="82"/>
      <c r="J192" s="36" t="s">
        <v>18</v>
      </c>
    </row>
    <row r="193" spans="4:11">
      <c r="H193" s="54" t="s">
        <v>72</v>
      </c>
    </row>
    <row r="194" spans="4:11" ht="15" thickBot="1">
      <c r="E194" s="59" t="s">
        <v>155</v>
      </c>
    </row>
    <row r="195" spans="4:11" ht="15" thickBot="1">
      <c r="E195" s="36" t="s">
        <v>202</v>
      </c>
      <c r="G195" s="75"/>
      <c r="H195" s="76"/>
      <c r="I195" s="76"/>
      <c r="J195" s="77"/>
    </row>
    <row r="196" spans="4:11" ht="15" thickBot="1">
      <c r="E196" s="36" t="s">
        <v>145</v>
      </c>
      <c r="K196" s="42" t="s">
        <v>174</v>
      </c>
    </row>
    <row r="197" spans="4:11" ht="15" thickBot="1">
      <c r="D197" s="78"/>
      <c r="E197" s="79"/>
      <c r="F197" s="79"/>
      <c r="G197" s="79"/>
      <c r="H197" s="79"/>
      <c r="I197" s="79"/>
      <c r="J197" s="79"/>
      <c r="K197" s="80"/>
    </row>
    <row r="198" spans="4:11" ht="15" thickBot="1">
      <c r="E198" s="36" t="s">
        <v>148</v>
      </c>
      <c r="G198" s="75"/>
      <c r="H198" s="76"/>
      <c r="I198" s="76"/>
      <c r="J198" s="77"/>
      <c r="K198" s="42" t="s">
        <v>93</v>
      </c>
    </row>
    <row r="199" spans="4:11" ht="15" thickBot="1">
      <c r="E199" s="36" t="s">
        <v>113</v>
      </c>
      <c r="G199" s="47"/>
      <c r="H199" s="36" t="s">
        <v>0</v>
      </c>
      <c r="I199" s="36" t="s">
        <v>114</v>
      </c>
      <c r="J199" s="47"/>
      <c r="K199" s="36" t="s">
        <v>0</v>
      </c>
    </row>
    <row r="200" spans="4:11" ht="15" thickBot="1">
      <c r="G200" s="54" t="s">
        <v>72</v>
      </c>
      <c r="J200" s="54" t="s">
        <v>72</v>
      </c>
    </row>
    <row r="201" spans="4:11" ht="15" thickBot="1">
      <c r="E201" s="36" t="s">
        <v>149</v>
      </c>
      <c r="H201" s="81"/>
      <c r="I201" s="82"/>
      <c r="J201" s="36" t="s">
        <v>18</v>
      </c>
    </row>
    <row r="202" spans="4:11">
      <c r="H202" s="54" t="s">
        <v>72</v>
      </c>
    </row>
    <row r="203" spans="4:11" ht="15" thickBot="1">
      <c r="E203" s="59" t="s">
        <v>157</v>
      </c>
    </row>
    <row r="204" spans="4:11" ht="15" thickBot="1">
      <c r="E204" s="36" t="s">
        <v>202</v>
      </c>
      <c r="G204" s="75"/>
      <c r="H204" s="76"/>
      <c r="I204" s="76"/>
      <c r="J204" s="77"/>
    </row>
    <row r="205" spans="4:11" ht="15" thickBot="1">
      <c r="E205" s="36" t="s">
        <v>145</v>
      </c>
      <c r="K205" s="42" t="s">
        <v>174</v>
      </c>
    </row>
    <row r="206" spans="4:11" ht="15" thickBot="1">
      <c r="D206" s="78"/>
      <c r="E206" s="79"/>
      <c r="F206" s="79"/>
      <c r="G206" s="79"/>
      <c r="H206" s="79"/>
      <c r="I206" s="79"/>
      <c r="J206" s="79"/>
      <c r="K206" s="80"/>
    </row>
    <row r="207" spans="4:11" ht="15" thickBot="1">
      <c r="E207" s="36" t="s">
        <v>148</v>
      </c>
      <c r="G207" s="75"/>
      <c r="H207" s="76"/>
      <c r="I207" s="76"/>
      <c r="J207" s="77"/>
      <c r="K207" s="42" t="s">
        <v>93</v>
      </c>
    </row>
    <row r="208" spans="4:11" ht="15" thickBot="1">
      <c r="E208" s="36" t="s">
        <v>113</v>
      </c>
      <c r="G208" s="47"/>
      <c r="H208" s="36" t="s">
        <v>0</v>
      </c>
      <c r="I208" s="36" t="s">
        <v>114</v>
      </c>
      <c r="J208" s="47"/>
      <c r="K208" s="36" t="s">
        <v>0</v>
      </c>
    </row>
    <row r="209" spans="3:16" ht="15" thickBot="1">
      <c r="G209" s="54" t="s">
        <v>72</v>
      </c>
      <c r="J209" s="54" t="s">
        <v>72</v>
      </c>
    </row>
    <row r="210" spans="3:16" ht="15" thickBot="1">
      <c r="E210" s="36" t="s">
        <v>149</v>
      </c>
      <c r="H210" s="81"/>
      <c r="I210" s="82"/>
      <c r="J210" s="36" t="s">
        <v>18</v>
      </c>
    </row>
    <row r="211" spans="3:16">
      <c r="H211" s="54" t="s">
        <v>72</v>
      </c>
    </row>
    <row r="212" spans="3:16">
      <c r="E212" s="36" t="s">
        <v>120</v>
      </c>
      <c r="H212" s="83">
        <f>IF(SUM(H192,H201,H210)&lt;=N212,ROUNDDOWN(SUM(H192,H201,H210),-1),N212)</f>
        <v>5000</v>
      </c>
      <c r="I212" s="83"/>
      <c r="J212" s="36" t="s">
        <v>18</v>
      </c>
      <c r="M212" s="36" t="s">
        <v>150</v>
      </c>
      <c r="N212" s="61">
        <f>N179-H180</f>
        <v>7700</v>
      </c>
      <c r="P212" s="61"/>
    </row>
    <row r="213" spans="3:16">
      <c r="H213" s="67"/>
      <c r="I213" s="67"/>
      <c r="N213" s="61"/>
      <c r="P213" s="61"/>
    </row>
    <row r="214" spans="3:16">
      <c r="D214" s="36" t="s">
        <v>164</v>
      </c>
      <c r="H214" s="67"/>
      <c r="I214" s="67"/>
      <c r="N214" s="61"/>
      <c r="P214" s="61"/>
    </row>
    <row r="215" spans="3:16">
      <c r="H215" s="67"/>
      <c r="I215" s="67"/>
      <c r="N215" s="61"/>
      <c r="P215" s="61"/>
    </row>
    <row r="216" spans="3:16">
      <c r="C216" s="36" t="s">
        <v>220</v>
      </c>
      <c r="H216" s="70"/>
      <c r="I216" s="70"/>
      <c r="N216" s="61"/>
      <c r="P216" s="61"/>
    </row>
    <row r="217" spans="3:16">
      <c r="C217" s="84" t="s">
        <v>229</v>
      </c>
      <c r="D217" s="84"/>
      <c r="E217" s="84"/>
      <c r="F217" s="84"/>
      <c r="G217" s="84"/>
      <c r="H217" s="84"/>
      <c r="I217" s="84"/>
      <c r="J217" s="84"/>
      <c r="K217" s="84"/>
      <c r="N217" s="61"/>
      <c r="P217" s="61"/>
    </row>
    <row r="218" spans="3:16">
      <c r="C218" s="84"/>
      <c r="D218" s="84"/>
      <c r="E218" s="84"/>
      <c r="F218" s="84"/>
      <c r="G218" s="84"/>
      <c r="H218" s="84"/>
      <c r="I218" s="84"/>
      <c r="J218" s="84"/>
      <c r="K218" s="84"/>
      <c r="N218" s="61"/>
      <c r="P218" s="61"/>
    </row>
    <row r="219" spans="3:16">
      <c r="C219" s="84"/>
      <c r="D219" s="84"/>
      <c r="E219" s="84"/>
      <c r="F219" s="84"/>
      <c r="G219" s="84"/>
      <c r="H219" s="84"/>
      <c r="I219" s="84"/>
      <c r="J219" s="84"/>
      <c r="K219" s="84"/>
      <c r="N219" s="61"/>
      <c r="P219" s="61"/>
    </row>
    <row r="220" spans="3:16">
      <c r="C220" s="84"/>
      <c r="D220" s="84"/>
      <c r="E220" s="84"/>
      <c r="F220" s="84"/>
      <c r="G220" s="84"/>
      <c r="H220" s="84"/>
      <c r="I220" s="84"/>
      <c r="J220" s="84"/>
      <c r="K220" s="84"/>
      <c r="N220" s="61"/>
      <c r="P220" s="61"/>
    </row>
    <row r="221" spans="3:16">
      <c r="H221" s="67"/>
      <c r="I221" s="67"/>
      <c r="N221" s="61"/>
      <c r="P221" s="61"/>
    </row>
    <row r="222" spans="3:16">
      <c r="H222" s="67"/>
      <c r="I222" s="67"/>
      <c r="N222" s="61"/>
      <c r="P222" s="61"/>
    </row>
    <row r="223" spans="3:16">
      <c r="H223" s="67"/>
      <c r="I223" s="67"/>
      <c r="N223" s="61"/>
      <c r="P223" s="61"/>
    </row>
    <row r="224" spans="3:16">
      <c r="H224" s="67"/>
      <c r="I224" s="67"/>
      <c r="N224" s="61"/>
      <c r="P224" s="61"/>
    </row>
    <row r="225" spans="4:16">
      <c r="H225" s="67"/>
      <c r="I225" s="67"/>
      <c r="N225" s="61"/>
      <c r="P225" s="61"/>
    </row>
    <row r="226" spans="4:16">
      <c r="H226" s="67"/>
      <c r="I226" s="67"/>
      <c r="N226" s="61"/>
      <c r="P226" s="61"/>
    </row>
    <row r="227" spans="4:16">
      <c r="H227" s="67"/>
      <c r="I227" s="67"/>
      <c r="N227" s="61"/>
      <c r="P227" s="61"/>
    </row>
    <row r="228" spans="4:16" ht="15" thickBot="1">
      <c r="M228" s="65"/>
    </row>
    <row r="229" spans="4:16" ht="15" thickBot="1">
      <c r="D229" s="74" t="s">
        <v>200</v>
      </c>
      <c r="E229" s="46" t="s">
        <v>183</v>
      </c>
      <c r="F229" s="47">
        <v>1</v>
      </c>
      <c r="G229" s="36" t="s">
        <v>1</v>
      </c>
      <c r="H229" s="47">
        <v>12</v>
      </c>
      <c r="I229" s="36" t="s">
        <v>105</v>
      </c>
    </row>
    <row r="230" spans="4:16">
      <c r="E230" s="44" t="s">
        <v>89</v>
      </c>
      <c r="F230" s="42" t="s">
        <v>72</v>
      </c>
      <c r="H230" s="42" t="s">
        <v>72</v>
      </c>
    </row>
    <row r="231" spans="4:16" ht="15" thickBot="1">
      <c r="E231" s="60" t="s">
        <v>236</v>
      </c>
      <c r="F231" s="42"/>
      <c r="H231" s="42"/>
    </row>
    <row r="232" spans="4:16" ht="15" thickBot="1">
      <c r="E232" s="36" t="s">
        <v>113</v>
      </c>
      <c r="G232" s="47">
        <v>1</v>
      </c>
      <c r="H232" s="36" t="s">
        <v>0</v>
      </c>
      <c r="I232" s="36" t="s">
        <v>114</v>
      </c>
      <c r="J232" s="47">
        <v>31</v>
      </c>
      <c r="K232" s="36" t="s">
        <v>0</v>
      </c>
    </row>
    <row r="233" spans="4:16" ht="15" thickBot="1">
      <c r="G233" s="54" t="s">
        <v>72</v>
      </c>
      <c r="J233" s="54" t="s">
        <v>72</v>
      </c>
    </row>
    <row r="234" spans="4:16" ht="15" thickBot="1">
      <c r="E234" s="36" t="s">
        <v>143</v>
      </c>
      <c r="H234" s="47">
        <v>10</v>
      </c>
      <c r="I234" s="36" t="s">
        <v>0</v>
      </c>
    </row>
    <row r="235" spans="4:16" ht="15" thickBot="1">
      <c r="E235" s="36" t="s">
        <v>138</v>
      </c>
      <c r="H235" s="81">
        <v>5000</v>
      </c>
      <c r="I235" s="82"/>
      <c r="J235" s="36" t="s">
        <v>18</v>
      </c>
    </row>
    <row r="236" spans="4:16">
      <c r="H236" s="54" t="s">
        <v>72</v>
      </c>
      <c r="M236" s="36" t="s">
        <v>150</v>
      </c>
      <c r="N236" s="61">
        <f>IFERROR(IF($E$121=2,ROUNDDOWN(11300*31/31,-1),IF($E$121=3,ROUNDDOWN(16300*【触らない】申請日付チェック!L79/【触らない】申請日付チェック!L78,-1),0)),0)</f>
        <v>11300</v>
      </c>
      <c r="O236" s="36" t="s">
        <v>152</v>
      </c>
      <c r="P236" s="61">
        <f>IF(N236&gt;N237,N237,N236)</f>
        <v>4500</v>
      </c>
    </row>
    <row r="237" spans="4:16">
      <c r="E237" s="36" t="s">
        <v>120</v>
      </c>
      <c r="H237" s="83">
        <f>IF(H235&lt;=P236,ROUNDDOWN(H235,-1),P236)</f>
        <v>4500</v>
      </c>
      <c r="I237" s="83"/>
      <c r="J237" s="36" t="s">
        <v>18</v>
      </c>
      <c r="M237" s="36" t="s">
        <v>151</v>
      </c>
      <c r="N237" s="61">
        <f>450*H234</f>
        <v>4500</v>
      </c>
    </row>
    <row r="238" spans="4:16">
      <c r="E238" s="42" t="s">
        <v>147</v>
      </c>
    </row>
    <row r="239" spans="4:16">
      <c r="E239" s="62" t="s">
        <v>154</v>
      </c>
    </row>
    <row r="240" spans="4:16">
      <c r="E240" s="63" t="s">
        <v>228</v>
      </c>
    </row>
    <row r="241" spans="4:13">
      <c r="E241" s="63" t="s">
        <v>159</v>
      </c>
    </row>
    <row r="242" spans="4:13" ht="15" thickBot="1">
      <c r="E242" s="59" t="s">
        <v>146</v>
      </c>
      <c r="M242" s="65"/>
    </row>
    <row r="243" spans="4:13" ht="15" thickBot="1">
      <c r="E243" s="36" t="s">
        <v>202</v>
      </c>
      <c r="G243" s="75" t="s">
        <v>224</v>
      </c>
      <c r="H243" s="76"/>
      <c r="I243" s="76"/>
      <c r="J243" s="77"/>
    </row>
    <row r="244" spans="4:13" ht="15" thickBot="1">
      <c r="E244" s="36" t="s">
        <v>145</v>
      </c>
      <c r="K244" s="42" t="s">
        <v>174</v>
      </c>
    </row>
    <row r="245" spans="4:13" ht="15" thickBot="1">
      <c r="D245" s="78"/>
      <c r="E245" s="79"/>
      <c r="F245" s="79"/>
      <c r="G245" s="79"/>
      <c r="H245" s="79"/>
      <c r="I245" s="79"/>
      <c r="J245" s="79"/>
      <c r="K245" s="80"/>
    </row>
    <row r="246" spans="4:13" ht="15" thickBot="1">
      <c r="E246" s="36" t="s">
        <v>148</v>
      </c>
      <c r="G246" s="75" t="s">
        <v>195</v>
      </c>
      <c r="H246" s="76"/>
      <c r="I246" s="76"/>
      <c r="J246" s="77"/>
      <c r="K246" s="42" t="s">
        <v>93</v>
      </c>
    </row>
    <row r="247" spans="4:13" ht="15" thickBot="1">
      <c r="E247" s="36" t="s">
        <v>113</v>
      </c>
      <c r="G247" s="47">
        <v>23</v>
      </c>
      <c r="H247" s="36" t="s">
        <v>0</v>
      </c>
      <c r="I247" s="36" t="s">
        <v>114</v>
      </c>
      <c r="J247" s="47">
        <v>30</v>
      </c>
      <c r="K247" s="36" t="s">
        <v>0</v>
      </c>
    </row>
    <row r="248" spans="4:13" ht="15" thickBot="1">
      <c r="G248" s="54" t="s">
        <v>72</v>
      </c>
      <c r="J248" s="54" t="s">
        <v>72</v>
      </c>
    </row>
    <row r="249" spans="4:13" ht="15" thickBot="1">
      <c r="E249" s="36" t="s">
        <v>149</v>
      </c>
      <c r="H249" s="81">
        <v>10000</v>
      </c>
      <c r="I249" s="82"/>
      <c r="J249" s="36" t="s">
        <v>18</v>
      </c>
    </row>
    <row r="250" spans="4:13">
      <c r="H250" s="54" t="s">
        <v>72</v>
      </c>
    </row>
    <row r="251" spans="4:13" ht="15" thickBot="1">
      <c r="E251" s="59" t="s">
        <v>155</v>
      </c>
    </row>
    <row r="252" spans="4:13" ht="15" thickBot="1">
      <c r="E252" s="36" t="s">
        <v>202</v>
      </c>
      <c r="G252" s="75"/>
      <c r="H252" s="76"/>
      <c r="I252" s="76"/>
      <c r="J252" s="77"/>
    </row>
    <row r="253" spans="4:13" ht="15" thickBot="1">
      <c r="E253" s="36" t="s">
        <v>145</v>
      </c>
      <c r="K253" s="42" t="s">
        <v>174</v>
      </c>
    </row>
    <row r="254" spans="4:13" ht="15" thickBot="1">
      <c r="D254" s="78"/>
      <c r="E254" s="79"/>
      <c r="F254" s="79"/>
      <c r="G254" s="79"/>
      <c r="H254" s="79"/>
      <c r="I254" s="79"/>
      <c r="J254" s="79"/>
      <c r="K254" s="80"/>
    </row>
    <row r="255" spans="4:13" ht="15" thickBot="1">
      <c r="E255" s="36" t="s">
        <v>148</v>
      </c>
      <c r="G255" s="75"/>
      <c r="H255" s="76"/>
      <c r="I255" s="76"/>
      <c r="J255" s="77"/>
      <c r="K255" s="42" t="s">
        <v>93</v>
      </c>
    </row>
    <row r="256" spans="4:13" ht="15" thickBot="1">
      <c r="E256" s="36" t="s">
        <v>113</v>
      </c>
      <c r="G256" s="47"/>
      <c r="H256" s="36" t="s">
        <v>0</v>
      </c>
      <c r="I256" s="36" t="s">
        <v>114</v>
      </c>
      <c r="J256" s="47"/>
      <c r="K256" s="36" t="s">
        <v>0</v>
      </c>
    </row>
    <row r="257" spans="4:16" ht="15" thickBot="1">
      <c r="G257" s="54" t="s">
        <v>72</v>
      </c>
      <c r="J257" s="54" t="s">
        <v>72</v>
      </c>
    </row>
    <row r="258" spans="4:16" ht="15" thickBot="1">
      <c r="E258" s="36" t="s">
        <v>149</v>
      </c>
      <c r="H258" s="81"/>
      <c r="I258" s="82"/>
      <c r="J258" s="36" t="s">
        <v>18</v>
      </c>
    </row>
    <row r="259" spans="4:16">
      <c r="H259" s="54" t="s">
        <v>72</v>
      </c>
    </row>
    <row r="260" spans="4:16" ht="15" thickBot="1">
      <c r="E260" s="59" t="s">
        <v>157</v>
      </c>
    </row>
    <row r="261" spans="4:16" ht="15" thickBot="1">
      <c r="E261" s="36" t="s">
        <v>202</v>
      </c>
      <c r="G261" s="75"/>
      <c r="H261" s="76"/>
      <c r="I261" s="76"/>
      <c r="J261" s="77"/>
    </row>
    <row r="262" spans="4:16" ht="15" thickBot="1">
      <c r="E262" s="36" t="s">
        <v>145</v>
      </c>
      <c r="K262" s="42" t="s">
        <v>174</v>
      </c>
    </row>
    <row r="263" spans="4:16" ht="15" thickBot="1">
      <c r="D263" s="78"/>
      <c r="E263" s="79"/>
      <c r="F263" s="79"/>
      <c r="G263" s="79"/>
      <c r="H263" s="79"/>
      <c r="I263" s="79"/>
      <c r="J263" s="79"/>
      <c r="K263" s="80"/>
    </row>
    <row r="264" spans="4:16" ht="15" thickBot="1">
      <c r="E264" s="36" t="s">
        <v>148</v>
      </c>
      <c r="G264" s="75"/>
      <c r="H264" s="76"/>
      <c r="I264" s="76"/>
      <c r="J264" s="77"/>
      <c r="K264" s="42" t="s">
        <v>93</v>
      </c>
    </row>
    <row r="265" spans="4:16" ht="15" thickBot="1">
      <c r="E265" s="36" t="s">
        <v>113</v>
      </c>
      <c r="G265" s="47"/>
      <c r="H265" s="36" t="s">
        <v>0</v>
      </c>
      <c r="I265" s="36" t="s">
        <v>114</v>
      </c>
      <c r="J265" s="47"/>
      <c r="K265" s="36" t="s">
        <v>0</v>
      </c>
    </row>
    <row r="266" spans="4:16" ht="15" thickBot="1">
      <c r="G266" s="54" t="s">
        <v>72</v>
      </c>
      <c r="J266" s="54" t="s">
        <v>72</v>
      </c>
    </row>
    <row r="267" spans="4:16" ht="15" thickBot="1">
      <c r="E267" s="36" t="s">
        <v>149</v>
      </c>
      <c r="H267" s="81"/>
      <c r="I267" s="82"/>
      <c r="J267" s="36" t="s">
        <v>18</v>
      </c>
    </row>
    <row r="268" spans="4:16">
      <c r="H268" s="54" t="s">
        <v>72</v>
      </c>
    </row>
    <row r="269" spans="4:16">
      <c r="E269" s="36" t="s">
        <v>120</v>
      </c>
      <c r="H269" s="83">
        <f>IF(SUM(H249,H258,H267)&lt;=N269,ROUNDDOWN(SUM(H249,H258,H267),-1),N269)</f>
        <v>6800</v>
      </c>
      <c r="I269" s="83"/>
      <c r="J269" s="36" t="s">
        <v>18</v>
      </c>
      <c r="M269" s="36" t="s">
        <v>150</v>
      </c>
      <c r="N269" s="61">
        <f>N236-H237</f>
        <v>6800</v>
      </c>
      <c r="P269" s="61"/>
    </row>
  </sheetData>
  <sheetProtection algorithmName="SHA-512" hashValue="97RU5yUqNum3eYmQM51n+qd2IvWvSXr0RFVg/YeCfhWrPP+x3yXWIzJ9HL+uO87V7ew+5xP2PhpBrbmOWsvipA==" saltValue="jxjaWrbrVp13Aj+4JhjsLg==" spinCount="100000" sheet="1" objects="1" scenarios="1" selectLockedCells="1" selectUnlockedCells="1"/>
  <mergeCells count="72">
    <mergeCell ref="D26:K26"/>
    <mergeCell ref="A1:K1"/>
    <mergeCell ref="F18:I18"/>
    <mergeCell ref="F19:I19"/>
    <mergeCell ref="F20:I20"/>
    <mergeCell ref="F21:I21"/>
    <mergeCell ref="H85:I85"/>
    <mergeCell ref="E28:I28"/>
    <mergeCell ref="F31:I31"/>
    <mergeCell ref="F32:I32"/>
    <mergeCell ref="F33:I33"/>
    <mergeCell ref="E39:H39"/>
    <mergeCell ref="D41:K41"/>
    <mergeCell ref="H67:I67"/>
    <mergeCell ref="H69:I69"/>
    <mergeCell ref="H71:I71"/>
    <mergeCell ref="H72:I72"/>
    <mergeCell ref="H83:I83"/>
    <mergeCell ref="D146:K146"/>
    <mergeCell ref="H87:I87"/>
    <mergeCell ref="H88:I88"/>
    <mergeCell ref="H99:I99"/>
    <mergeCell ref="H101:I101"/>
    <mergeCell ref="H103:I103"/>
    <mergeCell ref="H104:I104"/>
    <mergeCell ref="E117:H117"/>
    <mergeCell ref="E119:J119"/>
    <mergeCell ref="H136:I136"/>
    <mergeCell ref="H138:I138"/>
    <mergeCell ref="G144:J144"/>
    <mergeCell ref="H178:I178"/>
    <mergeCell ref="G147:J147"/>
    <mergeCell ref="H150:I150"/>
    <mergeCell ref="G153:J153"/>
    <mergeCell ref="D155:K155"/>
    <mergeCell ref="G156:J156"/>
    <mergeCell ref="H159:I159"/>
    <mergeCell ref="G162:J162"/>
    <mergeCell ref="D164:K164"/>
    <mergeCell ref="G165:J165"/>
    <mergeCell ref="H168:I168"/>
    <mergeCell ref="H170:I170"/>
    <mergeCell ref="G207:J207"/>
    <mergeCell ref="H180:I180"/>
    <mergeCell ref="G186:J186"/>
    <mergeCell ref="D188:K188"/>
    <mergeCell ref="G189:J189"/>
    <mergeCell ref="H192:I192"/>
    <mergeCell ref="G195:J195"/>
    <mergeCell ref="D197:K197"/>
    <mergeCell ref="G198:J198"/>
    <mergeCell ref="H201:I201"/>
    <mergeCell ref="G204:J204"/>
    <mergeCell ref="D206:K206"/>
    <mergeCell ref="H258:I258"/>
    <mergeCell ref="H210:I210"/>
    <mergeCell ref="H212:I212"/>
    <mergeCell ref="H235:I235"/>
    <mergeCell ref="H237:I237"/>
    <mergeCell ref="G243:J243"/>
    <mergeCell ref="D245:K245"/>
    <mergeCell ref="G246:J246"/>
    <mergeCell ref="H249:I249"/>
    <mergeCell ref="G252:J252"/>
    <mergeCell ref="D254:K254"/>
    <mergeCell ref="G255:J255"/>
    <mergeCell ref="C217:K220"/>
    <mergeCell ref="G261:J261"/>
    <mergeCell ref="D263:K263"/>
    <mergeCell ref="G264:J264"/>
    <mergeCell ref="H267:I267"/>
    <mergeCell ref="H269:I269"/>
  </mergeCells>
  <phoneticPr fontId="2"/>
  <conditionalFormatting sqref="F22 F34 F59 F75 F91 E119">
    <cfRule type="expression" dxfId="280" priority="146">
      <formula>$M22="error"</formula>
    </cfRule>
  </conditionalFormatting>
  <conditionalFormatting sqref="F13">
    <cfRule type="expression" dxfId="279" priority="147">
      <formula>$M$13="error"</formula>
    </cfRule>
  </conditionalFormatting>
  <conditionalFormatting sqref="F46">
    <cfRule type="expression" dxfId="278" priority="106">
      <formula>$P46="error"</formula>
    </cfRule>
    <cfRule type="expression" dxfId="277" priority="145">
      <formula>$M46="error"</formula>
    </cfRule>
  </conditionalFormatting>
  <conditionalFormatting sqref="G61">
    <cfRule type="expression" dxfId="276" priority="143">
      <formula>$N60="error"</formula>
    </cfRule>
    <cfRule type="expression" dxfId="275" priority="144">
      <formula>$N61="error"</formula>
    </cfRule>
  </conditionalFormatting>
  <conditionalFormatting sqref="J61">
    <cfRule type="expression" dxfId="274" priority="12">
      <formula>$P61="error"</formula>
    </cfRule>
    <cfRule type="expression" dxfId="273" priority="141">
      <formula>$O60="error"</formula>
    </cfRule>
    <cfRule type="expression" dxfId="272" priority="142">
      <formula>$O61="error"</formula>
    </cfRule>
  </conditionalFormatting>
  <conditionalFormatting sqref="G77">
    <cfRule type="expression" dxfId="271" priority="139">
      <formula>$N76="error"</formula>
    </cfRule>
    <cfRule type="expression" dxfId="270" priority="140">
      <formula>$N77="error"</formula>
    </cfRule>
  </conditionalFormatting>
  <conditionalFormatting sqref="H95">
    <cfRule type="expression" dxfId="269" priority="136">
      <formula>$M95="error"</formula>
    </cfRule>
  </conditionalFormatting>
  <conditionalFormatting sqref="G93">
    <cfRule type="expression" dxfId="268" priority="137">
      <formula>$N92="error"</formula>
    </cfRule>
    <cfRule type="expression" dxfId="267" priority="138">
      <formula>$N93="error"</formula>
    </cfRule>
  </conditionalFormatting>
  <conditionalFormatting sqref="H97">
    <cfRule type="expression" dxfId="266" priority="135">
      <formula>$M97="error"</formula>
    </cfRule>
  </conditionalFormatting>
  <conditionalFormatting sqref="F124:F125">
    <cfRule type="expression" dxfId="265" priority="129">
      <formula>$N124="error"</formula>
    </cfRule>
    <cfRule type="expression" dxfId="264" priority="134">
      <formula>$M124="error"</formula>
    </cfRule>
  </conditionalFormatting>
  <conditionalFormatting sqref="H135">
    <cfRule type="expression" dxfId="263" priority="132">
      <formula>$M135="error"</formula>
    </cfRule>
  </conditionalFormatting>
  <conditionalFormatting sqref="F130">
    <cfRule type="expression" dxfId="262" priority="133">
      <formula>$M130="error"</formula>
    </cfRule>
  </conditionalFormatting>
  <conditionalFormatting sqref="E121">
    <cfRule type="expression" dxfId="261" priority="131">
      <formula>$M121="error"</formula>
    </cfRule>
  </conditionalFormatting>
  <conditionalFormatting sqref="E124:E125">
    <cfRule type="expression" dxfId="260" priority="130">
      <formula>$N124="error"</formula>
    </cfRule>
  </conditionalFormatting>
  <conditionalFormatting sqref="H124:H125">
    <cfRule type="expression" dxfId="259" priority="128">
      <formula>$N124="error"</formula>
    </cfRule>
  </conditionalFormatting>
  <conditionalFormatting sqref="J124:J125">
    <cfRule type="expression" dxfId="258" priority="127">
      <formula>$N124="error"</formula>
    </cfRule>
  </conditionalFormatting>
  <conditionalFormatting sqref="G133">
    <cfRule type="expression" dxfId="257" priority="148">
      <formula>$N133="error"</formula>
    </cfRule>
  </conditionalFormatting>
  <conditionalFormatting sqref="J133">
    <cfRule type="expression" dxfId="256" priority="5">
      <formula>$P133="error"</formula>
    </cfRule>
    <cfRule type="expression" dxfId="255" priority="149">
      <formula>$O133="error"</formula>
    </cfRule>
  </conditionalFormatting>
  <conditionalFormatting sqref="E117:H117">
    <cfRule type="expression" dxfId="254" priority="126">
      <formula>$M117="error"</formula>
    </cfRule>
  </conditionalFormatting>
  <conditionalFormatting sqref="G148">
    <cfRule type="expression" dxfId="253" priority="87">
      <formula>$P148="error"</formula>
    </cfRule>
    <cfRule type="expression" dxfId="252" priority="124">
      <formula>$N148="error"</formula>
    </cfRule>
  </conditionalFormatting>
  <conditionalFormatting sqref="J148">
    <cfRule type="expression" dxfId="251" priority="86">
      <formula>$Q148="error"</formula>
    </cfRule>
    <cfRule type="expression" dxfId="250" priority="125">
      <formula>$O148="error"</formula>
    </cfRule>
  </conditionalFormatting>
  <conditionalFormatting sqref="H177">
    <cfRule type="expression" dxfId="249" priority="121">
      <formula>$M177="error"</formula>
    </cfRule>
  </conditionalFormatting>
  <conditionalFormatting sqref="F172">
    <cfRule type="expression" dxfId="248" priority="122">
      <formula>$M172="error"</formula>
    </cfRule>
  </conditionalFormatting>
  <conditionalFormatting sqref="G175">
    <cfRule type="expression" dxfId="247" priority="123">
      <formula>$N175="error"</formula>
    </cfRule>
  </conditionalFormatting>
  <conditionalFormatting sqref="H234">
    <cfRule type="expression" dxfId="246" priority="118">
      <formula>$M234="error"</formula>
    </cfRule>
  </conditionalFormatting>
  <conditionalFormatting sqref="F229">
    <cfRule type="expression" dxfId="245" priority="119">
      <formula>$M229="error"</formula>
    </cfRule>
  </conditionalFormatting>
  <conditionalFormatting sqref="G232">
    <cfRule type="expression" dxfId="244" priority="120">
      <formula>$N232="error"</formula>
    </cfRule>
  </conditionalFormatting>
  <conditionalFormatting sqref="H81">
    <cfRule type="expression" dxfId="243" priority="117">
      <formula>$M81="error"</formula>
    </cfRule>
  </conditionalFormatting>
  <conditionalFormatting sqref="H65">
    <cfRule type="expression" dxfId="242" priority="116">
      <formula>$M65="error"</formula>
    </cfRule>
  </conditionalFormatting>
  <conditionalFormatting sqref="H79">
    <cfRule type="expression" dxfId="241" priority="115">
      <formula>$M79="error"</formula>
    </cfRule>
  </conditionalFormatting>
  <conditionalFormatting sqref="H63">
    <cfRule type="expression" dxfId="240" priority="114">
      <formula>$M63="error"</formula>
    </cfRule>
  </conditionalFormatting>
  <conditionalFormatting sqref="F21:I21">
    <cfRule type="expression" dxfId="239" priority="113">
      <formula>$M$21="error"</formula>
    </cfRule>
  </conditionalFormatting>
  <conditionalFormatting sqref="J46">
    <cfRule type="expression" dxfId="238" priority="112">
      <formula>$N46="error"</formula>
    </cfRule>
  </conditionalFormatting>
  <conditionalFormatting sqref="J47">
    <cfRule type="expression" dxfId="237" priority="28">
      <formula>$R47="error"</formula>
    </cfRule>
    <cfRule type="expression" dxfId="236" priority="111">
      <formula>$N47="error"</formula>
    </cfRule>
  </conditionalFormatting>
  <conditionalFormatting sqref="H46">
    <cfRule type="expression" dxfId="235" priority="109">
      <formula>$O46="error"</formula>
    </cfRule>
  </conditionalFormatting>
  <conditionalFormatting sqref="H47">
    <cfRule type="expression" dxfId="234" priority="29">
      <formula>$R47="error"</formula>
    </cfRule>
    <cfRule type="expression" dxfId="233" priority="108">
      <formula>$O47="error"</formula>
    </cfRule>
  </conditionalFormatting>
  <conditionalFormatting sqref="F47">
    <cfRule type="expression" dxfId="232" priority="30">
      <formula>$R47="error"</formula>
    </cfRule>
    <cfRule type="expression" dxfId="231" priority="104">
      <formula>$P47="error"</formula>
    </cfRule>
    <cfRule type="expression" dxfId="230" priority="105">
      <formula>$M47="error"</formula>
    </cfRule>
  </conditionalFormatting>
  <conditionalFormatting sqref="E46">
    <cfRule type="expression" dxfId="229" priority="101">
      <formula>$Q46="error"</formula>
    </cfRule>
  </conditionalFormatting>
  <conditionalFormatting sqref="E47">
    <cfRule type="expression" dxfId="228" priority="31">
      <formula>$R47="error"</formula>
    </cfRule>
    <cfRule type="expression" dxfId="227" priority="100">
      <formula>$Q47="error"</formula>
    </cfRule>
  </conditionalFormatting>
  <conditionalFormatting sqref="H75">
    <cfRule type="expression" dxfId="226" priority="93">
      <formula>$N75="error"</formula>
    </cfRule>
  </conditionalFormatting>
  <conditionalFormatting sqref="H91">
    <cfRule type="expression" dxfId="225" priority="92">
      <formula>$N91="error"</formula>
    </cfRule>
  </conditionalFormatting>
  <conditionalFormatting sqref="J124:J125">
    <cfRule type="expression" dxfId="224" priority="91">
      <formula>$O124="error"</formula>
    </cfRule>
  </conditionalFormatting>
  <conditionalFormatting sqref="J125">
    <cfRule type="expression" dxfId="223" priority="90">
      <formula>$O125="error"</formula>
    </cfRule>
  </conditionalFormatting>
  <conditionalFormatting sqref="J125">
    <cfRule type="expression" dxfId="222" priority="89">
      <formula>$O125="error"</formula>
    </cfRule>
  </conditionalFormatting>
  <conditionalFormatting sqref="G147:J147">
    <cfRule type="expression" dxfId="221" priority="88">
      <formula>$P147="error"</formula>
    </cfRule>
  </conditionalFormatting>
  <conditionalFormatting sqref="H150:I150">
    <cfRule type="expression" dxfId="220" priority="85">
      <formula>$P150="error"</formula>
    </cfRule>
  </conditionalFormatting>
  <conditionalFormatting sqref="G157">
    <cfRule type="expression" dxfId="219" priority="81">
      <formula>$P157="error"</formula>
    </cfRule>
    <cfRule type="expression" dxfId="218" priority="83">
      <formula>$N157="error"</formula>
    </cfRule>
  </conditionalFormatting>
  <conditionalFormatting sqref="J157">
    <cfRule type="expression" dxfId="217" priority="80">
      <formula>$Q157="error"</formula>
    </cfRule>
    <cfRule type="expression" dxfId="216" priority="84">
      <formula>$O157="error"</formula>
    </cfRule>
  </conditionalFormatting>
  <conditionalFormatting sqref="G156:J156">
    <cfRule type="expression" dxfId="215" priority="82">
      <formula>$P156="error"</formula>
    </cfRule>
  </conditionalFormatting>
  <conditionalFormatting sqref="H159:I159">
    <cfRule type="expression" dxfId="214" priority="79">
      <formula>$P159="error"</formula>
    </cfRule>
  </conditionalFormatting>
  <conditionalFormatting sqref="G166">
    <cfRule type="expression" dxfId="213" priority="75">
      <formula>$P166="error"</formula>
    </cfRule>
    <cfRule type="expression" dxfId="212" priority="77">
      <formula>$N166="error"</formula>
    </cfRule>
  </conditionalFormatting>
  <conditionalFormatting sqref="J166">
    <cfRule type="expression" dxfId="211" priority="74">
      <formula>$Q166="error"</formula>
    </cfRule>
    <cfRule type="expression" dxfId="210" priority="78">
      <formula>$O166="error"</formula>
    </cfRule>
  </conditionalFormatting>
  <conditionalFormatting sqref="G165:J165">
    <cfRule type="expression" dxfId="209" priority="76">
      <formula>$P165="error"</formula>
    </cfRule>
  </conditionalFormatting>
  <conditionalFormatting sqref="H168:I168">
    <cfRule type="expression" dxfId="208" priority="73">
      <formula>$P168="error"</formula>
    </cfRule>
  </conditionalFormatting>
  <conditionalFormatting sqref="G190">
    <cfRule type="expression" dxfId="207" priority="69">
      <formula>$P190="error"</formula>
    </cfRule>
    <cfRule type="expression" dxfId="206" priority="71">
      <formula>$N190="error"</formula>
    </cfRule>
  </conditionalFormatting>
  <conditionalFormatting sqref="J190">
    <cfRule type="expression" dxfId="205" priority="68">
      <formula>$Q190="error"</formula>
    </cfRule>
    <cfRule type="expression" dxfId="204" priority="72">
      <formula>$O190="error"</formula>
    </cfRule>
  </conditionalFormatting>
  <conditionalFormatting sqref="G189:J189">
    <cfRule type="expression" dxfId="203" priority="70">
      <formula>$P189="error"</formula>
    </cfRule>
  </conditionalFormatting>
  <conditionalFormatting sqref="H192:I192">
    <cfRule type="expression" dxfId="202" priority="67">
      <formula>$P192="error"</formula>
    </cfRule>
  </conditionalFormatting>
  <conditionalFormatting sqref="G199">
    <cfRule type="expression" dxfId="201" priority="63">
      <formula>$P199="error"</formula>
    </cfRule>
    <cfRule type="expression" dxfId="200" priority="65">
      <formula>$N199="error"</formula>
    </cfRule>
  </conditionalFormatting>
  <conditionalFormatting sqref="J199">
    <cfRule type="expression" dxfId="199" priority="62">
      <formula>$Q199="error"</formula>
    </cfRule>
    <cfRule type="expression" dxfId="198" priority="66">
      <formula>$O199="error"</formula>
    </cfRule>
  </conditionalFormatting>
  <conditionalFormatting sqref="G198:J198">
    <cfRule type="expression" dxfId="197" priority="64">
      <formula>$P198="error"</formula>
    </cfRule>
  </conditionalFormatting>
  <conditionalFormatting sqref="H201:I201">
    <cfRule type="expression" dxfId="196" priority="61">
      <formula>$P201="error"</formula>
    </cfRule>
  </conditionalFormatting>
  <conditionalFormatting sqref="G208">
    <cfRule type="expression" dxfId="195" priority="57">
      <formula>$P208="error"</formula>
    </cfRule>
    <cfRule type="expression" dxfId="194" priority="59">
      <formula>$N208="error"</formula>
    </cfRule>
  </conditionalFormatting>
  <conditionalFormatting sqref="J208">
    <cfRule type="expression" dxfId="193" priority="56">
      <formula>$Q208="error"</formula>
    </cfRule>
    <cfRule type="expression" dxfId="192" priority="60">
      <formula>$O208="error"</formula>
    </cfRule>
  </conditionalFormatting>
  <conditionalFormatting sqref="G207:J207">
    <cfRule type="expression" dxfId="191" priority="58">
      <formula>$P207="error"</formula>
    </cfRule>
  </conditionalFormatting>
  <conditionalFormatting sqref="H210:I210">
    <cfRule type="expression" dxfId="190" priority="55">
      <formula>$P210="error"</formula>
    </cfRule>
  </conditionalFormatting>
  <conditionalFormatting sqref="G247">
    <cfRule type="expression" dxfId="189" priority="51">
      <formula>$P247="error"</formula>
    </cfRule>
    <cfRule type="expression" dxfId="188" priority="53">
      <formula>$N247="error"</formula>
    </cfRule>
  </conditionalFormatting>
  <conditionalFormatting sqref="J247">
    <cfRule type="expression" dxfId="187" priority="50">
      <formula>$Q247="error"</formula>
    </cfRule>
    <cfRule type="expression" dxfId="186" priority="54">
      <formula>$O247="error"</formula>
    </cfRule>
  </conditionalFormatting>
  <conditionalFormatting sqref="G246:J246">
    <cfRule type="expression" dxfId="185" priority="52">
      <formula>$P246="error"</formula>
    </cfRule>
  </conditionalFormatting>
  <conditionalFormatting sqref="H249:I249">
    <cfRule type="expression" dxfId="184" priority="49">
      <formula>$P249="error"</formula>
    </cfRule>
  </conditionalFormatting>
  <conditionalFormatting sqref="G256">
    <cfRule type="expression" dxfId="183" priority="45">
      <formula>$P256="error"</formula>
    </cfRule>
    <cfRule type="expression" dxfId="182" priority="47">
      <formula>$N256="error"</formula>
    </cfRule>
  </conditionalFormatting>
  <conditionalFormatting sqref="J256">
    <cfRule type="expression" dxfId="181" priority="44">
      <formula>$Q256="error"</formula>
    </cfRule>
    <cfRule type="expression" dxfId="180" priority="48">
      <formula>$O256="error"</formula>
    </cfRule>
  </conditionalFormatting>
  <conditionalFormatting sqref="G255:J255">
    <cfRule type="expression" dxfId="179" priority="46">
      <formula>$P255="error"</formula>
    </cfRule>
  </conditionalFormatting>
  <conditionalFormatting sqref="H258:I258">
    <cfRule type="expression" dxfId="178" priority="43">
      <formula>$P258="error"</formula>
    </cfRule>
  </conditionalFormatting>
  <conditionalFormatting sqref="G265">
    <cfRule type="expression" dxfId="177" priority="39">
      <formula>$P265="error"</formula>
    </cfRule>
    <cfRule type="expression" dxfId="176" priority="41">
      <formula>$N265="error"</formula>
    </cfRule>
  </conditionalFormatting>
  <conditionalFormatting sqref="J265">
    <cfRule type="expression" dxfId="175" priority="38">
      <formula>$Q265="error"</formula>
    </cfRule>
    <cfRule type="expression" dxfId="174" priority="42">
      <formula>$O265="error"</formula>
    </cfRule>
  </conditionalFormatting>
  <conditionalFormatting sqref="G264:J264">
    <cfRule type="expression" dxfId="173" priority="40">
      <formula>$P264="error"</formula>
    </cfRule>
  </conditionalFormatting>
  <conditionalFormatting sqref="H267:I267">
    <cfRule type="expression" dxfId="172" priority="37">
      <formula>$P267="error"</formula>
    </cfRule>
  </conditionalFormatting>
  <conditionalFormatting sqref="J51">
    <cfRule type="expression" dxfId="171" priority="17">
      <formula>$S51="error"</formula>
    </cfRule>
    <cfRule type="expression" dxfId="170" priority="36">
      <formula>$N51="error"</formula>
    </cfRule>
  </conditionalFormatting>
  <conditionalFormatting sqref="H51">
    <cfRule type="expression" dxfId="169" priority="35">
      <formula>$O51="error"</formula>
    </cfRule>
  </conditionalFormatting>
  <conditionalFormatting sqref="F51">
    <cfRule type="expression" dxfId="168" priority="33">
      <formula>$P51="error"</formula>
    </cfRule>
    <cfRule type="expression" dxfId="167" priority="34">
      <formula>$M51="error"</formula>
    </cfRule>
  </conditionalFormatting>
  <conditionalFormatting sqref="E51">
    <cfRule type="expression" dxfId="166" priority="32">
      <formula>$Q51="error"</formula>
    </cfRule>
  </conditionalFormatting>
  <conditionalFormatting sqref="J52">
    <cfRule type="expression" dxfId="165" priority="16">
      <formula>$S52="error"</formula>
    </cfRule>
    <cfRule type="expression" dxfId="164" priority="19">
      <formula>$R52="error"</formula>
    </cfRule>
    <cfRule type="expression" dxfId="163" priority="27">
      <formula>$N52="error"</formula>
    </cfRule>
  </conditionalFormatting>
  <conditionalFormatting sqref="H52">
    <cfRule type="expression" dxfId="162" priority="20">
      <formula>$R52="error"</formula>
    </cfRule>
    <cfRule type="expression" dxfId="161" priority="26">
      <formula>$O52="error"</formula>
    </cfRule>
  </conditionalFormatting>
  <conditionalFormatting sqref="F52">
    <cfRule type="expression" dxfId="160" priority="21">
      <formula>$R52="error"</formula>
    </cfRule>
    <cfRule type="expression" dxfId="159" priority="24">
      <formula>$P52="error"</formula>
    </cfRule>
    <cfRule type="expression" dxfId="158" priority="25">
      <formula>$M52="error"</formula>
    </cfRule>
  </conditionalFormatting>
  <conditionalFormatting sqref="E52">
    <cfRule type="expression" dxfId="157" priority="22">
      <formula>$R52="error"</formula>
    </cfRule>
    <cfRule type="expression" dxfId="156" priority="23">
      <formula>$Q52="error"</formula>
    </cfRule>
  </conditionalFormatting>
  <conditionalFormatting sqref="E43">
    <cfRule type="expression" dxfId="155" priority="18">
      <formula>$M43="error"</formula>
    </cfRule>
  </conditionalFormatting>
  <conditionalFormatting sqref="J13">
    <cfRule type="expression" dxfId="154" priority="15">
      <formula>$N13="error"</formula>
    </cfRule>
  </conditionalFormatting>
  <conditionalFormatting sqref="J22">
    <cfRule type="expression" dxfId="153" priority="14">
      <formula>$N22="error"</formula>
    </cfRule>
  </conditionalFormatting>
  <conditionalFormatting sqref="J34">
    <cfRule type="expression" dxfId="152" priority="13">
      <formula>$N34="error"</formula>
    </cfRule>
  </conditionalFormatting>
  <conditionalFormatting sqref="J77">
    <cfRule type="expression" dxfId="151" priority="9">
      <formula>$P77="error"</formula>
    </cfRule>
    <cfRule type="expression" dxfId="150" priority="10">
      <formula>$O76="error"</formula>
    </cfRule>
    <cfRule type="expression" dxfId="149" priority="11">
      <formula>$O77="error"</formula>
    </cfRule>
  </conditionalFormatting>
  <conditionalFormatting sqref="J93">
    <cfRule type="expression" dxfId="148" priority="6">
      <formula>$P93="error"</formula>
    </cfRule>
    <cfRule type="expression" dxfId="147" priority="7">
      <formula>$O92="error"</formula>
    </cfRule>
    <cfRule type="expression" dxfId="146" priority="8">
      <formula>$O93="error"</formula>
    </cfRule>
  </conditionalFormatting>
  <conditionalFormatting sqref="J175">
    <cfRule type="expression" dxfId="145" priority="3">
      <formula>$P175="error"</formula>
    </cfRule>
    <cfRule type="expression" dxfId="144" priority="4">
      <formula>$O175="error"</formula>
    </cfRule>
  </conditionalFormatting>
  <conditionalFormatting sqref="J232">
    <cfRule type="expression" dxfId="143" priority="1">
      <formula>$P232="error"</formula>
    </cfRule>
    <cfRule type="expression" dxfId="142" priority="2">
      <formula>$O232="error"</formula>
    </cfRule>
  </conditionalFormatting>
  <dataValidations count="14">
    <dataValidation type="list" allowBlank="1" showInputMessage="1" showErrorMessage="1" sqref="G116" xr:uid="{0FA3D65D-AB26-484B-B7CB-58E060637856}">
      <formula1>"同上,　"</formula1>
    </dataValidation>
    <dataValidation type="whole" allowBlank="1" showInputMessage="1" showErrorMessage="1" sqref="H95 H97" xr:uid="{E56EFD43-BD52-4EB8-9331-B9460E2FB2C4}">
      <formula1>0</formula1>
      <formula2>31</formula2>
    </dataValidation>
    <dataValidation type="list" allowBlank="1" showInputMessage="1" showErrorMessage="1" sqref="G147:J147 G255:J255 G156:J156 G165:J165 G189:J189 G198:J198 G207:J207 G246:J246 G264:J264" xr:uid="{6CD65626-B2D5-463C-9469-693005109B6F}">
      <formula1>"認可外保育施設,一時預かり事業,病児保育事業,子育て援助活動支援事業"</formula1>
    </dataValidation>
    <dataValidation type="whole" operator="greaterThanOrEqual" allowBlank="1" showInputMessage="1" showErrorMessage="1" sqref="H258:I258 H85:I85 H83:I83 H69:I69 H101:I101 H67:I67 H99:I99 H136:I136 H150:I150 H249:I249 H159:I159 H178:I178 H168:I168 H192:I192 H201:I201 H235:I235 H210:I210 H267:I267" xr:uid="{B06ED08D-65FC-4F2D-A469-E14507193622}">
      <formula1>0</formula1>
    </dataValidation>
    <dataValidation type="list" allowBlank="1" showInputMessage="1" showErrorMessage="1" sqref="E43 E121" xr:uid="{A1B5EB4B-369C-4969-A2E8-F802C2ABF32D}">
      <formula1>"1,2,3"</formula1>
    </dataValidation>
    <dataValidation type="whole" allowBlank="1" showInputMessage="1" showErrorMessage="1" sqref="F22 F13 F34 F59 F46:F47 F75 F91 F229 F130 F172 F124:F125 F51:F52" xr:uid="{6FE68778-B53B-44A7-880C-8EE9BEDBEC51}">
      <formula1>1</formula1>
      <formula2>2100</formula2>
    </dataValidation>
    <dataValidation type="whole" allowBlank="1" showInputMessage="1" showErrorMessage="1" sqref="J34 J22 H65 G61 J61 H63 J46:J47 H81 G77 J77 H79 G256 G93 J93 J256 G247 G133 J133 H135 G148 J148 J247 J124:J125 G157 J157 G175 J175 H177 G166 J166 G190 J190 G199 J199 G232 J232 H234 G208 J208 G265 J265 J51:J52" xr:uid="{A0A767ED-FED5-4900-A0AE-99052BEB677D}">
      <formula1>1</formula1>
      <formula2>31</formula2>
    </dataValidation>
    <dataValidation type="whole" allowBlank="1" showInputMessage="1" showErrorMessage="1" sqref="H34 H22 H59 H91 H46:H47 H75 H229 H130 H172 H124:H125 H51:H52" xr:uid="{D3B6393A-F764-4B3F-9629-5EDA6728EE23}">
      <formula1>1</formula1>
      <formula2>12</formula2>
    </dataValidation>
    <dataValidation type="list" allowBlank="1" showInputMessage="1" showErrorMessage="1" sqref="E34" xr:uid="{3BF488E6-3C4D-44C1-967A-8F7DFEECC172}">
      <formula1>"平成,令和,西暦"</formula1>
    </dataValidation>
    <dataValidation type="whole" allowBlank="1" showInputMessage="1" showErrorMessage="1" sqref="F33:I33" xr:uid="{4F7D2688-0452-4312-9A57-31B0A81DC2F7}">
      <formula1>1</formula1>
      <formula2>9999999</formula2>
    </dataValidation>
    <dataValidation type="list" allowBlank="1" showInputMessage="1" showErrorMessage="1" sqref="E22" xr:uid="{F5C6B82A-3E45-4059-869D-28F9D3C2D6C8}">
      <formula1>"明治,大正,昭和,平成,令和,西暦"</formula1>
    </dataValidation>
    <dataValidation type="list" allowBlank="1" showInputMessage="1" showErrorMessage="1" sqref="F20:I20" xr:uid="{0412E6AF-8808-44FB-BF40-2CAB292D29E6}">
      <formula1>"父,母,祖父,祖母,その他"</formula1>
    </dataValidation>
    <dataValidation type="list" allowBlank="1" showInputMessage="1" showErrorMessage="1" sqref="E13 E59 E46:E47 E75 E91 E229 E130 E172 E124:E125 E51:E52" xr:uid="{9787CE96-97D8-45A9-A414-B9951F1AF197}">
      <formula1>"令和,西暦"</formula1>
    </dataValidation>
    <dataValidation type="whole" allowBlank="1" showInputMessage="1" showErrorMessage="1" sqref="H13 J13" xr:uid="{0FEEE554-EEAF-4352-928F-14270E260A5D}">
      <formula1>1</formula1>
      <formula2>50</formula2>
    </dataValidation>
  </dataValidations>
  <pageMargins left="0.70866141732283472" right="0.70866141732283472" top="0.55118110236220474" bottom="0.55118110236220474" header="0.31496062992125984" footer="0.31496062992125984"/>
  <pageSetup paperSize="9" scale="96" fitToHeight="0" orientation="portrait" verticalDpi="0" r:id="rId1"/>
  <rowBreaks count="4" manualBreakCount="4">
    <brk id="55" max="10" man="1"/>
    <brk id="113" max="10" man="1"/>
    <brk id="170" max="10" man="1"/>
    <brk id="228"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915AA76-2BE5-4831-B0D6-84F1B3EFCC1E}">
          <x14:formula1>
            <xm:f>【触らない】リスト!$C$1:$C$11</xm:f>
          </x14:formula1>
          <xm:sqref>F24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61D6-9AE6-4F1C-A500-A6B1F4EF3693}">
  <sheetPr codeName="Sheet2">
    <tabColor rgb="FFC00000"/>
  </sheetPr>
  <dimension ref="A1:S269"/>
  <sheetViews>
    <sheetView showGridLines="0" tabSelected="1" view="pageBreakPreview" zoomScaleNormal="100" zoomScaleSheetLayoutView="100" workbookViewId="0">
      <selection sqref="A1:K1"/>
    </sheetView>
  </sheetViews>
  <sheetFormatPr defaultRowHeight="14.25"/>
  <cols>
    <col min="1" max="2" width="2.625" style="36" customWidth="1"/>
    <col min="3" max="3" width="6" style="36" customWidth="1"/>
    <col min="4" max="4" width="9" style="36" customWidth="1"/>
    <col min="5" max="10" width="9" style="36"/>
    <col min="11" max="11" width="14.5" style="36" customWidth="1"/>
    <col min="12" max="12" width="6.375" style="36" customWidth="1"/>
    <col min="13" max="16" width="9" style="36"/>
    <col min="17" max="17" width="11" style="36" customWidth="1"/>
    <col min="18" max="16384" width="9" style="36"/>
  </cols>
  <sheetData>
    <row r="1" spans="1:14" ht="29.25" thickBot="1">
      <c r="A1" s="85" t="s">
        <v>231</v>
      </c>
      <c r="B1" s="86"/>
      <c r="C1" s="86"/>
      <c r="D1" s="86"/>
      <c r="E1" s="86"/>
      <c r="F1" s="86"/>
      <c r="G1" s="86"/>
      <c r="H1" s="86"/>
      <c r="I1" s="86"/>
      <c r="J1" s="86"/>
      <c r="K1" s="87"/>
      <c r="M1" s="36" t="s">
        <v>182</v>
      </c>
    </row>
    <row r="2" spans="1:14" ht="15" thickBot="1">
      <c r="A2" s="42" t="s">
        <v>206</v>
      </c>
      <c r="K2" s="38" t="s">
        <v>69</v>
      </c>
      <c r="M2" s="36" t="s">
        <v>165</v>
      </c>
    </row>
    <row r="3" spans="1:14" ht="15" thickBot="1">
      <c r="A3" s="42" t="s">
        <v>222</v>
      </c>
      <c r="K3" s="38" t="s">
        <v>244</v>
      </c>
      <c r="M3" s="47">
        <v>2020</v>
      </c>
      <c r="N3" s="36" t="s">
        <v>1</v>
      </c>
    </row>
    <row r="4" spans="1:14" ht="18.75">
      <c r="B4" s="37" t="s">
        <v>232</v>
      </c>
      <c r="K4" s="38"/>
      <c r="L4" s="38" t="s">
        <v>71</v>
      </c>
      <c r="M4" s="36">
        <f>M3-2018</f>
        <v>2</v>
      </c>
      <c r="N4" s="36" t="s">
        <v>1</v>
      </c>
    </row>
    <row r="6" spans="1:14">
      <c r="C6" s="72" t="s">
        <v>171</v>
      </c>
    </row>
    <row r="7" spans="1:14">
      <c r="C7" s="72" t="s">
        <v>172</v>
      </c>
    </row>
    <row r="8" spans="1:14" ht="15" thickBot="1">
      <c r="C8" s="72" t="s">
        <v>173</v>
      </c>
    </row>
    <row r="9" spans="1:14" ht="15" thickBot="1">
      <c r="C9" s="72" t="s">
        <v>223</v>
      </c>
      <c r="M9" s="66" t="str">
        <f>IF(OR(M11="error",M37="error",M114="error"),"error","ok")</f>
        <v>ok</v>
      </c>
    </row>
    <row r="10" spans="1:14">
      <c r="E10" s="44"/>
      <c r="F10" s="42"/>
      <c r="H10" s="42"/>
      <c r="J10" s="42"/>
    </row>
    <row r="11" spans="1:14">
      <c r="B11" s="48" t="s">
        <v>111</v>
      </c>
      <c r="M11" s="64" t="str">
        <f>IF(OR(M13="error",N13="error",M21="error",M22="error",N22="error",M33="error",M34="error",N34="error"),"error","ok")</f>
        <v>ok</v>
      </c>
    </row>
    <row r="12" spans="1:14" ht="15" thickBot="1"/>
    <row r="13" spans="1:14" ht="15" thickBot="1">
      <c r="C13" s="36" t="s">
        <v>88</v>
      </c>
      <c r="E13" s="46"/>
      <c r="F13" s="47"/>
      <c r="G13" s="36" t="s">
        <v>1</v>
      </c>
      <c r="H13" s="47"/>
      <c r="I13" s="36" t="s">
        <v>9</v>
      </c>
      <c r="J13" s="47"/>
      <c r="K13" s="36" t="s">
        <v>0</v>
      </c>
      <c r="M13" s="36" t="str">
        <f>IF(E13="西暦",IF(F13&lt;2019,"error",IF(F13&gt;$M$3,"error","ok")),IF(E13="令和",IF(F13&gt;$M$4,"error","ok"),"none"))</f>
        <v>none</v>
      </c>
      <c r="N13" s="36" t="str">
        <f>IF(J13="","none",IF(【触らない】申請日付チェック!L4="error","error","ok"))</f>
        <v>none</v>
      </c>
    </row>
    <row r="14" spans="1:14">
      <c r="E14" s="44" t="s">
        <v>89</v>
      </c>
      <c r="F14" s="42" t="s">
        <v>72</v>
      </c>
      <c r="H14" s="42" t="s">
        <v>72</v>
      </c>
      <c r="J14" s="42" t="s">
        <v>72</v>
      </c>
    </row>
    <row r="15" spans="1:14">
      <c r="D15" s="42" t="s">
        <v>201</v>
      </c>
      <c r="G15" s="42"/>
      <c r="I15" s="42"/>
    </row>
    <row r="16" spans="1:14">
      <c r="D16" s="42" t="s">
        <v>237</v>
      </c>
      <c r="G16" s="42"/>
      <c r="I16" s="42"/>
    </row>
    <row r="17" spans="2:14" ht="15" thickBot="1">
      <c r="B17" s="36" t="s">
        <v>233</v>
      </c>
      <c r="D17" s="43"/>
      <c r="E17" s="42"/>
      <c r="G17" s="42"/>
      <c r="I17" s="42"/>
    </row>
    <row r="18" spans="2:14" ht="15" thickBot="1">
      <c r="C18" s="36" t="s">
        <v>90</v>
      </c>
      <c r="D18" s="43"/>
      <c r="E18" s="42"/>
      <c r="F18" s="75"/>
      <c r="G18" s="76"/>
      <c r="H18" s="76"/>
      <c r="I18" s="77"/>
    </row>
    <row r="19" spans="2:14" ht="15" thickBot="1">
      <c r="C19" s="36" t="s">
        <v>91</v>
      </c>
      <c r="F19" s="75"/>
      <c r="G19" s="76"/>
      <c r="H19" s="76"/>
      <c r="I19" s="77"/>
    </row>
    <row r="20" spans="2:14" ht="15" thickBot="1">
      <c r="C20" s="36" t="s">
        <v>92</v>
      </c>
      <c r="F20" s="75"/>
      <c r="G20" s="76"/>
      <c r="H20" s="76"/>
      <c r="I20" s="77"/>
      <c r="J20" s="44" t="s">
        <v>93</v>
      </c>
    </row>
    <row r="21" spans="2:14" ht="15" thickBot="1">
      <c r="E21" s="38" t="s">
        <v>94</v>
      </c>
      <c r="F21" s="75"/>
      <c r="G21" s="76"/>
      <c r="H21" s="76"/>
      <c r="I21" s="77"/>
      <c r="J21" s="44" t="s">
        <v>166</v>
      </c>
      <c r="M21" s="36" t="str">
        <f>IF(F20="その他",IF(F21="","error","ok"),"ok")</f>
        <v>ok</v>
      </c>
    </row>
    <row r="22" spans="2:14" ht="15" thickBot="1">
      <c r="C22" s="36" t="s">
        <v>95</v>
      </c>
      <c r="E22" s="46"/>
      <c r="F22" s="47"/>
      <c r="G22" s="36" t="s">
        <v>1</v>
      </c>
      <c r="H22" s="47"/>
      <c r="I22" s="36" t="s">
        <v>9</v>
      </c>
      <c r="J22" s="47"/>
      <c r="K22" s="36" t="s">
        <v>0</v>
      </c>
      <c r="M22" s="36" t="str">
        <f>IF(E22="西暦",IF(F22&lt;1900,"error",IF(F22&gt;$M$3,"error","ok")),IF(E22="令和",IF(F22&gt;$M$4,"error","ok"),IF(E22="明治",IF(F22&gt;45,"error","ok"),IF(E22="大正",IF(F22&gt;15,"error","ok"),IF(E22="昭和",IF(F22&gt;64,"error","ok"),IF(E22="平成",IF(F22&gt;31,"error","ok"),"none"))))))</f>
        <v>none</v>
      </c>
      <c r="N22" s="36" t="str">
        <f>IF(J22="","none",IF(【触らない】申請日付チェック!L5="error","error","ok"))</f>
        <v>none</v>
      </c>
    </row>
    <row r="23" spans="2:14" ht="15" thickBot="1">
      <c r="E23" s="44" t="s">
        <v>89</v>
      </c>
      <c r="F23" s="42" t="s">
        <v>72</v>
      </c>
      <c r="H23" s="42" t="s">
        <v>72</v>
      </c>
      <c r="J23" s="42" t="s">
        <v>72</v>
      </c>
    </row>
    <row r="24" spans="2:14" ht="15" thickBot="1">
      <c r="C24" s="36" t="s">
        <v>96</v>
      </c>
      <c r="E24" s="38" t="s">
        <v>73</v>
      </c>
      <c r="F24" s="50"/>
    </row>
    <row r="25" spans="2:14" ht="15" thickBot="1">
      <c r="F25" s="42" t="s">
        <v>97</v>
      </c>
      <c r="H25" s="51"/>
      <c r="I25" s="51"/>
      <c r="J25" s="51"/>
      <c r="K25" s="51"/>
    </row>
    <row r="26" spans="2:14" ht="15" thickBot="1">
      <c r="D26" s="78"/>
      <c r="E26" s="79"/>
      <c r="F26" s="79"/>
      <c r="G26" s="79"/>
      <c r="H26" s="79"/>
      <c r="I26" s="79"/>
      <c r="J26" s="79"/>
      <c r="K26" s="80"/>
    </row>
    <row r="27" spans="2:14" ht="15" thickBot="1">
      <c r="D27" s="42" t="s">
        <v>168</v>
      </c>
    </row>
    <row r="28" spans="2:14" ht="15" thickBot="1">
      <c r="C28" s="36" t="s">
        <v>98</v>
      </c>
      <c r="E28" s="75"/>
      <c r="F28" s="76"/>
      <c r="G28" s="76"/>
      <c r="H28" s="76"/>
      <c r="I28" s="77"/>
    </row>
    <row r="30" spans="2:14" ht="15" thickBot="1">
      <c r="B30" s="36" t="s">
        <v>234</v>
      </c>
      <c r="D30" s="43"/>
      <c r="E30" s="42"/>
      <c r="G30" s="42"/>
      <c r="I30" s="42"/>
    </row>
    <row r="31" spans="2:14" ht="15" thickBot="1">
      <c r="C31" s="36" t="s">
        <v>90</v>
      </c>
      <c r="D31" s="43"/>
      <c r="E31" s="42"/>
      <c r="F31" s="75"/>
      <c r="G31" s="76"/>
      <c r="H31" s="76"/>
      <c r="I31" s="77"/>
    </row>
    <row r="32" spans="2:14" ht="15" thickBot="1">
      <c r="C32" s="36" t="s">
        <v>91</v>
      </c>
      <c r="F32" s="75"/>
      <c r="G32" s="76"/>
      <c r="H32" s="76"/>
      <c r="I32" s="77"/>
    </row>
    <row r="33" spans="2:18" ht="15" thickBot="1">
      <c r="C33" s="36" t="s">
        <v>99</v>
      </c>
      <c r="F33" s="75"/>
      <c r="G33" s="76"/>
      <c r="H33" s="76"/>
      <c r="I33" s="77"/>
      <c r="M33" s="36" t="str">
        <f>IF(F33="","none",IF(LEN(F33)=7,"ok","error"))</f>
        <v>none</v>
      </c>
    </row>
    <row r="34" spans="2:18" ht="15" thickBot="1">
      <c r="C34" s="36" t="s">
        <v>95</v>
      </c>
      <c r="E34" s="46"/>
      <c r="F34" s="47"/>
      <c r="G34" s="36" t="s">
        <v>1</v>
      </c>
      <c r="H34" s="47"/>
      <c r="I34" s="36" t="s">
        <v>9</v>
      </c>
      <c r="J34" s="47"/>
      <c r="K34" s="36" t="s">
        <v>0</v>
      </c>
      <c r="M34" s="36" t="str">
        <f>IF(E34="西暦",IF(F34&lt;1900,"error",IF(F34&gt;$M$3,"error","ok")),IF(E34="令和",IF(F34&gt;$M$4,"error","ok"),IF(E34="平成",IF(F34&gt;31,"error","ok"),"none")))</f>
        <v>none</v>
      </c>
      <c r="N34" s="36" t="str">
        <f>IF(J34="","none",IF(【触らない】申請日付チェック!L6="error","error","ok"))</f>
        <v>none</v>
      </c>
    </row>
    <row r="35" spans="2:18">
      <c r="E35" s="44" t="s">
        <v>89</v>
      </c>
      <c r="F35" s="42" t="s">
        <v>72</v>
      </c>
      <c r="H35" s="42" t="s">
        <v>72</v>
      </c>
      <c r="J35" s="42" t="s">
        <v>72</v>
      </c>
    </row>
    <row r="37" spans="2:18">
      <c r="B37" s="48" t="s">
        <v>112</v>
      </c>
      <c r="M37" s="64" t="str">
        <f>IF(OR(M43="error",M45="error",M50="error",M58="error",M74="error",M90="error"),"error","ok")</f>
        <v>ok</v>
      </c>
    </row>
    <row r="38" spans="2:18" ht="15" thickBot="1"/>
    <row r="39" spans="2:18" ht="15" thickBot="1">
      <c r="C39" s="36" t="s">
        <v>100</v>
      </c>
      <c r="E39" s="75"/>
      <c r="F39" s="76"/>
      <c r="G39" s="76"/>
      <c r="H39" s="77"/>
    </row>
    <row r="40" spans="2:18" ht="15" thickBot="1">
      <c r="C40" s="36" t="s">
        <v>101</v>
      </c>
      <c r="K40" s="42" t="s">
        <v>169</v>
      </c>
    </row>
    <row r="41" spans="2:18" ht="15" thickBot="1">
      <c r="D41" s="78"/>
      <c r="E41" s="79"/>
      <c r="F41" s="79"/>
      <c r="G41" s="79"/>
      <c r="H41" s="79"/>
      <c r="I41" s="79"/>
      <c r="J41" s="79"/>
      <c r="K41" s="80"/>
    </row>
    <row r="42" spans="2:18" ht="15" thickBot="1">
      <c r="C42" s="36" t="s">
        <v>107</v>
      </c>
      <c r="D42" s="56"/>
      <c r="E42" s="56"/>
      <c r="F42" s="56"/>
      <c r="G42" s="56"/>
      <c r="H42" s="56"/>
      <c r="I42" s="56"/>
      <c r="J42" s="56"/>
    </row>
    <row r="43" spans="2:18" ht="15" thickBot="1">
      <c r="D43" s="57" t="s">
        <v>108</v>
      </c>
      <c r="E43" s="50"/>
      <c r="F43" s="55" t="s">
        <v>109</v>
      </c>
      <c r="G43" s="54" t="s">
        <v>203</v>
      </c>
      <c r="H43" s="55"/>
      <c r="I43" s="55"/>
      <c r="J43" s="55"/>
      <c r="M43" s="36" t="str">
        <f>IF(OR(E51&lt;&gt;"",F51&lt;&gt;"",H51&lt;&gt;"",J51&lt;&gt;"",E52&lt;&gt;"",F52&lt;&gt;"",H52&lt;&gt;"",J52&lt;&gt;""),IF(E43=1,"error","ok"),"ok")</f>
        <v>ok</v>
      </c>
    </row>
    <row r="44" spans="2:18">
      <c r="D44" s="57"/>
      <c r="E44" s="53" t="s">
        <v>89</v>
      </c>
      <c r="F44" s="55"/>
      <c r="G44" s="54" t="s">
        <v>204</v>
      </c>
      <c r="H44" s="55"/>
      <c r="I44" s="55"/>
      <c r="J44" s="55"/>
    </row>
    <row r="45" spans="2:18" ht="15" thickBot="1">
      <c r="C45" s="36" t="s">
        <v>127</v>
      </c>
      <c r="D45" s="51"/>
      <c r="E45" s="52"/>
      <c r="F45" s="52"/>
      <c r="G45" s="51"/>
      <c r="H45" s="52"/>
      <c r="I45" s="51"/>
      <c r="J45" s="52"/>
      <c r="K45" s="51"/>
      <c r="M45" s="65" t="str">
        <f>IF(OR(M46="error",N46="error",O46="error",P46="error",Q46="error",M47="error",N47="error",O47="error",P47="error",Q47="error",R47="error"),"error","ok")</f>
        <v>ok</v>
      </c>
    </row>
    <row r="46" spans="2:18" ht="15" thickBot="1">
      <c r="E46" s="46"/>
      <c r="F46" s="47"/>
      <c r="G46" s="36" t="s">
        <v>1</v>
      </c>
      <c r="H46" s="47"/>
      <c r="I46" s="36" t="s">
        <v>9</v>
      </c>
      <c r="J46" s="47"/>
      <c r="K46" s="36" t="s">
        <v>0</v>
      </c>
      <c r="M46" s="36" t="str">
        <f>IF(E46="西暦",IF(F46&lt;1900,"error",IF(F46&gt;$M$3,"error","ok")),IF(E46="令和",IF(F46&gt;$M$4,"error","ok"),"none"))</f>
        <v>none</v>
      </c>
      <c r="N46" s="36" t="str">
        <f>IF($E$43="","ok",IF(J46="","error",IF(【触らない】申請日付チェック!L9="error","error","ok")))</f>
        <v>ok</v>
      </c>
      <c r="O46" s="36" t="str">
        <f>IF($E$43="","ok",IF(H46="","error","ok"))</f>
        <v>ok</v>
      </c>
      <c r="P46" s="36" t="str">
        <f>IF($E$43="","ok",IF(F46="","error","ok"))</f>
        <v>ok</v>
      </c>
      <c r="Q46" s="36" t="str">
        <f>IF(F46="","ok",IF(E46="","error","ok"))</f>
        <v>ok</v>
      </c>
    </row>
    <row r="47" spans="2:18" ht="15" thickBot="1">
      <c r="D47" s="38" t="s">
        <v>114</v>
      </c>
      <c r="E47" s="46"/>
      <c r="F47" s="47"/>
      <c r="G47" s="36" t="s">
        <v>1</v>
      </c>
      <c r="H47" s="47"/>
      <c r="I47" s="36" t="s">
        <v>9</v>
      </c>
      <c r="J47" s="47"/>
      <c r="K47" s="36" t="s">
        <v>0</v>
      </c>
      <c r="M47" s="36" t="str">
        <f>IF(E47="西暦",IF(F47&lt;1900,"error",IF(F47&gt;$M$3+3,"error","ok")),IF(E47="令和",IF(F47&gt;$M$4+3,"error","ok"),"none"))</f>
        <v>none</v>
      </c>
      <c r="N47" s="36" t="str">
        <f>IF($E$43="","ok",IF(J47="","error",IF(【触らない】申請日付チェック!L10="error","error","ok")))</f>
        <v>ok</v>
      </c>
      <c r="O47" s="36" t="str">
        <f>IF($E$43="","ok",IF(H47="","error","ok"))</f>
        <v>ok</v>
      </c>
      <c r="P47" s="36" t="str">
        <f>IF($E$43="","ok",IF(F47="","error","ok"))</f>
        <v>ok</v>
      </c>
      <c r="Q47" s="36" t="str">
        <f>IF(F47="","ok",IF(E47="","error","ok"))</f>
        <v>ok</v>
      </c>
      <c r="R47" s="36" t="str">
        <f>IFERROR(IF(【触らない】申請日付チェック!J10-【触らない】申請日付チェック!J9&gt;=0,"ok","error"),"ok")</f>
        <v>ok</v>
      </c>
    </row>
    <row r="48" spans="2:18">
      <c r="E48" s="53" t="s">
        <v>89</v>
      </c>
      <c r="F48" s="54" t="s">
        <v>72</v>
      </c>
      <c r="G48" s="55"/>
      <c r="H48" s="54" t="s">
        <v>72</v>
      </c>
      <c r="I48" s="55"/>
      <c r="J48" s="54" t="s">
        <v>72</v>
      </c>
    </row>
    <row r="49" spans="3:19">
      <c r="D49" s="42" t="s">
        <v>226</v>
      </c>
      <c r="E49" s="44"/>
      <c r="F49" s="42"/>
      <c r="H49" s="42"/>
      <c r="J49" s="42"/>
    </row>
    <row r="50" spans="3:19" ht="15" thickBot="1">
      <c r="C50" s="36" t="s">
        <v>205</v>
      </c>
      <c r="D50" s="51"/>
      <c r="E50" s="52"/>
      <c r="F50" s="52"/>
      <c r="G50" s="51"/>
      <c r="H50" s="52"/>
      <c r="I50" s="51"/>
      <c r="J50" s="52"/>
      <c r="K50" s="51"/>
      <c r="M50" s="65" t="str">
        <f>IF(OR(M51="error",N51="error",O51="error",P51="error",Q51="error",M52="error",N52="error",O52="error",P52="error",Q52="error",R52="error",S51="error",S52="error"),"error","ok")</f>
        <v>ok</v>
      </c>
    </row>
    <row r="51" spans="3:19" ht="15" thickBot="1">
      <c r="E51" s="46"/>
      <c r="F51" s="47"/>
      <c r="G51" s="36" t="s">
        <v>1</v>
      </c>
      <c r="H51" s="47"/>
      <c r="I51" s="36" t="s">
        <v>9</v>
      </c>
      <c r="J51" s="47"/>
      <c r="K51" s="36" t="s">
        <v>0</v>
      </c>
      <c r="M51" s="36" t="str">
        <f>IF(E51="西暦",IF(F51&lt;1900,"error",IF(F51&gt;$M$3,"error","ok")),IF(E51="令和",IF(F51&gt;$M$4,"error","ok"),"none"))</f>
        <v>none</v>
      </c>
      <c r="N51" s="36" t="str">
        <f>IF(AND(F51="",H51=""),"ok",IF(J51="","error",IF(【触らない】申請日付チェック!L11="error","error","ok")))</f>
        <v>ok</v>
      </c>
      <c r="O51" s="36" t="str">
        <f>IF(AND(F51="",J51=""),"ok",IF(H51="","error","ok"))</f>
        <v>ok</v>
      </c>
      <c r="P51" s="36" t="str">
        <f>IF(AND(E51="",H51="",J51=""),"ok",IF(F51="","error","ok"))</f>
        <v>ok</v>
      </c>
      <c r="Q51" s="36" t="str">
        <f>IF(F51="","ok",IF(E51="","error","ok"))</f>
        <v>ok</v>
      </c>
      <c r="S51" s="36" t="str">
        <f>【触らない】申請日付チェック!O11</f>
        <v>ok</v>
      </c>
    </row>
    <row r="52" spans="3:19" ht="15" thickBot="1">
      <c r="D52" s="38" t="s">
        <v>114</v>
      </c>
      <c r="E52" s="46"/>
      <c r="F52" s="47"/>
      <c r="G52" s="36" t="s">
        <v>1</v>
      </c>
      <c r="H52" s="47"/>
      <c r="I52" s="36" t="s">
        <v>9</v>
      </c>
      <c r="J52" s="47"/>
      <c r="K52" s="36" t="s">
        <v>0</v>
      </c>
      <c r="M52" s="36" t="str">
        <f>IF(E52="西暦",IF(F52&lt;1900,"error",IF(F52&gt;$M$3+3,"error","ok")),IF(E52="令和",IF(F52&gt;$M$4+3,"error","ok"),"none"))</f>
        <v>none</v>
      </c>
      <c r="N52" s="36" t="str">
        <f>IF(J51="",IF(J52="","ok","error"),IF(J52="","error",IF(【触らない】申請日付チェック!L12="error","error","ok")))</f>
        <v>ok</v>
      </c>
      <c r="O52" s="36" t="str">
        <f>IF(H51="",IF(H52="","ok","error"),IF(H52="","error","ok"))</f>
        <v>ok</v>
      </c>
      <c r="P52" s="36" t="str">
        <f>IF(F51="",IF(F52="","ok","error"),IF(F52="","error","ok"))</f>
        <v>ok</v>
      </c>
      <c r="Q52" s="36" t="str">
        <f>IF(E51="",IF(E52="","ok","error"),IF(E52="","error","ok"))</f>
        <v>ok</v>
      </c>
      <c r="R52" s="36" t="str">
        <f>IFERROR(IF(【触らない】申請日付チェック!J12-【触らない】申請日付チェック!J11&gt;=0,"ok","error"),"ok")</f>
        <v>ok</v>
      </c>
      <c r="S52" s="36" t="str">
        <f>【触らない】申請日付チェック!O12</f>
        <v>ok</v>
      </c>
    </row>
    <row r="53" spans="3:19">
      <c r="E53" s="53" t="s">
        <v>89</v>
      </c>
      <c r="F53" s="54" t="s">
        <v>72</v>
      </c>
      <c r="G53" s="55"/>
      <c r="H53" s="54" t="s">
        <v>72</v>
      </c>
      <c r="I53" s="55"/>
      <c r="J53" s="54" t="s">
        <v>72</v>
      </c>
    </row>
    <row r="54" spans="3:19">
      <c r="E54" s="53"/>
      <c r="F54" s="54"/>
      <c r="G54" s="55"/>
      <c r="H54" s="54"/>
      <c r="I54" s="55"/>
      <c r="J54" s="54"/>
    </row>
    <row r="55" spans="3:19">
      <c r="E55" s="53"/>
      <c r="F55" s="54"/>
      <c r="G55" s="55"/>
      <c r="H55" s="54"/>
      <c r="I55" s="55"/>
      <c r="J55" s="54"/>
    </row>
    <row r="56" spans="3:19">
      <c r="D56" s="72" t="s">
        <v>235</v>
      </c>
      <c r="E56" s="53"/>
      <c r="F56" s="54"/>
      <c r="G56" s="55"/>
      <c r="H56" s="54"/>
      <c r="I56" s="55"/>
      <c r="J56" s="54"/>
    </row>
    <row r="57" spans="3:19">
      <c r="C57" s="36" t="s">
        <v>106</v>
      </c>
    </row>
    <row r="58" spans="3:19" ht="15" thickBot="1">
      <c r="C58" s="72"/>
      <c r="D58" s="72" t="s">
        <v>238</v>
      </c>
      <c r="M58" s="65" t="str">
        <f>IF(OR(M59="error",N59="error",N60="error",O60="error",N61="error",P61="error",O61="error",M63="error",M65="error"),"error","ok")</f>
        <v>ok</v>
      </c>
    </row>
    <row r="59" spans="3:19" ht="15" thickBot="1">
      <c r="D59" s="74" t="s">
        <v>198</v>
      </c>
      <c r="E59" s="46"/>
      <c r="F59" s="47"/>
      <c r="G59" s="36" t="s">
        <v>1</v>
      </c>
      <c r="H59" s="47"/>
      <c r="I59" s="36" t="s">
        <v>105</v>
      </c>
      <c r="M59" s="36" t="str">
        <f>IF(E59="西暦",IF(F59&lt;1900,"error",IF(F59&gt;$M$3,"error","ok")),IF(E59="令和",IF(F59&gt;$M$4,"error","ok"),"none"))</f>
        <v>none</v>
      </c>
      <c r="N59" s="36" t="str">
        <f>IF(AND($E$43="",H59&lt;&gt;""),"error","ok")</f>
        <v>ok</v>
      </c>
    </row>
    <row r="60" spans="3:19" ht="15" thickBot="1">
      <c r="E60" s="44" t="s">
        <v>89</v>
      </c>
      <c r="F60" s="42" t="s">
        <v>72</v>
      </c>
      <c r="H60" s="42" t="s">
        <v>72</v>
      </c>
      <c r="M60" s="36" t="s">
        <v>133</v>
      </c>
      <c r="N60" s="36" t="str">
        <f>【触らない】申請日付チェック!I23</f>
        <v>none</v>
      </c>
      <c r="O60" s="36" t="str">
        <f>【触らない】申請日付チェック!K23</f>
        <v>none</v>
      </c>
    </row>
    <row r="61" spans="3:19" ht="15" thickBot="1">
      <c r="E61" s="36" t="s">
        <v>113</v>
      </c>
      <c r="G61" s="47"/>
      <c r="H61" s="36" t="s">
        <v>0</v>
      </c>
      <c r="I61" s="36" t="s">
        <v>114</v>
      </c>
      <c r="J61" s="47"/>
      <c r="K61" s="36" t="s">
        <v>0</v>
      </c>
      <c r="M61" s="36" t="s">
        <v>134</v>
      </c>
      <c r="N61" s="36" t="str">
        <f>IFERROR(【触らない】申請日付チェック!E25,"none")</f>
        <v>none</v>
      </c>
      <c r="O61" s="36" t="str">
        <f>IFERROR(【触らない】申請日付チェック!G25,"none")</f>
        <v>none</v>
      </c>
      <c r="P61" s="36" t="str">
        <f>IF(J61="","ok",IF(OR(【触らない】申請日付チェック!L22="error",J61-G61&lt;0),"error","ok"))</f>
        <v>ok</v>
      </c>
    </row>
    <row r="62" spans="3:19" ht="15" thickBot="1">
      <c r="G62" s="54" t="s">
        <v>72</v>
      </c>
      <c r="J62" s="54" t="s">
        <v>72</v>
      </c>
    </row>
    <row r="63" spans="3:19" ht="15" thickBot="1">
      <c r="E63" s="36" t="s">
        <v>115</v>
      </c>
      <c r="H63" s="47"/>
      <c r="I63" s="36" t="s">
        <v>0</v>
      </c>
      <c r="M63" s="36" t="str">
        <f>IF(H63&gt;H65,"error",IF(H63&gt;(J61-G61+1),"error","ok"))</f>
        <v>ok</v>
      </c>
    </row>
    <row r="64" spans="3:19" ht="15" thickBot="1">
      <c r="H64" s="54" t="s">
        <v>72</v>
      </c>
    </row>
    <row r="65" spans="4:16" ht="15" thickBot="1">
      <c r="E65" s="36" t="s">
        <v>116</v>
      </c>
      <c r="H65" s="47"/>
      <c r="I65" s="36" t="s">
        <v>0</v>
      </c>
    </row>
    <row r="66" spans="4:16" ht="15" thickBot="1">
      <c r="H66" s="54" t="s">
        <v>72</v>
      </c>
    </row>
    <row r="67" spans="4:16" ht="15" thickBot="1">
      <c r="E67" s="36" t="s">
        <v>117</v>
      </c>
      <c r="H67" s="81"/>
      <c r="I67" s="82"/>
      <c r="J67" s="36" t="s">
        <v>18</v>
      </c>
    </row>
    <row r="68" spans="4:16" ht="15" thickBot="1">
      <c r="H68" s="54" t="s">
        <v>72</v>
      </c>
    </row>
    <row r="69" spans="4:16" ht="15" thickBot="1">
      <c r="E69" s="36" t="s">
        <v>118</v>
      </c>
      <c r="H69" s="81"/>
      <c r="I69" s="82"/>
      <c r="J69" s="36" t="s">
        <v>18</v>
      </c>
    </row>
    <row r="70" spans="4:16">
      <c r="H70" s="54" t="s">
        <v>72</v>
      </c>
    </row>
    <row r="71" spans="4:16">
      <c r="E71" s="36" t="s">
        <v>119</v>
      </c>
      <c r="H71" s="83">
        <f>SUM(H67,H69)</f>
        <v>0</v>
      </c>
      <c r="I71" s="83"/>
      <c r="J71" s="36" t="s">
        <v>18</v>
      </c>
    </row>
    <row r="72" spans="4:16">
      <c r="E72" s="36" t="s">
        <v>120</v>
      </c>
      <c r="H72" s="83">
        <f>IF(H71=0,0,IF(H71&lt;=ROUNDDOWN(25700*H63/H65,-1),ROUNDDOWN(H71,-1),ROUNDDOWN(25700*H63/H65,-1)))</f>
        <v>0</v>
      </c>
      <c r="I72" s="83"/>
      <c r="J72" s="36" t="s">
        <v>18</v>
      </c>
    </row>
    <row r="73" spans="4:16">
      <c r="E73" s="45" t="s">
        <v>121</v>
      </c>
    </row>
    <row r="74" spans="4:16" ht="15" thickBot="1">
      <c r="M74" s="65" t="str">
        <f>IF(OR(M75="error",N75="error",O75="error",N76="error",O76="error",N77="error",P77="error",O77="error",M79="error",M81="error"),"error","ok")</f>
        <v>ok</v>
      </c>
    </row>
    <row r="75" spans="4:16" ht="15" thickBot="1">
      <c r="D75" s="74" t="s">
        <v>199</v>
      </c>
      <c r="E75" s="46"/>
      <c r="F75" s="47"/>
      <c r="G75" s="36" t="s">
        <v>1</v>
      </c>
      <c r="H75" s="47"/>
      <c r="I75" s="36" t="s">
        <v>105</v>
      </c>
      <c r="M75" s="36" t="str">
        <f>IF(E75="西暦",IF(F75&lt;2019,"error",IF(F75&gt;$M$3,"error","ok")),IF(E75="令和",IF(F75&gt;$M$4,"error","ok"),"none"))</f>
        <v>none</v>
      </c>
      <c r="N75" s="36" t="str">
        <f>IF(H75="","ok",IF(OR(H75=H59,H75=H91),"error","ok"))</f>
        <v>ok</v>
      </c>
      <c r="O75" s="36" t="str">
        <f>IF(AND($E$43="",H75&lt;&gt;""),"error","ok")</f>
        <v>ok</v>
      </c>
    </row>
    <row r="76" spans="4:16" ht="15" thickBot="1">
      <c r="E76" s="44" t="s">
        <v>89</v>
      </c>
      <c r="F76" s="42" t="s">
        <v>72</v>
      </c>
      <c r="H76" s="42" t="s">
        <v>72</v>
      </c>
      <c r="M76" s="36" t="s">
        <v>133</v>
      </c>
      <c r="N76" s="36" t="str">
        <f>【触らない】申請日付チェック!I29</f>
        <v>none</v>
      </c>
      <c r="O76" s="36" t="str">
        <f>【触らない】申請日付チェック!K29</f>
        <v>none</v>
      </c>
    </row>
    <row r="77" spans="4:16" ht="15" thickBot="1">
      <c r="E77" s="36" t="s">
        <v>113</v>
      </c>
      <c r="G77" s="47"/>
      <c r="H77" s="36" t="s">
        <v>0</v>
      </c>
      <c r="I77" s="36" t="s">
        <v>114</v>
      </c>
      <c r="J77" s="47"/>
      <c r="K77" s="36" t="s">
        <v>0</v>
      </c>
      <c r="M77" s="36" t="s">
        <v>134</v>
      </c>
      <c r="N77" s="36" t="str">
        <f>【触らない】申請日付チェック!E31</f>
        <v>none</v>
      </c>
      <c r="O77" s="36" t="str">
        <f>【触らない】申請日付チェック!G31</f>
        <v>none</v>
      </c>
      <c r="P77" s="36" t="str">
        <f>IF(J77="","ok",IF(OR(【触らない】申請日付チェック!L28="error",J77-G77&lt;0),"error","ok"))</f>
        <v>ok</v>
      </c>
    </row>
    <row r="78" spans="4:16" ht="15" thickBot="1">
      <c r="G78" s="54" t="s">
        <v>72</v>
      </c>
      <c r="J78" s="54" t="s">
        <v>72</v>
      </c>
    </row>
    <row r="79" spans="4:16" ht="15" thickBot="1">
      <c r="E79" s="36" t="s">
        <v>115</v>
      </c>
      <c r="H79" s="47"/>
      <c r="I79" s="36" t="s">
        <v>0</v>
      </c>
      <c r="M79" s="36" t="str">
        <f>IF(H79&gt;H81,"error",IF(H79&gt;(J77-G77+1),"error","ok"))</f>
        <v>ok</v>
      </c>
    </row>
    <row r="80" spans="4:16" ht="15" thickBot="1">
      <c r="H80" s="54" t="s">
        <v>72</v>
      </c>
    </row>
    <row r="81" spans="4:16" ht="15" thickBot="1">
      <c r="E81" s="36" t="s">
        <v>116</v>
      </c>
      <c r="H81" s="47"/>
      <c r="I81" s="36" t="s">
        <v>0</v>
      </c>
    </row>
    <row r="82" spans="4:16" ht="15" thickBot="1">
      <c r="H82" s="54" t="s">
        <v>72</v>
      </c>
    </row>
    <row r="83" spans="4:16" ht="15" thickBot="1">
      <c r="E83" s="36" t="s">
        <v>117</v>
      </c>
      <c r="H83" s="81"/>
      <c r="I83" s="82"/>
      <c r="J83" s="36" t="s">
        <v>18</v>
      </c>
    </row>
    <row r="84" spans="4:16" ht="15" thickBot="1">
      <c r="H84" s="54" t="s">
        <v>72</v>
      </c>
    </row>
    <row r="85" spans="4:16" ht="15" thickBot="1">
      <c r="E85" s="36" t="s">
        <v>118</v>
      </c>
      <c r="H85" s="81"/>
      <c r="I85" s="82"/>
      <c r="J85" s="36" t="s">
        <v>18</v>
      </c>
    </row>
    <row r="86" spans="4:16">
      <c r="H86" s="54" t="s">
        <v>72</v>
      </c>
    </row>
    <row r="87" spans="4:16">
      <c r="E87" s="36" t="s">
        <v>119</v>
      </c>
      <c r="H87" s="83">
        <f>SUM(H83,H85)</f>
        <v>0</v>
      </c>
      <c r="I87" s="83"/>
      <c r="J87" s="36" t="s">
        <v>18</v>
      </c>
    </row>
    <row r="88" spans="4:16">
      <c r="E88" s="36" t="s">
        <v>120</v>
      </c>
      <c r="H88" s="83">
        <f>IF(H87=0,0,IF(H87&lt;=ROUNDDOWN(25700*H79/H81,-1),ROUNDDOWN(H87,-1),ROUNDDOWN(25700*H79/H81,-1)))</f>
        <v>0</v>
      </c>
      <c r="I88" s="83"/>
      <c r="J88" s="36" t="s">
        <v>18</v>
      </c>
    </row>
    <row r="89" spans="4:16">
      <c r="E89" s="45" t="s">
        <v>121</v>
      </c>
    </row>
    <row r="90" spans="4:16" ht="15" thickBot="1">
      <c r="M90" s="65" t="str">
        <f>IF(OR(M91="error",N91="error",O91="error",N92="error",O92="error",N93="error",P93="error",O93="error",M95="error",M97="error"),"error","ok")</f>
        <v>ok</v>
      </c>
    </row>
    <row r="91" spans="4:16" ht="15" thickBot="1">
      <c r="D91" s="74" t="s">
        <v>200</v>
      </c>
      <c r="E91" s="46"/>
      <c r="F91" s="47"/>
      <c r="G91" s="36" t="s">
        <v>1</v>
      </c>
      <c r="H91" s="47"/>
      <c r="I91" s="36" t="s">
        <v>105</v>
      </c>
      <c r="M91" s="36" t="str">
        <f>IF(E91="西暦",IF(F91&lt;2019,"error",IF(F91&gt;$M$3,"error","ok")),IF(E91="令和",IF(F91&gt;$M$4,"error","ok"),"none"))</f>
        <v>none</v>
      </c>
      <c r="N91" s="36" t="str">
        <f>IF(H91="","ok",IF(OR(H91=H75,H91=H59),"error","ok"))</f>
        <v>ok</v>
      </c>
      <c r="O91" s="36" t="str">
        <f>IF(AND($E$43="",H91&lt;&gt;""),"error","ok")</f>
        <v>ok</v>
      </c>
    </row>
    <row r="92" spans="4:16" ht="15" thickBot="1">
      <c r="E92" s="44" t="s">
        <v>89</v>
      </c>
      <c r="F92" s="42" t="s">
        <v>72</v>
      </c>
      <c r="H92" s="42" t="s">
        <v>72</v>
      </c>
      <c r="M92" s="36" t="s">
        <v>133</v>
      </c>
      <c r="N92" s="36" t="str">
        <f>【触らない】申請日付チェック!I35</f>
        <v>none</v>
      </c>
      <c r="O92" s="36" t="str">
        <f>【触らない】申請日付チェック!K35</f>
        <v>none</v>
      </c>
    </row>
    <row r="93" spans="4:16" ht="15" thickBot="1">
      <c r="E93" s="36" t="s">
        <v>113</v>
      </c>
      <c r="G93" s="47"/>
      <c r="H93" s="36" t="s">
        <v>0</v>
      </c>
      <c r="I93" s="36" t="s">
        <v>114</v>
      </c>
      <c r="J93" s="47"/>
      <c r="K93" s="36" t="s">
        <v>0</v>
      </c>
      <c r="M93" s="36" t="s">
        <v>134</v>
      </c>
      <c r="N93" s="36" t="str">
        <f>【触らない】申請日付チェック!E37</f>
        <v>none</v>
      </c>
      <c r="O93" s="36" t="str">
        <f>【触らない】申請日付チェック!G37</f>
        <v>none</v>
      </c>
      <c r="P93" s="36" t="str">
        <f>IF(J93="","ok",IF(OR(【触らない】申請日付チェック!L34="error",J93-G93&lt;0),"error","ok"))</f>
        <v>ok</v>
      </c>
    </row>
    <row r="94" spans="4:16" ht="15" thickBot="1">
      <c r="G94" s="54" t="s">
        <v>72</v>
      </c>
      <c r="J94" s="54" t="s">
        <v>72</v>
      </c>
    </row>
    <row r="95" spans="4:16" ht="15" thickBot="1">
      <c r="E95" s="36" t="s">
        <v>115</v>
      </c>
      <c r="H95" s="47"/>
      <c r="I95" s="36" t="s">
        <v>0</v>
      </c>
      <c r="M95" s="36" t="str">
        <f>IF(H95&gt;H97,"error",IF(H95&gt;(J93-G93+1),"error","ok"))</f>
        <v>ok</v>
      </c>
    </row>
    <row r="96" spans="4:16" ht="15" thickBot="1">
      <c r="H96" s="54" t="s">
        <v>72</v>
      </c>
    </row>
    <row r="97" spans="5:10" ht="15" thickBot="1">
      <c r="E97" s="36" t="s">
        <v>116</v>
      </c>
      <c r="H97" s="47"/>
      <c r="I97" s="36" t="s">
        <v>0</v>
      </c>
    </row>
    <row r="98" spans="5:10" ht="15" thickBot="1">
      <c r="H98" s="54" t="s">
        <v>72</v>
      </c>
    </row>
    <row r="99" spans="5:10" ht="15" thickBot="1">
      <c r="E99" s="36" t="s">
        <v>117</v>
      </c>
      <c r="H99" s="81"/>
      <c r="I99" s="82"/>
      <c r="J99" s="36" t="s">
        <v>18</v>
      </c>
    </row>
    <row r="100" spans="5:10" ht="15" thickBot="1">
      <c r="H100" s="54" t="s">
        <v>72</v>
      </c>
    </row>
    <row r="101" spans="5:10" ht="15" thickBot="1">
      <c r="E101" s="36" t="s">
        <v>118</v>
      </c>
      <c r="H101" s="81"/>
      <c r="I101" s="82"/>
      <c r="J101" s="36" t="s">
        <v>18</v>
      </c>
    </row>
    <row r="102" spans="5:10">
      <c r="H102" s="54" t="s">
        <v>72</v>
      </c>
    </row>
    <row r="103" spans="5:10">
      <c r="E103" s="36" t="s">
        <v>119</v>
      </c>
      <c r="H103" s="83">
        <f>SUM(H99,H101)</f>
        <v>0</v>
      </c>
      <c r="I103" s="83"/>
      <c r="J103" s="36" t="s">
        <v>18</v>
      </c>
    </row>
    <row r="104" spans="5:10">
      <c r="E104" s="36" t="s">
        <v>120</v>
      </c>
      <c r="H104" s="83">
        <f>IF(H103=0,0,IF(H103&lt;=ROUNDDOWN(25700*H95/H97,-1),ROUNDDOWN(H103,-1),ROUNDDOWN(25700*H95/H97,-1)))</f>
        <v>0</v>
      </c>
      <c r="I104" s="83"/>
      <c r="J104" s="36" t="s">
        <v>18</v>
      </c>
    </row>
    <row r="105" spans="5:10">
      <c r="E105" s="45" t="s">
        <v>121</v>
      </c>
    </row>
    <row r="114" spans="2:15">
      <c r="B114" s="48" t="s">
        <v>139</v>
      </c>
      <c r="M114" s="64" t="str">
        <f>IF(OR(M117="error",M119="error",M121="error",M124="error",N124="error",M125="error",N125="error",M129="error",M171="error",M228="error"),"error","ok")</f>
        <v>ok</v>
      </c>
    </row>
    <row r="115" spans="2:15" ht="15" thickBot="1">
      <c r="B115" s="48"/>
      <c r="M115" s="55"/>
    </row>
    <row r="116" spans="2:15" ht="15" thickBot="1">
      <c r="B116" s="48"/>
      <c r="C116" s="36" t="s">
        <v>170</v>
      </c>
      <c r="G116" s="50" t="s">
        <v>243</v>
      </c>
      <c r="H116" s="42" t="s">
        <v>227</v>
      </c>
    </row>
    <row r="117" spans="2:15" ht="15" thickBot="1">
      <c r="C117" s="36" t="s">
        <v>100</v>
      </c>
      <c r="E117" s="75" t="str">
        <f>IF($G$116="同上",E39,"")</f>
        <v/>
      </c>
      <c r="F117" s="76"/>
      <c r="G117" s="76"/>
      <c r="H117" s="77"/>
      <c r="M117" s="36" t="str">
        <f>IF(E117=E39,"ok",IF($E$39="","ok",IF(E117="","ok","error")))</f>
        <v>ok</v>
      </c>
    </row>
    <row r="118" spans="2:15" ht="15" thickBot="1">
      <c r="C118" s="36" t="s">
        <v>101</v>
      </c>
    </row>
    <row r="119" spans="2:15" ht="15" thickBot="1">
      <c r="E119" s="78" t="str">
        <f>IF($G$116="同上",IF(D41="","",D41),"")</f>
        <v/>
      </c>
      <c r="F119" s="79"/>
      <c r="G119" s="79"/>
      <c r="H119" s="79"/>
      <c r="I119" s="79"/>
      <c r="J119" s="80"/>
      <c r="K119" s="42" t="s">
        <v>167</v>
      </c>
      <c r="M119" s="36" t="str">
        <f>IF(E119=D41,"ok",IF(D39="","ok",IF(E119="","ok","error")))</f>
        <v>ok</v>
      </c>
    </row>
    <row r="120" spans="2:15" ht="15" thickBot="1">
      <c r="C120" s="36" t="s">
        <v>107</v>
      </c>
      <c r="D120" s="55"/>
      <c r="E120" s="55"/>
      <c r="F120" s="55"/>
      <c r="G120" s="55"/>
      <c r="H120" s="55"/>
      <c r="I120" s="55"/>
      <c r="J120" s="55"/>
    </row>
    <row r="121" spans="2:15" ht="15" thickBot="1">
      <c r="D121" s="57" t="s">
        <v>108</v>
      </c>
      <c r="E121" s="50" t="str">
        <f>IF($G$116="同上",E43,"")</f>
        <v/>
      </c>
      <c r="F121" s="55" t="s">
        <v>109</v>
      </c>
      <c r="G121" s="73" t="s">
        <v>140</v>
      </c>
      <c r="H121" s="55"/>
      <c r="I121" s="55"/>
      <c r="J121" s="55"/>
      <c r="M121" s="36" t="str">
        <f>IF(E121=1,"error",IF(E121=E43,"ok",IF($E$43="","ok",IF(E121="","ok","error"))))</f>
        <v>ok</v>
      </c>
    </row>
    <row r="122" spans="2:15">
      <c r="D122" s="57"/>
      <c r="E122" s="53" t="s">
        <v>89</v>
      </c>
      <c r="F122" s="55"/>
      <c r="G122" s="55"/>
      <c r="H122" s="55"/>
      <c r="I122" s="55"/>
      <c r="J122" s="55"/>
    </row>
    <row r="123" spans="2:15" ht="15" thickBot="1">
      <c r="C123" s="36" t="s">
        <v>127</v>
      </c>
      <c r="D123" s="51"/>
      <c r="E123" s="52"/>
      <c r="F123" s="52"/>
      <c r="G123" s="51"/>
      <c r="H123" s="52"/>
      <c r="I123" s="51"/>
      <c r="J123" s="52"/>
      <c r="K123" s="51"/>
    </row>
    <row r="124" spans="2:15" ht="15" thickBot="1">
      <c r="E124" s="46" t="str">
        <f>IF($G$116="同上",E46,"")</f>
        <v/>
      </c>
      <c r="F124" s="47" t="str">
        <f>IF($G$116="同上",F46,"")</f>
        <v/>
      </c>
      <c r="G124" s="36" t="s">
        <v>1</v>
      </c>
      <c r="H124" s="47" t="str">
        <f>IF($G$116="同上",H46,"")</f>
        <v/>
      </c>
      <c r="I124" s="36" t="s">
        <v>9</v>
      </c>
      <c r="J124" s="47" t="str">
        <f>IF($G$116="同上",J46,"")</f>
        <v/>
      </c>
      <c r="K124" s="36" t="s">
        <v>0</v>
      </c>
      <c r="M124" s="36" t="str">
        <f>IF(E124="西暦",IF(F124&lt;1900,"error",IF(F124&gt;$M$3,"error","ok")),IF(E124="令和",IF(F124&gt;$M$4,"error","ok"),"none"))</f>
        <v>none</v>
      </c>
      <c r="N124" s="36" t="str">
        <f>IF(【触らない】申請日付チェック!J9=【触らない】申請日付チェック!J15,"ok",IF($E$43="","ok",IF($E$121="","ok","error")))</f>
        <v>ok</v>
      </c>
      <c r="O124" s="36" t="str">
        <f>IF($E$121="","ok",IF(J124="","error",IF(【触らない】申請日付チェック!L15="error","error","ok")))</f>
        <v>ok</v>
      </c>
    </row>
    <row r="125" spans="2:15" ht="15" thickBot="1">
      <c r="D125" s="38" t="s">
        <v>114</v>
      </c>
      <c r="E125" s="46" t="str">
        <f>IF($G$116="同上",E47,"")</f>
        <v/>
      </c>
      <c r="F125" s="47" t="str">
        <f>IF($G$116="同上",F47,"")</f>
        <v/>
      </c>
      <c r="G125" s="36" t="s">
        <v>1</v>
      </c>
      <c r="H125" s="47" t="str">
        <f>IF($G$116="同上",H47,"")</f>
        <v/>
      </c>
      <c r="I125" s="36" t="s">
        <v>9</v>
      </c>
      <c r="J125" s="47" t="str">
        <f>IF($G$116="同上",J47,"")</f>
        <v/>
      </c>
      <c r="K125" s="36" t="s">
        <v>0</v>
      </c>
      <c r="M125" s="36" t="str">
        <f>IF(E125="西暦",IF(F125&lt;1900,"error",IF(F125&gt;$M$3+3,"error","ok")),IF(E125="令和",IF(F125&gt;$M$4+3,"error","ok"),"none"))</f>
        <v>none</v>
      </c>
      <c r="N125" s="36" t="str">
        <f>IF(【触らない】申請日付チェック!J10=【触らない】申請日付チェック!J16,"ok",IF($E$43="","ok",IF($E$121="","ok","error")))</f>
        <v>ok</v>
      </c>
      <c r="O125" s="36" t="str">
        <f>IF($E$121="","ok",IF(J125="","error",IF(【触らない】申請日付チェック!L16="error","error","ok")))</f>
        <v>ok</v>
      </c>
    </row>
    <row r="126" spans="2:15">
      <c r="E126" s="53" t="s">
        <v>89</v>
      </c>
      <c r="F126" s="54" t="s">
        <v>72</v>
      </c>
      <c r="G126" s="55"/>
      <c r="H126" s="54" t="s">
        <v>72</v>
      </c>
      <c r="I126" s="55"/>
      <c r="J126" s="54" t="s">
        <v>72</v>
      </c>
    </row>
    <row r="127" spans="2:15">
      <c r="C127" s="36" t="s">
        <v>106</v>
      </c>
    </row>
    <row r="128" spans="2:15">
      <c r="D128" s="72" t="s">
        <v>235</v>
      </c>
    </row>
    <row r="129" spans="4:16" ht="15" thickBot="1">
      <c r="D129" s="45" t="s">
        <v>162</v>
      </c>
      <c r="M129" s="65" t="str">
        <f>IF(OR(M130="error",N133="error",M135="error",O133="error",P133="error",M143="error"),"error","ok")</f>
        <v>ok</v>
      </c>
    </row>
    <row r="130" spans="4:16" ht="15" thickBot="1">
      <c r="D130" s="74" t="s">
        <v>198</v>
      </c>
      <c r="E130" s="46"/>
      <c r="F130" s="47"/>
      <c r="G130" s="36" t="s">
        <v>1</v>
      </c>
      <c r="H130" s="47"/>
      <c r="I130" s="36" t="s">
        <v>105</v>
      </c>
      <c r="M130" s="36" t="str">
        <f>IF(E130="西暦",IF(F130&lt;1900,"error",IF(F130&gt;$M$3,"error","ok")),IF(E130="令和",IF(F130&gt;$M$4,"error","ok"),"none"))</f>
        <v>none</v>
      </c>
    </row>
    <row r="131" spans="4:16">
      <c r="E131" s="44" t="s">
        <v>89</v>
      </c>
      <c r="F131" s="42" t="s">
        <v>72</v>
      </c>
      <c r="H131" s="42" t="s">
        <v>72</v>
      </c>
    </row>
    <row r="132" spans="4:16" ht="15" thickBot="1">
      <c r="E132" s="60" t="s">
        <v>236</v>
      </c>
      <c r="F132" s="42"/>
      <c r="H132" s="42"/>
    </row>
    <row r="133" spans="4:16" ht="15" thickBot="1">
      <c r="E133" s="36" t="s">
        <v>113</v>
      </c>
      <c r="G133" s="47"/>
      <c r="H133" s="36" t="s">
        <v>0</v>
      </c>
      <c r="I133" s="36" t="s">
        <v>114</v>
      </c>
      <c r="J133" s="47"/>
      <c r="K133" s="36" t="s">
        <v>0</v>
      </c>
      <c r="M133" s="36" t="s">
        <v>133</v>
      </c>
      <c r="N133" s="36" t="str">
        <f>【触らない】申請日付チェック!E44</f>
        <v>none</v>
      </c>
      <c r="O133" s="36" t="str">
        <f>【触らない】申請日付チェック!G44</f>
        <v>none</v>
      </c>
      <c r="P133" s="36" t="str">
        <f>IF(J133="","ok",IF(OR(【触らない】申請日付チェック!M43="error",J133-G133&lt;0),"error","ok"))</f>
        <v>ok</v>
      </c>
    </row>
    <row r="134" spans="4:16" ht="15" thickBot="1">
      <c r="G134" s="54" t="s">
        <v>72</v>
      </c>
      <c r="J134" s="54" t="s">
        <v>72</v>
      </c>
    </row>
    <row r="135" spans="4:16" ht="15" thickBot="1">
      <c r="E135" s="36" t="s">
        <v>143</v>
      </c>
      <c r="H135" s="47"/>
      <c r="I135" s="36" t="s">
        <v>0</v>
      </c>
      <c r="M135" s="36" t="str">
        <f>IF(H135&gt;(J133-G133+1),"error","ok")</f>
        <v>ok</v>
      </c>
    </row>
    <row r="136" spans="4:16" ht="15" thickBot="1">
      <c r="E136" s="36" t="s">
        <v>138</v>
      </c>
      <c r="H136" s="81"/>
      <c r="I136" s="82"/>
      <c r="J136" s="36" t="s">
        <v>18</v>
      </c>
    </row>
    <row r="137" spans="4:16">
      <c r="H137" s="54" t="s">
        <v>72</v>
      </c>
      <c r="N137" s="61"/>
      <c r="P137" s="61"/>
    </row>
    <row r="138" spans="4:16">
      <c r="E138" s="36" t="s">
        <v>120</v>
      </c>
      <c r="H138" s="83">
        <f>IF(H136&lt;=N138,ROUNDDOWN(H136,-1),N138)</f>
        <v>0</v>
      </c>
      <c r="I138" s="83"/>
      <c r="J138" s="36" t="s">
        <v>18</v>
      </c>
      <c r="M138" s="36" t="s">
        <v>151</v>
      </c>
      <c r="N138" s="61">
        <f>450*H135</f>
        <v>0</v>
      </c>
    </row>
    <row r="139" spans="4:16">
      <c r="E139" s="42" t="s">
        <v>147</v>
      </c>
    </row>
    <row r="140" spans="4:16">
      <c r="E140" s="62" t="s">
        <v>154</v>
      </c>
    </row>
    <row r="141" spans="4:16">
      <c r="E141" s="63" t="s">
        <v>228</v>
      </c>
    </row>
    <row r="142" spans="4:16">
      <c r="E142" s="63" t="s">
        <v>159</v>
      </c>
    </row>
    <row r="143" spans="4:16" ht="15" thickBot="1">
      <c r="E143" s="59" t="s">
        <v>146</v>
      </c>
      <c r="M143" s="65" t="str">
        <f>IF(OR(P147="error",N148="error",O148="error",P148="error",Q148="error",P150="error",P156="error",N157="error",O157="error",P157="error",Q157="error",P159="error",P165="error",N166="error",O166="error",P166="error",Q166="error",P168="error"),"error","ok")</f>
        <v>ok</v>
      </c>
    </row>
    <row r="144" spans="4:16" ht="15" thickBot="1">
      <c r="E144" s="36" t="s">
        <v>202</v>
      </c>
      <c r="G144" s="75"/>
      <c r="H144" s="76"/>
      <c r="I144" s="76"/>
      <c r="J144" s="77"/>
    </row>
    <row r="145" spans="4:17" ht="15" thickBot="1">
      <c r="E145" s="36" t="s">
        <v>145</v>
      </c>
      <c r="K145" s="42" t="s">
        <v>174</v>
      </c>
    </row>
    <row r="146" spans="4:17" ht="15" thickBot="1">
      <c r="D146" s="78"/>
      <c r="E146" s="79"/>
      <c r="F146" s="79"/>
      <c r="G146" s="79"/>
      <c r="H146" s="79"/>
      <c r="I146" s="79"/>
      <c r="J146" s="79"/>
      <c r="K146" s="80"/>
    </row>
    <row r="147" spans="4:17" ht="15" thickBot="1">
      <c r="E147" s="36" t="s">
        <v>148</v>
      </c>
      <c r="G147" s="75"/>
      <c r="H147" s="76"/>
      <c r="I147" s="76"/>
      <c r="J147" s="77"/>
      <c r="K147" s="42" t="s">
        <v>93</v>
      </c>
      <c r="P147" s="36" t="str">
        <f>IF(G144="","ok",IF(G147="","error","ok"))</f>
        <v>ok</v>
      </c>
    </row>
    <row r="148" spans="4:17" ht="15" thickBot="1">
      <c r="E148" s="36" t="s">
        <v>113</v>
      </c>
      <c r="G148" s="47"/>
      <c r="H148" s="36" t="s">
        <v>0</v>
      </c>
      <c r="I148" s="36" t="s">
        <v>114</v>
      </c>
      <c r="J148" s="47"/>
      <c r="K148" s="36" t="s">
        <v>0</v>
      </c>
      <c r="M148" s="36" t="s">
        <v>133</v>
      </c>
      <c r="N148" s="36" t="str">
        <f>【触らない】申請日付チェック!E48</f>
        <v>none</v>
      </c>
      <c r="O148" s="36" t="str">
        <f>【触らない】申請日付チェック!G48</f>
        <v>none</v>
      </c>
      <c r="P148" s="36" t="str">
        <f>IF(G144="","ok",IF(G148="","error","ok"))</f>
        <v>ok</v>
      </c>
      <c r="Q148" s="36" t="str">
        <f>IF(G144="","ok",IF(OR(J148="",J148-G148&lt;0),"error",IF(【触らない】申請日付チェック!M47="error","error","ok")))</f>
        <v>ok</v>
      </c>
    </row>
    <row r="149" spans="4:17" ht="15" thickBot="1">
      <c r="G149" s="54" t="s">
        <v>72</v>
      </c>
      <c r="J149" s="54" t="s">
        <v>72</v>
      </c>
    </row>
    <row r="150" spans="4:17" ht="15" thickBot="1">
      <c r="E150" s="36" t="s">
        <v>149</v>
      </c>
      <c r="H150" s="81"/>
      <c r="I150" s="82"/>
      <c r="J150" s="36" t="s">
        <v>18</v>
      </c>
      <c r="P150" s="36" t="str">
        <f>IF(G144="","ok",IF(H150="","error","ok"))</f>
        <v>ok</v>
      </c>
    </row>
    <row r="151" spans="4:17">
      <c r="H151" s="54" t="s">
        <v>72</v>
      </c>
    </row>
    <row r="152" spans="4:17" ht="15" thickBot="1">
      <c r="E152" s="59" t="s">
        <v>155</v>
      </c>
    </row>
    <row r="153" spans="4:17" ht="15" thickBot="1">
      <c r="E153" s="36" t="s">
        <v>202</v>
      </c>
      <c r="G153" s="75"/>
      <c r="H153" s="76"/>
      <c r="I153" s="76"/>
      <c r="J153" s="77"/>
    </row>
    <row r="154" spans="4:17" ht="15" thickBot="1">
      <c r="E154" s="36" t="s">
        <v>145</v>
      </c>
      <c r="K154" s="42" t="s">
        <v>174</v>
      </c>
    </row>
    <row r="155" spans="4:17" ht="15" thickBot="1">
      <c r="D155" s="78"/>
      <c r="E155" s="79"/>
      <c r="F155" s="79"/>
      <c r="G155" s="79"/>
      <c r="H155" s="79"/>
      <c r="I155" s="79"/>
      <c r="J155" s="79"/>
      <c r="K155" s="80"/>
    </row>
    <row r="156" spans="4:17" ht="15" thickBot="1">
      <c r="E156" s="36" t="s">
        <v>148</v>
      </c>
      <c r="G156" s="75"/>
      <c r="H156" s="76"/>
      <c r="I156" s="76"/>
      <c r="J156" s="77"/>
      <c r="K156" s="42" t="s">
        <v>93</v>
      </c>
      <c r="P156" s="36" t="str">
        <f>IF(G153="","ok",IF(G156="","error","ok"))</f>
        <v>ok</v>
      </c>
    </row>
    <row r="157" spans="4:17" ht="15" thickBot="1">
      <c r="E157" s="36" t="s">
        <v>113</v>
      </c>
      <c r="G157" s="47"/>
      <c r="H157" s="36" t="s">
        <v>0</v>
      </c>
      <c r="I157" s="36" t="s">
        <v>114</v>
      </c>
      <c r="J157" s="47"/>
      <c r="K157" s="36" t="s">
        <v>0</v>
      </c>
      <c r="M157" s="36" t="s">
        <v>133</v>
      </c>
      <c r="N157" s="36" t="str">
        <f>【触らない】申請日付チェック!E52</f>
        <v>none</v>
      </c>
      <c r="O157" s="36" t="str">
        <f>【触らない】申請日付チェック!G52</f>
        <v>none</v>
      </c>
      <c r="P157" s="36" t="str">
        <f>IF(G153="","ok",IF(G157="","error","ok"))</f>
        <v>ok</v>
      </c>
      <c r="Q157" s="36" t="str">
        <f>IF(G153="","ok",IF(OR(J157="",J157-G157&lt;0),"error",IF(【触らない】申請日付チェック!M51="error","error","ok")))</f>
        <v>ok</v>
      </c>
    </row>
    <row r="158" spans="4:17" ht="15" thickBot="1">
      <c r="G158" s="54" t="s">
        <v>72</v>
      </c>
      <c r="J158" s="54" t="s">
        <v>72</v>
      </c>
    </row>
    <row r="159" spans="4:17" ht="15" thickBot="1">
      <c r="E159" s="36" t="s">
        <v>149</v>
      </c>
      <c r="H159" s="81"/>
      <c r="I159" s="82"/>
      <c r="J159" s="36" t="s">
        <v>18</v>
      </c>
      <c r="P159" s="36" t="str">
        <f>IF(G153="","ok",IF(H159="","error","ok"))</f>
        <v>ok</v>
      </c>
    </row>
    <row r="160" spans="4:17">
      <c r="H160" s="54" t="s">
        <v>72</v>
      </c>
    </row>
    <row r="161" spans="4:17" ht="15" thickBot="1">
      <c r="E161" s="59" t="s">
        <v>157</v>
      </c>
    </row>
    <row r="162" spans="4:17" ht="15" thickBot="1">
      <c r="E162" s="36" t="s">
        <v>202</v>
      </c>
      <c r="G162" s="75"/>
      <c r="H162" s="76"/>
      <c r="I162" s="76"/>
      <c r="J162" s="77"/>
    </row>
    <row r="163" spans="4:17" ht="15" thickBot="1">
      <c r="E163" s="36" t="s">
        <v>145</v>
      </c>
      <c r="K163" s="42" t="s">
        <v>174</v>
      </c>
    </row>
    <row r="164" spans="4:17" ht="15" thickBot="1">
      <c r="D164" s="78"/>
      <c r="E164" s="79"/>
      <c r="F164" s="79"/>
      <c r="G164" s="79"/>
      <c r="H164" s="79"/>
      <c r="I164" s="79"/>
      <c r="J164" s="79"/>
      <c r="K164" s="80"/>
    </row>
    <row r="165" spans="4:17" ht="15" thickBot="1">
      <c r="E165" s="36" t="s">
        <v>148</v>
      </c>
      <c r="G165" s="75"/>
      <c r="H165" s="76"/>
      <c r="I165" s="76"/>
      <c r="J165" s="77"/>
      <c r="K165" s="42" t="s">
        <v>93</v>
      </c>
      <c r="P165" s="36" t="str">
        <f>IF(G162="","ok",IF(G165="","error","ok"))</f>
        <v>ok</v>
      </c>
    </row>
    <row r="166" spans="4:17" ht="15" thickBot="1">
      <c r="E166" s="36" t="s">
        <v>113</v>
      </c>
      <c r="G166" s="47"/>
      <c r="H166" s="36" t="s">
        <v>0</v>
      </c>
      <c r="I166" s="36" t="s">
        <v>114</v>
      </c>
      <c r="J166" s="47"/>
      <c r="K166" s="36" t="s">
        <v>0</v>
      </c>
      <c r="M166" s="36" t="s">
        <v>133</v>
      </c>
      <c r="N166" s="36" t="str">
        <f>【触らない】申請日付チェック!E56</f>
        <v>none</v>
      </c>
      <c r="O166" s="36" t="str">
        <f>【触らない】申請日付チェック!G56</f>
        <v>none</v>
      </c>
      <c r="P166" s="36" t="str">
        <f>IF(G162="","ok",IF(G166="","error","ok"))</f>
        <v>ok</v>
      </c>
      <c r="Q166" s="36" t="str">
        <f>IF(G162="","ok",IF(OR(J166="",J166-G166&lt;0),"error",IF(【触らない】申請日付チェック!M55="error","error","ok")))</f>
        <v>ok</v>
      </c>
    </row>
    <row r="167" spans="4:17" ht="15" thickBot="1">
      <c r="G167" s="54" t="s">
        <v>72</v>
      </c>
      <c r="J167" s="54" t="s">
        <v>72</v>
      </c>
    </row>
    <row r="168" spans="4:17" ht="15" thickBot="1">
      <c r="E168" s="36" t="s">
        <v>149</v>
      </c>
      <c r="H168" s="81"/>
      <c r="I168" s="82"/>
      <c r="J168" s="36" t="s">
        <v>18</v>
      </c>
      <c r="P168" s="36" t="str">
        <f>IF(G162="","ok",IF(H168="","error","ok"))</f>
        <v>ok</v>
      </c>
    </row>
    <row r="169" spans="4:17">
      <c r="H169" s="54" t="s">
        <v>72</v>
      </c>
      <c r="Q169" s="36" t="s">
        <v>213</v>
      </c>
    </row>
    <row r="170" spans="4:17">
      <c r="E170" s="36" t="s">
        <v>120</v>
      </c>
      <c r="H170" s="83">
        <f>IF(Q170=0,IF(SUM(H150,H159,H168)&lt;=N170,ROUNDDOWN(SUM(H150,H159,H168),-1),N170),IF(SUM(H150,H159,H168)&lt;=Q170,ROUNDDOWN(SUM(H150,H159,H168),-1),Q170))</f>
        <v>0</v>
      </c>
      <c r="I170" s="83"/>
      <c r="J170" s="36" t="s">
        <v>18</v>
      </c>
      <c r="M170" s="36" t="s">
        <v>150</v>
      </c>
      <c r="N170" s="61">
        <f>MIN(O170,P170)</f>
        <v>0</v>
      </c>
      <c r="O170" s="61">
        <f>IF(P170-H138&gt;0,P170-H138,0)</f>
        <v>0</v>
      </c>
      <c r="P170" s="61">
        <f>IF(AND(H150="",H159="",H168=""),0,IF($E$121=2,ROUNDDOWN(11300*【触らない】申請日付チェック!O56,-1),IF($E$121=3,ROUNDDOWN(16300*【触らない】申請日付チェック!O56,-1),0)))</f>
        <v>0</v>
      </c>
      <c r="Q170" s="61">
        <f>MAX(【触らない】申請日付チェック!R43:S43,0)</f>
        <v>0</v>
      </c>
    </row>
    <row r="171" spans="4:17" ht="15" thickBot="1">
      <c r="M171" s="65" t="str">
        <f>IF(OR(M172="error",N172="error",N175="error",M177="error",O175="error",P175="error",M185="error"),"error","ok")</f>
        <v>ok</v>
      </c>
      <c r="N171" s="61"/>
    </row>
    <row r="172" spans="4:17" ht="15" thickBot="1">
      <c r="D172" s="74" t="s">
        <v>199</v>
      </c>
      <c r="E172" s="46"/>
      <c r="F172" s="47"/>
      <c r="G172" s="36" t="s">
        <v>1</v>
      </c>
      <c r="H172" s="47"/>
      <c r="I172" s="36" t="s">
        <v>105</v>
      </c>
      <c r="M172" s="36" t="str">
        <f>IF(E172="西暦",IF(F172&lt;1900,"error",IF(F172&gt;$M$3,"error","ok")),IF(E172="令和",IF(F172&gt;$M$4,"error","ok"),"none"))</f>
        <v>none</v>
      </c>
      <c r="N172" s="36" t="str">
        <f>IF(H172="","ok",IF(H172=H130,"error","ok"))</f>
        <v>ok</v>
      </c>
    </row>
    <row r="173" spans="4:17">
      <c r="E173" s="44" t="s">
        <v>89</v>
      </c>
      <c r="F173" s="42" t="s">
        <v>72</v>
      </c>
      <c r="H173" s="42" t="s">
        <v>72</v>
      </c>
    </row>
    <row r="174" spans="4:17" ht="15" thickBot="1">
      <c r="E174" s="60" t="s">
        <v>236</v>
      </c>
      <c r="F174" s="42"/>
      <c r="H174" s="42"/>
    </row>
    <row r="175" spans="4:17" ht="15" thickBot="1">
      <c r="E175" s="36" t="s">
        <v>113</v>
      </c>
      <c r="G175" s="47"/>
      <c r="H175" s="36" t="s">
        <v>0</v>
      </c>
      <c r="I175" s="36" t="s">
        <v>114</v>
      </c>
      <c r="J175" s="47"/>
      <c r="K175" s="36" t="s">
        <v>0</v>
      </c>
      <c r="M175" s="36" t="s">
        <v>133</v>
      </c>
      <c r="N175" s="36" t="str">
        <f>【触らない】申請日付チェック!E62</f>
        <v>none</v>
      </c>
      <c r="O175" s="36" t="str">
        <f>【触らない】申請日付チェック!G62</f>
        <v>none</v>
      </c>
      <c r="P175" s="36" t="str">
        <f>IF(J175="","ok",IF(OR(【触らない】申請日付チェック!M61="error",J175-G175&lt;0),"error","ok"))</f>
        <v>ok</v>
      </c>
    </row>
    <row r="176" spans="4:17" ht="15" thickBot="1">
      <c r="G176" s="54" t="s">
        <v>72</v>
      </c>
      <c r="J176" s="54" t="s">
        <v>72</v>
      </c>
    </row>
    <row r="177" spans="4:17" ht="15" thickBot="1">
      <c r="E177" s="36" t="s">
        <v>143</v>
      </c>
      <c r="H177" s="47"/>
      <c r="I177" s="36" t="s">
        <v>0</v>
      </c>
      <c r="M177" s="36" t="str">
        <f>IF(H177&gt;(J175-G175+1),"error","ok")</f>
        <v>ok</v>
      </c>
    </row>
    <row r="178" spans="4:17" ht="15" thickBot="1">
      <c r="E178" s="36" t="s">
        <v>138</v>
      </c>
      <c r="H178" s="81"/>
      <c r="I178" s="82"/>
      <c r="J178" s="36" t="s">
        <v>18</v>
      </c>
    </row>
    <row r="179" spans="4:17">
      <c r="H179" s="54" t="s">
        <v>72</v>
      </c>
      <c r="N179" s="61"/>
      <c r="P179" s="61"/>
    </row>
    <row r="180" spans="4:17">
      <c r="E180" s="36" t="s">
        <v>120</v>
      </c>
      <c r="H180" s="83">
        <f>IF(H178&lt;=N180,ROUNDDOWN(H178,-1),N180)</f>
        <v>0</v>
      </c>
      <c r="I180" s="83"/>
      <c r="J180" s="36" t="s">
        <v>18</v>
      </c>
      <c r="M180" s="36" t="s">
        <v>151</v>
      </c>
      <c r="N180" s="61">
        <f>450*H177</f>
        <v>0</v>
      </c>
    </row>
    <row r="181" spans="4:17">
      <c r="E181" s="42" t="s">
        <v>147</v>
      </c>
    </row>
    <row r="182" spans="4:17">
      <c r="E182" s="62" t="s">
        <v>154</v>
      </c>
    </row>
    <row r="183" spans="4:17">
      <c r="E183" s="63" t="s">
        <v>228</v>
      </c>
    </row>
    <row r="184" spans="4:17">
      <c r="E184" s="63" t="s">
        <v>159</v>
      </c>
    </row>
    <row r="185" spans="4:17" ht="15" thickBot="1">
      <c r="E185" s="59" t="s">
        <v>146</v>
      </c>
      <c r="M185" s="65" t="str">
        <f>IF(OR(P189="error",N190="error",O190="error",P190="error",Q190="error",P192="error",P198="error",N199="error",O199="error",P199="error",Q199="error",P201="error",P207="error",N208="error",O208="error",P208="error",Q208="error",P210="error"),"error","ok")</f>
        <v>ok</v>
      </c>
    </row>
    <row r="186" spans="4:17" ht="15" thickBot="1">
      <c r="E186" s="36" t="s">
        <v>202</v>
      </c>
      <c r="G186" s="75"/>
      <c r="H186" s="76"/>
      <c r="I186" s="76"/>
      <c r="J186" s="77"/>
    </row>
    <row r="187" spans="4:17" ht="15" thickBot="1">
      <c r="E187" s="36" t="s">
        <v>145</v>
      </c>
      <c r="K187" s="42" t="s">
        <v>174</v>
      </c>
    </row>
    <row r="188" spans="4:17" ht="15" thickBot="1">
      <c r="D188" s="78"/>
      <c r="E188" s="79"/>
      <c r="F188" s="79"/>
      <c r="G188" s="79"/>
      <c r="H188" s="79"/>
      <c r="I188" s="79"/>
      <c r="J188" s="79"/>
      <c r="K188" s="80"/>
    </row>
    <row r="189" spans="4:17" ht="15" thickBot="1">
      <c r="E189" s="36" t="s">
        <v>148</v>
      </c>
      <c r="G189" s="75"/>
      <c r="H189" s="76"/>
      <c r="I189" s="76"/>
      <c r="J189" s="77"/>
      <c r="K189" s="42" t="s">
        <v>93</v>
      </c>
      <c r="P189" s="36" t="str">
        <f>IF(G186="","ok",IF(G189="","error","ok"))</f>
        <v>ok</v>
      </c>
    </row>
    <row r="190" spans="4:17" ht="15" thickBot="1">
      <c r="E190" s="36" t="s">
        <v>113</v>
      </c>
      <c r="G190" s="47"/>
      <c r="H190" s="36" t="s">
        <v>0</v>
      </c>
      <c r="I190" s="36" t="s">
        <v>114</v>
      </c>
      <c r="J190" s="47"/>
      <c r="K190" s="36" t="s">
        <v>0</v>
      </c>
      <c r="M190" s="36" t="s">
        <v>133</v>
      </c>
      <c r="N190" s="36" t="str">
        <f>【触らない】申請日付チェック!E66</f>
        <v>none</v>
      </c>
      <c r="O190" s="36" t="str">
        <f>【触らない】申請日付チェック!G66</f>
        <v>none</v>
      </c>
      <c r="P190" s="36" t="str">
        <f>IF(G186="","ok",IF(G190="","error","ok"))</f>
        <v>ok</v>
      </c>
      <c r="Q190" s="36" t="str">
        <f>IF(G186="","ok",IF(OR(J190="",J190-G190&lt;0),"error",IF(【触らない】申請日付チェック!M65="error","error","ok")))</f>
        <v>ok</v>
      </c>
    </row>
    <row r="191" spans="4:17" ht="15" thickBot="1">
      <c r="G191" s="54" t="s">
        <v>72</v>
      </c>
      <c r="J191" s="54" t="s">
        <v>72</v>
      </c>
    </row>
    <row r="192" spans="4:17" ht="15" thickBot="1">
      <c r="E192" s="36" t="s">
        <v>149</v>
      </c>
      <c r="H192" s="81"/>
      <c r="I192" s="82"/>
      <c r="J192" s="36" t="s">
        <v>18</v>
      </c>
      <c r="P192" s="36" t="str">
        <f>IF(G186="","ok",IF(H192="","error","ok"))</f>
        <v>ok</v>
      </c>
    </row>
    <row r="193" spans="4:17">
      <c r="H193" s="54" t="s">
        <v>72</v>
      </c>
    </row>
    <row r="194" spans="4:17" ht="15" thickBot="1">
      <c r="E194" s="59" t="s">
        <v>155</v>
      </c>
    </row>
    <row r="195" spans="4:17" ht="15" thickBot="1">
      <c r="E195" s="36" t="s">
        <v>202</v>
      </c>
      <c r="G195" s="75"/>
      <c r="H195" s="76"/>
      <c r="I195" s="76"/>
      <c r="J195" s="77"/>
    </row>
    <row r="196" spans="4:17" ht="15" thickBot="1">
      <c r="E196" s="36" t="s">
        <v>145</v>
      </c>
      <c r="K196" s="42" t="s">
        <v>174</v>
      </c>
    </row>
    <row r="197" spans="4:17" ht="15" thickBot="1">
      <c r="D197" s="78"/>
      <c r="E197" s="79"/>
      <c r="F197" s="79"/>
      <c r="G197" s="79"/>
      <c r="H197" s="79"/>
      <c r="I197" s="79"/>
      <c r="J197" s="79"/>
      <c r="K197" s="80"/>
    </row>
    <row r="198" spans="4:17" ht="15" thickBot="1">
      <c r="E198" s="36" t="s">
        <v>148</v>
      </c>
      <c r="G198" s="75"/>
      <c r="H198" s="76"/>
      <c r="I198" s="76"/>
      <c r="J198" s="77"/>
      <c r="K198" s="42" t="s">
        <v>93</v>
      </c>
      <c r="P198" s="36" t="str">
        <f>IF(G195="","ok",IF(G198="","error","ok"))</f>
        <v>ok</v>
      </c>
    </row>
    <row r="199" spans="4:17" ht="15" thickBot="1">
      <c r="E199" s="36" t="s">
        <v>113</v>
      </c>
      <c r="G199" s="47"/>
      <c r="H199" s="36" t="s">
        <v>0</v>
      </c>
      <c r="I199" s="36" t="s">
        <v>114</v>
      </c>
      <c r="J199" s="47"/>
      <c r="K199" s="36" t="s">
        <v>0</v>
      </c>
      <c r="M199" s="36" t="s">
        <v>133</v>
      </c>
      <c r="N199" s="36" t="str">
        <f>【触らない】申請日付チェック!E70</f>
        <v>none</v>
      </c>
      <c r="O199" s="36" t="str">
        <f>【触らない】申請日付チェック!G70</f>
        <v>none</v>
      </c>
      <c r="P199" s="36" t="str">
        <f>IF(G195="","ok",IF(G199="","error","ok"))</f>
        <v>ok</v>
      </c>
      <c r="Q199" s="36" t="str">
        <f>IF(G195="","ok",IF(OR(J199="",J199-G199&lt;0),"error",IF(【触らない】申請日付チェック!M69="error","error","ok")))</f>
        <v>ok</v>
      </c>
    </row>
    <row r="200" spans="4:17" ht="15" thickBot="1">
      <c r="G200" s="54" t="s">
        <v>72</v>
      </c>
      <c r="J200" s="54" t="s">
        <v>72</v>
      </c>
    </row>
    <row r="201" spans="4:17" ht="15" thickBot="1">
      <c r="E201" s="36" t="s">
        <v>149</v>
      </c>
      <c r="H201" s="81"/>
      <c r="I201" s="82"/>
      <c r="J201" s="36" t="s">
        <v>18</v>
      </c>
      <c r="P201" s="36" t="str">
        <f>IF(G195="","ok",IF(H201="","error","ok"))</f>
        <v>ok</v>
      </c>
    </row>
    <row r="202" spans="4:17">
      <c r="H202" s="54" t="s">
        <v>72</v>
      </c>
    </row>
    <row r="203" spans="4:17" ht="15" thickBot="1">
      <c r="E203" s="59" t="s">
        <v>157</v>
      </c>
    </row>
    <row r="204" spans="4:17" ht="15" thickBot="1">
      <c r="E204" s="36" t="s">
        <v>202</v>
      </c>
      <c r="G204" s="75"/>
      <c r="H204" s="76"/>
      <c r="I204" s="76"/>
      <c r="J204" s="77"/>
    </row>
    <row r="205" spans="4:17" ht="15" thickBot="1">
      <c r="E205" s="36" t="s">
        <v>145</v>
      </c>
      <c r="K205" s="42" t="s">
        <v>174</v>
      </c>
    </row>
    <row r="206" spans="4:17" ht="15" thickBot="1">
      <c r="D206" s="78"/>
      <c r="E206" s="79"/>
      <c r="F206" s="79"/>
      <c r="G206" s="79"/>
      <c r="H206" s="79"/>
      <c r="I206" s="79"/>
      <c r="J206" s="79"/>
      <c r="K206" s="80"/>
    </row>
    <row r="207" spans="4:17" ht="15" thickBot="1">
      <c r="E207" s="36" t="s">
        <v>148</v>
      </c>
      <c r="G207" s="75"/>
      <c r="H207" s="76"/>
      <c r="I207" s="76"/>
      <c r="J207" s="77"/>
      <c r="K207" s="42" t="s">
        <v>93</v>
      </c>
      <c r="P207" s="36" t="str">
        <f>IF(G204="","ok",IF(G207="","error","ok"))</f>
        <v>ok</v>
      </c>
    </row>
    <row r="208" spans="4:17" ht="15" thickBot="1">
      <c r="E208" s="36" t="s">
        <v>113</v>
      </c>
      <c r="G208" s="47"/>
      <c r="H208" s="36" t="s">
        <v>0</v>
      </c>
      <c r="I208" s="36" t="s">
        <v>114</v>
      </c>
      <c r="J208" s="47"/>
      <c r="K208" s="36" t="s">
        <v>0</v>
      </c>
      <c r="M208" s="36" t="s">
        <v>133</v>
      </c>
      <c r="N208" s="36" t="str">
        <f>【触らない】申請日付チェック!E74</f>
        <v>none</v>
      </c>
      <c r="O208" s="36" t="str">
        <f>【触らない】申請日付チェック!G74</f>
        <v>none</v>
      </c>
      <c r="P208" s="36" t="str">
        <f>IF(G204="","ok",IF(G208="","error","ok"))</f>
        <v>ok</v>
      </c>
      <c r="Q208" s="36" t="str">
        <f>IF(G204="","ok",IF(OR(J208="",J208-G208&lt;0),"error",IF(【触らない】申請日付チェック!M73="error","error","ok")))</f>
        <v>ok</v>
      </c>
    </row>
    <row r="209" spans="3:17" ht="15" thickBot="1">
      <c r="G209" s="54" t="s">
        <v>72</v>
      </c>
      <c r="J209" s="54" t="s">
        <v>72</v>
      </c>
    </row>
    <row r="210" spans="3:17" ht="15" thickBot="1">
      <c r="E210" s="36" t="s">
        <v>149</v>
      </c>
      <c r="H210" s="81"/>
      <c r="I210" s="82"/>
      <c r="J210" s="36" t="s">
        <v>18</v>
      </c>
      <c r="P210" s="36" t="str">
        <f>IF(G204="","ok",IF(H210="","error","ok"))</f>
        <v>ok</v>
      </c>
    </row>
    <row r="211" spans="3:17">
      <c r="H211" s="54" t="s">
        <v>72</v>
      </c>
      <c r="Q211" s="36" t="s">
        <v>213</v>
      </c>
    </row>
    <row r="212" spans="3:17">
      <c r="E212" s="36" t="s">
        <v>120</v>
      </c>
      <c r="H212" s="83">
        <f>IF(Q212=0,IF(SUM(H192,H201,H210)&lt;=N212,ROUNDDOWN(SUM(H192,H201,H210),-1),N212),IF(SUM(H192,H201,H210)&lt;=Q212,ROUNDDOWN(SUM(H192,H201,H210),-1),Q212))</f>
        <v>0</v>
      </c>
      <c r="I212" s="83"/>
      <c r="J212" s="36" t="s">
        <v>18</v>
      </c>
      <c r="M212" s="36" t="s">
        <v>150</v>
      </c>
      <c r="N212" s="61">
        <f>MIN(O212,P212)</f>
        <v>0</v>
      </c>
      <c r="O212" s="61">
        <f>IF(P212-H180&gt;0,P212-H180,0)</f>
        <v>0</v>
      </c>
      <c r="P212" s="61">
        <f>IF(AND(H192="",H201="",H210=""),0,IF($E$121=2,ROUNDDOWN(11300*【触らない】申請日付チェック!O74,-1),IF($E$121=3,ROUNDDOWN(16300*【触らない】申請日付チェック!O74,-1),0)))</f>
        <v>0</v>
      </c>
      <c r="Q212" s="61">
        <f>MAX(【触らない】申請日付チェック!R61:S61,0)</f>
        <v>0</v>
      </c>
    </row>
    <row r="213" spans="3:17">
      <c r="H213" s="58"/>
      <c r="I213" s="58"/>
      <c r="N213" s="61"/>
      <c r="P213" s="61"/>
    </row>
    <row r="214" spans="3:17">
      <c r="D214" s="36" t="s">
        <v>164</v>
      </c>
      <c r="H214" s="58"/>
      <c r="I214" s="58"/>
      <c r="N214" s="61"/>
      <c r="P214" s="61"/>
    </row>
    <row r="215" spans="3:17">
      <c r="H215" s="58"/>
      <c r="I215" s="58"/>
      <c r="N215" s="61"/>
      <c r="P215" s="61"/>
    </row>
    <row r="216" spans="3:17">
      <c r="C216" s="36" t="s">
        <v>220</v>
      </c>
      <c r="H216" s="58"/>
      <c r="I216" s="58"/>
      <c r="N216" s="61"/>
      <c r="P216" s="61"/>
    </row>
    <row r="217" spans="3:17" ht="14.25" customHeight="1">
      <c r="C217" s="84" t="s">
        <v>229</v>
      </c>
      <c r="D217" s="84"/>
      <c r="E217" s="84"/>
      <c r="F217" s="84"/>
      <c r="G217" s="84"/>
      <c r="H217" s="84"/>
      <c r="I217" s="84"/>
      <c r="J217" s="84"/>
      <c r="K217" s="84"/>
      <c r="N217" s="61"/>
      <c r="P217" s="61"/>
    </row>
    <row r="218" spans="3:17">
      <c r="C218" s="84"/>
      <c r="D218" s="84"/>
      <c r="E218" s="84"/>
      <c r="F218" s="84"/>
      <c r="G218" s="84"/>
      <c r="H218" s="84"/>
      <c r="I218" s="84"/>
      <c r="J218" s="84"/>
      <c r="K218" s="84"/>
      <c r="N218" s="61"/>
      <c r="P218" s="61"/>
    </row>
    <row r="219" spans="3:17">
      <c r="C219" s="84"/>
      <c r="D219" s="84"/>
      <c r="E219" s="84"/>
      <c r="F219" s="84"/>
      <c r="G219" s="84"/>
      <c r="H219" s="84"/>
      <c r="I219" s="84"/>
      <c r="J219" s="84"/>
      <c r="K219" s="84"/>
      <c r="N219" s="61"/>
      <c r="P219" s="61"/>
    </row>
    <row r="220" spans="3:17">
      <c r="C220" s="84"/>
      <c r="D220" s="84"/>
      <c r="E220" s="84"/>
      <c r="F220" s="84"/>
      <c r="G220" s="84"/>
      <c r="H220" s="84"/>
      <c r="I220" s="84"/>
      <c r="J220" s="84"/>
      <c r="K220" s="84"/>
      <c r="N220" s="61"/>
      <c r="P220" s="61"/>
    </row>
    <row r="221" spans="3:17">
      <c r="C221" s="71"/>
      <c r="D221" s="71"/>
      <c r="E221" s="71"/>
      <c r="F221" s="71"/>
      <c r="G221" s="71"/>
      <c r="H221" s="71"/>
      <c r="I221" s="71"/>
      <c r="J221" s="71"/>
      <c r="K221" s="71"/>
      <c r="N221" s="61"/>
      <c r="P221" s="61"/>
    </row>
    <row r="222" spans="3:17">
      <c r="C222" s="71"/>
      <c r="D222" s="71"/>
      <c r="E222" s="71"/>
      <c r="F222" s="71"/>
      <c r="G222" s="71"/>
      <c r="H222" s="71"/>
      <c r="I222" s="71"/>
      <c r="J222" s="71"/>
      <c r="K222" s="71"/>
      <c r="N222" s="61"/>
      <c r="P222" s="61"/>
    </row>
    <row r="223" spans="3:17">
      <c r="C223" s="71"/>
      <c r="D223" s="71"/>
      <c r="E223" s="71"/>
      <c r="F223" s="71"/>
      <c r="G223" s="71"/>
      <c r="H223" s="71"/>
      <c r="I223" s="71"/>
      <c r="J223" s="71"/>
      <c r="K223" s="71"/>
      <c r="N223" s="61"/>
      <c r="P223" s="61"/>
    </row>
    <row r="224" spans="3:17">
      <c r="C224" s="71"/>
      <c r="D224" s="71"/>
      <c r="E224" s="71"/>
      <c r="F224" s="71"/>
      <c r="G224" s="71"/>
      <c r="H224" s="71"/>
      <c r="I224" s="71"/>
      <c r="J224" s="71"/>
      <c r="K224" s="71"/>
      <c r="N224" s="61"/>
      <c r="P224" s="61"/>
    </row>
    <row r="225" spans="3:16">
      <c r="C225" s="71"/>
      <c r="D225" s="71"/>
      <c r="E225" s="71"/>
      <c r="F225" s="71"/>
      <c r="G225" s="71"/>
      <c r="H225" s="71"/>
      <c r="I225" s="71"/>
      <c r="J225" s="71"/>
      <c r="K225" s="71"/>
      <c r="N225" s="61"/>
      <c r="P225" s="61"/>
    </row>
    <row r="226" spans="3:16">
      <c r="H226" s="58"/>
      <c r="I226" s="58"/>
      <c r="N226" s="61"/>
      <c r="P226" s="61"/>
    </row>
    <row r="227" spans="3:16">
      <c r="H227" s="58"/>
      <c r="I227" s="58"/>
      <c r="N227" s="61"/>
      <c r="P227" s="61"/>
    </row>
    <row r="228" spans="3:16" ht="15" thickBot="1">
      <c r="M228" s="65" t="str">
        <f>IF(OR(M229="error",N229="error",N232="error",M234="error",O232="error",P232="error",M242="error"),"error","ok")</f>
        <v>ok</v>
      </c>
    </row>
    <row r="229" spans="3:16" ht="15" thickBot="1">
      <c r="D229" s="74" t="s">
        <v>200</v>
      </c>
      <c r="E229" s="46"/>
      <c r="F229" s="47"/>
      <c r="G229" s="36" t="s">
        <v>1</v>
      </c>
      <c r="H229" s="47"/>
      <c r="I229" s="36" t="s">
        <v>105</v>
      </c>
      <c r="M229" s="36" t="str">
        <f>IF(E229="西暦",IF(F229&lt;1900,"error",IF(F229&gt;$M$3,"error","ok")),IF(E229="令和",IF(F229&gt;$M$4,"error","ok"),"none"))</f>
        <v>none</v>
      </c>
      <c r="N229" s="36" t="str">
        <f>IF(H229="","ok",IF(OR(H229=H172,H229=H130),"error","ok"))</f>
        <v>ok</v>
      </c>
    </row>
    <row r="230" spans="3:16">
      <c r="E230" s="44" t="s">
        <v>89</v>
      </c>
      <c r="F230" s="42" t="s">
        <v>72</v>
      </c>
      <c r="H230" s="42" t="s">
        <v>72</v>
      </c>
    </row>
    <row r="231" spans="3:16" ht="15" thickBot="1">
      <c r="E231" s="60" t="s">
        <v>236</v>
      </c>
      <c r="F231" s="42"/>
      <c r="H231" s="42"/>
    </row>
    <row r="232" spans="3:16" ht="15" thickBot="1">
      <c r="E232" s="36" t="s">
        <v>113</v>
      </c>
      <c r="G232" s="47"/>
      <c r="H232" s="36" t="s">
        <v>0</v>
      </c>
      <c r="I232" s="36" t="s">
        <v>114</v>
      </c>
      <c r="J232" s="47"/>
      <c r="K232" s="36" t="s">
        <v>0</v>
      </c>
      <c r="M232" s="36" t="s">
        <v>133</v>
      </c>
      <c r="N232" s="36" t="str">
        <f>【触らない】申請日付チェック!E80</f>
        <v>none</v>
      </c>
      <c r="O232" s="36" t="str">
        <f>【触らない】申請日付チェック!G80</f>
        <v>none</v>
      </c>
      <c r="P232" s="36" t="str">
        <f>IF(J232="","ok",IF(OR(【触らない】申請日付チェック!M79="error",J232-G232&lt;0),"error","ok"))</f>
        <v>ok</v>
      </c>
    </row>
    <row r="233" spans="3:16" ht="15" thickBot="1">
      <c r="G233" s="54" t="s">
        <v>72</v>
      </c>
      <c r="J233" s="54" t="s">
        <v>72</v>
      </c>
    </row>
    <row r="234" spans="3:16" ht="15" thickBot="1">
      <c r="E234" s="36" t="s">
        <v>143</v>
      </c>
      <c r="H234" s="47"/>
      <c r="I234" s="36" t="s">
        <v>0</v>
      </c>
      <c r="M234" s="36" t="str">
        <f>IF(H234&gt;(J232-G232+1),"error","ok")</f>
        <v>ok</v>
      </c>
    </row>
    <row r="235" spans="3:16" ht="15" thickBot="1">
      <c r="E235" s="36" t="s">
        <v>138</v>
      </c>
      <c r="H235" s="81"/>
      <c r="I235" s="82"/>
      <c r="J235" s="36" t="s">
        <v>18</v>
      </c>
    </row>
    <row r="236" spans="3:16">
      <c r="H236" s="54" t="s">
        <v>72</v>
      </c>
      <c r="N236" s="61"/>
      <c r="P236" s="61"/>
    </row>
    <row r="237" spans="3:16">
      <c r="E237" s="36" t="s">
        <v>120</v>
      </c>
      <c r="H237" s="83">
        <f>IF(H235&lt;=N237,ROUNDDOWN(H235,-1),N237)</f>
        <v>0</v>
      </c>
      <c r="I237" s="83"/>
      <c r="J237" s="36" t="s">
        <v>18</v>
      </c>
      <c r="M237" s="36" t="s">
        <v>151</v>
      </c>
      <c r="N237" s="61">
        <f>450*H234</f>
        <v>0</v>
      </c>
    </row>
    <row r="238" spans="3:16">
      <c r="E238" s="42" t="s">
        <v>147</v>
      </c>
    </row>
    <row r="239" spans="3:16">
      <c r="E239" s="62" t="s">
        <v>154</v>
      </c>
    </row>
    <row r="240" spans="3:16">
      <c r="E240" s="63" t="s">
        <v>228</v>
      </c>
    </row>
    <row r="241" spans="4:17">
      <c r="E241" s="63" t="s">
        <v>159</v>
      </c>
    </row>
    <row r="242" spans="4:17" ht="15" thickBot="1">
      <c r="E242" s="59" t="s">
        <v>146</v>
      </c>
      <c r="M242" s="65" t="str">
        <f>IF(OR(P246="error",N247="error",O247="error",P247="error",Q247="error",P249="error",P255="error",N256="error",O256="error",P256="error",Q256="error",P258="error",P264="error",N265="error",O265="error",P265="error",Q265="error",P267="error"),"error","ok")</f>
        <v>ok</v>
      </c>
    </row>
    <row r="243" spans="4:17" ht="15" thickBot="1">
      <c r="E243" s="36" t="s">
        <v>202</v>
      </c>
      <c r="G243" s="75"/>
      <c r="H243" s="76"/>
      <c r="I243" s="76"/>
      <c r="J243" s="77"/>
    </row>
    <row r="244" spans="4:17" ht="15" thickBot="1">
      <c r="E244" s="36" t="s">
        <v>145</v>
      </c>
      <c r="K244" s="42" t="s">
        <v>174</v>
      </c>
    </row>
    <row r="245" spans="4:17" ht="15" thickBot="1">
      <c r="D245" s="78"/>
      <c r="E245" s="79"/>
      <c r="F245" s="79"/>
      <c r="G245" s="79"/>
      <c r="H245" s="79"/>
      <c r="I245" s="79"/>
      <c r="J245" s="79"/>
      <c r="K245" s="80"/>
    </row>
    <row r="246" spans="4:17" ht="15" thickBot="1">
      <c r="E246" s="36" t="s">
        <v>148</v>
      </c>
      <c r="G246" s="75"/>
      <c r="H246" s="76"/>
      <c r="I246" s="76"/>
      <c r="J246" s="77"/>
      <c r="K246" s="42" t="s">
        <v>93</v>
      </c>
      <c r="P246" s="36" t="str">
        <f>IF(G243="","ok",IF(G246="","error","ok"))</f>
        <v>ok</v>
      </c>
    </row>
    <row r="247" spans="4:17" ht="15" thickBot="1">
      <c r="E247" s="36" t="s">
        <v>113</v>
      </c>
      <c r="G247" s="47"/>
      <c r="H247" s="36" t="s">
        <v>0</v>
      </c>
      <c r="I247" s="36" t="s">
        <v>114</v>
      </c>
      <c r="J247" s="47"/>
      <c r="K247" s="36" t="s">
        <v>0</v>
      </c>
      <c r="M247" s="36" t="s">
        <v>133</v>
      </c>
      <c r="N247" s="36" t="str">
        <f>【触らない】申請日付チェック!E84</f>
        <v>none</v>
      </c>
      <c r="O247" s="36" t="str">
        <f>【触らない】申請日付チェック!G84</f>
        <v>none</v>
      </c>
      <c r="P247" s="36" t="str">
        <f>IF(G243="","ok",IF(G247="","error","ok"))</f>
        <v>ok</v>
      </c>
      <c r="Q247" s="36" t="str">
        <f>IF(G243="","ok",IF(OR(J247="",J247-G247&lt;0),"error",IF(【触らない】申請日付チェック!M83="error","error","ok")))</f>
        <v>ok</v>
      </c>
    </row>
    <row r="248" spans="4:17" ht="15" thickBot="1">
      <c r="G248" s="54" t="s">
        <v>72</v>
      </c>
      <c r="J248" s="54" t="s">
        <v>72</v>
      </c>
    </row>
    <row r="249" spans="4:17" ht="15" thickBot="1">
      <c r="E249" s="36" t="s">
        <v>149</v>
      </c>
      <c r="H249" s="81"/>
      <c r="I249" s="82"/>
      <c r="J249" s="36" t="s">
        <v>18</v>
      </c>
      <c r="P249" s="36" t="str">
        <f>IF(G243="","ok",IF(H249="","error","ok"))</f>
        <v>ok</v>
      </c>
    </row>
    <row r="250" spans="4:17">
      <c r="H250" s="54" t="s">
        <v>72</v>
      </c>
    </row>
    <row r="251" spans="4:17" ht="15" thickBot="1">
      <c r="E251" s="59" t="s">
        <v>155</v>
      </c>
    </row>
    <row r="252" spans="4:17" ht="15" thickBot="1">
      <c r="E252" s="36" t="s">
        <v>202</v>
      </c>
      <c r="G252" s="75"/>
      <c r="H252" s="76"/>
      <c r="I252" s="76"/>
      <c r="J252" s="77"/>
    </row>
    <row r="253" spans="4:17" ht="15" thickBot="1">
      <c r="E253" s="36" t="s">
        <v>145</v>
      </c>
      <c r="K253" s="42" t="s">
        <v>174</v>
      </c>
    </row>
    <row r="254" spans="4:17" ht="15" thickBot="1">
      <c r="D254" s="78"/>
      <c r="E254" s="79"/>
      <c r="F254" s="79"/>
      <c r="G254" s="79"/>
      <c r="H254" s="79"/>
      <c r="I254" s="79"/>
      <c r="J254" s="79"/>
      <c r="K254" s="80"/>
    </row>
    <row r="255" spans="4:17" ht="15" thickBot="1">
      <c r="E255" s="36" t="s">
        <v>148</v>
      </c>
      <c r="G255" s="75"/>
      <c r="H255" s="76"/>
      <c r="I255" s="76"/>
      <c r="J255" s="77"/>
      <c r="K255" s="42" t="s">
        <v>93</v>
      </c>
      <c r="P255" s="36" t="str">
        <f>IF(G252="","ok",IF(G255="","error","ok"))</f>
        <v>ok</v>
      </c>
    </row>
    <row r="256" spans="4:17" ht="15" thickBot="1">
      <c r="E256" s="36" t="s">
        <v>113</v>
      </c>
      <c r="G256" s="47"/>
      <c r="H256" s="36" t="s">
        <v>0</v>
      </c>
      <c r="I256" s="36" t="s">
        <v>114</v>
      </c>
      <c r="J256" s="47"/>
      <c r="K256" s="36" t="s">
        <v>0</v>
      </c>
      <c r="M256" s="36" t="s">
        <v>133</v>
      </c>
      <c r="N256" s="36" t="str">
        <f>【触らない】申請日付チェック!E88</f>
        <v>none</v>
      </c>
      <c r="O256" s="36" t="str">
        <f>【触らない】申請日付チェック!G88</f>
        <v>none</v>
      </c>
      <c r="P256" s="36" t="str">
        <f>IF(G252="","ok",IF(G256="","error","ok"))</f>
        <v>ok</v>
      </c>
      <c r="Q256" s="36" t="str">
        <f>IF(G252="","ok",IF(OR(J256="",J256-G256&lt;0),"error",IF(【触らない】申請日付チェック!M87="error","error","ok")))</f>
        <v>ok</v>
      </c>
    </row>
    <row r="257" spans="4:17" ht="15" thickBot="1">
      <c r="G257" s="54" t="s">
        <v>72</v>
      </c>
      <c r="J257" s="54" t="s">
        <v>72</v>
      </c>
    </row>
    <row r="258" spans="4:17" ht="15" thickBot="1">
      <c r="E258" s="36" t="s">
        <v>149</v>
      </c>
      <c r="H258" s="81"/>
      <c r="I258" s="82"/>
      <c r="J258" s="36" t="s">
        <v>18</v>
      </c>
      <c r="P258" s="36" t="str">
        <f>IF(G252="","ok",IF(H258="","error","ok"))</f>
        <v>ok</v>
      </c>
    </row>
    <row r="259" spans="4:17">
      <c r="H259" s="54" t="s">
        <v>72</v>
      </c>
    </row>
    <row r="260" spans="4:17" ht="15" thickBot="1">
      <c r="E260" s="59" t="s">
        <v>157</v>
      </c>
    </row>
    <row r="261" spans="4:17" ht="15" thickBot="1">
      <c r="E261" s="36" t="s">
        <v>202</v>
      </c>
      <c r="G261" s="75"/>
      <c r="H261" s="76"/>
      <c r="I261" s="76"/>
      <c r="J261" s="77"/>
    </row>
    <row r="262" spans="4:17" ht="15" thickBot="1">
      <c r="E262" s="36" t="s">
        <v>145</v>
      </c>
      <c r="K262" s="42" t="s">
        <v>174</v>
      </c>
    </row>
    <row r="263" spans="4:17" ht="15" thickBot="1">
      <c r="D263" s="78"/>
      <c r="E263" s="79"/>
      <c r="F263" s="79"/>
      <c r="G263" s="79"/>
      <c r="H263" s="79"/>
      <c r="I263" s="79"/>
      <c r="J263" s="79"/>
      <c r="K263" s="80"/>
    </row>
    <row r="264" spans="4:17" ht="15" thickBot="1">
      <c r="E264" s="36" t="s">
        <v>148</v>
      </c>
      <c r="G264" s="75"/>
      <c r="H264" s="76"/>
      <c r="I264" s="76"/>
      <c r="J264" s="77"/>
      <c r="K264" s="42" t="s">
        <v>93</v>
      </c>
      <c r="P264" s="36" t="str">
        <f>IF(G261="","ok",IF(G264="","error","ok"))</f>
        <v>ok</v>
      </c>
    </row>
    <row r="265" spans="4:17" ht="15" thickBot="1">
      <c r="E265" s="36" t="s">
        <v>113</v>
      </c>
      <c r="G265" s="47"/>
      <c r="H265" s="36" t="s">
        <v>0</v>
      </c>
      <c r="I265" s="36" t="s">
        <v>114</v>
      </c>
      <c r="J265" s="47"/>
      <c r="K265" s="36" t="s">
        <v>0</v>
      </c>
      <c r="M265" s="36" t="s">
        <v>133</v>
      </c>
      <c r="N265" s="36" t="str">
        <f>【触らない】申請日付チェック!E92</f>
        <v>none</v>
      </c>
      <c r="O265" s="36" t="str">
        <f>【触らない】申請日付チェック!G92</f>
        <v>none</v>
      </c>
      <c r="P265" s="36" t="str">
        <f>IF(G261="","ok",IF(G265="","error","ok"))</f>
        <v>ok</v>
      </c>
      <c r="Q265" s="36" t="str">
        <f>IF(G261="","ok",IF(OR(J265="",J265-G265&lt;0),"error",IF(【触らない】申請日付チェック!M91="error","error","ok")))</f>
        <v>ok</v>
      </c>
    </row>
    <row r="266" spans="4:17" ht="15" thickBot="1">
      <c r="G266" s="54" t="s">
        <v>72</v>
      </c>
      <c r="J266" s="54" t="s">
        <v>72</v>
      </c>
    </row>
    <row r="267" spans="4:17" ht="15" thickBot="1">
      <c r="E267" s="36" t="s">
        <v>149</v>
      </c>
      <c r="H267" s="81"/>
      <c r="I267" s="82"/>
      <c r="J267" s="36" t="s">
        <v>18</v>
      </c>
      <c r="P267" s="36" t="str">
        <f>IF(G261="","ok",IF(H267="","error","ok"))</f>
        <v>ok</v>
      </c>
    </row>
    <row r="268" spans="4:17">
      <c r="H268" s="54" t="s">
        <v>72</v>
      </c>
      <c r="Q268" s="36" t="s">
        <v>213</v>
      </c>
    </row>
    <row r="269" spans="4:17">
      <c r="E269" s="36" t="s">
        <v>120</v>
      </c>
      <c r="H269" s="83">
        <f>IF(Q269=0,IF(SUM(H249,H258,H267)&lt;=N269,ROUNDDOWN(SUM(H249,H258,H267),-1),N269),IF(SUM(H249,H258,H267)&lt;=Q269,ROUNDDOWN(SUM(H249,H258,H267),-1),Q269))</f>
        <v>0</v>
      </c>
      <c r="I269" s="83"/>
      <c r="J269" s="36" t="s">
        <v>18</v>
      </c>
      <c r="M269" s="36" t="s">
        <v>150</v>
      </c>
      <c r="N269" s="61">
        <f>MIN(O269,P269)</f>
        <v>0</v>
      </c>
      <c r="O269" s="61">
        <f>IF(P269-H237&gt;0,P269-H237,0)</f>
        <v>0</v>
      </c>
      <c r="P269" s="61">
        <f>IF(AND(H249="",H258="",H267=""),0,IF($E$121=2,ROUNDDOWN(11300*【触らない】申請日付チェック!O92,-1),IF($E$121=3,ROUNDDOWN(16300*【触らない】申請日付チェック!O92,-1),0)))</f>
        <v>0</v>
      </c>
      <c r="Q269" s="61">
        <f>MAX(【触らない】申請日付チェック!R79:S79,0)</f>
        <v>0</v>
      </c>
    </row>
  </sheetData>
  <sheetProtection algorithmName="SHA-512" hashValue="phkN4uhgLfwXUPD6Y4BFO6zUNWuJ9fmDXL5D9yY1ynQSaauTZ6orLTQEviHy5MxLOnKcX6TqaXGQHmYU/pIQFA==" saltValue="kAQo+5a3vCfTeycaEiw4nQ==" spinCount="100000" sheet="1" objects="1" scenarios="1"/>
  <mergeCells count="72">
    <mergeCell ref="C217:K220"/>
    <mergeCell ref="G261:J261"/>
    <mergeCell ref="D263:K263"/>
    <mergeCell ref="G264:J264"/>
    <mergeCell ref="H267:I267"/>
    <mergeCell ref="H235:I235"/>
    <mergeCell ref="H237:I237"/>
    <mergeCell ref="G243:J243"/>
    <mergeCell ref="D245:K245"/>
    <mergeCell ref="G246:J246"/>
    <mergeCell ref="H269:I269"/>
    <mergeCell ref="H249:I249"/>
    <mergeCell ref="G252:J252"/>
    <mergeCell ref="D254:K254"/>
    <mergeCell ref="G255:J255"/>
    <mergeCell ref="H258:I258"/>
    <mergeCell ref="F20:I20"/>
    <mergeCell ref="F21:I21"/>
    <mergeCell ref="D26:K26"/>
    <mergeCell ref="A1:K1"/>
    <mergeCell ref="F18:I18"/>
    <mergeCell ref="F19:I19"/>
    <mergeCell ref="F31:I31"/>
    <mergeCell ref="F32:I32"/>
    <mergeCell ref="F33:I33"/>
    <mergeCell ref="E28:I28"/>
    <mergeCell ref="E39:H39"/>
    <mergeCell ref="D41:K41"/>
    <mergeCell ref="H69:I69"/>
    <mergeCell ref="H67:I67"/>
    <mergeCell ref="H71:I71"/>
    <mergeCell ref="H72:I72"/>
    <mergeCell ref="D146:K146"/>
    <mergeCell ref="E117:H117"/>
    <mergeCell ref="H83:I83"/>
    <mergeCell ref="H85:I85"/>
    <mergeCell ref="H87:I87"/>
    <mergeCell ref="H88:I88"/>
    <mergeCell ref="H99:I99"/>
    <mergeCell ref="H101:I101"/>
    <mergeCell ref="E119:J119"/>
    <mergeCell ref="H103:I103"/>
    <mergeCell ref="H104:I104"/>
    <mergeCell ref="H136:I136"/>
    <mergeCell ref="H138:I138"/>
    <mergeCell ref="G144:J144"/>
    <mergeCell ref="H150:I150"/>
    <mergeCell ref="G147:J147"/>
    <mergeCell ref="G153:J153"/>
    <mergeCell ref="D155:K155"/>
    <mergeCell ref="G156:J156"/>
    <mergeCell ref="H192:I192"/>
    <mergeCell ref="H159:I159"/>
    <mergeCell ref="G162:J162"/>
    <mergeCell ref="D164:K164"/>
    <mergeCell ref="G165:J165"/>
    <mergeCell ref="H168:I168"/>
    <mergeCell ref="H170:I170"/>
    <mergeCell ref="H178:I178"/>
    <mergeCell ref="H180:I180"/>
    <mergeCell ref="G186:J186"/>
    <mergeCell ref="D188:K188"/>
    <mergeCell ref="G189:J189"/>
    <mergeCell ref="G207:J207"/>
    <mergeCell ref="H210:I210"/>
    <mergeCell ref="H212:I212"/>
    <mergeCell ref="G195:J195"/>
    <mergeCell ref="D197:K197"/>
    <mergeCell ref="G198:J198"/>
    <mergeCell ref="H201:I201"/>
    <mergeCell ref="G204:J204"/>
    <mergeCell ref="D206:K206"/>
  </mergeCells>
  <phoneticPr fontId="2"/>
  <conditionalFormatting sqref="F22 F34 F59 F75 F91 E119">
    <cfRule type="expression" dxfId="141" priority="226">
      <formula>$M22="error"</formula>
    </cfRule>
  </conditionalFormatting>
  <conditionalFormatting sqref="F13">
    <cfRule type="expression" dxfId="140" priority="229">
      <formula>$M$13="error"</formula>
    </cfRule>
  </conditionalFormatting>
  <conditionalFormatting sqref="F46">
    <cfRule type="expression" dxfId="139" priority="142">
      <formula>$P46="error"</formula>
    </cfRule>
    <cfRule type="expression" dxfId="138" priority="222">
      <formula>$M46="error"</formula>
    </cfRule>
  </conditionalFormatting>
  <conditionalFormatting sqref="G61">
    <cfRule type="expression" dxfId="137" priority="217">
      <formula>$N60="error"</formula>
    </cfRule>
    <cfRule type="expression" dxfId="136" priority="218">
      <formula>$N61="error"</formula>
    </cfRule>
  </conditionalFormatting>
  <conditionalFormatting sqref="J61">
    <cfRule type="expression" dxfId="135" priority="38">
      <formula>$P61="error"</formula>
    </cfRule>
    <cfRule type="expression" dxfId="134" priority="215">
      <formula>$O60="error"</formula>
    </cfRule>
    <cfRule type="expression" dxfId="133" priority="216">
      <formula>$O61="error"</formula>
    </cfRule>
  </conditionalFormatting>
  <conditionalFormatting sqref="G77">
    <cfRule type="expression" dxfId="132" priority="211">
      <formula>$N76="error"</formula>
    </cfRule>
    <cfRule type="expression" dxfId="131" priority="212">
      <formula>$N77="error"</formula>
    </cfRule>
  </conditionalFormatting>
  <conditionalFormatting sqref="H95">
    <cfRule type="expression" dxfId="130" priority="202">
      <formula>$M95="error"</formula>
    </cfRule>
  </conditionalFormatting>
  <conditionalFormatting sqref="G93">
    <cfRule type="expression" dxfId="129" priority="205">
      <formula>$N92="error"</formula>
    </cfRule>
    <cfRule type="expression" dxfId="128" priority="206">
      <formula>$N93="error"</formula>
    </cfRule>
  </conditionalFormatting>
  <conditionalFormatting sqref="H135">
    <cfRule type="expression" dxfId="127" priority="193">
      <formula>$M135="error"</formula>
    </cfRule>
  </conditionalFormatting>
  <conditionalFormatting sqref="F130">
    <cfRule type="expression" dxfId="126" priority="198">
      <formula>$M130="error"</formula>
    </cfRule>
  </conditionalFormatting>
  <conditionalFormatting sqref="G133">
    <cfRule type="expression" dxfId="125" priority="230">
      <formula>$N133="error"</formula>
    </cfRule>
  </conditionalFormatting>
  <conditionalFormatting sqref="J133">
    <cfRule type="expression" dxfId="124" priority="31">
      <formula>$P133="error"</formula>
    </cfRule>
    <cfRule type="expression" dxfId="123" priority="232">
      <formula>$O133="error"</formula>
    </cfRule>
  </conditionalFormatting>
  <conditionalFormatting sqref="G148">
    <cfRule type="expression" dxfId="122" priority="123">
      <formula>$P148="error"</formula>
    </cfRule>
    <cfRule type="expression" dxfId="121" priority="179">
      <formula>$N148="error"</formula>
    </cfRule>
  </conditionalFormatting>
  <conditionalFormatting sqref="J148">
    <cfRule type="expression" dxfId="120" priority="122">
      <formula>$Q148="error"</formula>
    </cfRule>
    <cfRule type="expression" dxfId="119" priority="180">
      <formula>$O148="error"</formula>
    </cfRule>
  </conditionalFormatting>
  <conditionalFormatting sqref="H177">
    <cfRule type="expression" dxfId="118" priority="170">
      <formula>$M177="error"</formula>
    </cfRule>
  </conditionalFormatting>
  <conditionalFormatting sqref="F172">
    <cfRule type="expression" dxfId="117" priority="171">
      <formula>$M172="error"</formula>
    </cfRule>
  </conditionalFormatting>
  <conditionalFormatting sqref="G175">
    <cfRule type="expression" dxfId="116" priority="172">
      <formula>$N175="error"</formula>
    </cfRule>
  </conditionalFormatting>
  <conditionalFormatting sqref="H234">
    <cfRule type="expression" dxfId="115" priority="160">
      <formula>$M234="error"</formula>
    </cfRule>
  </conditionalFormatting>
  <conditionalFormatting sqref="F229">
    <cfRule type="expression" dxfId="114" priority="161">
      <formula>$M229="error"</formula>
    </cfRule>
  </conditionalFormatting>
  <conditionalFormatting sqref="G232">
    <cfRule type="expression" dxfId="113" priority="162">
      <formula>$N232="error"</formula>
    </cfRule>
  </conditionalFormatting>
  <conditionalFormatting sqref="H79">
    <cfRule type="expression" dxfId="112" priority="151">
      <formula>$M79="error"</formula>
    </cfRule>
  </conditionalFormatting>
  <conditionalFormatting sqref="H63">
    <cfRule type="expression" dxfId="111" priority="150">
      <formula>$M63="error"</formula>
    </cfRule>
  </conditionalFormatting>
  <conditionalFormatting sqref="F21:I21">
    <cfRule type="expression" dxfId="110" priority="149">
      <formula>$M$21="error"</formula>
    </cfRule>
  </conditionalFormatting>
  <conditionalFormatting sqref="J46">
    <cfRule type="expression" dxfId="109" priority="148">
      <formula>$N46="error"</formula>
    </cfRule>
  </conditionalFormatting>
  <conditionalFormatting sqref="J47">
    <cfRule type="expression" dxfId="108" priority="54">
      <formula>$R47="error"</formula>
    </cfRule>
    <cfRule type="expression" dxfId="107" priority="147">
      <formula>$N47="error"</formula>
    </cfRule>
  </conditionalFormatting>
  <conditionalFormatting sqref="H46">
    <cfRule type="expression" dxfId="106" priority="145">
      <formula>$O46="error"</formula>
    </cfRule>
  </conditionalFormatting>
  <conditionalFormatting sqref="H47">
    <cfRule type="expression" dxfId="105" priority="55">
      <formula>$R47="error"</formula>
    </cfRule>
    <cfRule type="expression" dxfId="104" priority="144">
      <formula>$O47="error"</formula>
    </cfRule>
  </conditionalFormatting>
  <conditionalFormatting sqref="F47">
    <cfRule type="expression" dxfId="103" priority="56">
      <formula>$R47="error"</formula>
    </cfRule>
    <cfRule type="expression" dxfId="102" priority="140">
      <formula>$P47="error"</formula>
    </cfRule>
    <cfRule type="expression" dxfId="101" priority="141">
      <formula>$M47="error"</formula>
    </cfRule>
  </conditionalFormatting>
  <conditionalFormatting sqref="E46">
    <cfRule type="expression" dxfId="100" priority="137">
      <formula>$Q46="error"</formula>
    </cfRule>
  </conditionalFormatting>
  <conditionalFormatting sqref="E47">
    <cfRule type="expression" dxfId="99" priority="57">
      <formula>$R47="error"</formula>
    </cfRule>
    <cfRule type="expression" dxfId="98" priority="136">
      <formula>$Q47="error"</formula>
    </cfRule>
  </conditionalFormatting>
  <conditionalFormatting sqref="H75">
    <cfRule type="expression" dxfId="97" priority="129">
      <formula>$N75="error"</formula>
    </cfRule>
    <cfRule type="expression" dxfId="96" priority="13">
      <formula>$O75="error"</formula>
    </cfRule>
  </conditionalFormatting>
  <conditionalFormatting sqref="G147:J147">
    <cfRule type="expression" dxfId="95" priority="124">
      <formula>$P147="error"</formula>
    </cfRule>
  </conditionalFormatting>
  <conditionalFormatting sqref="H150:I150">
    <cfRule type="expression" dxfId="94" priority="121">
      <formula>$P150="error"</formula>
    </cfRule>
  </conditionalFormatting>
  <conditionalFormatting sqref="G157">
    <cfRule type="expression" dxfId="93" priority="117">
      <formula>$P157="error"</formula>
    </cfRule>
    <cfRule type="expression" dxfId="92" priority="119">
      <formula>$N157="error"</formula>
    </cfRule>
  </conditionalFormatting>
  <conditionalFormatting sqref="J157">
    <cfRule type="expression" dxfId="91" priority="116">
      <formula>$Q157="error"</formula>
    </cfRule>
    <cfRule type="expression" dxfId="90" priority="120">
      <formula>$O157="error"</formula>
    </cfRule>
  </conditionalFormatting>
  <conditionalFormatting sqref="G156:J156">
    <cfRule type="expression" dxfId="89" priority="118">
      <formula>$P156="error"</formula>
    </cfRule>
  </conditionalFormatting>
  <conditionalFormatting sqref="H159:I159">
    <cfRule type="expression" dxfId="88" priority="115">
      <formula>$P159="error"</formula>
    </cfRule>
  </conditionalFormatting>
  <conditionalFormatting sqref="G166">
    <cfRule type="expression" dxfId="87" priority="111">
      <formula>$P166="error"</formula>
    </cfRule>
    <cfRule type="expression" dxfId="86" priority="113">
      <formula>$N166="error"</formula>
    </cfRule>
  </conditionalFormatting>
  <conditionalFormatting sqref="J166">
    <cfRule type="expression" dxfId="85" priority="110">
      <formula>$Q166="error"</formula>
    </cfRule>
    <cfRule type="expression" dxfId="84" priority="114">
      <formula>$O166="error"</formula>
    </cfRule>
  </conditionalFormatting>
  <conditionalFormatting sqref="G165:J165">
    <cfRule type="expression" dxfId="83" priority="112">
      <formula>$P165="error"</formula>
    </cfRule>
  </conditionalFormatting>
  <conditionalFormatting sqref="H168:I168">
    <cfRule type="expression" dxfId="82" priority="109">
      <formula>$P168="error"</formula>
    </cfRule>
  </conditionalFormatting>
  <conditionalFormatting sqref="G190">
    <cfRule type="expression" dxfId="81" priority="105">
      <formula>$P190="error"</formula>
    </cfRule>
    <cfRule type="expression" dxfId="80" priority="107">
      <formula>$N190="error"</formula>
    </cfRule>
  </conditionalFormatting>
  <conditionalFormatting sqref="J190">
    <cfRule type="expression" dxfId="79" priority="104">
      <formula>$Q190="error"</formula>
    </cfRule>
    <cfRule type="expression" dxfId="78" priority="108">
      <formula>$O190="error"</formula>
    </cfRule>
  </conditionalFormatting>
  <conditionalFormatting sqref="G189:J189">
    <cfRule type="expression" dxfId="77" priority="106">
      <formula>$P189="error"</formula>
    </cfRule>
  </conditionalFormatting>
  <conditionalFormatting sqref="H192:I192">
    <cfRule type="expression" dxfId="76" priority="103">
      <formula>$P192="error"</formula>
    </cfRule>
  </conditionalFormatting>
  <conditionalFormatting sqref="G199">
    <cfRule type="expression" dxfId="75" priority="99">
      <formula>$P199="error"</formula>
    </cfRule>
    <cfRule type="expression" dxfId="74" priority="101">
      <formula>$N199="error"</formula>
    </cfRule>
  </conditionalFormatting>
  <conditionalFormatting sqref="J199">
    <cfRule type="expression" dxfId="73" priority="98">
      <formula>$Q199="error"</formula>
    </cfRule>
    <cfRule type="expression" dxfId="72" priority="102">
      <formula>$O199="error"</formula>
    </cfRule>
  </conditionalFormatting>
  <conditionalFormatting sqref="G198:J198">
    <cfRule type="expression" dxfId="71" priority="100">
      <formula>$P198="error"</formula>
    </cfRule>
  </conditionalFormatting>
  <conditionalFormatting sqref="H201:I201">
    <cfRule type="expression" dxfId="70" priority="97">
      <formula>$P201="error"</formula>
    </cfRule>
  </conditionalFormatting>
  <conditionalFormatting sqref="G208">
    <cfRule type="expression" dxfId="69" priority="93">
      <formula>$P208="error"</formula>
    </cfRule>
    <cfRule type="expression" dxfId="68" priority="95">
      <formula>$N208="error"</formula>
    </cfRule>
  </conditionalFormatting>
  <conditionalFormatting sqref="J208">
    <cfRule type="expression" dxfId="67" priority="92">
      <formula>$Q208="error"</formula>
    </cfRule>
    <cfRule type="expression" dxfId="66" priority="96">
      <formula>$O208="error"</formula>
    </cfRule>
  </conditionalFormatting>
  <conditionalFormatting sqref="G207:J207">
    <cfRule type="expression" dxfId="65" priority="94">
      <formula>$P207="error"</formula>
    </cfRule>
  </conditionalFormatting>
  <conditionalFormatting sqref="H210:I210">
    <cfRule type="expression" dxfId="64" priority="91">
      <formula>$P210="error"</formula>
    </cfRule>
  </conditionalFormatting>
  <conditionalFormatting sqref="G247">
    <cfRule type="expression" dxfId="63" priority="87">
      <formula>$P247="error"</formula>
    </cfRule>
    <cfRule type="expression" dxfId="62" priority="89">
      <formula>$N247="error"</formula>
    </cfRule>
  </conditionalFormatting>
  <conditionalFormatting sqref="J247">
    <cfRule type="expression" dxfId="61" priority="86">
      <formula>$Q247="error"</formula>
    </cfRule>
    <cfRule type="expression" dxfId="60" priority="90">
      <formula>$O247="error"</formula>
    </cfRule>
  </conditionalFormatting>
  <conditionalFormatting sqref="G246:J246">
    <cfRule type="expression" dxfId="59" priority="88">
      <formula>$P246="error"</formula>
    </cfRule>
  </conditionalFormatting>
  <conditionalFormatting sqref="H249:I249">
    <cfRule type="expression" dxfId="58" priority="85">
      <formula>$P249="error"</formula>
    </cfRule>
  </conditionalFormatting>
  <conditionalFormatting sqref="G256">
    <cfRule type="expression" dxfId="57" priority="81">
      <formula>$P256="error"</formula>
    </cfRule>
    <cfRule type="expression" dxfId="56" priority="83">
      <formula>$N256="error"</formula>
    </cfRule>
  </conditionalFormatting>
  <conditionalFormatting sqref="J256">
    <cfRule type="expression" dxfId="55" priority="80">
      <formula>$Q256="error"</formula>
    </cfRule>
    <cfRule type="expression" dxfId="54" priority="84">
      <formula>$O256="error"</formula>
    </cfRule>
  </conditionalFormatting>
  <conditionalFormatting sqref="G255:J255">
    <cfRule type="expression" dxfId="53" priority="82">
      <formula>$P255="error"</formula>
    </cfRule>
  </conditionalFormatting>
  <conditionalFormatting sqref="H258:I258">
    <cfRule type="expression" dxfId="52" priority="79">
      <formula>$P258="error"</formula>
    </cfRule>
  </conditionalFormatting>
  <conditionalFormatting sqref="G265">
    <cfRule type="expression" dxfId="51" priority="75">
      <formula>$P265="error"</formula>
    </cfRule>
    <cfRule type="expression" dxfId="50" priority="77">
      <formula>$N265="error"</formula>
    </cfRule>
  </conditionalFormatting>
  <conditionalFormatting sqref="J265">
    <cfRule type="expression" dxfId="49" priority="74">
      <formula>$Q265="error"</formula>
    </cfRule>
    <cfRule type="expression" dxfId="48" priority="78">
      <formula>$O265="error"</formula>
    </cfRule>
  </conditionalFormatting>
  <conditionalFormatting sqref="G264:J264">
    <cfRule type="expression" dxfId="47" priority="76">
      <formula>$P264="error"</formula>
    </cfRule>
  </conditionalFormatting>
  <conditionalFormatting sqref="H267:I267">
    <cfRule type="expression" dxfId="46" priority="73">
      <formula>$P267="error"</formula>
    </cfRule>
  </conditionalFormatting>
  <conditionalFormatting sqref="J51">
    <cfRule type="expression" dxfId="45" priority="43">
      <formula>$S51="error"</formula>
    </cfRule>
    <cfRule type="expression" dxfId="44" priority="62">
      <formula>$N51="error"</formula>
    </cfRule>
  </conditionalFormatting>
  <conditionalFormatting sqref="H51">
    <cfRule type="expression" dxfId="43" priority="61">
      <formula>$O51="error"</formula>
    </cfRule>
  </conditionalFormatting>
  <conditionalFormatting sqref="F51">
    <cfRule type="expression" dxfId="42" priority="59">
      <formula>$P51="error"</formula>
    </cfRule>
    <cfRule type="expression" dxfId="41" priority="60">
      <formula>$M51="error"</formula>
    </cfRule>
  </conditionalFormatting>
  <conditionalFormatting sqref="E51">
    <cfRule type="expression" dxfId="40" priority="58">
      <formula>$Q51="error"</formula>
    </cfRule>
  </conditionalFormatting>
  <conditionalFormatting sqref="J52">
    <cfRule type="expression" dxfId="39" priority="42">
      <formula>$S52="error"</formula>
    </cfRule>
    <cfRule type="expression" dxfId="38" priority="45">
      <formula>$R52="error"</formula>
    </cfRule>
    <cfRule type="expression" dxfId="37" priority="53">
      <formula>$N52="error"</formula>
    </cfRule>
  </conditionalFormatting>
  <conditionalFormatting sqref="H52">
    <cfRule type="expression" dxfId="36" priority="46">
      <formula>$R52="error"</formula>
    </cfRule>
    <cfRule type="expression" dxfId="35" priority="52">
      <formula>$O52="error"</formula>
    </cfRule>
  </conditionalFormatting>
  <conditionalFormatting sqref="F52">
    <cfRule type="expression" dxfId="34" priority="47">
      <formula>$R52="error"</formula>
    </cfRule>
    <cfRule type="expression" dxfId="33" priority="50">
      <formula>$P52="error"</formula>
    </cfRule>
    <cfRule type="expression" dxfId="32" priority="51">
      <formula>$M52="error"</formula>
    </cfRule>
  </conditionalFormatting>
  <conditionalFormatting sqref="E52">
    <cfRule type="expression" dxfId="31" priority="48">
      <formula>$R52="error"</formula>
    </cfRule>
    <cfRule type="expression" dxfId="30" priority="49">
      <formula>$Q52="error"</formula>
    </cfRule>
  </conditionalFormatting>
  <conditionalFormatting sqref="E43">
    <cfRule type="expression" dxfId="29" priority="44">
      <formula>$M43="error"</formula>
    </cfRule>
  </conditionalFormatting>
  <conditionalFormatting sqref="J13">
    <cfRule type="expression" dxfId="28" priority="41">
      <formula>$N13="error"</formula>
    </cfRule>
  </conditionalFormatting>
  <conditionalFormatting sqref="J22">
    <cfRule type="expression" dxfId="27" priority="40">
      <formula>$N22="error"</formula>
    </cfRule>
  </conditionalFormatting>
  <conditionalFormatting sqref="J34">
    <cfRule type="expression" dxfId="26" priority="39">
      <formula>$N34="error"</formula>
    </cfRule>
  </conditionalFormatting>
  <conditionalFormatting sqref="J77">
    <cfRule type="expression" dxfId="25" priority="35">
      <formula>$P77="error"</formula>
    </cfRule>
    <cfRule type="expression" dxfId="24" priority="36">
      <formula>$O76="error"</formula>
    </cfRule>
    <cfRule type="expression" dxfId="23" priority="37">
      <formula>$O77="error"</formula>
    </cfRule>
  </conditionalFormatting>
  <conditionalFormatting sqref="J93">
    <cfRule type="expression" dxfId="22" priority="32">
      <formula>$P93="error"</formula>
    </cfRule>
    <cfRule type="expression" dxfId="21" priority="33">
      <formula>$O92="error"</formula>
    </cfRule>
    <cfRule type="expression" dxfId="20" priority="34">
      <formula>$O93="error"</formula>
    </cfRule>
  </conditionalFormatting>
  <conditionalFormatting sqref="J175">
    <cfRule type="expression" dxfId="19" priority="29">
      <formula>$P175="error"</formula>
    </cfRule>
    <cfRule type="expression" dxfId="18" priority="30">
      <formula>$O175="error"</formula>
    </cfRule>
  </conditionalFormatting>
  <conditionalFormatting sqref="J232">
    <cfRule type="expression" dxfId="17" priority="27">
      <formula>$P232="error"</formula>
    </cfRule>
    <cfRule type="expression" dxfId="16" priority="28">
      <formula>$O232="error"</formula>
    </cfRule>
  </conditionalFormatting>
  <conditionalFormatting sqref="F33:I33">
    <cfRule type="expression" dxfId="15" priority="26">
      <formula>$M$33="error"</formula>
    </cfRule>
  </conditionalFormatting>
  <conditionalFormatting sqref="H229">
    <cfRule type="expression" dxfId="14" priority="25">
      <formula>$N229="error"</formula>
    </cfRule>
  </conditionalFormatting>
  <conditionalFormatting sqref="H172">
    <cfRule type="expression" dxfId="13" priority="24">
      <formula>$N172="error"</formula>
    </cfRule>
  </conditionalFormatting>
  <conditionalFormatting sqref="H59">
    <cfRule type="expression" dxfId="12" priority="14">
      <formula>$N59="error"</formula>
    </cfRule>
  </conditionalFormatting>
  <conditionalFormatting sqref="H91">
    <cfRule type="expression" dxfId="11" priority="11">
      <formula>$O91="error"</formula>
    </cfRule>
    <cfRule type="expression" dxfId="10" priority="12">
      <formula>$N91="error"</formula>
    </cfRule>
  </conditionalFormatting>
  <conditionalFormatting sqref="E117:H117">
    <cfRule type="expression" dxfId="9" priority="10">
      <formula>$M117="error"</formula>
    </cfRule>
  </conditionalFormatting>
  <conditionalFormatting sqref="E121">
    <cfRule type="expression" dxfId="8" priority="9">
      <formula>$M121="error"</formula>
    </cfRule>
  </conditionalFormatting>
  <conditionalFormatting sqref="F124:F125">
    <cfRule type="expression" dxfId="7" priority="6">
      <formula>$N124="error"</formula>
    </cfRule>
    <cfRule type="expression" dxfId="6" priority="8">
      <formula>$M124="error"</formula>
    </cfRule>
  </conditionalFormatting>
  <conditionalFormatting sqref="E124:E125">
    <cfRule type="expression" dxfId="5" priority="7">
      <formula>$N124="error"</formula>
    </cfRule>
  </conditionalFormatting>
  <conditionalFormatting sqref="H124:H125">
    <cfRule type="expression" dxfId="4" priority="5">
      <formula>$N124="error"</formula>
    </cfRule>
  </conditionalFormatting>
  <conditionalFormatting sqref="J124:J125">
    <cfRule type="expression" dxfId="3" priority="4">
      <formula>$N124="error"</formula>
    </cfRule>
  </conditionalFormatting>
  <conditionalFormatting sqref="J124:J125">
    <cfRule type="expression" dxfId="2" priority="3">
      <formula>$O124="error"</formula>
    </cfRule>
  </conditionalFormatting>
  <conditionalFormatting sqref="J125">
    <cfRule type="expression" dxfId="1" priority="2">
      <formula>$O125="error"</formula>
    </cfRule>
  </conditionalFormatting>
  <conditionalFormatting sqref="J125">
    <cfRule type="expression" dxfId="0" priority="1">
      <formula>$O125="error"</formula>
    </cfRule>
  </conditionalFormatting>
  <dataValidations count="16">
    <dataValidation type="whole" allowBlank="1" showInputMessage="1" showErrorMessage="1" sqref="H13 J13" xr:uid="{D880738D-55CA-448B-A597-7592311C7EF2}">
      <formula1>1</formula1>
      <formula2>50</formula2>
    </dataValidation>
    <dataValidation type="list" allowBlank="1" showInputMessage="1" showErrorMessage="1" sqref="E13 E59 E46:E47 E75 E91 E229 E130 E172 E51:E52 E124:E125" xr:uid="{391EFD5C-210D-450C-BD28-C677A7E20BB8}">
      <formula1>"令和,西暦"</formula1>
    </dataValidation>
    <dataValidation type="list" allowBlank="1" showInputMessage="1" showErrorMessage="1" sqref="F20:I20" xr:uid="{5DA3A440-4344-4A27-80DD-F19C1E1580A3}">
      <formula1>"父,母,祖父,祖母,その他"</formula1>
    </dataValidation>
    <dataValidation type="list" allowBlank="1" showInputMessage="1" showErrorMessage="1" sqref="E22" xr:uid="{21F2F6C1-B4A5-45D7-B1B1-E414C833F295}">
      <formula1>"明治,大正,昭和,平成,令和,西暦"</formula1>
    </dataValidation>
    <dataValidation type="whole" allowBlank="1" showInputMessage="1" showErrorMessage="1" sqref="F33:I33" xr:uid="{E51202CB-F73B-40FC-B80E-2D4CC8894D38}">
      <formula1>1</formula1>
      <formula2>9999999</formula2>
    </dataValidation>
    <dataValidation type="list" allowBlank="1" showInputMessage="1" showErrorMessage="1" sqref="E34" xr:uid="{086C91A7-D36B-4084-A741-55334AB8BFA3}">
      <formula1>"平成,令和,西暦"</formula1>
    </dataValidation>
    <dataValidation type="whole" allowBlank="1" showInputMessage="1" showErrorMessage="1" sqref="H34 H22 H59 H91 H46:H47 H75 H229 H130 H172 H51:H52 H124:H125" xr:uid="{E0D60BC5-9B0B-4096-9553-A896B50A561B}">
      <formula1>1</formula1>
      <formula2>12</formula2>
    </dataValidation>
    <dataValidation type="whole" allowBlank="1" showInputMessage="1" showErrorMessage="1" sqref="J34 J22 H65 G61 J61 H63 J46:J47 J51:J52 G77 J77 H79 G256 G93 J93 J256 G247 G133 J133 H135 G148 J148 J247 H97 G157 J157 G175 J175 H177 G166 J166 G190 J190 G199 J199 G232 J232 H234 G208 J208 G265 J265 H81 J124:J125" xr:uid="{B9C28297-50AB-4677-98F3-6C54AABDDD33}">
      <formula1>1</formula1>
      <formula2>31</formula2>
    </dataValidation>
    <dataValidation type="whole" allowBlank="1" showInputMessage="1" showErrorMessage="1" sqref="F22 F13 F34 F59 F46:F47 F75 F91 F229 F130 F172 F51:F52 F124:F125" xr:uid="{69F485BD-083B-4D80-B63E-808A958314EB}">
      <formula1>1</formula1>
      <formula2>2100</formula2>
    </dataValidation>
    <dataValidation type="list" allowBlank="1" showInputMessage="1" showErrorMessage="1" sqref="E43" xr:uid="{2BE3A870-1FF7-4F7B-885F-13DCF1C58059}">
      <formula1>"1,2,3"</formula1>
    </dataValidation>
    <dataValidation type="whole" operator="greaterThanOrEqual" allowBlank="1" showInputMessage="1" showErrorMessage="1" sqref="H258:I258 H85:I85 H83:I83 H69:I69 H101:I101 H67:I67 H99:I99 H136:I136 H150:I150 H249:I249 H159:I159 H178:I178 H168:I168 H192:I192 H201:I201 H235:I235 H210:I210 H267:I267" xr:uid="{0F0839C9-7CF2-4C5C-9C0F-94ECD94DB6CE}">
      <formula1>0</formula1>
    </dataValidation>
    <dataValidation type="list" allowBlank="1" showInputMessage="1" showErrorMessage="1" sqref="G147:J147 G255:J255 G156:J156 G165:J165 G189:J189 G198:J198 G207:J207 G246:J246 G264:J264" xr:uid="{0DC44626-84C0-4DF3-AAFC-5A50DAA66961}">
      <formula1>"認可外保育施設,一時預かり事業,病児保育事業,子育て援助活動支援事業"</formula1>
    </dataValidation>
    <dataValidation type="whole" allowBlank="1" showInputMessage="1" showErrorMessage="1" sqref="H95" xr:uid="{AF9E32D6-C467-4809-9798-6C10BD3213AC}">
      <formula1>0</formula1>
      <formula2>31</formula2>
    </dataValidation>
    <dataValidation type="list" allowBlank="1" showInputMessage="1" showErrorMessage="1" sqref="G116" xr:uid="{A6149200-E206-4E92-9C2F-1F9205583DBE}">
      <formula1>"同上,　"</formula1>
    </dataValidation>
    <dataValidation imeMode="fullKatakana" allowBlank="1" showInputMessage="1" showErrorMessage="1" sqref="F19:I19 F32:I32" xr:uid="{02787131-00FE-4B07-A981-B8F98BF12A35}"/>
    <dataValidation type="list" allowBlank="1" showInputMessage="1" showErrorMessage="1" sqref="E121" xr:uid="{8AC12EEF-24D0-4B78-B6D3-DEDC5665B1EF}">
      <formula1>"2,3"</formula1>
    </dataValidation>
  </dataValidations>
  <pageMargins left="0.70866141732283472" right="0.70866141732283472" top="0.55118110236220474" bottom="0.55118110236220474" header="0.31496062992125984" footer="0.31496062992125984"/>
  <pageSetup paperSize="9" scale="98" fitToHeight="0" orientation="portrait" verticalDpi="0" r:id="rId1"/>
  <rowBreaks count="4" manualBreakCount="4">
    <brk id="55" max="10" man="1"/>
    <brk id="112" max="10" man="1"/>
    <brk id="170" max="10" man="1"/>
    <brk id="227" max="1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420379-7420-49FC-A2FA-7A81A09BBB1C}">
          <x14:formula1>
            <xm:f>【触らない】リスト!$C$1:$C$11</xm:f>
          </x14:formula1>
          <xm:sqref>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481EC-D831-48CA-AE65-2424FD20C054}">
  <sheetPr codeName="Sheet3">
    <tabColor rgb="FFFFC000"/>
  </sheetPr>
  <dimension ref="A1:AB608"/>
  <sheetViews>
    <sheetView showGridLines="0" view="pageBreakPreview" zoomScaleNormal="100" zoomScaleSheetLayoutView="100" workbookViewId="0"/>
  </sheetViews>
  <sheetFormatPr defaultRowHeight="12.75"/>
  <cols>
    <col min="1" max="43" width="3.125" style="1" customWidth="1"/>
    <col min="44" max="16384" width="9" style="1"/>
  </cols>
  <sheetData>
    <row r="1" spans="1:28" ht="15.95" customHeight="1">
      <c r="O1" s="5"/>
      <c r="P1" s="97" t="s">
        <v>2</v>
      </c>
      <c r="Q1" s="97"/>
      <c r="R1" s="97"/>
      <c r="S1" s="97" t="str">
        <f>IF(入力用!E13="西暦",IF(【触らない】リスト!E5=1,【触らない】リスト!E4&amp;" 元",【触らない】リスト!E4&amp;" "&amp;DBCS(【触らない】リスト!E5)),IF(入力用!F13=1,入力用!E13&amp;" 元",入力用!E13&amp;" "&amp;DBCS(入力用!F13)))</f>
        <v xml:space="preserve"> </v>
      </c>
      <c r="T1" s="97"/>
      <c r="U1" s="97"/>
      <c r="V1" s="3" t="s">
        <v>1</v>
      </c>
      <c r="W1" s="97" t="str">
        <f>DBCS(入力用!H13)</f>
        <v/>
      </c>
      <c r="X1" s="97"/>
      <c r="Y1" s="3" t="s">
        <v>17</v>
      </c>
      <c r="Z1" s="97" t="str">
        <f>DBCS(入力用!J13)</f>
        <v/>
      </c>
      <c r="AA1" s="97"/>
      <c r="AB1" s="3" t="s">
        <v>0</v>
      </c>
    </row>
    <row r="2" spans="1:28" ht="15.95" customHeight="1">
      <c r="B2" s="1" t="s">
        <v>3</v>
      </c>
    </row>
    <row r="3" spans="1:28" ht="15.95" customHeight="1"/>
    <row r="4" spans="1:28" ht="15.95" customHeight="1">
      <c r="A4" s="98" t="s">
        <v>47</v>
      </c>
      <c r="B4" s="98"/>
      <c r="C4" s="98"/>
      <c r="D4" s="98"/>
      <c r="E4" s="98"/>
      <c r="F4" s="98"/>
      <c r="G4" s="98"/>
      <c r="H4" s="98"/>
      <c r="I4" s="98"/>
      <c r="J4" s="98"/>
      <c r="K4" s="98"/>
      <c r="L4" s="98"/>
      <c r="M4" s="98"/>
      <c r="N4" s="98"/>
      <c r="O4" s="98"/>
      <c r="P4" s="98"/>
      <c r="Q4" s="98"/>
      <c r="R4" s="98"/>
      <c r="S4" s="98"/>
      <c r="T4" s="98"/>
      <c r="U4" s="98"/>
      <c r="V4" s="98"/>
      <c r="W4" s="98"/>
      <c r="X4" s="98"/>
      <c r="Y4" s="98"/>
      <c r="Z4" s="98"/>
      <c r="AA4" s="98"/>
      <c r="AB4" s="98"/>
    </row>
    <row r="5" spans="1:28" ht="15.95" customHeight="1">
      <c r="A5" s="99" t="s">
        <v>53</v>
      </c>
      <c r="B5" s="99"/>
      <c r="C5" s="99"/>
      <c r="D5" s="99"/>
      <c r="E5" s="99"/>
      <c r="F5" s="99"/>
      <c r="G5" s="99"/>
      <c r="H5" s="99"/>
      <c r="I5" s="99"/>
      <c r="J5" s="99"/>
      <c r="K5" s="99"/>
      <c r="L5" s="99"/>
      <c r="M5" s="99"/>
      <c r="N5" s="99"/>
      <c r="O5" s="99"/>
      <c r="P5" s="99"/>
      <c r="Q5" s="99"/>
      <c r="R5" s="99"/>
      <c r="S5" s="99"/>
      <c r="T5" s="99"/>
      <c r="U5" s="99"/>
      <c r="V5" s="99"/>
      <c r="W5" s="99"/>
      <c r="X5" s="99"/>
      <c r="Y5" s="99"/>
      <c r="Z5" s="99"/>
      <c r="AA5" s="99"/>
      <c r="AB5" s="99"/>
    </row>
    <row r="6" spans="1:28" ht="15.95" customHeight="1"/>
    <row r="7" spans="1:28" ht="15.95" customHeight="1">
      <c r="A7" s="88" t="s">
        <v>64</v>
      </c>
      <c r="B7" s="88"/>
      <c r="C7" s="88"/>
      <c r="D7" s="88"/>
      <c r="E7" s="88"/>
      <c r="F7" s="88"/>
      <c r="G7" s="88"/>
      <c r="H7" s="88"/>
      <c r="I7" s="88"/>
      <c r="J7" s="88"/>
      <c r="K7" s="88"/>
      <c r="L7" s="88"/>
      <c r="M7" s="88"/>
      <c r="N7" s="88"/>
      <c r="O7" s="88"/>
      <c r="P7" s="88"/>
      <c r="Q7" s="88"/>
      <c r="R7" s="88"/>
      <c r="S7" s="88"/>
      <c r="T7" s="88"/>
      <c r="U7" s="88"/>
      <c r="V7" s="88"/>
      <c r="W7" s="88"/>
      <c r="X7" s="88"/>
      <c r="Y7" s="88"/>
      <c r="Z7" s="88"/>
      <c r="AA7" s="88"/>
      <c r="AB7" s="88"/>
    </row>
    <row r="8" spans="1:28" ht="15.95" customHeight="1">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row>
    <row r="9" spans="1:28" ht="15.95" customHeight="1">
      <c r="A9" s="89" t="s">
        <v>66</v>
      </c>
      <c r="B9" s="89"/>
      <c r="C9" s="89"/>
      <c r="D9" s="89"/>
      <c r="E9" s="89"/>
      <c r="F9" s="89"/>
      <c r="G9" s="89"/>
      <c r="H9" s="89"/>
      <c r="I9" s="89"/>
      <c r="J9" s="89"/>
      <c r="K9" s="89"/>
      <c r="L9" s="89"/>
      <c r="M9" s="89"/>
      <c r="N9" s="89"/>
      <c r="O9" s="89"/>
      <c r="P9" s="89"/>
      <c r="Q9" s="89"/>
      <c r="R9" s="89"/>
      <c r="S9" s="89"/>
      <c r="T9" s="89"/>
      <c r="U9" s="89"/>
      <c r="V9" s="89"/>
      <c r="W9" s="89"/>
      <c r="X9" s="89"/>
      <c r="Y9" s="89"/>
      <c r="Z9" s="89"/>
      <c r="AA9" s="89"/>
      <c r="AB9" s="89"/>
    </row>
    <row r="10" spans="1:28" ht="15.95" customHeight="1">
      <c r="A10" s="1" t="s">
        <v>4</v>
      </c>
    </row>
    <row r="11" spans="1:28" ht="15.95" customHeight="1">
      <c r="A11" s="89" t="s">
        <v>58</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row>
    <row r="12" spans="1:28" ht="15.95" customHeight="1">
      <c r="A12" s="89" t="s">
        <v>46</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row>
    <row r="13" spans="1:28" ht="15.95" customHeight="1">
      <c r="A13" s="89" t="s">
        <v>59</v>
      </c>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row>
    <row r="14" spans="1:28" ht="15.95" customHeight="1">
      <c r="N14" s="1" t="s">
        <v>65</v>
      </c>
    </row>
    <row r="15" spans="1:28" ht="15.95" customHeight="1">
      <c r="A15" s="1" t="s">
        <v>5</v>
      </c>
    </row>
    <row r="16" spans="1:28" ht="15.95" customHeight="1">
      <c r="A16" s="30" t="s">
        <v>56</v>
      </c>
    </row>
    <row r="17" spans="1:28" s="2" customFormat="1" ht="15.95" customHeight="1">
      <c r="A17" s="90" t="s">
        <v>6</v>
      </c>
      <c r="B17" s="90"/>
      <c r="C17" s="91"/>
      <c r="D17" s="96" t="str">
        <f>IF(OR(入力用!F19="",入力用!M9="error"),"",入力用!F19)</f>
        <v/>
      </c>
      <c r="E17" s="96"/>
      <c r="F17" s="96"/>
      <c r="G17" s="96"/>
      <c r="H17" s="96"/>
      <c r="I17" s="96"/>
      <c r="J17" s="96"/>
      <c r="K17" s="96"/>
      <c r="L17" s="109" t="s">
        <v>57</v>
      </c>
      <c r="M17" s="110"/>
      <c r="N17" s="111" t="str">
        <f>IF(OR(入力用!F20="",入力用!M9="error"),"",IF(入力用!F20="その他",入力用!F21,入力用!F20))</f>
        <v/>
      </c>
      <c r="O17" s="111"/>
      <c r="P17" s="95" t="s">
        <v>7</v>
      </c>
      <c r="Q17" s="114"/>
      <c r="R17" s="115"/>
      <c r="S17" s="114" t="str">
        <f>IF(入力用!E22="西暦",IF(【触らない】リスト!E11=1,【触らない】リスト!E10&amp;" 元",【触らない】リスト!E10&amp;" "&amp;DBCS(【触らない】リスト!E11)),IF(入力用!F22=1,入力用!E22&amp;" 元",入力用!E22&amp;" "&amp;DBCS(入力用!F22)))</f>
        <v xml:space="preserve"> </v>
      </c>
      <c r="T17" s="114"/>
      <c r="U17" s="114"/>
      <c r="V17" s="7" t="s">
        <v>1</v>
      </c>
      <c r="W17" s="114" t="str">
        <f>DBCS(入力用!H22)</f>
        <v/>
      </c>
      <c r="X17" s="114"/>
      <c r="Y17" s="7" t="s">
        <v>9</v>
      </c>
      <c r="Z17" s="114" t="str">
        <f>DBCS(入力用!J22)</f>
        <v/>
      </c>
      <c r="AA17" s="114"/>
      <c r="AB17" s="8" t="s">
        <v>0</v>
      </c>
    </row>
    <row r="18" spans="1:28" s="2" customFormat="1" ht="15.95" customHeight="1">
      <c r="A18" s="92" t="s">
        <v>11</v>
      </c>
      <c r="B18" s="92"/>
      <c r="C18" s="93"/>
      <c r="D18" s="100" t="str">
        <f>IF(OR(入力用!F18="",入力用!M9="error"),"",入力用!F18)</f>
        <v/>
      </c>
      <c r="E18" s="101"/>
      <c r="F18" s="101"/>
      <c r="G18" s="101"/>
      <c r="H18" s="101"/>
      <c r="I18" s="101"/>
      <c r="J18" s="101"/>
      <c r="K18" s="106" t="s">
        <v>23</v>
      </c>
      <c r="L18" s="109"/>
      <c r="M18" s="110"/>
      <c r="N18" s="111"/>
      <c r="O18" s="111"/>
      <c r="P18" s="112" t="s">
        <v>8</v>
      </c>
      <c r="Q18" s="116" t="str">
        <f>"京都市"&amp;入力用!F24&amp;入力用!D26</f>
        <v>京都市</v>
      </c>
      <c r="R18" s="117"/>
      <c r="S18" s="117"/>
      <c r="T18" s="117"/>
      <c r="U18" s="117"/>
      <c r="V18" s="117"/>
      <c r="W18" s="117"/>
      <c r="X18" s="117"/>
      <c r="Y18" s="117"/>
      <c r="Z18" s="117"/>
      <c r="AA18" s="117"/>
      <c r="AB18" s="118"/>
    </row>
    <row r="19" spans="1:28" s="2" customFormat="1" ht="15.95" customHeight="1">
      <c r="A19" s="94"/>
      <c r="B19" s="94"/>
      <c r="C19" s="95"/>
      <c r="D19" s="102"/>
      <c r="E19" s="103"/>
      <c r="F19" s="103"/>
      <c r="G19" s="103"/>
      <c r="H19" s="103"/>
      <c r="I19" s="103"/>
      <c r="J19" s="103"/>
      <c r="K19" s="107"/>
      <c r="L19" s="109"/>
      <c r="M19" s="110"/>
      <c r="N19" s="111"/>
      <c r="O19" s="111"/>
      <c r="P19" s="112"/>
      <c r="Q19" s="116"/>
      <c r="R19" s="117"/>
      <c r="S19" s="117"/>
      <c r="T19" s="117"/>
      <c r="U19" s="117"/>
      <c r="V19" s="117"/>
      <c r="W19" s="117"/>
      <c r="X19" s="117"/>
      <c r="Y19" s="117"/>
      <c r="Z19" s="117"/>
      <c r="AA19" s="117"/>
      <c r="AB19" s="118"/>
    </row>
    <row r="20" spans="1:28" s="2" customFormat="1" ht="15.95" customHeight="1">
      <c r="A20" s="94"/>
      <c r="B20" s="94"/>
      <c r="C20" s="95"/>
      <c r="D20" s="104"/>
      <c r="E20" s="105"/>
      <c r="F20" s="105"/>
      <c r="G20" s="105"/>
      <c r="H20" s="105"/>
      <c r="I20" s="105"/>
      <c r="J20" s="105"/>
      <c r="K20" s="108"/>
      <c r="L20" s="109"/>
      <c r="M20" s="110"/>
      <c r="N20" s="111"/>
      <c r="O20" s="111"/>
      <c r="P20" s="113"/>
      <c r="Q20" s="119" t="s">
        <v>10</v>
      </c>
      <c r="R20" s="120"/>
      <c r="S20" s="121" t="str">
        <f>IF(入力用!E28="","",DBCS(入力用!E28))</f>
        <v/>
      </c>
      <c r="T20" s="121"/>
      <c r="U20" s="121"/>
      <c r="V20" s="121"/>
      <c r="W20" s="121"/>
      <c r="X20" s="121"/>
      <c r="Y20" s="121"/>
      <c r="Z20" s="121"/>
      <c r="AA20" s="121"/>
      <c r="AB20" s="122"/>
    </row>
    <row r="21" spans="1:28" ht="9.9499999999999993" customHeight="1"/>
    <row r="22" spans="1:28" ht="15.95" customHeight="1">
      <c r="A22" s="1" t="s">
        <v>12</v>
      </c>
    </row>
    <row r="23" spans="1:28" ht="15.95" customHeight="1">
      <c r="A23" s="90" t="s">
        <v>6</v>
      </c>
      <c r="B23" s="90"/>
      <c r="C23" s="90"/>
      <c r="D23" s="96" t="str">
        <f>IF(OR(入力用!F32="",入力用!M9="error"),"",入力用!F32)</f>
        <v/>
      </c>
      <c r="E23" s="96"/>
      <c r="F23" s="96"/>
      <c r="G23" s="96"/>
      <c r="H23" s="96"/>
      <c r="I23" s="96"/>
      <c r="J23" s="96"/>
      <c r="K23" s="96"/>
      <c r="L23" s="114" t="s">
        <v>13</v>
      </c>
      <c r="M23" s="114"/>
      <c r="N23" s="115"/>
      <c r="O23" s="136" t="str">
        <f>DBCS(入力用!F33)</f>
        <v/>
      </c>
      <c r="P23" s="137"/>
      <c r="Q23" s="137"/>
      <c r="R23" s="137"/>
      <c r="S23" s="137"/>
      <c r="T23" s="137"/>
      <c r="U23" s="137"/>
      <c r="V23" s="137"/>
      <c r="W23" s="137"/>
      <c r="X23" s="138"/>
      <c r="Y23" s="4"/>
      <c r="Z23" s="5"/>
      <c r="AA23" s="5"/>
      <c r="AB23" s="4"/>
    </row>
    <row r="24" spans="1:28" ht="15.95" customHeight="1">
      <c r="A24" s="92" t="s">
        <v>11</v>
      </c>
      <c r="B24" s="92"/>
      <c r="C24" s="92"/>
      <c r="D24" s="100" t="str">
        <f>IF(OR(入力用!F31="",入力用!M9="error"),"",入力用!F31)</f>
        <v/>
      </c>
      <c r="E24" s="101"/>
      <c r="F24" s="101"/>
      <c r="G24" s="101"/>
      <c r="H24" s="101"/>
      <c r="I24" s="101"/>
      <c r="J24" s="101"/>
      <c r="K24" s="139"/>
      <c r="L24" s="114" t="s">
        <v>7</v>
      </c>
      <c r="M24" s="114"/>
      <c r="N24" s="115"/>
      <c r="O24" s="114" t="str">
        <f>IF(入力用!E34="西暦",IF(【触らない】リスト!E17=1,【触らない】リスト!E16&amp;" 元",【触らない】リスト!E16&amp;" "&amp;DBCS(【触らない】リスト!E17)),IF(入力用!F34=1,入力用!E34&amp;" 元",入力用!E34&amp;" "&amp;DBCS(入力用!F34)))</f>
        <v xml:space="preserve"> </v>
      </c>
      <c r="P24" s="114"/>
      <c r="Q24" s="114"/>
      <c r="R24" s="7" t="s">
        <v>1</v>
      </c>
      <c r="S24" s="114" t="str">
        <f>DBCS(入力用!H34)</f>
        <v/>
      </c>
      <c r="T24" s="114"/>
      <c r="U24" s="7" t="s">
        <v>9</v>
      </c>
      <c r="V24" s="114" t="str">
        <f>DBCS(入力用!J34)</f>
        <v/>
      </c>
      <c r="W24" s="114"/>
      <c r="X24" s="8" t="s">
        <v>0</v>
      </c>
      <c r="Y24" s="9"/>
      <c r="Z24" s="9"/>
      <c r="AA24" s="9"/>
      <c r="AB24" s="9"/>
    </row>
    <row r="25" spans="1:28" ht="15.95" customHeight="1">
      <c r="A25" s="94"/>
      <c r="B25" s="94"/>
      <c r="C25" s="94"/>
      <c r="D25" s="104"/>
      <c r="E25" s="105"/>
      <c r="F25" s="105"/>
      <c r="G25" s="105"/>
      <c r="H25" s="105"/>
      <c r="I25" s="105"/>
      <c r="J25" s="105"/>
      <c r="K25" s="140"/>
      <c r="L25" s="11"/>
      <c r="M25" s="11"/>
      <c r="N25" s="12"/>
      <c r="O25" s="12"/>
      <c r="P25" s="6"/>
      <c r="Q25" s="5"/>
      <c r="R25" s="5"/>
      <c r="S25" s="12"/>
      <c r="T25" s="12"/>
      <c r="U25" s="12"/>
      <c r="V25" s="12"/>
      <c r="W25" s="12"/>
      <c r="X25" s="12"/>
      <c r="Y25" s="12"/>
      <c r="Z25" s="12"/>
      <c r="AA25" s="12"/>
      <c r="AB25" s="12"/>
    </row>
    <row r="26" spans="1:28" ht="9.9499999999999993" customHeight="1"/>
    <row r="27" spans="1:28" ht="15.95" customHeight="1">
      <c r="A27" s="29" t="s">
        <v>55</v>
      </c>
    </row>
    <row r="28" spans="1:28" ht="15.95" customHeight="1">
      <c r="A28" s="1" t="s">
        <v>25</v>
      </c>
    </row>
    <row r="29" spans="1:28" ht="24.95" customHeight="1" thickBot="1">
      <c r="A29" s="94" t="s">
        <v>48</v>
      </c>
      <c r="B29" s="94"/>
      <c r="C29" s="94"/>
      <c r="D29" s="111" t="str">
        <f>IF(入力用!E43="","",入力用!E39)</f>
        <v/>
      </c>
      <c r="E29" s="111"/>
      <c r="F29" s="111"/>
      <c r="G29" s="111"/>
      <c r="H29" s="111"/>
      <c r="I29" s="111"/>
      <c r="J29" s="111"/>
      <c r="K29" s="111"/>
      <c r="L29" s="128" t="s">
        <v>14</v>
      </c>
      <c r="M29" s="94"/>
      <c r="N29" s="94"/>
      <c r="O29" s="94"/>
      <c r="P29" s="94"/>
      <c r="Q29" s="129" t="str">
        <f>IF(入力用!E43="","",IF(入力用!D41="","",入力用!D41))</f>
        <v/>
      </c>
      <c r="R29" s="129"/>
      <c r="S29" s="129"/>
      <c r="T29" s="129"/>
      <c r="U29" s="129"/>
      <c r="V29" s="129"/>
      <c r="W29" s="129"/>
      <c r="X29" s="129"/>
      <c r="Y29" s="129"/>
      <c r="Z29" s="129"/>
      <c r="AA29" s="129"/>
      <c r="AB29" s="129"/>
    </row>
    <row r="30" spans="1:28" ht="15.95" customHeight="1">
      <c r="A30" s="94" t="s">
        <v>19</v>
      </c>
      <c r="B30" s="94"/>
      <c r="C30" s="94"/>
      <c r="D30" s="94"/>
      <c r="E30" s="94"/>
      <c r="F30" s="94"/>
      <c r="G30" s="94"/>
      <c r="H30" s="94"/>
      <c r="I30" s="94" t="s">
        <v>20</v>
      </c>
      <c r="J30" s="94"/>
      <c r="K30" s="94"/>
      <c r="L30" s="94"/>
      <c r="M30" s="95"/>
      <c r="N30" s="127" t="s">
        <v>21</v>
      </c>
      <c r="O30" s="94"/>
      <c r="P30" s="94"/>
      <c r="Q30" s="94"/>
      <c r="R30" s="95"/>
      <c r="S30" s="127" t="s">
        <v>22</v>
      </c>
      <c r="T30" s="94"/>
      <c r="U30" s="94"/>
      <c r="V30" s="94"/>
      <c r="W30" s="95"/>
      <c r="X30" s="130" t="s">
        <v>15</v>
      </c>
      <c r="Y30" s="131"/>
      <c r="Z30" s="131"/>
      <c r="AA30" s="131"/>
      <c r="AB30" s="132"/>
    </row>
    <row r="31" spans="1:28" ht="24.95" customHeight="1">
      <c r="A31" s="95" t="str">
        <f>IF(入力用!E43="","",IF(入力用!E59="西暦",IF(【触らない】リスト!E23=1,【触らない】リスト!E22&amp;" 元",【触らない】リスト!E22&amp;" "&amp;DBCS(【触らない】リスト!E23)),IF(入力用!F59=1,入力用!E59&amp;" 元",入力用!E59&amp;" "&amp;DBCS(入力用!F59))))</f>
        <v/>
      </c>
      <c r="B31" s="114"/>
      <c r="C31" s="114"/>
      <c r="D31" s="114"/>
      <c r="E31" s="7" t="s">
        <v>1</v>
      </c>
      <c r="F31" s="114" t="str">
        <f>IF(入力用!E43="","",DBCS(入力用!H59))</f>
        <v/>
      </c>
      <c r="G31" s="114"/>
      <c r="H31" s="8" t="s">
        <v>17</v>
      </c>
      <c r="I31" s="125" t="str">
        <f>IF(OR(入力用!H67="",$D$29=""),"",入力用!H67)</f>
        <v/>
      </c>
      <c r="J31" s="125"/>
      <c r="K31" s="125"/>
      <c r="L31" s="125"/>
      <c r="M31" s="14" t="s">
        <v>18</v>
      </c>
      <c r="N31" s="126" t="str">
        <f>IF(OR(入力用!H69="",$D$29=""),"",入力用!H69)</f>
        <v/>
      </c>
      <c r="O31" s="125"/>
      <c r="P31" s="125"/>
      <c r="Q31" s="125"/>
      <c r="R31" s="14" t="s">
        <v>18</v>
      </c>
      <c r="S31" s="126" t="str">
        <f>IF(OR(入力用!H71="",$D$29=""),"",入力用!H71)</f>
        <v/>
      </c>
      <c r="T31" s="125"/>
      <c r="U31" s="125"/>
      <c r="V31" s="125"/>
      <c r="W31" s="14" t="s">
        <v>18</v>
      </c>
      <c r="X31" s="135" t="str">
        <f>IF(OR(入力用!H71="",$D$29=""),"",入力用!H72)</f>
        <v/>
      </c>
      <c r="Y31" s="125"/>
      <c r="Z31" s="125"/>
      <c r="AA31" s="125"/>
      <c r="AB31" s="15" t="s">
        <v>18</v>
      </c>
    </row>
    <row r="32" spans="1:28" ht="24.95" customHeight="1">
      <c r="A32" s="95" t="str">
        <f>IF(入力用!E43="","",IF(入力用!E75="西暦",IF(【触らない】リスト!E29=1,【触らない】リスト!E28&amp;" 元",【触らない】リスト!E28&amp;" "&amp;DBCS(【触らない】リスト!E29)),IF(入力用!F75=1,入力用!E75&amp;" 元",入力用!E75&amp;" "&amp;DBCS(入力用!F75))))</f>
        <v/>
      </c>
      <c r="B32" s="114"/>
      <c r="C32" s="114"/>
      <c r="D32" s="114"/>
      <c r="E32" s="7" t="s">
        <v>1</v>
      </c>
      <c r="F32" s="114" t="str">
        <f>IF(入力用!E43="","",DBCS(入力用!H75))</f>
        <v/>
      </c>
      <c r="G32" s="114"/>
      <c r="H32" s="8" t="s">
        <v>17</v>
      </c>
      <c r="I32" s="125" t="str">
        <f>IF(OR(入力用!H83="",$D$29=""),"",入力用!H83)</f>
        <v/>
      </c>
      <c r="J32" s="125"/>
      <c r="K32" s="125"/>
      <c r="L32" s="125"/>
      <c r="M32" s="14" t="s">
        <v>18</v>
      </c>
      <c r="N32" s="126" t="str">
        <f>IF(OR(入力用!H85="",$D$29=""),"",入力用!H85)</f>
        <v/>
      </c>
      <c r="O32" s="125"/>
      <c r="P32" s="125"/>
      <c r="Q32" s="125"/>
      <c r="R32" s="14" t="s">
        <v>18</v>
      </c>
      <c r="S32" s="126" t="str">
        <f>IF(OR(入力用!H87="",$D$29=""),"",入力用!H87)</f>
        <v/>
      </c>
      <c r="T32" s="125"/>
      <c r="U32" s="125"/>
      <c r="V32" s="125"/>
      <c r="W32" s="14" t="s">
        <v>18</v>
      </c>
      <c r="X32" s="135" t="str">
        <f>IF(OR(入力用!H87="",$D$29=""),"",入力用!H88)</f>
        <v/>
      </c>
      <c r="Y32" s="125"/>
      <c r="Z32" s="125"/>
      <c r="AA32" s="125"/>
      <c r="AB32" s="15" t="s">
        <v>18</v>
      </c>
    </row>
    <row r="33" spans="1:28" ht="24.95" customHeight="1" thickBot="1">
      <c r="A33" s="95" t="str">
        <f>IF(入力用!E43="","",IF(入力用!E91="西暦",IF(【触らない】リスト!E35=1,【触らない】リスト!E34&amp;" 元",【触らない】リスト!E34&amp;" "&amp;DBCS(【触らない】リスト!E35)),IF(入力用!F91=1,入力用!E91&amp;" 元",入力用!E91&amp;" "&amp;DBCS(入力用!F91))))</f>
        <v/>
      </c>
      <c r="B33" s="114"/>
      <c r="C33" s="114"/>
      <c r="D33" s="114"/>
      <c r="E33" s="7" t="s">
        <v>1</v>
      </c>
      <c r="F33" s="114" t="str">
        <f>IF(入力用!E43="","",DBCS(入力用!H91))</f>
        <v/>
      </c>
      <c r="G33" s="114"/>
      <c r="H33" s="8" t="s">
        <v>17</v>
      </c>
      <c r="I33" s="125" t="str">
        <f>IF(OR(入力用!H99="",$D$29=""),"",入力用!H99)</f>
        <v/>
      </c>
      <c r="J33" s="125"/>
      <c r="K33" s="125"/>
      <c r="L33" s="125"/>
      <c r="M33" s="14" t="s">
        <v>18</v>
      </c>
      <c r="N33" s="126" t="str">
        <f>IF(OR(入力用!H101="",$D$29=""),"",入力用!H101)</f>
        <v/>
      </c>
      <c r="O33" s="125"/>
      <c r="P33" s="125"/>
      <c r="Q33" s="125"/>
      <c r="R33" s="14" t="s">
        <v>18</v>
      </c>
      <c r="S33" s="126" t="str">
        <f>IF(OR(入力用!H103="",$D$29=""),"",入力用!H103)</f>
        <v/>
      </c>
      <c r="T33" s="125"/>
      <c r="U33" s="125"/>
      <c r="V33" s="125"/>
      <c r="W33" s="14" t="s">
        <v>18</v>
      </c>
      <c r="X33" s="133" t="str">
        <f>IF(OR(入力用!H103="",$D$29=""),"",入力用!H104)</f>
        <v/>
      </c>
      <c r="Y33" s="134"/>
      <c r="Z33" s="134"/>
      <c r="AA33" s="134"/>
      <c r="AB33" s="16" t="s">
        <v>18</v>
      </c>
    </row>
    <row r="34" spans="1:28" ht="9.9499999999999993" customHeight="1"/>
    <row r="35" spans="1:28" ht="15.95" customHeight="1">
      <c r="A35" s="1" t="s">
        <v>27</v>
      </c>
    </row>
    <row r="36" spans="1:28" ht="15.95" customHeight="1">
      <c r="A36" s="1" t="s">
        <v>24</v>
      </c>
      <c r="B36" s="17" t="s">
        <v>60</v>
      </c>
    </row>
    <row r="37" spans="1:28" ht="20.100000000000001" customHeight="1">
      <c r="A37" s="123" t="s">
        <v>19</v>
      </c>
      <c r="B37" s="124"/>
      <c r="C37" s="124"/>
      <c r="D37" s="95" t="str">
        <f>IF(OR(入力用!$E$121="",入力用!$E$121=1,入力用!E130=""),"",IF(入力用!E130="西暦",IF(【触らない】リスト!E41=1,【触らない】リスト!E40&amp;" 元",【触らない】リスト!E40&amp;" "&amp;DBCS(【触らない】リスト!E41)),IF(入力用!F130=1,入力用!E130&amp;" 元",入力用!E130&amp;" "&amp;DBCS(入力用!F130))))</f>
        <v/>
      </c>
      <c r="E37" s="114"/>
      <c r="F37" s="114"/>
      <c r="G37" s="7" t="s">
        <v>1</v>
      </c>
      <c r="H37" s="114" t="str">
        <f>IF(OR(入力用!$E$121="",入力用!$E$121=1,入力用!E130=""),"",DBCS(入力用!H130))</f>
        <v/>
      </c>
      <c r="I37" s="114"/>
      <c r="J37" s="8" t="s">
        <v>17</v>
      </c>
      <c r="K37" s="4"/>
    </row>
    <row r="38" spans="1:28" ht="15.95" customHeight="1" thickBot="1">
      <c r="A38" s="25" t="s">
        <v>32</v>
      </c>
      <c r="B38" s="10"/>
      <c r="C38" s="10"/>
      <c r="D38" s="10"/>
      <c r="E38" s="10"/>
      <c r="F38" s="10"/>
      <c r="G38" s="10"/>
      <c r="H38" s="10"/>
      <c r="I38" s="10"/>
      <c r="J38" s="10"/>
      <c r="K38" s="4"/>
      <c r="L38" s="19"/>
    </row>
    <row r="39" spans="1:28" ht="15.95" customHeight="1">
      <c r="A39" s="95" t="s">
        <v>31</v>
      </c>
      <c r="B39" s="114"/>
      <c r="C39" s="114"/>
      <c r="D39" s="114"/>
      <c r="E39" s="114"/>
      <c r="F39" s="114"/>
      <c r="G39" s="115"/>
      <c r="H39" s="94" t="s">
        <v>49</v>
      </c>
      <c r="I39" s="94"/>
      <c r="J39" s="94"/>
      <c r="K39" s="94"/>
      <c r="L39" s="94"/>
      <c r="M39" s="94"/>
      <c r="N39" s="94"/>
      <c r="O39" s="94"/>
      <c r="P39" s="141" t="s">
        <v>16</v>
      </c>
      <c r="Q39" s="142"/>
      <c r="R39" s="142"/>
      <c r="S39" s="141" t="s">
        <v>54</v>
      </c>
      <c r="T39" s="142"/>
      <c r="U39" s="142"/>
      <c r="V39" s="142"/>
      <c r="W39" s="155"/>
      <c r="X39" s="130" t="s">
        <v>34</v>
      </c>
      <c r="Y39" s="131"/>
      <c r="Z39" s="131"/>
      <c r="AA39" s="131"/>
      <c r="AB39" s="132"/>
    </row>
    <row r="40" spans="1:28" ht="24.95" customHeight="1" thickBot="1">
      <c r="A40" s="104" t="str">
        <f>IF(OR(入力用!$E$121="",入力用!$E$121=1,S40=""),"",IF(入力用!E117="","",入力用!E117))</f>
        <v/>
      </c>
      <c r="B40" s="105"/>
      <c r="C40" s="105"/>
      <c r="D40" s="105"/>
      <c r="E40" s="105"/>
      <c r="F40" s="105"/>
      <c r="G40" s="105"/>
      <c r="H40" s="129" t="str">
        <f>IF(OR(入力用!$E$121="",入力用!$E$121=1,S40=""),"",IF(入力用!E119="","",入力用!E119))</f>
        <v/>
      </c>
      <c r="I40" s="129"/>
      <c r="J40" s="129"/>
      <c r="K40" s="129"/>
      <c r="L40" s="129"/>
      <c r="M40" s="129"/>
      <c r="N40" s="129"/>
      <c r="O40" s="129"/>
      <c r="P40" s="152" t="str">
        <f>IF(OR(入力用!$E$121="",入力用!$E$121=1,S40=""),"",IF(入力用!H135="","",入力用!H135))</f>
        <v/>
      </c>
      <c r="Q40" s="125"/>
      <c r="R40" s="28" t="s">
        <v>0</v>
      </c>
      <c r="S40" s="152" t="str">
        <f>IF(OR(入力用!$E$121="",入力用!$E$121=1),"",IF(入力用!H136="","",入力用!H136))</f>
        <v/>
      </c>
      <c r="T40" s="125"/>
      <c r="U40" s="125"/>
      <c r="V40" s="125"/>
      <c r="W40" s="15" t="s">
        <v>18</v>
      </c>
      <c r="X40" s="133" t="str">
        <f>IF(OR(入力用!$E$121="",入力用!$E$121=1,S40=""),"",入力用!H138)</f>
        <v/>
      </c>
      <c r="Y40" s="134"/>
      <c r="Z40" s="134"/>
      <c r="AA40" s="134"/>
      <c r="AB40" s="16" t="s">
        <v>18</v>
      </c>
    </row>
    <row r="41" spans="1:28" ht="15.95" customHeight="1">
      <c r="A41" s="23" t="s">
        <v>33</v>
      </c>
      <c r="B41" s="4"/>
      <c r="C41" s="4"/>
      <c r="D41" s="4"/>
      <c r="E41" s="4"/>
      <c r="F41" s="4"/>
      <c r="G41" s="4"/>
      <c r="H41" s="4"/>
      <c r="I41" s="21"/>
      <c r="J41" s="21"/>
      <c r="K41" s="21"/>
      <c r="L41" s="21"/>
      <c r="M41" s="21"/>
      <c r="N41" s="22"/>
      <c r="O41" s="22"/>
      <c r="P41" s="22"/>
      <c r="Q41" s="22"/>
      <c r="R41" s="21"/>
      <c r="S41" s="21"/>
      <c r="T41" s="21"/>
      <c r="U41" s="21"/>
      <c r="V41" s="21"/>
      <c r="W41" s="21"/>
      <c r="X41" s="22"/>
      <c r="Y41" s="22"/>
      <c r="Z41" s="22"/>
      <c r="AA41" s="22"/>
      <c r="AB41" s="21"/>
    </row>
    <row r="42" spans="1:28" ht="15.95" customHeight="1">
      <c r="A42" s="20"/>
      <c r="B42" s="95" t="s">
        <v>30</v>
      </c>
      <c r="C42" s="114"/>
      <c r="D42" s="114"/>
      <c r="E42" s="114"/>
      <c r="F42" s="114"/>
      <c r="G42" s="114"/>
      <c r="H42" s="115"/>
      <c r="I42" s="95" t="s">
        <v>43</v>
      </c>
      <c r="J42" s="114"/>
      <c r="K42" s="114"/>
      <c r="L42" s="114"/>
      <c r="M42" s="114"/>
      <c r="N42" s="114"/>
      <c r="O42" s="114"/>
      <c r="P42" s="114"/>
      <c r="Q42" s="114"/>
      <c r="R42" s="115"/>
      <c r="S42" s="94" t="s">
        <v>26</v>
      </c>
      <c r="T42" s="94"/>
      <c r="U42" s="94"/>
      <c r="V42" s="94"/>
      <c r="W42" s="94"/>
      <c r="X42" s="123" t="s">
        <v>29</v>
      </c>
      <c r="Y42" s="124"/>
      <c r="Z42" s="124"/>
      <c r="AA42" s="124"/>
      <c r="AB42" s="151"/>
    </row>
    <row r="43" spans="1:28" ht="24.95" customHeight="1">
      <c r="A43" s="18">
        <v>1</v>
      </c>
      <c r="B43" s="141" t="str">
        <f>IF(D37="","",IF(入力用!G144="","",入力用!G144))</f>
        <v/>
      </c>
      <c r="C43" s="142"/>
      <c r="D43" s="142"/>
      <c r="E43" s="142"/>
      <c r="F43" s="142"/>
      <c r="G43" s="142"/>
      <c r="H43" s="144"/>
      <c r="I43" s="148" t="str">
        <f>IF(D37="","",IF(入力用!D146="","",入力用!D146))</f>
        <v/>
      </c>
      <c r="J43" s="149"/>
      <c r="K43" s="149"/>
      <c r="L43" s="149"/>
      <c r="M43" s="149"/>
      <c r="N43" s="149"/>
      <c r="O43" s="149"/>
      <c r="P43" s="149"/>
      <c r="Q43" s="149"/>
      <c r="R43" s="150"/>
      <c r="S43" s="145" t="str">
        <f>IF(D37="","",IF(入力用!G147="","",入力用!G147))</f>
        <v/>
      </c>
      <c r="T43" s="146"/>
      <c r="U43" s="146"/>
      <c r="V43" s="146"/>
      <c r="W43" s="147"/>
      <c r="X43" s="152" t="str">
        <f>IF(D37="","",IF(入力用!H150="","",入力用!H150))</f>
        <v/>
      </c>
      <c r="Y43" s="125"/>
      <c r="Z43" s="125"/>
      <c r="AA43" s="125"/>
      <c r="AB43" s="13" t="s">
        <v>18</v>
      </c>
    </row>
    <row r="44" spans="1:28" ht="24.95" customHeight="1">
      <c r="A44" s="18">
        <v>2</v>
      </c>
      <c r="B44" s="141" t="str">
        <f>IF(D37="","",IF(入力用!G153="","",入力用!G153))</f>
        <v/>
      </c>
      <c r="C44" s="142"/>
      <c r="D44" s="142"/>
      <c r="E44" s="142"/>
      <c r="F44" s="142"/>
      <c r="G44" s="142"/>
      <c r="H44" s="144"/>
      <c r="I44" s="148" t="str">
        <f>IF(D37="","",IF(入力用!D155="","",入力用!D155))</f>
        <v/>
      </c>
      <c r="J44" s="149"/>
      <c r="K44" s="149"/>
      <c r="L44" s="149"/>
      <c r="M44" s="149"/>
      <c r="N44" s="149"/>
      <c r="O44" s="149"/>
      <c r="P44" s="149"/>
      <c r="Q44" s="149"/>
      <c r="R44" s="150"/>
      <c r="S44" s="145" t="str">
        <f>IF(D37="","",IF(入力用!G156="","",入力用!G156))</f>
        <v/>
      </c>
      <c r="T44" s="146"/>
      <c r="U44" s="146"/>
      <c r="V44" s="146"/>
      <c r="W44" s="147"/>
      <c r="X44" s="152" t="str">
        <f>IF(D37="","",IF(入力用!H159="","",入力用!H159))</f>
        <v/>
      </c>
      <c r="Y44" s="125"/>
      <c r="Z44" s="125"/>
      <c r="AA44" s="125"/>
      <c r="AB44" s="13" t="s">
        <v>18</v>
      </c>
    </row>
    <row r="45" spans="1:28" ht="24.95" customHeight="1">
      <c r="A45" s="18">
        <v>3</v>
      </c>
      <c r="B45" s="141" t="str">
        <f>IF(D37="","",IF(入力用!G162="","",入力用!G162))</f>
        <v/>
      </c>
      <c r="C45" s="142"/>
      <c r="D45" s="142"/>
      <c r="E45" s="142"/>
      <c r="F45" s="142"/>
      <c r="G45" s="142"/>
      <c r="H45" s="144"/>
      <c r="I45" s="148" t="str">
        <f>IF(D37="","",IF(入力用!D164="","",入力用!D164))</f>
        <v/>
      </c>
      <c r="J45" s="149"/>
      <c r="K45" s="149"/>
      <c r="L45" s="149"/>
      <c r="M45" s="149"/>
      <c r="N45" s="149"/>
      <c r="O45" s="149"/>
      <c r="P45" s="149"/>
      <c r="Q45" s="149"/>
      <c r="R45" s="150"/>
      <c r="S45" s="145" t="str">
        <f>IF(D37="","",IF(入力用!G165="","",入力用!G165))</f>
        <v/>
      </c>
      <c r="T45" s="146"/>
      <c r="U45" s="146"/>
      <c r="V45" s="146"/>
      <c r="W45" s="147"/>
      <c r="X45" s="152" t="str">
        <f>IF(D37="","",IF(入力用!H168="","",入力用!H168))</f>
        <v/>
      </c>
      <c r="Y45" s="125"/>
      <c r="Z45" s="125"/>
      <c r="AA45" s="125"/>
      <c r="AB45" s="13" t="s">
        <v>18</v>
      </c>
    </row>
    <row r="46" spans="1:28" ht="24.95" customHeight="1" thickBot="1">
      <c r="A46" s="153" t="s">
        <v>230</v>
      </c>
      <c r="B46" s="153"/>
      <c r="C46" s="153"/>
      <c r="D46" s="153"/>
      <c r="E46" s="153"/>
      <c r="F46" s="153"/>
      <c r="G46" s="153"/>
      <c r="H46" s="153"/>
      <c r="I46" s="153"/>
      <c r="J46" s="153"/>
      <c r="K46" s="153"/>
      <c r="L46" s="153"/>
      <c r="M46" s="153"/>
      <c r="N46" s="153"/>
      <c r="O46" s="153"/>
      <c r="P46" s="153"/>
      <c r="Q46" s="153"/>
      <c r="R46" s="153"/>
      <c r="S46" s="160" t="s">
        <v>28</v>
      </c>
      <c r="T46" s="160"/>
      <c r="U46" s="160"/>
      <c r="V46" s="160"/>
      <c r="W46" s="160"/>
      <c r="X46" s="143" t="str">
        <f>IF(SUM(X43:AA45)=0,"",SUM(X43:AA45))</f>
        <v/>
      </c>
      <c r="Y46" s="134"/>
      <c r="Z46" s="134"/>
      <c r="AA46" s="134"/>
      <c r="AB46" s="27" t="s">
        <v>18</v>
      </c>
    </row>
    <row r="47" spans="1:28" ht="24.95" customHeight="1" thickBot="1">
      <c r="A47" s="154"/>
      <c r="B47" s="154"/>
      <c r="C47" s="154"/>
      <c r="D47" s="154"/>
      <c r="E47" s="154"/>
      <c r="F47" s="154"/>
      <c r="G47" s="154"/>
      <c r="H47" s="154"/>
      <c r="I47" s="154"/>
      <c r="J47" s="154"/>
      <c r="K47" s="154"/>
      <c r="L47" s="154"/>
      <c r="M47" s="154"/>
      <c r="N47" s="154"/>
      <c r="O47" s="154"/>
      <c r="P47" s="154"/>
      <c r="Q47" s="154"/>
      <c r="R47" s="154"/>
      <c r="S47" s="156" t="s">
        <v>35</v>
      </c>
      <c r="T47" s="157"/>
      <c r="U47" s="157"/>
      <c r="V47" s="157"/>
      <c r="W47" s="158"/>
      <c r="X47" s="159" t="str">
        <f>IF(H37="","",IF(入力用!H170="","",入力用!H170))</f>
        <v/>
      </c>
      <c r="Y47" s="159"/>
      <c r="Z47" s="159"/>
      <c r="AA47" s="159"/>
      <c r="AB47" s="24" t="s">
        <v>18</v>
      </c>
    </row>
    <row r="48" spans="1:28" ht="24.95" customHeight="1" thickBot="1">
      <c r="A48" s="31"/>
      <c r="B48" s="31"/>
      <c r="C48" s="31"/>
      <c r="D48" s="31"/>
      <c r="E48" s="31"/>
      <c r="F48" s="31"/>
      <c r="G48" s="31"/>
      <c r="H48" s="31"/>
      <c r="I48" s="31"/>
      <c r="J48" s="31"/>
      <c r="K48" s="31"/>
      <c r="L48" s="31"/>
      <c r="M48" s="31"/>
      <c r="N48" s="31"/>
      <c r="O48" s="31"/>
      <c r="P48" s="31"/>
      <c r="Q48" s="31"/>
      <c r="R48" s="32"/>
      <c r="S48" s="156" t="s">
        <v>36</v>
      </c>
      <c r="T48" s="157"/>
      <c r="U48" s="157"/>
      <c r="V48" s="157"/>
      <c r="W48" s="158"/>
      <c r="X48" s="159" t="str">
        <f>IF(OR(H37="",SUM(X40,X47)=0),"",SUM(X40,X47))</f>
        <v/>
      </c>
      <c r="Y48" s="159"/>
      <c r="Z48" s="159"/>
      <c r="AA48" s="159"/>
      <c r="AB48" s="24" t="s">
        <v>18</v>
      </c>
    </row>
    <row r="49" spans="1:28" ht="15.95" customHeight="1"/>
    <row r="50" spans="1:28" ht="20.100000000000001" customHeight="1">
      <c r="A50" s="123" t="s">
        <v>19</v>
      </c>
      <c r="B50" s="124"/>
      <c r="C50" s="124"/>
      <c r="D50" s="95" t="str">
        <f>IF(OR(入力用!$E$121="",入力用!$E$121=1,入力用!E172=""),"",IF(入力用!E172="西暦",IF(【触らない】リスト!E47=1,【触らない】リスト!E46&amp;" 元",【触らない】リスト!E46&amp;" "&amp;DBCS(【触らない】リスト!E47)),IF(入力用!F172=1,入力用!E172&amp;" 元",入力用!E172&amp;" "&amp;DBCS(入力用!F172))))</f>
        <v/>
      </c>
      <c r="E50" s="114"/>
      <c r="F50" s="114"/>
      <c r="G50" s="7" t="s">
        <v>1</v>
      </c>
      <c r="H50" s="114" t="str">
        <f>IF(OR(入力用!$E$121="",入力用!$E$121=1,入力用!E172=""),"",DBCS(入力用!H172))</f>
        <v/>
      </c>
      <c r="I50" s="114"/>
      <c r="J50" s="8" t="s">
        <v>17</v>
      </c>
      <c r="K50" s="4"/>
    </row>
    <row r="51" spans="1:28" ht="15.95" customHeight="1" thickBot="1">
      <c r="A51" s="25" t="s">
        <v>32</v>
      </c>
      <c r="B51" s="10"/>
      <c r="C51" s="10"/>
      <c r="D51" s="10"/>
      <c r="E51" s="10"/>
      <c r="F51" s="10"/>
      <c r="G51" s="10"/>
      <c r="H51" s="10"/>
      <c r="I51" s="10"/>
      <c r="J51" s="10"/>
      <c r="K51" s="4"/>
      <c r="L51" s="19"/>
    </row>
    <row r="52" spans="1:28" ht="15.95" customHeight="1">
      <c r="A52" s="95" t="s">
        <v>31</v>
      </c>
      <c r="B52" s="114"/>
      <c r="C52" s="114"/>
      <c r="D52" s="114"/>
      <c r="E52" s="114"/>
      <c r="F52" s="114"/>
      <c r="G52" s="115"/>
      <c r="H52" s="94" t="s">
        <v>49</v>
      </c>
      <c r="I52" s="94"/>
      <c r="J52" s="94"/>
      <c r="K52" s="94"/>
      <c r="L52" s="94"/>
      <c r="M52" s="94"/>
      <c r="N52" s="94"/>
      <c r="O52" s="94"/>
      <c r="P52" s="141" t="s">
        <v>16</v>
      </c>
      <c r="Q52" s="142"/>
      <c r="R52" s="142"/>
      <c r="S52" s="141" t="s">
        <v>54</v>
      </c>
      <c r="T52" s="142"/>
      <c r="U52" s="142"/>
      <c r="V52" s="142"/>
      <c r="W52" s="155"/>
      <c r="X52" s="130" t="s">
        <v>37</v>
      </c>
      <c r="Y52" s="131"/>
      <c r="Z52" s="131"/>
      <c r="AA52" s="131"/>
      <c r="AB52" s="132"/>
    </row>
    <row r="53" spans="1:28" ht="24.95" customHeight="1" thickBot="1">
      <c r="A53" s="104" t="str">
        <f>IF(OR(D50="",S53=""),"",IF(入力用!E117="","",入力用!E117))</f>
        <v/>
      </c>
      <c r="B53" s="105"/>
      <c r="C53" s="105"/>
      <c r="D53" s="105"/>
      <c r="E53" s="105"/>
      <c r="F53" s="105"/>
      <c r="G53" s="105"/>
      <c r="H53" s="129" t="str">
        <f>IF(OR(D50="",S53=""),"",IF(入力用!E119="","",入力用!E119))</f>
        <v/>
      </c>
      <c r="I53" s="129"/>
      <c r="J53" s="129"/>
      <c r="K53" s="129"/>
      <c r="L53" s="129"/>
      <c r="M53" s="129"/>
      <c r="N53" s="129"/>
      <c r="O53" s="129"/>
      <c r="P53" s="152" t="str">
        <f>IF(OR(D50="",S53="",入力用!H177=""),"",入力用!H177)</f>
        <v/>
      </c>
      <c r="Q53" s="125"/>
      <c r="R53" s="35" t="s">
        <v>0</v>
      </c>
      <c r="S53" s="152" t="str">
        <f>IF(OR(D50="",入力用!H178=""),"",入力用!H178)</f>
        <v/>
      </c>
      <c r="T53" s="125"/>
      <c r="U53" s="125"/>
      <c r="V53" s="125"/>
      <c r="W53" s="15" t="s">
        <v>18</v>
      </c>
      <c r="X53" s="133" t="str">
        <f>IF(OR(D50="",S53=""),"",入力用!H180)</f>
        <v/>
      </c>
      <c r="Y53" s="134"/>
      <c r="Z53" s="134"/>
      <c r="AA53" s="134"/>
      <c r="AB53" s="16" t="s">
        <v>18</v>
      </c>
    </row>
    <row r="54" spans="1:28" ht="15.95" customHeight="1">
      <c r="A54" s="23" t="s">
        <v>33</v>
      </c>
      <c r="B54" s="4"/>
      <c r="C54" s="4"/>
      <c r="D54" s="4"/>
      <c r="E54" s="4"/>
      <c r="F54" s="4"/>
      <c r="G54" s="4"/>
      <c r="H54" s="4"/>
      <c r="I54" s="21"/>
      <c r="J54" s="21"/>
      <c r="K54" s="21"/>
      <c r="L54" s="21"/>
      <c r="M54" s="21"/>
      <c r="N54" s="22"/>
      <c r="O54" s="22"/>
      <c r="P54" s="22"/>
      <c r="Q54" s="22"/>
      <c r="R54" s="21"/>
      <c r="S54" s="21"/>
      <c r="T54" s="21"/>
      <c r="U54" s="21"/>
      <c r="V54" s="21"/>
      <c r="W54" s="21"/>
      <c r="X54" s="22"/>
      <c r="Y54" s="22"/>
      <c r="Z54" s="22"/>
      <c r="AA54" s="22"/>
      <c r="AB54" s="21"/>
    </row>
    <row r="55" spans="1:28" ht="15.95" customHeight="1">
      <c r="A55" s="20"/>
      <c r="B55" s="95" t="s">
        <v>30</v>
      </c>
      <c r="C55" s="114"/>
      <c r="D55" s="114"/>
      <c r="E55" s="114"/>
      <c r="F55" s="114"/>
      <c r="G55" s="114"/>
      <c r="H55" s="115"/>
      <c r="I55" s="95" t="s">
        <v>43</v>
      </c>
      <c r="J55" s="114"/>
      <c r="K55" s="114"/>
      <c r="L55" s="114"/>
      <c r="M55" s="114"/>
      <c r="N55" s="114"/>
      <c r="O55" s="114"/>
      <c r="P55" s="114"/>
      <c r="Q55" s="114"/>
      <c r="R55" s="115"/>
      <c r="S55" s="94" t="s">
        <v>26</v>
      </c>
      <c r="T55" s="94"/>
      <c r="U55" s="94"/>
      <c r="V55" s="94"/>
      <c r="W55" s="94"/>
      <c r="X55" s="123" t="s">
        <v>29</v>
      </c>
      <c r="Y55" s="124"/>
      <c r="Z55" s="124"/>
      <c r="AA55" s="124"/>
      <c r="AB55" s="151"/>
    </row>
    <row r="56" spans="1:28" ht="24.95" customHeight="1">
      <c r="A56" s="18">
        <v>1</v>
      </c>
      <c r="B56" s="141" t="str">
        <f>IF($D$50="","",IF(入力用!G186="","",入力用!G186))</f>
        <v/>
      </c>
      <c r="C56" s="142"/>
      <c r="D56" s="142"/>
      <c r="E56" s="142"/>
      <c r="F56" s="142"/>
      <c r="G56" s="142"/>
      <c r="H56" s="144"/>
      <c r="I56" s="148" t="str">
        <f>IF($D$50="","",IF(入力用!D188="","",入力用!D188))</f>
        <v/>
      </c>
      <c r="J56" s="149"/>
      <c r="K56" s="149"/>
      <c r="L56" s="149"/>
      <c r="M56" s="149"/>
      <c r="N56" s="149"/>
      <c r="O56" s="149"/>
      <c r="P56" s="149"/>
      <c r="Q56" s="149"/>
      <c r="R56" s="150"/>
      <c r="S56" s="145" t="str">
        <f>IF($D$50="","",IF(入力用!G189="","",入力用!G189))</f>
        <v/>
      </c>
      <c r="T56" s="146"/>
      <c r="U56" s="146"/>
      <c r="V56" s="146"/>
      <c r="W56" s="147"/>
      <c r="X56" s="152" t="str">
        <f>IF($D$50="","",IF(入力用!H192="","",入力用!H192))</f>
        <v/>
      </c>
      <c r="Y56" s="125"/>
      <c r="Z56" s="125"/>
      <c r="AA56" s="125"/>
      <c r="AB56" s="13" t="s">
        <v>18</v>
      </c>
    </row>
    <row r="57" spans="1:28" ht="24.95" customHeight="1">
      <c r="A57" s="18">
        <v>2</v>
      </c>
      <c r="B57" s="141" t="str">
        <f>IF($D$50="","",IF(入力用!G195="","",入力用!G195))</f>
        <v/>
      </c>
      <c r="C57" s="142"/>
      <c r="D57" s="142"/>
      <c r="E57" s="142"/>
      <c r="F57" s="142"/>
      <c r="G57" s="142"/>
      <c r="H57" s="144"/>
      <c r="I57" s="148" t="str">
        <f>IF($D$50="","",IF(入力用!D197="","",入力用!D197))</f>
        <v/>
      </c>
      <c r="J57" s="149"/>
      <c r="K57" s="149"/>
      <c r="L57" s="149"/>
      <c r="M57" s="149"/>
      <c r="N57" s="149"/>
      <c r="O57" s="149"/>
      <c r="P57" s="149"/>
      <c r="Q57" s="149"/>
      <c r="R57" s="150"/>
      <c r="S57" s="145" t="str">
        <f>IF($D$50="","",IF(入力用!G198="","",入力用!G198))</f>
        <v/>
      </c>
      <c r="T57" s="146"/>
      <c r="U57" s="146"/>
      <c r="V57" s="146"/>
      <c r="W57" s="147"/>
      <c r="X57" s="152" t="str">
        <f>IF($D$50="","",IF(入力用!H201="","",入力用!H201))</f>
        <v/>
      </c>
      <c r="Y57" s="125"/>
      <c r="Z57" s="125"/>
      <c r="AA57" s="125"/>
      <c r="AB57" s="13" t="s">
        <v>18</v>
      </c>
    </row>
    <row r="58" spans="1:28" ht="24.95" customHeight="1">
      <c r="A58" s="18">
        <v>3</v>
      </c>
      <c r="B58" s="141" t="str">
        <f>IF($D$50="","",IF(入力用!G204="","",入力用!G204))</f>
        <v/>
      </c>
      <c r="C58" s="142"/>
      <c r="D58" s="142"/>
      <c r="E58" s="142"/>
      <c r="F58" s="142"/>
      <c r="G58" s="142"/>
      <c r="H58" s="144"/>
      <c r="I58" s="148" t="str">
        <f>IF($D$50="","",IF(入力用!D206="","",入力用!D206))</f>
        <v/>
      </c>
      <c r="J58" s="149"/>
      <c r="K58" s="149"/>
      <c r="L58" s="149"/>
      <c r="M58" s="149"/>
      <c r="N58" s="149"/>
      <c r="O58" s="149"/>
      <c r="P58" s="149"/>
      <c r="Q58" s="149"/>
      <c r="R58" s="150"/>
      <c r="S58" s="145" t="str">
        <f>IF($D$50="","",IF(入力用!G207="","",入力用!G207))</f>
        <v/>
      </c>
      <c r="T58" s="146"/>
      <c r="U58" s="146"/>
      <c r="V58" s="146"/>
      <c r="W58" s="147"/>
      <c r="X58" s="152" t="str">
        <f>IF($D$50="","",IF(入力用!H210="","",入力用!H210))</f>
        <v/>
      </c>
      <c r="Y58" s="125"/>
      <c r="Z58" s="125"/>
      <c r="AA58" s="125"/>
      <c r="AB58" s="13" t="s">
        <v>18</v>
      </c>
    </row>
    <row r="59" spans="1:28" ht="24.95" customHeight="1" thickBot="1">
      <c r="A59" s="153" t="s">
        <v>230</v>
      </c>
      <c r="B59" s="153"/>
      <c r="C59" s="153"/>
      <c r="D59" s="153"/>
      <c r="E59" s="153"/>
      <c r="F59" s="153"/>
      <c r="G59" s="153"/>
      <c r="H59" s="153"/>
      <c r="I59" s="153"/>
      <c r="J59" s="153"/>
      <c r="K59" s="153"/>
      <c r="L59" s="153"/>
      <c r="M59" s="153"/>
      <c r="N59" s="153"/>
      <c r="O59" s="153"/>
      <c r="P59" s="153"/>
      <c r="Q59" s="153"/>
      <c r="R59" s="153"/>
      <c r="S59" s="160" t="s">
        <v>28</v>
      </c>
      <c r="T59" s="160"/>
      <c r="U59" s="160"/>
      <c r="V59" s="160"/>
      <c r="W59" s="160"/>
      <c r="X59" s="143" t="str">
        <f>IF(SUM(X56:AA58)=0,"",SUM(X56:AA58))</f>
        <v/>
      </c>
      <c r="Y59" s="134"/>
      <c r="Z59" s="134"/>
      <c r="AA59" s="134"/>
      <c r="AB59" s="27" t="s">
        <v>18</v>
      </c>
    </row>
    <row r="60" spans="1:28" ht="24.95" customHeight="1" thickBot="1">
      <c r="A60" s="154"/>
      <c r="B60" s="154"/>
      <c r="C60" s="154"/>
      <c r="D60" s="154"/>
      <c r="E60" s="154"/>
      <c r="F60" s="154"/>
      <c r="G60" s="154"/>
      <c r="H60" s="154"/>
      <c r="I60" s="154"/>
      <c r="J60" s="154"/>
      <c r="K60" s="154"/>
      <c r="L60" s="154"/>
      <c r="M60" s="154"/>
      <c r="N60" s="154"/>
      <c r="O60" s="154"/>
      <c r="P60" s="154"/>
      <c r="Q60" s="154"/>
      <c r="R60" s="154"/>
      <c r="S60" s="156" t="s">
        <v>38</v>
      </c>
      <c r="T60" s="157"/>
      <c r="U60" s="157"/>
      <c r="V60" s="157"/>
      <c r="W60" s="158"/>
      <c r="X60" s="159" t="str">
        <f>IF($D$50="","",IF(入力用!H212="","",入力用!H212))</f>
        <v/>
      </c>
      <c r="Y60" s="159"/>
      <c r="Z60" s="159"/>
      <c r="AA60" s="159"/>
      <c r="AB60" s="24" t="s">
        <v>18</v>
      </c>
    </row>
    <row r="61" spans="1:28" ht="24.95" customHeight="1" thickBot="1">
      <c r="S61" s="156" t="s">
        <v>39</v>
      </c>
      <c r="T61" s="157"/>
      <c r="U61" s="157"/>
      <c r="V61" s="157"/>
      <c r="W61" s="158"/>
      <c r="X61" s="159" t="str">
        <f>IF(OR($D$50="",SUM(X53,X60)=0),"",SUM(X53,X60))</f>
        <v/>
      </c>
      <c r="Y61" s="159"/>
      <c r="Z61" s="159"/>
      <c r="AA61" s="159"/>
      <c r="AB61" s="24" t="s">
        <v>18</v>
      </c>
    </row>
    <row r="62" spans="1:28" ht="15.95" customHeight="1"/>
    <row r="63" spans="1:28" ht="20.100000000000001" customHeight="1">
      <c r="A63" s="123" t="s">
        <v>19</v>
      </c>
      <c r="B63" s="124"/>
      <c r="C63" s="124"/>
      <c r="D63" s="95" t="str">
        <f>IF(OR(入力用!$E$121="",入力用!$E$121=1,入力用!E229=""),"",IF(入力用!E229="西暦",IF(【触らない】リスト!E53=1,【触らない】リスト!E52&amp;" 元",【触らない】リスト!E52&amp;" "&amp;DBCS(【触らない】リスト!E53)),IF(入力用!F229=1,入力用!E229&amp;" 元",入力用!E229&amp;" "&amp;DBCS(入力用!F229))))</f>
        <v/>
      </c>
      <c r="E63" s="114"/>
      <c r="F63" s="114"/>
      <c r="G63" s="7" t="s">
        <v>1</v>
      </c>
      <c r="H63" s="114" t="str">
        <f>IF(OR(入力用!$E$121="",入力用!$E$121=1,入力用!H229=""),"",DBCS(入力用!H229))</f>
        <v/>
      </c>
      <c r="I63" s="114"/>
      <c r="J63" s="8" t="s">
        <v>17</v>
      </c>
      <c r="K63" s="4"/>
    </row>
    <row r="64" spans="1:28" ht="15.95" customHeight="1" thickBot="1">
      <c r="A64" s="25" t="s">
        <v>32</v>
      </c>
      <c r="B64" s="10"/>
      <c r="C64" s="10"/>
      <c r="D64" s="10"/>
      <c r="E64" s="10"/>
      <c r="F64" s="10"/>
      <c r="G64" s="10"/>
      <c r="H64" s="10"/>
      <c r="I64" s="10"/>
      <c r="J64" s="10"/>
      <c r="K64" s="4"/>
      <c r="L64" s="19"/>
    </row>
    <row r="65" spans="1:28" ht="15.95" customHeight="1">
      <c r="A65" s="95" t="s">
        <v>31</v>
      </c>
      <c r="B65" s="114"/>
      <c r="C65" s="114"/>
      <c r="D65" s="114"/>
      <c r="E65" s="114"/>
      <c r="F65" s="114"/>
      <c r="G65" s="115"/>
      <c r="H65" s="94" t="s">
        <v>49</v>
      </c>
      <c r="I65" s="94"/>
      <c r="J65" s="94"/>
      <c r="K65" s="94"/>
      <c r="L65" s="94"/>
      <c r="M65" s="94"/>
      <c r="N65" s="94"/>
      <c r="O65" s="94"/>
      <c r="P65" s="141" t="s">
        <v>16</v>
      </c>
      <c r="Q65" s="142"/>
      <c r="R65" s="142"/>
      <c r="S65" s="141" t="s">
        <v>54</v>
      </c>
      <c r="T65" s="142"/>
      <c r="U65" s="142"/>
      <c r="V65" s="142"/>
      <c r="W65" s="155"/>
      <c r="X65" s="130" t="s">
        <v>40</v>
      </c>
      <c r="Y65" s="131"/>
      <c r="Z65" s="131"/>
      <c r="AA65" s="131"/>
      <c r="AB65" s="132"/>
    </row>
    <row r="66" spans="1:28" ht="24.95" customHeight="1" thickBot="1">
      <c r="A66" s="104" t="str">
        <f>IF(OR(D63="",S66=""),"",IF(入力用!E117="","",入力用!E117))</f>
        <v/>
      </c>
      <c r="B66" s="105"/>
      <c r="C66" s="105"/>
      <c r="D66" s="105"/>
      <c r="E66" s="105"/>
      <c r="F66" s="105"/>
      <c r="G66" s="105"/>
      <c r="H66" s="129" t="str">
        <f>IF(OR(D63="",S66=""),"",IF(入力用!E119="","",入力用!E119))</f>
        <v/>
      </c>
      <c r="I66" s="129"/>
      <c r="J66" s="129"/>
      <c r="K66" s="129"/>
      <c r="L66" s="129"/>
      <c r="M66" s="129"/>
      <c r="N66" s="129"/>
      <c r="O66" s="129"/>
      <c r="P66" s="152" t="str">
        <f>IF(OR(D63="",S66="",入力用!H234=""),"",入力用!H234)</f>
        <v/>
      </c>
      <c r="Q66" s="125"/>
      <c r="R66" s="34" t="s">
        <v>0</v>
      </c>
      <c r="S66" s="152" t="str">
        <f>IF(D63="","",IF(入力用!H235="","",入力用!H235))</f>
        <v/>
      </c>
      <c r="T66" s="125"/>
      <c r="U66" s="125"/>
      <c r="V66" s="125"/>
      <c r="W66" s="15" t="s">
        <v>18</v>
      </c>
      <c r="X66" s="133" t="str">
        <f>IF(OR(D63="",S66=""),"",入力用!H237)</f>
        <v/>
      </c>
      <c r="Y66" s="134"/>
      <c r="Z66" s="134"/>
      <c r="AA66" s="134"/>
      <c r="AB66" s="16" t="s">
        <v>18</v>
      </c>
    </row>
    <row r="67" spans="1:28" ht="15.95" customHeight="1">
      <c r="A67" s="23" t="s">
        <v>33</v>
      </c>
      <c r="B67" s="4"/>
      <c r="C67" s="4"/>
      <c r="D67" s="4"/>
      <c r="E67" s="4"/>
      <c r="F67" s="4"/>
      <c r="G67" s="4"/>
      <c r="H67" s="4"/>
      <c r="I67" s="21"/>
      <c r="J67" s="21"/>
      <c r="K67" s="21"/>
      <c r="L67" s="21"/>
      <c r="M67" s="21"/>
      <c r="N67" s="22"/>
      <c r="O67" s="22"/>
      <c r="P67" s="22"/>
      <c r="Q67" s="22"/>
      <c r="R67" s="21"/>
      <c r="S67" s="21"/>
      <c r="T67" s="21"/>
      <c r="U67" s="21"/>
      <c r="V67" s="21"/>
      <c r="W67" s="21"/>
      <c r="X67" s="22"/>
      <c r="Y67" s="22"/>
      <c r="Z67" s="22"/>
      <c r="AA67" s="22"/>
      <c r="AB67" s="21"/>
    </row>
    <row r="68" spans="1:28" ht="15.95" customHeight="1">
      <c r="A68" s="20"/>
      <c r="B68" s="95" t="s">
        <v>30</v>
      </c>
      <c r="C68" s="114"/>
      <c r="D68" s="114"/>
      <c r="E68" s="114"/>
      <c r="F68" s="114"/>
      <c r="G68" s="114"/>
      <c r="H68" s="115"/>
      <c r="I68" s="95" t="s">
        <v>43</v>
      </c>
      <c r="J68" s="114"/>
      <c r="K68" s="114"/>
      <c r="L68" s="114"/>
      <c r="M68" s="114"/>
      <c r="N68" s="114"/>
      <c r="O68" s="114"/>
      <c r="P68" s="114"/>
      <c r="Q68" s="114"/>
      <c r="R68" s="115"/>
      <c r="S68" s="94" t="s">
        <v>26</v>
      </c>
      <c r="T68" s="94"/>
      <c r="U68" s="94"/>
      <c r="V68" s="94"/>
      <c r="W68" s="94"/>
      <c r="X68" s="123" t="s">
        <v>29</v>
      </c>
      <c r="Y68" s="124"/>
      <c r="Z68" s="124"/>
      <c r="AA68" s="124"/>
      <c r="AB68" s="151"/>
    </row>
    <row r="69" spans="1:28" ht="24.95" customHeight="1">
      <c r="A69" s="18">
        <v>1</v>
      </c>
      <c r="B69" s="141" t="str">
        <f>IF(OR($D$63="",入力用!G243=""),"",入力用!G243)</f>
        <v/>
      </c>
      <c r="C69" s="142"/>
      <c r="D69" s="142"/>
      <c r="E69" s="142"/>
      <c r="F69" s="142"/>
      <c r="G69" s="142"/>
      <c r="H69" s="144"/>
      <c r="I69" s="148" t="str">
        <f>IF(OR($D$63=0,入力用!D245=""),"",入力用!D245)</f>
        <v/>
      </c>
      <c r="J69" s="149"/>
      <c r="K69" s="149"/>
      <c r="L69" s="149"/>
      <c r="M69" s="149"/>
      <c r="N69" s="149"/>
      <c r="O69" s="149"/>
      <c r="P69" s="149"/>
      <c r="Q69" s="149"/>
      <c r="R69" s="150"/>
      <c r="S69" s="145" t="str">
        <f>IF(OR($D$63="",入力用!G246=""),"",入力用!G246)</f>
        <v/>
      </c>
      <c r="T69" s="146"/>
      <c r="U69" s="146"/>
      <c r="V69" s="146"/>
      <c r="W69" s="147"/>
      <c r="X69" s="152" t="str">
        <f>IF(OR($D$63="",入力用!H249=""),"",入力用!H249)</f>
        <v/>
      </c>
      <c r="Y69" s="125"/>
      <c r="Z69" s="125"/>
      <c r="AA69" s="125"/>
      <c r="AB69" s="13" t="s">
        <v>18</v>
      </c>
    </row>
    <row r="70" spans="1:28" ht="24.95" customHeight="1">
      <c r="A70" s="18">
        <v>2</v>
      </c>
      <c r="B70" s="141" t="str">
        <f>IF(OR($D$63="",入力用!G252=""),"",入力用!G252)</f>
        <v/>
      </c>
      <c r="C70" s="142"/>
      <c r="D70" s="142"/>
      <c r="E70" s="142"/>
      <c r="F70" s="142"/>
      <c r="G70" s="142"/>
      <c r="H70" s="144"/>
      <c r="I70" s="148" t="str">
        <f>IF(OR($D$63=0,入力用!D254=""),"",入力用!D254)</f>
        <v/>
      </c>
      <c r="J70" s="149"/>
      <c r="K70" s="149"/>
      <c r="L70" s="149"/>
      <c r="M70" s="149"/>
      <c r="N70" s="149"/>
      <c r="O70" s="149"/>
      <c r="P70" s="149"/>
      <c r="Q70" s="149"/>
      <c r="R70" s="150"/>
      <c r="S70" s="145" t="str">
        <f>IF(OR($D$63="",入力用!G255=""),"",入力用!G255)</f>
        <v/>
      </c>
      <c r="T70" s="146"/>
      <c r="U70" s="146"/>
      <c r="V70" s="146"/>
      <c r="W70" s="147"/>
      <c r="X70" s="152" t="str">
        <f>IF(OR($D$63="",入力用!H258=""),"",入力用!H258)</f>
        <v/>
      </c>
      <c r="Y70" s="125"/>
      <c r="Z70" s="125"/>
      <c r="AA70" s="125"/>
      <c r="AB70" s="13" t="s">
        <v>18</v>
      </c>
    </row>
    <row r="71" spans="1:28" ht="24.95" customHeight="1">
      <c r="A71" s="18">
        <v>3</v>
      </c>
      <c r="B71" s="141" t="str">
        <f>IF(OR($D$63="",入力用!G261=""),"",入力用!G261)</f>
        <v/>
      </c>
      <c r="C71" s="142"/>
      <c r="D71" s="142"/>
      <c r="E71" s="142"/>
      <c r="F71" s="142"/>
      <c r="G71" s="142"/>
      <c r="H71" s="144"/>
      <c r="I71" s="148" t="str">
        <f>IF(OR($D$63=0,入力用!D263=""),"",入力用!D263)</f>
        <v/>
      </c>
      <c r="J71" s="149"/>
      <c r="K71" s="149"/>
      <c r="L71" s="149"/>
      <c r="M71" s="149"/>
      <c r="N71" s="149"/>
      <c r="O71" s="149"/>
      <c r="P71" s="149"/>
      <c r="Q71" s="149"/>
      <c r="R71" s="150"/>
      <c r="S71" s="145" t="str">
        <f>IF(OR($D$63="",入力用!G264=""),"",入力用!G264)</f>
        <v/>
      </c>
      <c r="T71" s="146"/>
      <c r="U71" s="146"/>
      <c r="V71" s="146"/>
      <c r="W71" s="147"/>
      <c r="X71" s="152" t="str">
        <f>IF(OR($D$63="",入力用!H267=""),"",入力用!H267)</f>
        <v/>
      </c>
      <c r="Y71" s="125"/>
      <c r="Z71" s="125"/>
      <c r="AA71" s="125"/>
      <c r="AB71" s="13" t="s">
        <v>18</v>
      </c>
    </row>
    <row r="72" spans="1:28" ht="24.95" customHeight="1" thickBot="1">
      <c r="A72" s="153" t="s">
        <v>230</v>
      </c>
      <c r="B72" s="153"/>
      <c r="C72" s="153"/>
      <c r="D72" s="153"/>
      <c r="E72" s="153"/>
      <c r="F72" s="153"/>
      <c r="G72" s="153"/>
      <c r="H72" s="153"/>
      <c r="I72" s="153"/>
      <c r="J72" s="153"/>
      <c r="K72" s="153"/>
      <c r="L72" s="153"/>
      <c r="M72" s="153"/>
      <c r="N72" s="153"/>
      <c r="O72" s="153"/>
      <c r="P72" s="153"/>
      <c r="Q72" s="153"/>
      <c r="R72" s="153"/>
      <c r="S72" s="160" t="s">
        <v>28</v>
      </c>
      <c r="T72" s="160"/>
      <c r="U72" s="160"/>
      <c r="V72" s="160"/>
      <c r="W72" s="160"/>
      <c r="X72" s="143" t="str">
        <f>IF(SUM(X69:AA71)=0,"",SUM(X69:AA71))</f>
        <v/>
      </c>
      <c r="Y72" s="134"/>
      <c r="Z72" s="134"/>
      <c r="AA72" s="134"/>
      <c r="AB72" s="27" t="s">
        <v>18</v>
      </c>
    </row>
    <row r="73" spans="1:28" ht="24.95" customHeight="1" thickBot="1">
      <c r="A73" s="154"/>
      <c r="B73" s="154"/>
      <c r="C73" s="154"/>
      <c r="D73" s="154"/>
      <c r="E73" s="154"/>
      <c r="F73" s="154"/>
      <c r="G73" s="154"/>
      <c r="H73" s="154"/>
      <c r="I73" s="154"/>
      <c r="J73" s="154"/>
      <c r="K73" s="154"/>
      <c r="L73" s="154"/>
      <c r="M73" s="154"/>
      <c r="N73" s="154"/>
      <c r="O73" s="154"/>
      <c r="P73" s="154"/>
      <c r="Q73" s="154"/>
      <c r="R73" s="154"/>
      <c r="S73" s="156" t="s">
        <v>41</v>
      </c>
      <c r="T73" s="157"/>
      <c r="U73" s="157"/>
      <c r="V73" s="157"/>
      <c r="W73" s="158"/>
      <c r="X73" s="159" t="str">
        <f>IF(OR(D63="",入力用!H269=""),"",入力用!H269)</f>
        <v/>
      </c>
      <c r="Y73" s="159"/>
      <c r="Z73" s="159"/>
      <c r="AA73" s="159"/>
      <c r="AB73" s="24" t="s">
        <v>18</v>
      </c>
    </row>
    <row r="74" spans="1:28" ht="24.95" customHeight="1" thickBot="1">
      <c r="S74" s="156" t="s">
        <v>42</v>
      </c>
      <c r="T74" s="157"/>
      <c r="U74" s="157"/>
      <c r="V74" s="157"/>
      <c r="W74" s="158"/>
      <c r="X74" s="159" t="str">
        <f>IF(OR($D$63="",SUM(X66,X73)=0),"",SUM(X66,X73))</f>
        <v/>
      </c>
      <c r="Y74" s="159"/>
      <c r="Z74" s="159"/>
      <c r="AA74" s="159"/>
      <c r="AB74" s="24" t="s">
        <v>18</v>
      </c>
    </row>
    <row r="75" spans="1:28" ht="15.95" customHeight="1"/>
    <row r="76" spans="1:28" ht="15.95" customHeight="1"/>
    <row r="77" spans="1:28" ht="15.95" customHeight="1">
      <c r="A77" s="26" t="s">
        <v>67</v>
      </c>
    </row>
    <row r="78" spans="1:28" ht="15.95" customHeight="1">
      <c r="A78" s="33" t="s">
        <v>63</v>
      </c>
    </row>
    <row r="79" spans="1:28" ht="15.95" customHeight="1">
      <c r="A79" s="1" t="s">
        <v>44</v>
      </c>
    </row>
    <row r="80" spans="1:28" ht="15.95" customHeight="1">
      <c r="A80" s="1" t="s">
        <v>45</v>
      </c>
    </row>
    <row r="81" spans="1:1" ht="15.95" customHeight="1">
      <c r="A81" s="1" t="s">
        <v>62</v>
      </c>
    </row>
    <row r="82" spans="1:1" ht="15.95" customHeight="1">
      <c r="A82" s="1" t="s">
        <v>68</v>
      </c>
    </row>
    <row r="83" spans="1:1" ht="15.95" customHeight="1"/>
    <row r="84" spans="1:1" ht="15.95" customHeight="1"/>
    <row r="85" spans="1:1" ht="15.95" customHeight="1"/>
    <row r="86" spans="1:1" ht="15.95" customHeight="1"/>
    <row r="87" spans="1:1" ht="15.95" customHeight="1"/>
    <row r="88" spans="1:1" ht="15.95" customHeight="1"/>
    <row r="89" spans="1:1" ht="15.95" customHeight="1"/>
    <row r="90" spans="1:1" ht="15.95" customHeight="1"/>
    <row r="91" spans="1:1" ht="15.95" customHeight="1"/>
    <row r="92" spans="1:1" ht="15.95" customHeight="1"/>
    <row r="93" spans="1:1" ht="15.95" customHeight="1"/>
    <row r="94" spans="1:1" ht="15.95" customHeight="1"/>
    <row r="95" spans="1:1" ht="15.95" customHeight="1"/>
    <row r="96" spans="1:1"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sheetData>
  <sheetProtection algorithmName="SHA-512" hashValue="z/wh07HDJiLwpQ7CXUu5IE8GNzE5Vr2WvTTJSJV9IdrJgDEk+zz3E56uIbd6MY4KIDaPYGZqdDnPfTESB4N2mg==" saltValue="OdW5XLFBVC5hxRTvOSVGnw==" spinCount="100000" sheet="1" objects="1" scenarios="1"/>
  <mergeCells count="171">
    <mergeCell ref="S73:W73"/>
    <mergeCell ref="S68:W68"/>
    <mergeCell ref="P40:Q40"/>
    <mergeCell ref="S40:V40"/>
    <mergeCell ref="S39:W39"/>
    <mergeCell ref="S71:W71"/>
    <mergeCell ref="S46:W46"/>
    <mergeCell ref="B71:H71"/>
    <mergeCell ref="B69:H69"/>
    <mergeCell ref="B70:H70"/>
    <mergeCell ref="I69:R69"/>
    <mergeCell ref="B68:H68"/>
    <mergeCell ref="A63:C63"/>
    <mergeCell ref="D63:F63"/>
    <mergeCell ref="H63:I63"/>
    <mergeCell ref="I70:R70"/>
    <mergeCell ref="S72:W72"/>
    <mergeCell ref="P65:R65"/>
    <mergeCell ref="S65:W65"/>
    <mergeCell ref="P66:Q66"/>
    <mergeCell ref="B55:H55"/>
    <mergeCell ref="I57:R57"/>
    <mergeCell ref="I58:R58"/>
    <mergeCell ref="B58:H58"/>
    <mergeCell ref="X73:AA73"/>
    <mergeCell ref="S74:W74"/>
    <mergeCell ref="X74:AA74"/>
    <mergeCell ref="A39:G39"/>
    <mergeCell ref="A40:G40"/>
    <mergeCell ref="H39:O39"/>
    <mergeCell ref="H40:O40"/>
    <mergeCell ref="A52:G52"/>
    <mergeCell ref="H52:O52"/>
    <mergeCell ref="A50:C50"/>
    <mergeCell ref="D50:F50"/>
    <mergeCell ref="H50:I50"/>
    <mergeCell ref="A53:G53"/>
    <mergeCell ref="H53:O53"/>
    <mergeCell ref="A65:G65"/>
    <mergeCell ref="H65:O65"/>
    <mergeCell ref="S70:W70"/>
    <mergeCell ref="X70:AA70"/>
    <mergeCell ref="I71:R71"/>
    <mergeCell ref="I68:R68"/>
    <mergeCell ref="B56:H56"/>
    <mergeCell ref="B57:H57"/>
    <mergeCell ref="I56:R56"/>
    <mergeCell ref="A72:R73"/>
    <mergeCell ref="X60:AA60"/>
    <mergeCell ref="S61:W61"/>
    <mergeCell ref="X61:AA61"/>
    <mergeCell ref="A59:R60"/>
    <mergeCell ref="X72:AA72"/>
    <mergeCell ref="S58:W58"/>
    <mergeCell ref="X58:AA58"/>
    <mergeCell ref="X65:AB65"/>
    <mergeCell ref="S59:W59"/>
    <mergeCell ref="X59:AA59"/>
    <mergeCell ref="S60:W60"/>
    <mergeCell ref="S69:W69"/>
    <mergeCell ref="X69:AA69"/>
    <mergeCell ref="X71:AA71"/>
    <mergeCell ref="X66:AA66"/>
    <mergeCell ref="X68:AB68"/>
    <mergeCell ref="S66:V66"/>
    <mergeCell ref="A66:G66"/>
    <mergeCell ref="H66:O66"/>
    <mergeCell ref="S47:W47"/>
    <mergeCell ref="X47:AA47"/>
    <mergeCell ref="S48:W48"/>
    <mergeCell ref="X48:AA48"/>
    <mergeCell ref="X52:AB52"/>
    <mergeCell ref="S56:W56"/>
    <mergeCell ref="X56:AA56"/>
    <mergeCell ref="S57:W57"/>
    <mergeCell ref="X57:AA57"/>
    <mergeCell ref="S55:W55"/>
    <mergeCell ref="X55:AB55"/>
    <mergeCell ref="S53:V53"/>
    <mergeCell ref="X46:AA46"/>
    <mergeCell ref="X53:AA53"/>
    <mergeCell ref="I55:R55"/>
    <mergeCell ref="X40:AA40"/>
    <mergeCell ref="B44:H44"/>
    <mergeCell ref="B42:H42"/>
    <mergeCell ref="S43:W43"/>
    <mergeCell ref="B45:H45"/>
    <mergeCell ref="B43:H43"/>
    <mergeCell ref="I42:R42"/>
    <mergeCell ref="I43:R43"/>
    <mergeCell ref="I44:R44"/>
    <mergeCell ref="I45:R45"/>
    <mergeCell ref="S42:W42"/>
    <mergeCell ref="X42:AB42"/>
    <mergeCell ref="X43:AA43"/>
    <mergeCell ref="S44:W44"/>
    <mergeCell ref="X44:AA44"/>
    <mergeCell ref="S45:W45"/>
    <mergeCell ref="X45:AA45"/>
    <mergeCell ref="A46:R47"/>
    <mergeCell ref="P52:R52"/>
    <mergeCell ref="S52:W52"/>
    <mergeCell ref="P53:Q53"/>
    <mergeCell ref="Q29:AB29"/>
    <mergeCell ref="X39:AB39"/>
    <mergeCell ref="H37:I37"/>
    <mergeCell ref="X33:AA33"/>
    <mergeCell ref="X32:AA32"/>
    <mergeCell ref="X31:AA31"/>
    <mergeCell ref="X30:AB30"/>
    <mergeCell ref="L23:N23"/>
    <mergeCell ref="L24:N24"/>
    <mergeCell ref="O24:Q24"/>
    <mergeCell ref="S24:T24"/>
    <mergeCell ref="V24:W24"/>
    <mergeCell ref="O23:X23"/>
    <mergeCell ref="D24:K25"/>
    <mergeCell ref="P39:R39"/>
    <mergeCell ref="A37:C37"/>
    <mergeCell ref="A29:C29"/>
    <mergeCell ref="D29:K29"/>
    <mergeCell ref="D37:F37"/>
    <mergeCell ref="A33:D33"/>
    <mergeCell ref="F33:G33"/>
    <mergeCell ref="I33:L33"/>
    <mergeCell ref="N33:Q33"/>
    <mergeCell ref="S33:V33"/>
    <mergeCell ref="A32:D32"/>
    <mergeCell ref="F32:G32"/>
    <mergeCell ref="I32:L32"/>
    <mergeCell ref="N32:Q32"/>
    <mergeCell ref="S32:V32"/>
    <mergeCell ref="A31:D31"/>
    <mergeCell ref="F31:G31"/>
    <mergeCell ref="I31:L31"/>
    <mergeCell ref="N31:Q31"/>
    <mergeCell ref="S31:V31"/>
    <mergeCell ref="A30:H30"/>
    <mergeCell ref="I30:M30"/>
    <mergeCell ref="N30:R30"/>
    <mergeCell ref="S30:W30"/>
    <mergeCell ref="L29:P29"/>
    <mergeCell ref="A23:C23"/>
    <mergeCell ref="D23:K23"/>
    <mergeCell ref="A24:C25"/>
    <mergeCell ref="L17:M20"/>
    <mergeCell ref="N17:O20"/>
    <mergeCell ref="P18:P20"/>
    <mergeCell ref="P17:R17"/>
    <mergeCell ref="Q18:AB19"/>
    <mergeCell ref="Q20:R20"/>
    <mergeCell ref="S20:AB20"/>
    <mergeCell ref="S17:U17"/>
    <mergeCell ref="W17:X17"/>
    <mergeCell ref="Z17:AA17"/>
    <mergeCell ref="A7:AB8"/>
    <mergeCell ref="A9:AB9"/>
    <mergeCell ref="A11:AB11"/>
    <mergeCell ref="A12:AB12"/>
    <mergeCell ref="A17:C17"/>
    <mergeCell ref="A18:C20"/>
    <mergeCell ref="D17:K17"/>
    <mergeCell ref="Z1:AA1"/>
    <mergeCell ref="W1:X1"/>
    <mergeCell ref="A4:AB4"/>
    <mergeCell ref="P1:R1"/>
    <mergeCell ref="S1:U1"/>
    <mergeCell ref="A13:AB13"/>
    <mergeCell ref="A5:AB5"/>
    <mergeCell ref="D18:J20"/>
    <mergeCell ref="K18:K20"/>
  </mergeCells>
  <phoneticPr fontId="2"/>
  <pageMargins left="0.78740157480314965" right="0.70866141732283472" top="0.55118110236220474" bottom="0.39370078740157483" header="0.31496062992125984" footer="0.31496062992125984"/>
  <pageSetup paperSize="9" orientation="portrait" r:id="rId1"/>
  <headerFooter differentFirst="1">
    <firstHeader>&amp;L&amp;"ＭＳ 明朝,標準"&amp;9第３－１号様式（第５条関係）&amp;R&amp;"ＭＳ 明朝,標準"&amp;9【幼稚園・認定こども園利用者用】</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37DE-0068-41B1-80DF-E755AC20B602}">
  <sheetPr codeName="Sheet4"/>
  <dimension ref="A1:E53"/>
  <sheetViews>
    <sheetView workbookViewId="0">
      <selection activeCell="E1" sqref="E1"/>
    </sheetView>
  </sheetViews>
  <sheetFormatPr defaultRowHeight="13.5"/>
  <cols>
    <col min="1" max="1" width="23.25" bestFit="1" customWidth="1"/>
    <col min="2" max="2" width="7.125" bestFit="1" customWidth="1"/>
    <col min="3" max="3" width="24.375" bestFit="1" customWidth="1"/>
    <col min="5" max="5" width="17.625" bestFit="1" customWidth="1"/>
  </cols>
  <sheetData>
    <row r="1" spans="1:5">
      <c r="C1" t="s">
        <v>74</v>
      </c>
      <c r="E1" t="s">
        <v>85</v>
      </c>
    </row>
    <row r="2" spans="1:5">
      <c r="C2" t="s">
        <v>75</v>
      </c>
      <c r="E2" t="b">
        <f>IF(入力用!E13="西暦",入力用!F13&amp;"/"&amp;入力用!H13&amp;"/"&amp;入力用!J13)</f>
        <v>0</v>
      </c>
    </row>
    <row r="3" spans="1:5">
      <c r="A3" t="s">
        <v>50</v>
      </c>
      <c r="C3" t="s">
        <v>76</v>
      </c>
      <c r="E3" t="str">
        <f>DATESTRING(E2)</f>
        <v>明治33年01月00日</v>
      </c>
    </row>
    <row r="4" spans="1:5">
      <c r="A4" t="s">
        <v>51</v>
      </c>
      <c r="C4" t="s">
        <v>77</v>
      </c>
      <c r="E4" t="str">
        <f>LEFT(E3,2)</f>
        <v>明治</v>
      </c>
    </row>
    <row r="5" spans="1:5">
      <c r="A5" t="s">
        <v>52</v>
      </c>
      <c r="C5" t="s">
        <v>78</v>
      </c>
      <c r="E5" s="49">
        <f>_xlfn.NUMBERVALUE((MID(E3,3,2)))</f>
        <v>33</v>
      </c>
    </row>
    <row r="6" spans="1:5">
      <c r="A6" t="s">
        <v>61</v>
      </c>
      <c r="C6" t="s">
        <v>79</v>
      </c>
    </row>
    <row r="7" spans="1:5">
      <c r="C7" t="s">
        <v>80</v>
      </c>
      <c r="E7" t="s">
        <v>86</v>
      </c>
    </row>
    <row r="8" spans="1:5">
      <c r="C8" t="s">
        <v>81</v>
      </c>
      <c r="E8">
        <f>IF(入力用!E22="西暦",入力用!F22&amp;"/"&amp;入力用!H22&amp;"/"&amp;入力用!J22,)</f>
        <v>0</v>
      </c>
    </row>
    <row r="9" spans="1:5">
      <c r="C9" t="s">
        <v>82</v>
      </c>
      <c r="E9" t="str">
        <f>DATESTRING(E8)</f>
        <v>明治33年01月00日</v>
      </c>
    </row>
    <row r="10" spans="1:5">
      <c r="C10" t="s">
        <v>83</v>
      </c>
      <c r="E10" t="str">
        <f>LEFT(E9,2)</f>
        <v>明治</v>
      </c>
    </row>
    <row r="11" spans="1:5">
      <c r="C11" t="s">
        <v>84</v>
      </c>
      <c r="E11" s="49">
        <f>_xlfn.NUMBERVALUE((MID(E9,3,2)))</f>
        <v>33</v>
      </c>
    </row>
    <row r="13" spans="1:5">
      <c r="E13" t="s">
        <v>87</v>
      </c>
    </row>
    <row r="14" spans="1:5">
      <c r="E14" t="b">
        <f>IF(入力用!E34="西暦",入力用!F34&amp;"/"&amp;入力用!H34&amp;"/"&amp;入力用!J34)</f>
        <v>0</v>
      </c>
    </row>
    <row r="15" spans="1:5">
      <c r="E15" t="str">
        <f>DATESTRING(E14)</f>
        <v>明治33年01月00日</v>
      </c>
    </row>
    <row r="16" spans="1:5">
      <c r="E16" t="str">
        <f>LEFT(E15,2)</f>
        <v>明治</v>
      </c>
    </row>
    <row r="17" spans="5:5">
      <c r="E17" s="49">
        <f>_xlfn.NUMBERVALUE((MID(E15,3,2)))</f>
        <v>33</v>
      </c>
    </row>
    <row r="19" spans="5:5">
      <c r="E19" t="s">
        <v>102</v>
      </c>
    </row>
    <row r="20" spans="5:5">
      <c r="E20" t="b">
        <f>IF(入力用!E59="西暦",入力用!F59&amp;"/"&amp;入力用!H59&amp;"/"&amp;1)</f>
        <v>0</v>
      </c>
    </row>
    <row r="21" spans="5:5">
      <c r="E21" t="str">
        <f>DATESTRING(E20)</f>
        <v>明治33年01月00日</v>
      </c>
    </row>
    <row r="22" spans="5:5">
      <c r="E22" t="str">
        <f>LEFT(E21,2)</f>
        <v>明治</v>
      </c>
    </row>
    <row r="23" spans="5:5">
      <c r="E23" s="49">
        <f>_xlfn.NUMBERVALUE((MID(E21,3,2)))</f>
        <v>33</v>
      </c>
    </row>
    <row r="25" spans="5:5">
      <c r="E25" t="s">
        <v>103</v>
      </c>
    </row>
    <row r="26" spans="5:5">
      <c r="E26" t="b">
        <f>IF(入力用!E75="西暦",入力用!F75&amp;"/"&amp;入力用!H75&amp;"/"&amp;1)</f>
        <v>0</v>
      </c>
    </row>
    <row r="27" spans="5:5">
      <c r="E27" t="str">
        <f>DATESTRING(E26)</f>
        <v>明治33年01月00日</v>
      </c>
    </row>
    <row r="28" spans="5:5">
      <c r="E28" t="str">
        <f>LEFT(E27,2)</f>
        <v>明治</v>
      </c>
    </row>
    <row r="29" spans="5:5">
      <c r="E29" s="49">
        <f>_xlfn.NUMBERVALUE((MID(E27,3,2)))</f>
        <v>33</v>
      </c>
    </row>
    <row r="31" spans="5:5">
      <c r="E31" t="s">
        <v>104</v>
      </c>
    </row>
    <row r="32" spans="5:5">
      <c r="E32" t="b">
        <f>IF(入力用!E91="西暦",入力用!F91&amp;"/"&amp;入力用!H91&amp;"/"&amp;1)</f>
        <v>0</v>
      </c>
    </row>
    <row r="33" spans="5:5">
      <c r="E33" t="str">
        <f>DATESTRING(E32)</f>
        <v>明治33年01月00日</v>
      </c>
    </row>
    <row r="34" spans="5:5">
      <c r="E34" t="str">
        <f>LEFT(E33,2)</f>
        <v>明治</v>
      </c>
    </row>
    <row r="35" spans="5:5">
      <c r="E35" s="49">
        <f>_xlfn.NUMBERVALUE((MID(E33,3,2)))</f>
        <v>33</v>
      </c>
    </row>
    <row r="37" spans="5:5">
      <c r="E37" t="s">
        <v>144</v>
      </c>
    </row>
    <row r="38" spans="5:5">
      <c r="E38" t="b">
        <f>IF(入力用!E130="西暦",入力用!F130&amp;"/"&amp;入力用!H130&amp;"/"&amp;1)</f>
        <v>0</v>
      </c>
    </row>
    <row r="39" spans="5:5">
      <c r="E39" t="str">
        <f>DATESTRING(E38)</f>
        <v>明治33年01月00日</v>
      </c>
    </row>
    <row r="40" spans="5:5">
      <c r="E40" t="str">
        <f>LEFT(E39,2)</f>
        <v>明治</v>
      </c>
    </row>
    <row r="41" spans="5:5">
      <c r="E41" s="49">
        <f>_xlfn.NUMBERVALUE((MID(E39,3,2)))</f>
        <v>33</v>
      </c>
    </row>
    <row r="43" spans="5:5">
      <c r="E43" t="s">
        <v>160</v>
      </c>
    </row>
    <row r="44" spans="5:5">
      <c r="E44" t="b">
        <f>IF(入力用!E172="西暦",入力用!F172&amp;"/"&amp;入力用!H172&amp;"/"&amp;1)</f>
        <v>0</v>
      </c>
    </row>
    <row r="45" spans="5:5">
      <c r="E45" t="str">
        <f>DATESTRING(E44)</f>
        <v>明治33年01月00日</v>
      </c>
    </row>
    <row r="46" spans="5:5">
      <c r="E46" t="str">
        <f>LEFT(E45,2)</f>
        <v>明治</v>
      </c>
    </row>
    <row r="47" spans="5:5">
      <c r="E47" s="49">
        <f>_xlfn.NUMBERVALUE((MID(E45,3,2)))</f>
        <v>33</v>
      </c>
    </row>
    <row r="49" spans="5:5">
      <c r="E49" t="s">
        <v>163</v>
      </c>
    </row>
    <row r="50" spans="5:5">
      <c r="E50" t="b">
        <f>IF(入力用!E229="西暦",入力用!F229&amp;"/"&amp;入力用!H229&amp;"/"&amp;1)</f>
        <v>0</v>
      </c>
    </row>
    <row r="51" spans="5:5">
      <c r="E51" t="str">
        <f>DATESTRING(E50)</f>
        <v>明治33年01月00日</v>
      </c>
    </row>
    <row r="52" spans="5:5">
      <c r="E52" t="str">
        <f>LEFT(E51,2)</f>
        <v>明治</v>
      </c>
    </row>
    <row r="53" spans="5:5">
      <c r="E53" s="49">
        <f>_xlfn.NUMBERVALUE((MID(E51,3,2)))</f>
        <v>33</v>
      </c>
    </row>
  </sheetData>
  <sheetProtection algorithmName="SHA-512" hashValue="VegCvFzVeXOhrEmMKyA5CgaupK+DYsInyV+F6ZGyLnExQgiyhSr9Px7/7LdMJ63Dzg7e3xCG2XU76iHmCHlCiA==" saltValue="ZpNufSAjLX2/PEZwiZM8+w==" spinCount="100000" sheet="1" objects="1" scenarios="1"/>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A9927-05D1-44BA-B36D-602A5A861E07}">
  <sheetPr codeName="Sheet5"/>
  <dimension ref="A1:U92"/>
  <sheetViews>
    <sheetView topLeftCell="H56" workbookViewId="0">
      <selection activeCell="E1" sqref="E1"/>
    </sheetView>
  </sheetViews>
  <sheetFormatPr defaultRowHeight="14.25"/>
  <cols>
    <col min="1" max="2" width="2.625" style="36" customWidth="1"/>
    <col min="3" max="3" width="22.75" style="36" bestFit="1" customWidth="1"/>
    <col min="4" max="9" width="9" style="36"/>
    <col min="10" max="10" width="10.5" style="36" bestFit="1" customWidth="1"/>
    <col min="11" max="13" width="9" style="36"/>
    <col min="14" max="14" width="9" style="36" customWidth="1"/>
    <col min="15" max="15" width="12.875" style="36" customWidth="1"/>
    <col min="16" max="16" width="10.5" style="36" bestFit="1" customWidth="1"/>
    <col min="17" max="17" width="16.125" style="36" bestFit="1" customWidth="1"/>
    <col min="18" max="20" width="13.875" style="36" bestFit="1" customWidth="1"/>
    <col min="21" max="21" width="11.625" style="36" bestFit="1" customWidth="1"/>
    <col min="22" max="16384" width="9" style="36"/>
  </cols>
  <sheetData>
    <row r="1" spans="1:15">
      <c r="A1" s="36" t="s">
        <v>161</v>
      </c>
    </row>
    <row r="3" spans="1:15">
      <c r="B3" s="40" t="s">
        <v>70</v>
      </c>
    </row>
    <row r="4" spans="1:15">
      <c r="B4" s="40"/>
      <c r="C4" s="36" t="s">
        <v>179</v>
      </c>
      <c r="D4" s="36">
        <f>IF(入力用!E13="西暦",入力用!F13,入力用!F13+2018)</f>
        <v>2018</v>
      </c>
      <c r="E4" s="36" t="s">
        <v>1</v>
      </c>
      <c r="F4" s="36">
        <f>入力用!H13</f>
        <v>0</v>
      </c>
      <c r="G4" s="36" t="s">
        <v>9</v>
      </c>
      <c r="H4" s="36">
        <f>入力用!J13</f>
        <v>0</v>
      </c>
      <c r="I4" s="36" t="s">
        <v>0</v>
      </c>
      <c r="J4" s="36" t="str">
        <f>D4&amp;"/"&amp;F4&amp;"/"&amp;H4</f>
        <v>2018/0/0</v>
      </c>
      <c r="L4" s="36" t="str">
        <f>IFERROR(DAY(EOMONTH(J4,0)),"error")</f>
        <v>error</v>
      </c>
    </row>
    <row r="5" spans="1:15">
      <c r="B5" s="40"/>
      <c r="C5" s="36" t="s">
        <v>180</v>
      </c>
      <c r="D5" s="36">
        <f>IF(入力用!E22="西暦",入力用!F22,IF(入力用!E22="明治",入力用!F22+1867,IF(入力用!E22="大正",入力用!F22+1911,IF(入力用!E22="昭和",入力用!F22+1925,IF(入力用!E22="平成",入力用!F22+1988,入力用!F22+2018)))))</f>
        <v>2018</v>
      </c>
      <c r="E5" s="36" t="s">
        <v>1</v>
      </c>
      <c r="F5" s="36">
        <f>入力用!H22</f>
        <v>0</v>
      </c>
      <c r="G5" s="36" t="s">
        <v>9</v>
      </c>
      <c r="H5" s="36">
        <f>入力用!J22</f>
        <v>0</v>
      </c>
      <c r="I5" s="36" t="s">
        <v>0</v>
      </c>
      <c r="J5" s="36" t="str">
        <f>D5&amp;"/"&amp;F5&amp;"/"&amp;H5</f>
        <v>2018/0/0</v>
      </c>
      <c r="L5" s="36" t="str">
        <f>IFERROR(DAY(EOMONTH(J5,0)),"error")</f>
        <v>error</v>
      </c>
    </row>
    <row r="6" spans="1:15">
      <c r="B6" s="40"/>
      <c r="C6" s="36" t="s">
        <v>181</v>
      </c>
      <c r="D6" s="36">
        <f>IF(入力用!E34="西暦",入力用!F34,IF(入力用!E34="平成",入力用!F34+1988,入力用!F34+2018))</f>
        <v>2018</v>
      </c>
      <c r="E6" s="36" t="s">
        <v>1</v>
      </c>
      <c r="F6" s="36">
        <f>入力用!H34</f>
        <v>0</v>
      </c>
      <c r="G6" s="36" t="s">
        <v>9</v>
      </c>
      <c r="H6" s="36">
        <f>入力用!J34</f>
        <v>0</v>
      </c>
      <c r="I6" s="36" t="s">
        <v>0</v>
      </c>
      <c r="J6" s="36" t="str">
        <f>D6&amp;"/"&amp;F6&amp;"/"&amp;H6</f>
        <v>2018/0/0</v>
      </c>
      <c r="L6" s="36" t="str">
        <f>IFERROR(DAY(EOMONTH(J6,0)),"error")</f>
        <v>error</v>
      </c>
    </row>
    <row r="7" spans="1:15">
      <c r="C7" s="36" t="s">
        <v>141</v>
      </c>
    </row>
    <row r="8" spans="1:15">
      <c r="C8" s="36" t="s">
        <v>110</v>
      </c>
      <c r="D8" s="38" t="s">
        <v>108</v>
      </c>
      <c r="E8" s="39">
        <f>入力用!E43</f>
        <v>0</v>
      </c>
      <c r="F8" s="36" t="s">
        <v>109</v>
      </c>
    </row>
    <row r="9" spans="1:15">
      <c r="C9" s="36" t="s">
        <v>128</v>
      </c>
      <c r="D9" s="36">
        <f>IF(入力用!E46="西暦",入力用!F46,入力用!F46+2018)</f>
        <v>2018</v>
      </c>
      <c r="E9" s="36" t="s">
        <v>1</v>
      </c>
      <c r="F9" s="36">
        <f>入力用!H46</f>
        <v>0</v>
      </c>
      <c r="G9" s="36" t="s">
        <v>9</v>
      </c>
      <c r="H9" s="36">
        <f>入力用!J46</f>
        <v>0</v>
      </c>
      <c r="I9" s="36" t="s">
        <v>0</v>
      </c>
      <c r="J9" s="36" t="str">
        <f>D9&amp;"/"&amp;F9&amp;"/"&amp;H9</f>
        <v>2018/0/0</v>
      </c>
      <c r="L9" s="36" t="str">
        <f t="shared" ref="L9:L12" si="0">IFERROR(DAY(EOMONTH(J9,0)),"error")</f>
        <v>error</v>
      </c>
    </row>
    <row r="10" spans="1:15">
      <c r="C10" s="38" t="s">
        <v>114</v>
      </c>
      <c r="D10" s="36">
        <f>IF(入力用!E47="西暦",入力用!F47,入力用!F47+2018)</f>
        <v>2018</v>
      </c>
      <c r="E10" s="36" t="s">
        <v>1</v>
      </c>
      <c r="F10" s="36">
        <f>入力用!H47</f>
        <v>0</v>
      </c>
      <c r="G10" s="36" t="s">
        <v>9</v>
      </c>
      <c r="H10" s="36">
        <f>入力用!J47</f>
        <v>0</v>
      </c>
      <c r="I10" s="36" t="s">
        <v>0</v>
      </c>
      <c r="J10" s="36" t="str">
        <f>D10&amp;"/"&amp;F10&amp;"/"&amp;H10</f>
        <v>2018/0/0</v>
      </c>
      <c r="L10" s="36" t="str">
        <f t="shared" si="0"/>
        <v>error</v>
      </c>
    </row>
    <row r="11" spans="1:15">
      <c r="C11" s="36" t="s">
        <v>175</v>
      </c>
      <c r="D11" s="36">
        <f>IF(入力用!E51="西暦",入力用!F51,入力用!F51+2018)</f>
        <v>2018</v>
      </c>
      <c r="E11" s="36" t="s">
        <v>1</v>
      </c>
      <c r="F11" s="36">
        <f>入力用!H51</f>
        <v>0</v>
      </c>
      <c r="G11" s="36" t="s">
        <v>9</v>
      </c>
      <c r="H11" s="36">
        <f>入力用!J51</f>
        <v>0</v>
      </c>
      <c r="I11" s="36" t="s">
        <v>0</v>
      </c>
      <c r="J11" s="36" t="str">
        <f>D11&amp;"/"&amp;F11&amp;"/"&amp;H11</f>
        <v>2018/0/0</v>
      </c>
      <c r="L11" s="36" t="str">
        <f t="shared" si="0"/>
        <v>error</v>
      </c>
      <c r="M11" s="36" t="s">
        <v>178</v>
      </c>
      <c r="N11" s="36" t="e">
        <f>J11-J10</f>
        <v>#VALUE!</v>
      </c>
      <c r="O11" s="36" t="str">
        <f>IF(H12=0,"ok",IF(AND(J9&lt;=J11,J10&gt;=J12),"error",IF(J12-J10&gt;0,IF(N11=1,"ok","error"),"ok")))</f>
        <v>ok</v>
      </c>
    </row>
    <row r="12" spans="1:15">
      <c r="C12" s="38" t="s">
        <v>114</v>
      </c>
      <c r="D12" s="36">
        <f>IF(入力用!E52="西暦",入力用!F52,入力用!F52+2018)</f>
        <v>2018</v>
      </c>
      <c r="E12" s="36" t="s">
        <v>1</v>
      </c>
      <c r="F12" s="36">
        <f>入力用!H52</f>
        <v>0</v>
      </c>
      <c r="G12" s="36" t="s">
        <v>9</v>
      </c>
      <c r="H12" s="36">
        <f>入力用!J52</f>
        <v>0</v>
      </c>
      <c r="I12" s="36" t="s">
        <v>0</v>
      </c>
      <c r="J12" s="36" t="str">
        <f>D12&amp;"/"&amp;F12&amp;"/"&amp;H12</f>
        <v>2018/0/0</v>
      </c>
      <c r="L12" s="36" t="str">
        <f t="shared" si="0"/>
        <v>error</v>
      </c>
      <c r="M12" s="36" t="s">
        <v>177</v>
      </c>
      <c r="N12" s="36" t="e">
        <f>J9-J12</f>
        <v>#VALUE!</v>
      </c>
      <c r="O12" s="36" t="str">
        <f>IF(H11=0,"ok",IF(AND(J11&lt;=J9,J10&lt;=J12),"error",IF(J11&lt;J9,IF(N12=1,"ok","error"),"ok")))</f>
        <v>ok</v>
      </c>
    </row>
    <row r="13" spans="1:15">
      <c r="C13" s="36" t="s">
        <v>142</v>
      </c>
    </row>
    <row r="14" spans="1:15">
      <c r="C14" s="36" t="s">
        <v>110</v>
      </c>
      <c r="D14" s="38" t="s">
        <v>108</v>
      </c>
      <c r="E14" s="39" t="str">
        <f>入力用!E121</f>
        <v/>
      </c>
      <c r="F14" s="36" t="s">
        <v>109</v>
      </c>
      <c r="N14" s="36" t="s">
        <v>207</v>
      </c>
    </row>
    <row r="15" spans="1:15">
      <c r="C15" s="36" t="s">
        <v>128</v>
      </c>
      <c r="D15" s="36">
        <f>IF(入力用!E124="西暦",入力用!F124,IF(入力用!F124="",2018,入力用!F124+2018))</f>
        <v>2018</v>
      </c>
      <c r="E15" s="36" t="s">
        <v>1</v>
      </c>
      <c r="F15" s="36">
        <f>IF(入力用!H124="",0,入力用!H124)</f>
        <v>0</v>
      </c>
      <c r="G15" s="36" t="s">
        <v>9</v>
      </c>
      <c r="H15" s="36">
        <f>IF(入力用!J124="",0,入力用!J124)</f>
        <v>0</v>
      </c>
      <c r="I15" s="36" t="s">
        <v>0</v>
      </c>
      <c r="J15" s="36" t="str">
        <f>D15&amp;"/"&amp;F15&amp;"/"&amp;H15</f>
        <v>2018/0/0</v>
      </c>
      <c r="L15" s="36" t="str">
        <f>IFERROR(DAY(EOMONTH(J15,0)),"error")</f>
        <v>error</v>
      </c>
      <c r="N15" s="36" t="str">
        <f>LEFT(J15,7)</f>
        <v>2018/0/</v>
      </c>
      <c r="O15" s="36" t="e">
        <f>L15-H15+1</f>
        <v>#VALUE!</v>
      </c>
    </row>
    <row r="16" spans="1:15">
      <c r="C16" s="38" t="s">
        <v>114</v>
      </c>
      <c r="D16" s="36">
        <f>IF(入力用!E125="西暦",入力用!F125,IF(入力用!F125="",2018,入力用!F125+2018))</f>
        <v>2018</v>
      </c>
      <c r="E16" s="36" t="s">
        <v>1</v>
      </c>
      <c r="F16" s="36">
        <f>IF(入力用!H125="",0,入力用!H125)</f>
        <v>0</v>
      </c>
      <c r="G16" s="36" t="s">
        <v>9</v>
      </c>
      <c r="H16" s="36">
        <f>IF(入力用!J125="",0,入力用!J125)</f>
        <v>0</v>
      </c>
      <c r="I16" s="36" t="s">
        <v>0</v>
      </c>
      <c r="J16" s="36" t="str">
        <f>D16&amp;"/"&amp;F16&amp;"/"&amp;H16</f>
        <v>2018/0/0</v>
      </c>
      <c r="L16" s="36" t="str">
        <f t="shared" ref="L16" si="1">IFERROR(DAY(EOMONTH(J16,0)),"error")</f>
        <v>error</v>
      </c>
      <c r="N16" s="36" t="str">
        <f>LEFT(J16,7)</f>
        <v>2018/0/</v>
      </c>
      <c r="O16" s="36">
        <f>H16</f>
        <v>0</v>
      </c>
    </row>
    <row r="18" spans="2:17">
      <c r="B18" s="40" t="s">
        <v>122</v>
      </c>
    </row>
    <row r="20" spans="2:17">
      <c r="C20" s="36" t="s">
        <v>123</v>
      </c>
      <c r="P20" s="36" t="s">
        <v>208</v>
      </c>
    </row>
    <row r="21" spans="2:17">
      <c r="C21" s="36" t="s">
        <v>124</v>
      </c>
      <c r="D21" s="36">
        <f>IF(入力用!E59="西暦",入力用!F59,入力用!F59+2018)</f>
        <v>2018</v>
      </c>
      <c r="E21" s="36" t="s">
        <v>1</v>
      </c>
      <c r="F21" s="36">
        <f>入力用!H59</f>
        <v>0</v>
      </c>
      <c r="G21" s="36" t="s">
        <v>9</v>
      </c>
      <c r="J21" s="36">
        <f>IF(D22=0,100000,D21&amp;"/"&amp;F21&amp;"/"&amp;D22)</f>
        <v>100000</v>
      </c>
      <c r="L21" s="36">
        <f t="shared" ref="L21:L22" si="2">IFERROR(DAY(EOMONTH(J21,0)),"error")</f>
        <v>31</v>
      </c>
      <c r="O21" s="38" t="s">
        <v>241</v>
      </c>
      <c r="P21" s="68">
        <f>IF(P23-P25&lt;=0,P23,P25)</f>
        <v>100000</v>
      </c>
      <c r="Q21" s="36" t="str">
        <f>LEFT(P21,7)</f>
        <v>100000</v>
      </c>
    </row>
    <row r="22" spans="2:17">
      <c r="C22" s="36" t="s">
        <v>125</v>
      </c>
      <c r="D22" s="36">
        <f>入力用!G61</f>
        <v>0</v>
      </c>
      <c r="E22" s="36" t="s">
        <v>126</v>
      </c>
      <c r="F22" s="36">
        <f>入力用!J61</f>
        <v>0</v>
      </c>
      <c r="G22" s="36" t="s">
        <v>0</v>
      </c>
      <c r="J22" s="36">
        <f>IF(F22=0,0,D21&amp;"/"&amp;F21&amp;"/"&amp;F22)</f>
        <v>0</v>
      </c>
      <c r="L22" s="36">
        <f t="shared" si="2"/>
        <v>31</v>
      </c>
      <c r="O22" s="38" t="s">
        <v>242</v>
      </c>
      <c r="P22" s="36">
        <f>IF(P24-P26&gt;=0,P24,P26)</f>
        <v>0</v>
      </c>
      <c r="Q22" s="36" t="str">
        <f>LEFT(P22,7)</f>
        <v>0</v>
      </c>
    </row>
    <row r="23" spans="2:17">
      <c r="C23" s="36" t="s">
        <v>129</v>
      </c>
      <c r="D23" s="36" t="s">
        <v>130</v>
      </c>
      <c r="E23" s="36" t="str">
        <f>IFERROR(IF(J21-$J$9&gt;=0,"ok","error"),"none")</f>
        <v>none</v>
      </c>
      <c r="F23" s="36" t="s">
        <v>131</v>
      </c>
      <c r="G23" s="36" t="str">
        <f>IFERROR(IF($J$10-J22&gt;=0,"ok","error"),"none")</f>
        <v>none</v>
      </c>
      <c r="H23" s="36" t="s">
        <v>130</v>
      </c>
      <c r="I23" s="36" t="str">
        <f>IF(E24="none",E23,IF(E24="error",E23,"ok"))</f>
        <v>none</v>
      </c>
      <c r="J23" s="36" t="s">
        <v>131</v>
      </c>
      <c r="K23" s="36" t="str">
        <f>IF(G24="none",G23,IF(G24="error",G23,"ok"))</f>
        <v>none</v>
      </c>
      <c r="O23" s="38" t="s">
        <v>209</v>
      </c>
      <c r="P23" s="36">
        <f>IF(J27-J21&gt;0,IF(J33-J21&gt;0,J21,J33),IF(J33-J27&gt;0,J27,J33))</f>
        <v>100000</v>
      </c>
      <c r="Q23" s="36" t="str">
        <f t="shared" ref="Q23:Q24" si="3">LEFT(P23,7)</f>
        <v>100000</v>
      </c>
    </row>
    <row r="24" spans="2:17">
      <c r="C24" s="36" t="s">
        <v>176</v>
      </c>
      <c r="D24" s="36" t="s">
        <v>130</v>
      </c>
      <c r="E24" s="36" t="str">
        <f>IFERROR(IF(J21-$J$11&gt;=0,"ok","error"),"none")</f>
        <v>none</v>
      </c>
      <c r="F24" s="36" t="s">
        <v>131</v>
      </c>
      <c r="G24" s="36" t="str">
        <f>IFERROR(IF($J$12-J22&gt;=0,"ok","error"),"none")</f>
        <v>none</v>
      </c>
      <c r="O24" s="38" t="s">
        <v>210</v>
      </c>
      <c r="P24" s="36">
        <f>IF(J34-J28&gt;0,IF(J34-J22&gt;0,J34,J22),IF(J28-J22&gt;0,J28,J22))</f>
        <v>0</v>
      </c>
      <c r="Q24" s="36" t="str">
        <f t="shared" si="3"/>
        <v>0</v>
      </c>
    </row>
    <row r="25" spans="2:17">
      <c r="C25" s="36" t="s">
        <v>132</v>
      </c>
      <c r="D25" s="36" t="s">
        <v>130</v>
      </c>
      <c r="E25" s="36" t="str">
        <f>IFERROR(IF(J21-#REF!&gt;=0,"ok","error"),"none")</f>
        <v>none</v>
      </c>
      <c r="F25" s="36" t="s">
        <v>131</v>
      </c>
      <c r="G25" s="36" t="str">
        <f>IFERROR(IF(#REF!-J22&gt;=0,"ok","error"),"none")</f>
        <v>none</v>
      </c>
      <c r="O25" s="38" t="s">
        <v>239</v>
      </c>
      <c r="P25" s="68">
        <f>IF(J60-J42&gt;0,IF(J78-J42&gt;0,J42,J78),IF(J78-J60&gt;0,J60,J78))</f>
        <v>100000</v>
      </c>
      <c r="Q25" s="36" t="str">
        <f>LEFT(P25,7)</f>
        <v>100000</v>
      </c>
    </row>
    <row r="26" spans="2:17">
      <c r="C26" s="36" t="s">
        <v>135</v>
      </c>
      <c r="O26" s="38" t="s">
        <v>240</v>
      </c>
      <c r="P26" s="36">
        <f>IF(J79-J61&gt;0,IF(J79-J43&gt;0,J79,J43),IF(J61-J43&gt;0,J61,J43))</f>
        <v>0</v>
      </c>
      <c r="Q26" s="36" t="str">
        <f>LEFT(P26,7)</f>
        <v>0</v>
      </c>
    </row>
    <row r="27" spans="2:17">
      <c r="C27" s="36" t="s">
        <v>124</v>
      </c>
      <c r="D27" s="36">
        <f>IF(入力用!E75="西暦",入力用!F75,入力用!F75+2018)</f>
        <v>2018</v>
      </c>
      <c r="E27" s="36" t="s">
        <v>1</v>
      </c>
      <c r="F27" s="36">
        <f>入力用!H75</f>
        <v>0</v>
      </c>
      <c r="G27" s="36" t="s">
        <v>9</v>
      </c>
      <c r="J27" s="36">
        <f>IF(D28=0,100000,D27&amp;"/"&amp;F27&amp;"/"&amp;D28)</f>
        <v>100000</v>
      </c>
      <c r="L27" s="36">
        <f t="shared" ref="L27:L28" si="4">IFERROR(DAY(EOMONTH(J27,0)),"error")</f>
        <v>31</v>
      </c>
    </row>
    <row r="28" spans="2:17">
      <c r="C28" s="36" t="s">
        <v>125</v>
      </c>
      <c r="D28" s="36">
        <f>入力用!G77</f>
        <v>0</v>
      </c>
      <c r="E28" s="36" t="s">
        <v>126</v>
      </c>
      <c r="F28" s="36">
        <f>入力用!J77</f>
        <v>0</v>
      </c>
      <c r="G28" s="36" t="s">
        <v>0</v>
      </c>
      <c r="J28" s="36">
        <f>IF(F28=0,0,D27&amp;"/"&amp;F27&amp;"/"&amp;F28)</f>
        <v>0</v>
      </c>
      <c r="L28" s="36">
        <f t="shared" si="4"/>
        <v>31</v>
      </c>
    </row>
    <row r="29" spans="2:17">
      <c r="C29" s="36" t="s">
        <v>129</v>
      </c>
      <c r="D29" s="36" t="s">
        <v>130</v>
      </c>
      <c r="E29" s="36" t="str">
        <f>IFERROR(IF(J27-$J$9&gt;=0,"ok","error"),"none")</f>
        <v>none</v>
      </c>
      <c r="F29" s="36" t="s">
        <v>131</v>
      </c>
      <c r="G29" s="36" t="str">
        <f>IFERROR(IF($J$10-J28&gt;=0,"ok","error"),"none")</f>
        <v>none</v>
      </c>
      <c r="H29" s="36" t="s">
        <v>130</v>
      </c>
      <c r="I29" s="36" t="str">
        <f>IF(E30="none",E29,IF(E30="error",E29,"ok"))</f>
        <v>none</v>
      </c>
      <c r="J29" s="36" t="s">
        <v>131</v>
      </c>
      <c r="K29" s="36" t="str">
        <f>IF(G30="none",G29,IF(G30="error",G29,"ok"))</f>
        <v>none</v>
      </c>
    </row>
    <row r="30" spans="2:17">
      <c r="C30" s="36" t="s">
        <v>176</v>
      </c>
      <c r="D30" s="36" t="s">
        <v>130</v>
      </c>
      <c r="E30" s="36" t="str">
        <f>IFERROR(IF(J27-$J$11&gt;=0,"ok","error"),"none")</f>
        <v>none</v>
      </c>
      <c r="F30" s="36" t="s">
        <v>131</v>
      </c>
      <c r="G30" s="36" t="str">
        <f>IFERROR(IF($J$12-J28&gt;=0,"ok","error"),"none")</f>
        <v>none</v>
      </c>
    </row>
    <row r="31" spans="2:17">
      <c r="C31" s="36" t="s">
        <v>132</v>
      </c>
      <c r="D31" s="36" t="s">
        <v>130</v>
      </c>
      <c r="E31" s="36" t="str">
        <f>IFERROR(IF(J27-#REF!&gt;=0,"ok","error"),"none")</f>
        <v>none</v>
      </c>
      <c r="F31" s="36" t="s">
        <v>131</v>
      </c>
      <c r="G31" s="36" t="str">
        <f>IFERROR(IF(#REF!-J28&gt;=0,"ok","error"),"none")</f>
        <v>none</v>
      </c>
    </row>
    <row r="32" spans="2:17">
      <c r="C32" s="36" t="s">
        <v>136</v>
      </c>
    </row>
    <row r="33" spans="2:21">
      <c r="C33" s="36" t="s">
        <v>124</v>
      </c>
      <c r="D33" s="36">
        <f>IF(入力用!E91="西暦",入力用!F91,入力用!F91+2018)</f>
        <v>2018</v>
      </c>
      <c r="E33" s="36" t="s">
        <v>1</v>
      </c>
      <c r="F33" s="36">
        <f>入力用!H91</f>
        <v>0</v>
      </c>
      <c r="G33" s="36" t="s">
        <v>9</v>
      </c>
      <c r="J33" s="36">
        <f>IF(D34=0,100000,D33&amp;"/"&amp;F33&amp;"/"&amp;D34)</f>
        <v>100000</v>
      </c>
      <c r="L33" s="36">
        <f t="shared" ref="L33:L34" si="5">IFERROR(DAY(EOMONTH(J33,0)),"error")</f>
        <v>31</v>
      </c>
    </row>
    <row r="34" spans="2:21">
      <c r="C34" s="36" t="s">
        <v>125</v>
      </c>
      <c r="D34" s="36">
        <f>入力用!G93</f>
        <v>0</v>
      </c>
      <c r="E34" s="36" t="s">
        <v>126</v>
      </c>
      <c r="F34" s="36">
        <f>入力用!J93</f>
        <v>0</v>
      </c>
      <c r="G34" s="36" t="s">
        <v>0</v>
      </c>
      <c r="J34" s="36">
        <f>IF(F34=0,0,D33&amp;"/"&amp;F33&amp;"/"&amp;F34)</f>
        <v>0</v>
      </c>
      <c r="L34" s="36">
        <f t="shared" si="5"/>
        <v>31</v>
      </c>
    </row>
    <row r="35" spans="2:21">
      <c r="C35" s="36" t="s">
        <v>129</v>
      </c>
      <c r="D35" s="36" t="s">
        <v>130</v>
      </c>
      <c r="E35" s="36" t="str">
        <f>IFERROR(IF(J33-$J$9&gt;=0,"ok","error"),"none")</f>
        <v>none</v>
      </c>
      <c r="F35" s="36" t="s">
        <v>131</v>
      </c>
      <c r="G35" s="36" t="str">
        <f>IFERROR(IF($J$10-J34&gt;=0,"ok","error"),"none")</f>
        <v>none</v>
      </c>
      <c r="H35" s="36" t="s">
        <v>130</v>
      </c>
      <c r="I35" s="36" t="str">
        <f>IF(E36="none",E35,IF(E36="error",E35,"ok"))</f>
        <v>none</v>
      </c>
      <c r="J35" s="36" t="s">
        <v>131</v>
      </c>
      <c r="K35" s="36" t="str">
        <f>IF(G36="none",G35,IF(G36="error",G35,"ok"))</f>
        <v>none</v>
      </c>
    </row>
    <row r="36" spans="2:21">
      <c r="C36" s="36" t="s">
        <v>176</v>
      </c>
      <c r="D36" s="36" t="s">
        <v>130</v>
      </c>
      <c r="E36" s="36" t="str">
        <f>IFERROR(IF(J33-$J$11&gt;=0,"ok","error"),"none")</f>
        <v>none</v>
      </c>
      <c r="F36" s="36" t="s">
        <v>131</v>
      </c>
      <c r="G36" s="36" t="str">
        <f>IFERROR(IF($J$12-J34&gt;=0,"ok","error"),"none")</f>
        <v>none</v>
      </c>
    </row>
    <row r="37" spans="2:21">
      <c r="C37" s="36" t="s">
        <v>132</v>
      </c>
      <c r="D37" s="36" t="s">
        <v>130</v>
      </c>
      <c r="E37" s="36" t="str">
        <f>IFERROR(IF(J33-#REF!&gt;=0,"ok","error"),"none")</f>
        <v>none</v>
      </c>
      <c r="F37" s="36" t="s">
        <v>131</v>
      </c>
      <c r="G37" s="36" t="str">
        <f>IFERROR(IF(#REF!-J34&gt;=0,"ok","error"),"none")</f>
        <v>none</v>
      </c>
    </row>
    <row r="38" spans="2:21">
      <c r="Q38" s="36" t="s">
        <v>221</v>
      </c>
    </row>
    <row r="39" spans="2:21">
      <c r="B39" s="40" t="s">
        <v>137</v>
      </c>
      <c r="O39" s="38" t="s">
        <v>218</v>
      </c>
      <c r="P39" s="36" t="str">
        <f>$J$15</f>
        <v>2018/0/0</v>
      </c>
      <c r="Q39" s="36" t="str">
        <f>IF(N42=$Q$21,IF(N42=$Q$22,"どっちも","初日"),IF(N42=$Q$22,"最終日","関係ない"))</f>
        <v>初日</v>
      </c>
    </row>
    <row r="40" spans="2:21">
      <c r="O40" s="38" t="s">
        <v>216</v>
      </c>
      <c r="P40" s="36" t="str">
        <f>LEFT(P41,8)&amp;1</f>
        <v>1000001</v>
      </c>
      <c r="Q40" s="36" t="e">
        <f>IF(P39-P40&gt;=0,P39,P40)</f>
        <v>#VALUE!</v>
      </c>
      <c r="R40" s="36" t="s">
        <v>214</v>
      </c>
      <c r="S40" s="36" t="s">
        <v>215</v>
      </c>
    </row>
    <row r="41" spans="2:21">
      <c r="C41" s="36" t="s">
        <v>123</v>
      </c>
      <c r="L41" s="36">
        <f>MAX(IFERROR(L42,0),IFERROR(L46,0),IFERROR(L50,0),IFERROR(L54,0))</f>
        <v>0</v>
      </c>
      <c r="O41" s="38" t="s">
        <v>211</v>
      </c>
      <c r="P41" s="68" t="str">
        <f>IF(J50-J46&gt;0,IF(J54-J46&gt;0,J46,J54),IF(J54-J50&gt;0,J50,J54))</f>
        <v>100000</v>
      </c>
      <c r="Q41" s="36" t="str">
        <f>IF($P$21=100000,"単なし併あり",IF(OR(Q39="初日",Q39="どっちも"),IF(P41-$P$21&lt;0,IF(P42-$P$21&gt;=0,"単あり併あり","単あり併なし"),IF(P41="100000","認可外なし","単なし併あり")),""))</f>
        <v>単なし併あり</v>
      </c>
      <c r="R41" s="61">
        <f>IF($Q41=R40,IF($E$14=2,37000*($P$21-Q40)/L41+11300*(Q43-$P$21+1)/L41,IF($E$14=3,42000*($P$21-Q40)/L41+16300*(Q43-$P$21+1)/L41,0)),0)</f>
        <v>0</v>
      </c>
      <c r="S41" s="61">
        <f>IF($Q41=S40,IF($E$14=2,37000*($P$21-Q40)/L41,IF($E$14=3,42000*($P$21-Q40)/L41,0)),0)</f>
        <v>0</v>
      </c>
      <c r="T41" s="61"/>
      <c r="U41" s="61"/>
    </row>
    <row r="42" spans="2:21">
      <c r="C42" s="36" t="s">
        <v>124</v>
      </c>
      <c r="D42" s="36">
        <f>IF(入力用!$E$130="西暦",入力用!$F$130,入力用!$F$130+2018)</f>
        <v>2018</v>
      </c>
      <c r="E42" s="36" t="s">
        <v>1</v>
      </c>
      <c r="F42" s="36">
        <f>入力用!$H$130</f>
        <v>0</v>
      </c>
      <c r="G42" s="36" t="s">
        <v>9</v>
      </c>
      <c r="J42" s="36">
        <f>IF(D43=0,100000,D42&amp;"/"&amp;F42&amp;"/"&amp;D43)</f>
        <v>100000</v>
      </c>
      <c r="L42" s="36">
        <f>IF(J42=100000,0,DAY(EOMONTH(J42,0)))</f>
        <v>0</v>
      </c>
      <c r="N42" s="36" t="str">
        <f>LEFT(J42,7)</f>
        <v>100000</v>
      </c>
      <c r="O42" s="38" t="s">
        <v>212</v>
      </c>
      <c r="P42" s="36" t="str">
        <f>IF(J55-J51&gt;0,IF(J55-J47&gt;0,J55,J47),IF(J51-J47&gt;0,J51,J47))</f>
        <v>0</v>
      </c>
      <c r="Q42" s="36" t="str">
        <f>IF(OR(Q39="最終日",Q39="どっちも"),IF(P42-$P$22&gt;0,IF(P41-$P$22&lt;=0,"単あり併あり","単あり併なし"),IF(P42="0","認可外なし","単なし併あり")),"")</f>
        <v/>
      </c>
      <c r="R42" s="61">
        <f>IF($Q42=R40,IF($E$14=2,37000*(Q43-$P$22)/L41+11300*($P$22-Q40+1)/L41,IF($E$14=3,42000*(Q43-$P$22)/L41+16300*($P$22-Q40+1)/L41,0)),0)</f>
        <v>0</v>
      </c>
      <c r="S42" s="61">
        <f>IF($Q42=S40,IF($E$14=2,37000*(Q43-$P$22)/L41,IF($E$14=3,42000*(Q43-$P$22)/L41,0)),0)</f>
        <v>0</v>
      </c>
      <c r="T42" s="61"/>
      <c r="U42" s="61"/>
    </row>
    <row r="43" spans="2:21">
      <c r="C43" s="36" t="s">
        <v>125</v>
      </c>
      <c r="D43" s="36">
        <f>入力用!G133</f>
        <v>0</v>
      </c>
      <c r="E43" s="36" t="s">
        <v>126</v>
      </c>
      <c r="F43" s="36">
        <f>入力用!J133</f>
        <v>0</v>
      </c>
      <c r="G43" s="36" t="s">
        <v>0</v>
      </c>
      <c r="J43" s="36">
        <f>IF(F43=0,0,D42&amp;"/"&amp;F42&amp;"/"&amp;F43)</f>
        <v>0</v>
      </c>
      <c r="L43" s="36">
        <f>F43-D43+1</f>
        <v>1</v>
      </c>
      <c r="M43" s="36">
        <f>IFERROR(DAY(EOMONTH(J43,0)),"error")</f>
        <v>31</v>
      </c>
      <c r="O43" s="38" t="s">
        <v>217</v>
      </c>
      <c r="P43" s="36" t="str">
        <f>LEFT(P42,8)&amp;L41</f>
        <v>00</v>
      </c>
      <c r="Q43" s="36" t="e">
        <f>IF(P44-P43&gt;=0,P43,P44)</f>
        <v>#VALUE!</v>
      </c>
      <c r="R43" s="69">
        <f>ROUNDDOWN(SUM(R41:R42),-1)-入力用!H138</f>
        <v>0</v>
      </c>
      <c r="S43" s="69">
        <f>ROUNDDOWN(SUM(S41:S42),-1)</f>
        <v>0</v>
      </c>
    </row>
    <row r="44" spans="2:21">
      <c r="C44" s="36" t="s">
        <v>129</v>
      </c>
      <c r="D44" s="36" t="s">
        <v>130</v>
      </c>
      <c r="E44" s="36" t="str">
        <f>IFERROR(IF(J42-$J$15&gt;=0,"ok","error"),"none")</f>
        <v>none</v>
      </c>
      <c r="F44" s="36" t="s">
        <v>131</v>
      </c>
      <c r="G44" s="36" t="str">
        <f>IFERROR(IF($J$16-J43&gt;=0,"ok","error"),"none")</f>
        <v>none</v>
      </c>
      <c r="O44" s="38" t="s">
        <v>219</v>
      </c>
      <c r="P44" s="36" t="str">
        <f>$J$16</f>
        <v>2018/0/0</v>
      </c>
    </row>
    <row r="45" spans="2:21">
      <c r="C45" s="36" t="s">
        <v>153</v>
      </c>
    </row>
    <row r="46" spans="2:21">
      <c r="C46" s="36" t="s">
        <v>124</v>
      </c>
      <c r="D46" s="36">
        <f>D42</f>
        <v>2018</v>
      </c>
      <c r="E46" s="36" t="s">
        <v>1</v>
      </c>
      <c r="F46" s="36">
        <f>F42</f>
        <v>0</v>
      </c>
      <c r="G46" s="36" t="s">
        <v>9</v>
      </c>
      <c r="J46" s="36" t="str">
        <f>IF(D47=0,"100000",D46&amp;"/"&amp;F46&amp;"/"&amp;D47)</f>
        <v>100000</v>
      </c>
      <c r="L46" s="36">
        <f>IF(J46="100000",0,DAY(EOMONTH(J46,0)))</f>
        <v>0</v>
      </c>
      <c r="N46" s="36" t="str">
        <f>LEFT(J46,7)</f>
        <v>100000</v>
      </c>
      <c r="O46" s="36">
        <f>IF(N46=$N$15,$O$15/L46,IF(N46=$N$16,$O$16/L46,1))</f>
        <v>1</v>
      </c>
    </row>
    <row r="47" spans="2:21">
      <c r="C47" s="36" t="s">
        <v>125</v>
      </c>
      <c r="D47" s="36">
        <f>入力用!G148</f>
        <v>0</v>
      </c>
      <c r="E47" s="36" t="s">
        <v>126</v>
      </c>
      <c r="F47" s="36">
        <f>入力用!J148</f>
        <v>0</v>
      </c>
      <c r="G47" s="36" t="s">
        <v>0</v>
      </c>
      <c r="J47" s="36" t="str">
        <f>IF(F47=0,"0",D46&amp;"/"&amp;F46&amp;"/"&amp;F47)</f>
        <v>0</v>
      </c>
      <c r="L47" s="36">
        <f>F47-D47+1</f>
        <v>1</v>
      </c>
      <c r="M47" s="36">
        <f>IFERROR(DAY(EOMONTH(J47,0)),"error")</f>
        <v>31</v>
      </c>
    </row>
    <row r="48" spans="2:21">
      <c r="C48" s="36" t="s">
        <v>129</v>
      </c>
      <c r="D48" s="36" t="s">
        <v>130</v>
      </c>
      <c r="E48" s="36" t="str">
        <f>IFERROR(IF(J46-$J$15&gt;=0,"ok","error"),"none")</f>
        <v>none</v>
      </c>
      <c r="F48" s="36" t="s">
        <v>131</v>
      </c>
      <c r="G48" s="36" t="str">
        <f>IFERROR(IF($J$16-J47&gt;=0,"ok","error"),"none")</f>
        <v>none</v>
      </c>
    </row>
    <row r="49" spans="3:19">
      <c r="C49" s="36" t="s">
        <v>156</v>
      </c>
    </row>
    <row r="50" spans="3:19">
      <c r="C50" s="36" t="s">
        <v>124</v>
      </c>
      <c r="D50" s="36">
        <f>D46</f>
        <v>2018</v>
      </c>
      <c r="E50" s="36" t="s">
        <v>1</v>
      </c>
      <c r="F50" s="36">
        <f>F46</f>
        <v>0</v>
      </c>
      <c r="G50" s="36" t="s">
        <v>9</v>
      </c>
      <c r="J50" s="36" t="str">
        <f>IF(D51=0,"100000",D50&amp;"/"&amp;F50&amp;"/"&amp;D51)</f>
        <v>100000</v>
      </c>
      <c r="L50" s="36">
        <f>IF(J50="100000",0,DAY(EOMONTH(J50,0)))</f>
        <v>0</v>
      </c>
      <c r="N50" s="36" t="str">
        <f>LEFT(J50,7)</f>
        <v>100000</v>
      </c>
      <c r="O50" s="36">
        <f>IF(N50=$N$15,$O$15/L50,IF(N50=$N$16,$O$16/L50,1))</f>
        <v>1</v>
      </c>
    </row>
    <row r="51" spans="3:19">
      <c r="C51" s="36" t="s">
        <v>125</v>
      </c>
      <c r="D51" s="36">
        <f>入力用!G157</f>
        <v>0</v>
      </c>
      <c r="E51" s="36" t="s">
        <v>126</v>
      </c>
      <c r="F51" s="36">
        <f>入力用!J157</f>
        <v>0</v>
      </c>
      <c r="G51" s="36" t="s">
        <v>0</v>
      </c>
      <c r="J51" s="36" t="str">
        <f>IF(F51=0,"0",D50&amp;"/"&amp;F50&amp;"/"&amp;F51)</f>
        <v>0</v>
      </c>
      <c r="L51" s="36">
        <f>F51-D51+1</f>
        <v>1</v>
      </c>
      <c r="M51" s="36">
        <f>IFERROR(DAY(EOMONTH(J51,0)),"error")</f>
        <v>31</v>
      </c>
    </row>
    <row r="52" spans="3:19">
      <c r="C52" s="36" t="s">
        <v>129</v>
      </c>
      <c r="D52" s="36" t="s">
        <v>130</v>
      </c>
      <c r="E52" s="36" t="str">
        <f>IFERROR(IF(J50-$J$15&gt;=0,"ok","error"),"none")</f>
        <v>none</v>
      </c>
      <c r="F52" s="36" t="s">
        <v>131</v>
      </c>
      <c r="G52" s="36" t="str">
        <f>IFERROR(IF($J$16-J51&gt;=0,"ok","error"),"none")</f>
        <v>none</v>
      </c>
    </row>
    <row r="53" spans="3:19">
      <c r="C53" s="36" t="s">
        <v>158</v>
      </c>
    </row>
    <row r="54" spans="3:19">
      <c r="C54" s="36" t="s">
        <v>124</v>
      </c>
      <c r="D54" s="36">
        <f>D50</f>
        <v>2018</v>
      </c>
      <c r="E54" s="36" t="s">
        <v>1</v>
      </c>
      <c r="F54" s="36">
        <f>F50</f>
        <v>0</v>
      </c>
      <c r="G54" s="36" t="s">
        <v>9</v>
      </c>
      <c r="J54" s="36" t="str">
        <f>IF(D55=0,"100000",D54&amp;"/"&amp;F54&amp;"/"&amp;D55)</f>
        <v>100000</v>
      </c>
      <c r="L54" s="36">
        <f>IF(J54="100000",0,DAY(EOMONTH(J54,0)))</f>
        <v>0</v>
      </c>
      <c r="N54" s="36" t="str">
        <f>LEFT(J54,7)</f>
        <v>100000</v>
      </c>
      <c r="O54" s="36">
        <f>IF(N54=$N$15,$O$15/L54,IF(N54=$N$16,$O$16/L54,1))</f>
        <v>1</v>
      </c>
    </row>
    <row r="55" spans="3:19">
      <c r="C55" s="36" t="s">
        <v>125</v>
      </c>
      <c r="D55" s="36">
        <f>入力用!G166</f>
        <v>0</v>
      </c>
      <c r="E55" s="36" t="s">
        <v>126</v>
      </c>
      <c r="F55" s="36">
        <f>入力用!J166</f>
        <v>0</v>
      </c>
      <c r="G55" s="36" t="s">
        <v>0</v>
      </c>
      <c r="J55" s="36" t="str">
        <f>IF(F55=0,"0",D54&amp;"/"&amp;F54&amp;"/"&amp;F55)</f>
        <v>0</v>
      </c>
      <c r="L55" s="36">
        <f>F55-D55+1</f>
        <v>1</v>
      </c>
      <c r="M55" s="36">
        <f>IFERROR(DAY(EOMONTH(J55,0)),"error")</f>
        <v>31</v>
      </c>
    </row>
    <row r="56" spans="3:19">
      <c r="C56" s="36" t="s">
        <v>129</v>
      </c>
      <c r="D56" s="36" t="s">
        <v>130</v>
      </c>
      <c r="E56" s="36" t="str">
        <f>IFERROR(IF(J54-$J$15&gt;=0,"ok","error"),"none")</f>
        <v>none</v>
      </c>
      <c r="F56" s="36" t="s">
        <v>131</v>
      </c>
      <c r="G56" s="36" t="str">
        <f>IFERROR(IF($J$16-J55&gt;=0,"ok","error"),"none")</f>
        <v>none</v>
      </c>
      <c r="O56" s="36">
        <f>MIN(IFERROR(O46,1),IFERROR(O50,1),IFERROR(O54,1))</f>
        <v>1</v>
      </c>
      <c r="Q56" s="36" t="s">
        <v>221</v>
      </c>
    </row>
    <row r="57" spans="3:19">
      <c r="O57" s="38" t="s">
        <v>218</v>
      </c>
      <c r="P57" s="36" t="str">
        <f>$J$15</f>
        <v>2018/0/0</v>
      </c>
      <c r="Q57" s="36" t="str">
        <f>IF(N60=$Q$21,IF(N60=$Q$22,"どっちも","初日"),IF(N60=$Q$22,"最終日","関係ない"))</f>
        <v>初日</v>
      </c>
    </row>
    <row r="58" spans="3:19">
      <c r="O58" s="38" t="s">
        <v>216</v>
      </c>
      <c r="P58" s="36" t="str">
        <f>LEFT(P59,8)&amp;1</f>
        <v>1000001</v>
      </c>
      <c r="Q58" s="36" t="e">
        <f>IF(P57-P58&gt;=0,P57,P58)</f>
        <v>#VALUE!</v>
      </c>
      <c r="R58" s="36" t="s">
        <v>214</v>
      </c>
      <c r="S58" s="36" t="s">
        <v>215</v>
      </c>
    </row>
    <row r="59" spans="3:19">
      <c r="C59" s="36" t="s">
        <v>135</v>
      </c>
      <c r="L59" s="36">
        <f>MAX(IFERROR(L60,0),IFERROR(L64,0),IFERROR(L68,0),IFERROR(L72,0))</f>
        <v>0</v>
      </c>
      <c r="O59" s="38" t="s">
        <v>211</v>
      </c>
      <c r="P59" s="68" t="str">
        <f>IF(J68-J64&gt;0,IF(J72-J64&gt;0,J64,J72),IF(J72-J68&gt;0,J68,J72))</f>
        <v>100000</v>
      </c>
      <c r="Q59" s="36" t="str">
        <f>IF($P$21=100000,"単なし併あり",IF(OR(Q57="初日",Q57="どっちも"),IF(P59-$P$21&lt;0,IF(P60-$P$21&gt;=0,"単あり併あり","単あり併なし"),IF(P59="100000","認可外なし","単なし併あり")),""))</f>
        <v>単なし併あり</v>
      </c>
      <c r="R59" s="61">
        <f>IF($Q59=R58,IF($E$14=2,37000*($P$21-Q58)/L59+11300*(Q61-$P$21+1)/L59,IF($E$14=3,42000*($P$21-Q58)/L59+16300*(Q61-$P$21+1)/L59,0)),0)</f>
        <v>0</v>
      </c>
      <c r="S59" s="61">
        <f>IF($Q59=S58,IF($E$14=2,37000*($P$21-Q58)/L59,IF($E$14=3,42000*($P$21-Q58)/L59,0)),0)</f>
        <v>0</v>
      </c>
    </row>
    <row r="60" spans="3:19">
      <c r="C60" s="36" t="s">
        <v>124</v>
      </c>
      <c r="D60" s="36">
        <f>IF(入力用!$E$172="西暦",入力用!$F$172,入力用!$F$172+2018)</f>
        <v>2018</v>
      </c>
      <c r="E60" s="36" t="s">
        <v>1</v>
      </c>
      <c r="F60" s="36">
        <f>入力用!$H$172</f>
        <v>0</v>
      </c>
      <c r="G60" s="36" t="s">
        <v>9</v>
      </c>
      <c r="J60" s="36">
        <f>IF(D61=0,100000,D60&amp;"/"&amp;F60&amp;"/"&amp;D61)</f>
        <v>100000</v>
      </c>
      <c r="L60" s="36">
        <f>IF(J60=100000,0,DAY(EOMONTH(J60,0)))</f>
        <v>0</v>
      </c>
      <c r="N60" s="36" t="str">
        <f>LEFT(J60,7)</f>
        <v>100000</v>
      </c>
      <c r="O60" s="38" t="s">
        <v>212</v>
      </c>
      <c r="P60" s="36" t="str">
        <f>IF(J73-J69&gt;0,IF(J73-J65&gt;0,J73,J65),IF(J69-J65&gt;0,J69,J65))</f>
        <v>0</v>
      </c>
      <c r="Q60" s="36" t="str">
        <f>IF(OR(Q57="最終日",Q57="どっちも"),IF(P60-$P$22&gt;0,IF(P59-$P$22&lt;=0,"単あり併あり","単あり併なし"),IF(P60="0","認可外なし","単なし併あり")),"")</f>
        <v/>
      </c>
      <c r="R60" s="61">
        <f>IF($Q60=R58,IF($E$14=2,37000*(Q61-$P$22)/L59+11300*($P$22-Q58+1)/L59,IF($E$14=3,42000*(Q61-$P$22)/L59+16300*($P$22-Q58+1)/L59,0)),0)</f>
        <v>0</v>
      </c>
      <c r="S60" s="61">
        <f>IF($Q60=S58,IF($E$14=2,37000*(Q61-$P$22)/L59,IF($E$14=3,42000*(Q61-$P$22)/L59,0)),0)</f>
        <v>0</v>
      </c>
    </row>
    <row r="61" spans="3:19">
      <c r="C61" s="36" t="s">
        <v>125</v>
      </c>
      <c r="D61" s="36">
        <f>入力用!G175</f>
        <v>0</v>
      </c>
      <c r="E61" s="36" t="s">
        <v>126</v>
      </c>
      <c r="F61" s="36">
        <f>入力用!J175</f>
        <v>0</v>
      </c>
      <c r="G61" s="36" t="s">
        <v>0</v>
      </c>
      <c r="J61" s="36">
        <f>IF(F61=0,0,D60&amp;"/"&amp;F60&amp;"/"&amp;F61)</f>
        <v>0</v>
      </c>
      <c r="L61" s="36">
        <f>F61-D61+1</f>
        <v>1</v>
      </c>
      <c r="M61" s="36">
        <f>IFERROR(DAY(EOMONTH(J61,0)),"error")</f>
        <v>31</v>
      </c>
      <c r="O61" s="38" t="s">
        <v>217</v>
      </c>
      <c r="P61" s="36" t="str">
        <f>LEFT(P60,8)&amp;L59</f>
        <v>00</v>
      </c>
      <c r="Q61" s="36" t="e">
        <f>IF(P62-P61&gt;=0,P61,P62)</f>
        <v>#VALUE!</v>
      </c>
      <c r="R61" s="69">
        <f>ROUNDDOWN(SUM(R59:R60),-1)-入力用!H180</f>
        <v>0</v>
      </c>
      <c r="S61" s="69">
        <f>ROUNDDOWN(SUM(S59:S60),-1)</f>
        <v>0</v>
      </c>
    </row>
    <row r="62" spans="3:19">
      <c r="C62" s="36" t="s">
        <v>129</v>
      </c>
      <c r="D62" s="36" t="s">
        <v>130</v>
      </c>
      <c r="E62" s="36" t="str">
        <f>IFERROR(IF(J60-$J$15&gt;=0,"ok","error"),"none")</f>
        <v>none</v>
      </c>
      <c r="F62" s="36" t="s">
        <v>131</v>
      </c>
      <c r="G62" s="36" t="str">
        <f>IFERROR(IF($J$16-J61&gt;=0,"ok","error"),"none")</f>
        <v>none</v>
      </c>
      <c r="O62" s="38" t="s">
        <v>219</v>
      </c>
      <c r="P62" s="36" t="str">
        <f>$J$16</f>
        <v>2018/0/0</v>
      </c>
    </row>
    <row r="63" spans="3:19">
      <c r="C63" s="36" t="s">
        <v>153</v>
      </c>
    </row>
    <row r="64" spans="3:19">
      <c r="C64" s="36" t="s">
        <v>124</v>
      </c>
      <c r="D64" s="36">
        <f>D60</f>
        <v>2018</v>
      </c>
      <c r="E64" s="36" t="s">
        <v>1</v>
      </c>
      <c r="F64" s="36">
        <f>F60</f>
        <v>0</v>
      </c>
      <c r="G64" s="36" t="s">
        <v>9</v>
      </c>
      <c r="J64" s="36" t="str">
        <f>IF(D65=0,"100000",D64&amp;"/"&amp;F64&amp;"/"&amp;D65)</f>
        <v>100000</v>
      </c>
      <c r="L64" s="36">
        <f>IF(J64="100000",0,DAY(EOMONTH(J64,0)))</f>
        <v>0</v>
      </c>
      <c r="N64" s="36" t="str">
        <f>LEFT(J64,7)</f>
        <v>100000</v>
      </c>
      <c r="O64" s="36">
        <f>IF(N64=$N$15,$O$15/L64,IF(N64=$N$16,$O$16/L64,1))</f>
        <v>1</v>
      </c>
    </row>
    <row r="65" spans="3:19">
      <c r="C65" s="36" t="s">
        <v>125</v>
      </c>
      <c r="D65" s="36">
        <f>入力用!G190</f>
        <v>0</v>
      </c>
      <c r="E65" s="36" t="s">
        <v>126</v>
      </c>
      <c r="F65" s="36">
        <f>入力用!J190</f>
        <v>0</v>
      </c>
      <c r="G65" s="36" t="s">
        <v>0</v>
      </c>
      <c r="J65" s="36" t="str">
        <f>IF(F65=0,"0",D64&amp;"/"&amp;F64&amp;"/"&amp;F65)</f>
        <v>0</v>
      </c>
      <c r="L65" s="36">
        <f>F65-D65+1</f>
        <v>1</v>
      </c>
      <c r="M65" s="36">
        <f>IFERROR(DAY(EOMONTH(J65,0)),"error")</f>
        <v>31</v>
      </c>
    </row>
    <row r="66" spans="3:19">
      <c r="C66" s="36" t="s">
        <v>129</v>
      </c>
      <c r="D66" s="36" t="s">
        <v>130</v>
      </c>
      <c r="E66" s="36" t="str">
        <f>IFERROR(IF(J64-$J$15&gt;=0,"ok","error"),"none")</f>
        <v>none</v>
      </c>
      <c r="F66" s="36" t="s">
        <v>131</v>
      </c>
      <c r="G66" s="36" t="str">
        <f>IFERROR(IF($J$16-J65&gt;=0,"ok","error"),"none")</f>
        <v>none</v>
      </c>
    </row>
    <row r="67" spans="3:19">
      <c r="C67" s="36" t="s">
        <v>156</v>
      </c>
    </row>
    <row r="68" spans="3:19">
      <c r="C68" s="36" t="s">
        <v>124</v>
      </c>
      <c r="D68" s="36">
        <f>D64</f>
        <v>2018</v>
      </c>
      <c r="E68" s="36" t="s">
        <v>1</v>
      </c>
      <c r="F68" s="36">
        <f>F64</f>
        <v>0</v>
      </c>
      <c r="G68" s="36" t="s">
        <v>9</v>
      </c>
      <c r="J68" s="36" t="str">
        <f>IF(D69=0,"100000",D68&amp;"/"&amp;F68&amp;"/"&amp;D69)</f>
        <v>100000</v>
      </c>
      <c r="L68" s="36">
        <f>IF(J68="100000",0,DAY(EOMONTH(J68,0)))</f>
        <v>0</v>
      </c>
      <c r="N68" s="36" t="str">
        <f>LEFT(J68,7)</f>
        <v>100000</v>
      </c>
      <c r="O68" s="36">
        <f>IF(N68=$N$15,$O$15/L68,IF(N68=$N$16,$O$16/L68,1))</f>
        <v>1</v>
      </c>
    </row>
    <row r="69" spans="3:19">
      <c r="C69" s="36" t="s">
        <v>125</v>
      </c>
      <c r="D69" s="36">
        <f>入力用!G199</f>
        <v>0</v>
      </c>
      <c r="E69" s="36" t="s">
        <v>126</v>
      </c>
      <c r="F69" s="36">
        <f>入力用!J199</f>
        <v>0</v>
      </c>
      <c r="G69" s="36" t="s">
        <v>0</v>
      </c>
      <c r="J69" s="36" t="str">
        <f>IF(F69=0,"0",D68&amp;"/"&amp;F68&amp;"/"&amp;F69)</f>
        <v>0</v>
      </c>
      <c r="L69" s="36">
        <f>F69-D69+1</f>
        <v>1</v>
      </c>
      <c r="M69" s="36">
        <f>IFERROR(DAY(EOMONTH(J69,0)),"error")</f>
        <v>31</v>
      </c>
    </row>
    <row r="70" spans="3:19">
      <c r="C70" s="36" t="s">
        <v>129</v>
      </c>
      <c r="D70" s="36" t="s">
        <v>130</v>
      </c>
      <c r="E70" s="36" t="str">
        <f>IFERROR(IF(J68-$J$15&gt;=0,"ok","error"),"none")</f>
        <v>none</v>
      </c>
      <c r="F70" s="36" t="s">
        <v>131</v>
      </c>
      <c r="G70" s="36" t="str">
        <f>IFERROR(IF($J$16-J69&gt;=0,"ok","error"),"none")</f>
        <v>none</v>
      </c>
    </row>
    <row r="71" spans="3:19">
      <c r="C71" s="36" t="s">
        <v>158</v>
      </c>
    </row>
    <row r="72" spans="3:19">
      <c r="C72" s="36" t="s">
        <v>124</v>
      </c>
      <c r="D72" s="36">
        <f>D68</f>
        <v>2018</v>
      </c>
      <c r="E72" s="36" t="s">
        <v>1</v>
      </c>
      <c r="F72" s="36">
        <f>F68</f>
        <v>0</v>
      </c>
      <c r="G72" s="36" t="s">
        <v>9</v>
      </c>
      <c r="J72" s="36" t="str">
        <f>IF(D73=0,"100000",D72&amp;"/"&amp;F72&amp;"/"&amp;D73)</f>
        <v>100000</v>
      </c>
      <c r="L72" s="36">
        <f>IF(J72="100000",0,DAY(EOMONTH(J72,0)))</f>
        <v>0</v>
      </c>
      <c r="N72" s="36" t="str">
        <f>LEFT(J72,7)</f>
        <v>100000</v>
      </c>
      <c r="O72" s="36">
        <f>IF(N72=$N$15,$O$15/L72,IF(N72=$N$16,$O$16/L72,1))</f>
        <v>1</v>
      </c>
    </row>
    <row r="73" spans="3:19">
      <c r="C73" s="36" t="s">
        <v>125</v>
      </c>
      <c r="D73" s="36">
        <f>入力用!G208</f>
        <v>0</v>
      </c>
      <c r="E73" s="36" t="s">
        <v>126</v>
      </c>
      <c r="F73" s="36">
        <f>入力用!J208</f>
        <v>0</v>
      </c>
      <c r="G73" s="36" t="s">
        <v>0</v>
      </c>
      <c r="J73" s="36" t="str">
        <f>IF(F73=0,"0",D72&amp;"/"&amp;F72&amp;"/"&amp;F73)</f>
        <v>0</v>
      </c>
      <c r="L73" s="36">
        <f>F73-D73+1</f>
        <v>1</v>
      </c>
      <c r="M73" s="36">
        <f>IFERROR(DAY(EOMONTH(J73,0)),"error")</f>
        <v>31</v>
      </c>
    </row>
    <row r="74" spans="3:19">
      <c r="C74" s="36" t="s">
        <v>129</v>
      </c>
      <c r="D74" s="36" t="s">
        <v>130</v>
      </c>
      <c r="E74" s="36" t="str">
        <f>IFERROR(IF(J72-$J$15&gt;=0,"ok","error"),"none")</f>
        <v>none</v>
      </c>
      <c r="F74" s="36" t="s">
        <v>131</v>
      </c>
      <c r="G74" s="36" t="str">
        <f>IFERROR(IF($J$16-J73&gt;=0,"ok","error"),"none")</f>
        <v>none</v>
      </c>
      <c r="O74" s="36">
        <f>MIN(IFERROR(O64,1),IFERROR(O68,1),IFERROR(O72,1))</f>
        <v>1</v>
      </c>
      <c r="Q74" s="36" t="s">
        <v>221</v>
      </c>
    </row>
    <row r="75" spans="3:19">
      <c r="O75" s="38" t="s">
        <v>218</v>
      </c>
      <c r="P75" s="36" t="str">
        <f>$J$15</f>
        <v>2018/0/0</v>
      </c>
      <c r="Q75" s="36" t="str">
        <f>IF(N78=$Q$21,IF(N78=$Q$22,"どっちも","初日"),IF(N78=$Q$22,"最終日","関係ない"))</f>
        <v>初日</v>
      </c>
    </row>
    <row r="76" spans="3:19">
      <c r="O76" s="38" t="s">
        <v>216</v>
      </c>
      <c r="P76" s="36" t="str">
        <f>LEFT(P77,8)&amp;1</f>
        <v>1000001</v>
      </c>
      <c r="Q76" s="36" t="e">
        <f>IF(P75-P76&gt;=0,P75,P76)</f>
        <v>#VALUE!</v>
      </c>
      <c r="R76" s="36" t="s">
        <v>214</v>
      </c>
      <c r="S76" s="36" t="s">
        <v>215</v>
      </c>
    </row>
    <row r="77" spans="3:19">
      <c r="C77" s="36" t="s">
        <v>136</v>
      </c>
      <c r="L77" s="36">
        <f>MAX(IFERROR(L78,0),IFERROR(L82,0),IFERROR(L86,0),IFERROR(L90,0))</f>
        <v>0</v>
      </c>
      <c r="O77" s="38" t="s">
        <v>211</v>
      </c>
      <c r="P77" s="68" t="str">
        <f>IF(J86-J82&gt;0,IF(J90-J82&gt;0,J82,J90),IF(J90-J86&gt;0,J86,J90))</f>
        <v>100000</v>
      </c>
      <c r="Q77" s="36" t="str">
        <f>IF($P$21=100000,"単なし併あり",IF(OR(Q75="初日",Q75="どっちも"),IF(P77-$P$21&lt;0,IF(P78-$P$21&gt;=0,"単あり併あり","単あり併なし"),IF(P77="100000","認可外なし","単なし併あり")),""))</f>
        <v>単なし併あり</v>
      </c>
      <c r="R77" s="61">
        <f>IF($Q77=R76,IF($E$14=2,37000*($P$21-Q76)/L77+11300*(Q79-$P$21+1)/L77,IF($E$14=3,42000*($P$21-Q76)/L77+16300*(Q79-$P$21+1)/L77,0)),0)</f>
        <v>0</v>
      </c>
      <c r="S77" s="61">
        <f>IF($Q77=S76,IF($E$14=2,37000*($P$21-Q76)/L77,IF($E$14=3,42000*($P$21-Q76)/L77,0)),0)</f>
        <v>0</v>
      </c>
    </row>
    <row r="78" spans="3:19">
      <c r="C78" s="36" t="s">
        <v>124</v>
      </c>
      <c r="D78" s="36">
        <f>IF(入力用!$E$229="西暦",入力用!$F$229,入力用!$F$229+2018)</f>
        <v>2018</v>
      </c>
      <c r="E78" s="36" t="s">
        <v>1</v>
      </c>
      <c r="F78" s="36">
        <f>入力用!$H$229</f>
        <v>0</v>
      </c>
      <c r="G78" s="36" t="s">
        <v>9</v>
      </c>
      <c r="J78" s="36">
        <f>IF(D79=0,100000,D78&amp;"/"&amp;F78&amp;"/"&amp;D79)</f>
        <v>100000</v>
      </c>
      <c r="L78" s="36">
        <f>IF(J78=100000,0,DAY(EOMONTH(J78,0)))</f>
        <v>0</v>
      </c>
      <c r="N78" s="36" t="str">
        <f>LEFT(J78,7)</f>
        <v>100000</v>
      </c>
      <c r="O78" s="38" t="s">
        <v>212</v>
      </c>
      <c r="P78" s="36" t="str">
        <f>IF(J91-J87&gt;0,IF(J91-J83&gt;0,J91,J83),IF(J87-J83&gt;0,J87,J83))</f>
        <v>0</v>
      </c>
      <c r="Q78" s="36" t="str">
        <f>IF(OR(Q75="最終日",Q75="どっちも"),IF(P78-$P$22&gt;0,IF(P77-$P$22&lt;=0,"単あり併あり","単あり併なし"),IF(P78="0","認可外なし","単なし併あり")),"")</f>
        <v/>
      </c>
      <c r="R78" s="61">
        <f>IF($Q78=R76,IF($E$14=2,37000*(Q79-$P$22)/L77+11300*($P$22-Q76+1)/L77,IF($E$14=3,42000*(Q79-$P$22)/L77+16300*($P$22-Q76+1)/L77,0)),0)</f>
        <v>0</v>
      </c>
      <c r="S78" s="61">
        <f>IF($Q78=S76,IF($E$14=2,37000*(Q79-$P$22)/L77,IF($E$14=3,42000*(Q79-$P$22)/L77,0)),0)</f>
        <v>0</v>
      </c>
    </row>
    <row r="79" spans="3:19">
      <c r="C79" s="36" t="s">
        <v>125</v>
      </c>
      <c r="D79" s="36">
        <f>入力用!G232</f>
        <v>0</v>
      </c>
      <c r="E79" s="36" t="s">
        <v>126</v>
      </c>
      <c r="F79" s="36">
        <f>入力用!J232</f>
        <v>0</v>
      </c>
      <c r="G79" s="36" t="s">
        <v>0</v>
      </c>
      <c r="J79" s="36">
        <f>IF(F79=0,0,D78&amp;"/"&amp;F78&amp;"/"&amp;F79)</f>
        <v>0</v>
      </c>
      <c r="L79" s="36">
        <f>F79-D79+1</f>
        <v>1</v>
      </c>
      <c r="M79" s="36">
        <f>IFERROR(DAY(EOMONTH(J79,0)),"error")</f>
        <v>31</v>
      </c>
      <c r="O79" s="38" t="s">
        <v>217</v>
      </c>
      <c r="P79" s="36" t="str">
        <f>LEFT(P78,8)&amp;L77</f>
        <v>00</v>
      </c>
      <c r="Q79" s="36" t="e">
        <f>IF(P80-P79&gt;=0,P79,P80)</f>
        <v>#VALUE!</v>
      </c>
      <c r="R79" s="69">
        <f>ROUNDDOWN(SUM(R77:R78),-1)-入力用!H237</f>
        <v>0</v>
      </c>
      <c r="S79" s="69">
        <f>ROUNDDOWN(SUM(S77:S78),-1)</f>
        <v>0</v>
      </c>
    </row>
    <row r="80" spans="3:19">
      <c r="C80" s="36" t="s">
        <v>129</v>
      </c>
      <c r="D80" s="36" t="s">
        <v>130</v>
      </c>
      <c r="E80" s="36" t="str">
        <f>IFERROR(IF(J78-$J$15&gt;=0,"ok","error"),"none")</f>
        <v>none</v>
      </c>
      <c r="F80" s="36" t="s">
        <v>131</v>
      </c>
      <c r="G80" s="36" t="str">
        <f>IFERROR(IF($J$16-J79&gt;=0,"ok","error"),"none")</f>
        <v>none</v>
      </c>
      <c r="O80" s="38" t="s">
        <v>219</v>
      </c>
      <c r="P80" s="36" t="str">
        <f>$J$16</f>
        <v>2018/0/0</v>
      </c>
    </row>
    <row r="81" spans="3:15">
      <c r="C81" s="36" t="s">
        <v>153</v>
      </c>
    </row>
    <row r="82" spans="3:15">
      <c r="C82" s="36" t="s">
        <v>124</v>
      </c>
      <c r="D82" s="36">
        <f>D78</f>
        <v>2018</v>
      </c>
      <c r="E82" s="36" t="s">
        <v>1</v>
      </c>
      <c r="F82" s="36">
        <f>F78</f>
        <v>0</v>
      </c>
      <c r="G82" s="36" t="s">
        <v>9</v>
      </c>
      <c r="J82" s="36" t="str">
        <f>IF(D83=0,"100000",D82&amp;"/"&amp;F82&amp;"/"&amp;D83)</f>
        <v>100000</v>
      </c>
      <c r="L82" s="36">
        <f>IF(J82="100000",0,DAY(EOMONTH(J82,0)))</f>
        <v>0</v>
      </c>
      <c r="N82" s="36" t="str">
        <f>LEFT(J82,7)</f>
        <v>100000</v>
      </c>
      <c r="O82" s="36">
        <f>IF(N82=$N$15,$O$15/L82,IF(N82=$N$16,$O$16/L82,1))</f>
        <v>1</v>
      </c>
    </row>
    <row r="83" spans="3:15">
      <c r="C83" s="36" t="s">
        <v>125</v>
      </c>
      <c r="D83" s="36">
        <f>入力用!G247</f>
        <v>0</v>
      </c>
      <c r="E83" s="36" t="s">
        <v>126</v>
      </c>
      <c r="F83" s="36">
        <f>入力用!J247</f>
        <v>0</v>
      </c>
      <c r="G83" s="36" t="s">
        <v>0</v>
      </c>
      <c r="J83" s="36" t="str">
        <f>IF(F83=0,"0",D82&amp;"/"&amp;F82&amp;"/"&amp;F83)</f>
        <v>0</v>
      </c>
      <c r="L83" s="36">
        <f>F83-D83+1</f>
        <v>1</v>
      </c>
      <c r="M83" s="36">
        <f>IFERROR(DAY(EOMONTH(J83,0)),"error")</f>
        <v>31</v>
      </c>
    </row>
    <row r="84" spans="3:15">
      <c r="C84" s="36" t="s">
        <v>129</v>
      </c>
      <c r="D84" s="36" t="s">
        <v>130</v>
      </c>
      <c r="E84" s="36" t="str">
        <f>IFERROR(IF(J82-$J$15&gt;=0,"ok","error"),"none")</f>
        <v>none</v>
      </c>
      <c r="F84" s="36" t="s">
        <v>131</v>
      </c>
      <c r="G84" s="36" t="str">
        <f>IFERROR(IF($J$16-J83&gt;=0,"ok","error"),"none")</f>
        <v>none</v>
      </c>
    </row>
    <row r="85" spans="3:15">
      <c r="C85" s="36" t="s">
        <v>156</v>
      </c>
    </row>
    <row r="86" spans="3:15">
      <c r="C86" s="36" t="s">
        <v>124</v>
      </c>
      <c r="D86" s="36">
        <f>D82</f>
        <v>2018</v>
      </c>
      <c r="E86" s="36" t="s">
        <v>1</v>
      </c>
      <c r="F86" s="36">
        <f>F82</f>
        <v>0</v>
      </c>
      <c r="G86" s="36" t="s">
        <v>9</v>
      </c>
      <c r="J86" s="36" t="str">
        <f>IF(D87=0,"100000",D86&amp;"/"&amp;F86&amp;"/"&amp;D87)</f>
        <v>100000</v>
      </c>
      <c r="L86" s="36">
        <f>IF(J86="100000",0,DAY(EOMONTH(J86,0)))</f>
        <v>0</v>
      </c>
      <c r="N86" s="36" t="str">
        <f>LEFT(J86,7)</f>
        <v>100000</v>
      </c>
      <c r="O86" s="36">
        <f>IF(N86=$N$15,$O$15/L86,IF(N86=$N$16,$O$16/L86,1))</f>
        <v>1</v>
      </c>
    </row>
    <row r="87" spans="3:15">
      <c r="C87" s="36" t="s">
        <v>125</v>
      </c>
      <c r="D87" s="36">
        <f>入力用!G256</f>
        <v>0</v>
      </c>
      <c r="E87" s="36" t="s">
        <v>126</v>
      </c>
      <c r="F87" s="36">
        <f>入力用!J256</f>
        <v>0</v>
      </c>
      <c r="G87" s="36" t="s">
        <v>0</v>
      </c>
      <c r="J87" s="36" t="str">
        <f>IF(F87=0,"0",D86&amp;"/"&amp;F86&amp;"/"&amp;F87)</f>
        <v>0</v>
      </c>
      <c r="L87" s="36">
        <f>F87-D87+1</f>
        <v>1</v>
      </c>
      <c r="M87" s="36">
        <f>IFERROR(DAY(EOMONTH(J87,0)),"error")</f>
        <v>31</v>
      </c>
    </row>
    <row r="88" spans="3:15">
      <c r="C88" s="36" t="s">
        <v>129</v>
      </c>
      <c r="D88" s="36" t="s">
        <v>130</v>
      </c>
      <c r="E88" s="36" t="str">
        <f>IFERROR(IF(J86-$J$15&gt;=0,"ok","error"),"none")</f>
        <v>none</v>
      </c>
      <c r="F88" s="36" t="s">
        <v>131</v>
      </c>
      <c r="G88" s="36" t="str">
        <f>IFERROR(IF($J$16-J87&gt;=0,"ok","error"),"none")</f>
        <v>none</v>
      </c>
    </row>
    <row r="89" spans="3:15">
      <c r="C89" s="36" t="s">
        <v>158</v>
      </c>
    </row>
    <row r="90" spans="3:15">
      <c r="C90" s="36" t="s">
        <v>124</v>
      </c>
      <c r="D90" s="36">
        <f>D86</f>
        <v>2018</v>
      </c>
      <c r="E90" s="36" t="s">
        <v>1</v>
      </c>
      <c r="F90" s="36">
        <f>F86</f>
        <v>0</v>
      </c>
      <c r="G90" s="36" t="s">
        <v>9</v>
      </c>
      <c r="J90" s="36" t="str">
        <f>IF(D91=0,"100000",D90&amp;"/"&amp;F90&amp;"/"&amp;D91)</f>
        <v>100000</v>
      </c>
      <c r="L90" s="36">
        <f>IF(J90="100000",0,DAY(EOMONTH(J90,0)))</f>
        <v>0</v>
      </c>
      <c r="N90" s="36" t="str">
        <f>LEFT(J90,7)</f>
        <v>100000</v>
      </c>
      <c r="O90" s="36">
        <f>IF(N90=$N$15,$O$15/L90,IF(N90=$N$16,$O$16/L90,1))</f>
        <v>1</v>
      </c>
    </row>
    <row r="91" spans="3:15">
      <c r="C91" s="36" t="s">
        <v>125</v>
      </c>
      <c r="D91" s="36">
        <f>入力用!G265</f>
        <v>0</v>
      </c>
      <c r="E91" s="36" t="s">
        <v>126</v>
      </c>
      <c r="F91" s="36">
        <f>入力用!J265</f>
        <v>0</v>
      </c>
      <c r="G91" s="36" t="s">
        <v>0</v>
      </c>
      <c r="J91" s="36" t="str">
        <f>IF(F91=0,"0",D90&amp;"/"&amp;F90&amp;"/"&amp;F91)</f>
        <v>0</v>
      </c>
      <c r="L91" s="36">
        <f>F91-D91+1</f>
        <v>1</v>
      </c>
      <c r="M91" s="36">
        <f>IFERROR(DAY(EOMONTH(J91,0)),"error")</f>
        <v>31</v>
      </c>
    </row>
    <row r="92" spans="3:15">
      <c r="C92" s="36" t="s">
        <v>129</v>
      </c>
      <c r="D92" s="36" t="s">
        <v>130</v>
      </c>
      <c r="E92" s="36" t="str">
        <f>IFERROR(IF(J90-$J$15&gt;=0,"ok","error"),"none")</f>
        <v>none</v>
      </c>
      <c r="F92" s="36" t="s">
        <v>131</v>
      </c>
      <c r="G92" s="36" t="str">
        <f>IFERROR(IF($J$16-J91&gt;=0,"ok","error"),"none")</f>
        <v>none</v>
      </c>
      <c r="O92" s="36">
        <f>MIN(IFERROR(O82,1),IFERROR(O86,1),IFERROR(O90,1))</f>
        <v>1</v>
      </c>
    </row>
  </sheetData>
  <sheetProtection algorithmName="SHA-512" hashValue="g5zavUJLvXoeUKr5/tw4iR1z7+MAOqdMpAob+GuuixmWnOYUofnG6HzR50QmGX/awA1qo2+cBDI7sgFGAv+KBw==" saltValue="DK3A0XG5MaSe12vqf0XWxw==" spinCount="100000"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入力例</vt:lpstr>
      <vt:lpstr>入力用</vt:lpstr>
      <vt:lpstr>【触らない】【印刷用】提出シート</vt:lpstr>
      <vt:lpstr>【触らない】リスト</vt:lpstr>
      <vt:lpstr>【触らない】申請日付チェック</vt:lpstr>
      <vt:lpstr>【触らない】【印刷用】提出シート!Print_Area</vt:lpstr>
      <vt:lpstr>入力用!Print_Area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nakai</dc:creator>
  <cp:lastModifiedBy>いのうえ</cp:lastModifiedBy>
  <cp:lastPrinted>2019-10-10T11:49:51Z</cp:lastPrinted>
  <dcterms:created xsi:type="dcterms:W3CDTF">2019-07-30T23:50:41Z</dcterms:created>
  <dcterms:modified xsi:type="dcterms:W3CDTF">2019-10-16T02:11:22Z</dcterms:modified>
</cp:coreProperties>
</file>