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8\02_市様式\01_当初申請書\"/>
    </mc:Choice>
  </mc:AlternateContent>
  <xr:revisionPtr revIDLastSave="0" documentId="13_ncr:1_{A2A33793-1B39-4B42-B5AB-7E15C26B05F0}" xr6:coauthVersionLast="47" xr6:coauthVersionMax="47" xr10:uidLastSave="{00000000-0000-0000-0000-000000000000}"/>
  <bookViews>
    <workbookView xWindow="20370" yWindow="-4740" windowWidth="29040" windowHeight="15720" activeTab="4" xr2:uid="{6A5CD568-D842-425B-9861-997982E8BD12}"/>
  </bookViews>
  <sheets>
    <sheet name="0_基本情報" sheetId="15" r:id="rId1"/>
    <sheet name="1-1_児童数計算表" sheetId="11" r:id="rId2"/>
    <sheet name="1-2_児童数計算表_分園" sheetId="12" r:id="rId3"/>
    <sheet name="2_区分12加算額計算表" sheetId="2" r:id="rId4"/>
    <sheet name="3_区分3計算表" sheetId="13" r:id="rId5"/>
    <sheet name="【参考】計算結果" sheetId="14" r:id="rId6"/>
    <sheet name="様式1" sheetId="17" r:id="rId7"/>
    <sheet name="様式2" sheetId="18" r:id="rId8"/>
    <sheet name="様式3" sheetId="19" r:id="rId9"/>
    <sheet name="様式4" sheetId="20" r:id="rId10"/>
    <sheet name="様式4別添1" sheetId="21" r:id="rId11"/>
    <sheet name="様式4別添2" sheetId="22" r:id="rId12"/>
    <sheet name="様式5" sheetId="23" r:id="rId13"/>
    <sheet name="様式7" sheetId="24" r:id="rId14"/>
    <sheet name="計算_区分12_1号" sheetId="10" r:id="rId15"/>
    <sheet name="計算_区分12_23号" sheetId="5" r:id="rId16"/>
    <sheet name="認こ1号単価" sheetId="9" r:id="rId17"/>
    <sheet name="認こ23号単価" sheetId="7" r:id="rId18"/>
    <sheet name="【リスト】 (2)" sheetId="16" r:id="rId19"/>
    <sheet name="【リスト】" sheetId="3" r:id="rId20"/>
    <sheet name="京都市集計用_共通" sheetId="25" r:id="rId21"/>
    <sheet name="京都市集計用_認こ" sheetId="26" r:id="rId22"/>
  </sheets>
  <definedNames>
    <definedName name="_Fill" hidden="1">#REF!</definedName>
    <definedName name="_Key1" hidden="1">#REF!</definedName>
    <definedName name="_Order1" hidden="1">255</definedName>
    <definedName name="_Sort" hidden="1">#REF!</definedName>
    <definedName name="FAS" localSheetId="16" hidden="1">#REF!</definedName>
    <definedName name="FAS" hidden="1">#REF!</definedName>
    <definedName name="_xlnm.Print_Area" localSheetId="0">'0_基本情報'!$A$1:$I$45</definedName>
    <definedName name="_xlnm.Print_Area" localSheetId="1">'1-1_児童数計算表'!$A$1:$Q$59</definedName>
    <definedName name="_xlnm.Print_Area" localSheetId="2">'1-2_児童数計算表_分園'!$A$1:$Q$59</definedName>
    <definedName name="_xlnm.Print_Area" localSheetId="3">'2_区分12加算額計算表'!$A$1:$J$62</definedName>
    <definedName name="_xlnm.Print_Area" localSheetId="4">'3_区分3計算表'!$A$1:$L$60</definedName>
    <definedName name="_xlnm.Print_Area" localSheetId="6">様式1!$A$1:$AL$54</definedName>
    <definedName name="_xlnm.Print_Area" localSheetId="7">様式2!$A$1:$AI$29</definedName>
    <definedName name="_xlnm.Print_Area" localSheetId="8">様式3!$A$1:$AJ$103</definedName>
    <definedName name="_xlnm.Print_Area" localSheetId="9">様式4!$A$1:$AO$45</definedName>
    <definedName name="_xlnm.Print_Area" localSheetId="10">様式4別添1!$A$1:$AG$75</definedName>
    <definedName name="_xlnm.Print_Area" localSheetId="11">様式4別添2!$A$1:$F$20</definedName>
    <definedName name="_xlnm.Print_Area" localSheetId="12">様式5!$A$1:$AB$24</definedName>
    <definedName name="_xlnm.Print_Area" localSheetId="13">様式7!$A$1:$AL$30</definedName>
    <definedName name="_xlnm.Print_Titles" localSheetId="10">様式4別添1!$3:$10</definedName>
    <definedName name="加算率a">'2_区分12加算額計算表'!$F$52</definedName>
    <definedName name="加算率b">'2_区分12加算額計算表'!$F$53</definedName>
    <definedName name="実施月数">'2_区分12加算額計算表'!$C$56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 i="9" l="1"/>
  <c r="AF9" i="9"/>
  <c r="AN16" i="19" l="1"/>
  <c r="H34" i="13"/>
  <c r="AN17" i="19" l="1"/>
  <c r="AJ12" i="21"/>
  <c r="AJ13" i="21"/>
  <c r="AJ14" i="21"/>
  <c r="AJ15" i="21"/>
  <c r="AJ16" i="21"/>
  <c r="AJ17" i="21"/>
  <c r="AJ18" i="21"/>
  <c r="AJ19" i="21"/>
  <c r="AJ20" i="21"/>
  <c r="AJ21" i="21"/>
  <c r="AJ22" i="21"/>
  <c r="AJ23" i="21"/>
  <c r="AJ24" i="21"/>
  <c r="AJ25" i="21"/>
  <c r="AJ26" i="21"/>
  <c r="AJ27" i="21"/>
  <c r="AJ28" i="21"/>
  <c r="AJ29" i="21"/>
  <c r="AJ30" i="21"/>
  <c r="AJ31" i="21"/>
  <c r="AJ32" i="21"/>
  <c r="AJ33" i="21"/>
  <c r="AJ34" i="21"/>
  <c r="AJ35" i="21"/>
  <c r="AJ36" i="21"/>
  <c r="AJ37" i="21"/>
  <c r="AJ38" i="21"/>
  <c r="AJ39" i="21"/>
  <c r="AJ40" i="21"/>
  <c r="AJ41" i="21"/>
  <c r="AJ42" i="21"/>
  <c r="AJ43" i="21"/>
  <c r="AJ44" i="21"/>
  <c r="AJ45" i="21"/>
  <c r="AJ46" i="21"/>
  <c r="AJ47" i="21"/>
  <c r="AJ48" i="21"/>
  <c r="AJ49" i="21"/>
  <c r="AJ50" i="21"/>
  <c r="AJ51" i="21"/>
  <c r="AJ52" i="21"/>
  <c r="AJ53" i="21"/>
  <c r="AJ54" i="21"/>
  <c r="AJ55" i="21"/>
  <c r="AJ56" i="21"/>
  <c r="AJ57" i="21"/>
  <c r="AJ58" i="21"/>
  <c r="AJ59" i="21"/>
  <c r="AJ60" i="21"/>
  <c r="AJ11" i="21"/>
  <c r="AY2" i="25" s="1"/>
  <c r="AI12" i="21"/>
  <c r="AI13" i="21"/>
  <c r="AI14" i="21"/>
  <c r="AI15" i="21"/>
  <c r="AI16" i="21"/>
  <c r="AI17" i="21"/>
  <c r="AI18" i="21"/>
  <c r="AI19" i="21"/>
  <c r="AI20" i="21"/>
  <c r="AI21" i="21"/>
  <c r="AI22" i="21"/>
  <c r="AI23" i="21"/>
  <c r="AI24" i="21"/>
  <c r="AI25" i="21"/>
  <c r="AI26" i="21"/>
  <c r="AI27" i="21"/>
  <c r="AI28" i="21"/>
  <c r="AI29" i="21"/>
  <c r="AI30" i="21"/>
  <c r="AI31" i="21"/>
  <c r="AI32" i="21"/>
  <c r="AI33" i="21"/>
  <c r="AI34" i="21"/>
  <c r="AI35" i="21"/>
  <c r="AI36" i="21"/>
  <c r="AI37" i="21"/>
  <c r="AI38" i="21"/>
  <c r="AI39" i="21"/>
  <c r="AI40" i="21"/>
  <c r="AI41" i="21"/>
  <c r="AI42" i="21"/>
  <c r="AI43" i="21"/>
  <c r="AI44" i="21"/>
  <c r="AI45" i="21"/>
  <c r="AI46" i="21"/>
  <c r="AI47" i="21"/>
  <c r="AI48" i="21"/>
  <c r="AI49" i="21"/>
  <c r="AI50" i="21"/>
  <c r="AI51" i="21"/>
  <c r="AI52" i="21"/>
  <c r="AI53" i="21"/>
  <c r="AI54" i="21"/>
  <c r="AI55" i="21"/>
  <c r="AI56" i="21"/>
  <c r="AI57" i="21"/>
  <c r="AI58" i="21"/>
  <c r="AI59" i="21"/>
  <c r="AI60" i="21"/>
  <c r="AI11" i="21"/>
  <c r="AX2" i="25" s="1"/>
  <c r="D18" i="14"/>
  <c r="D17" i="14"/>
  <c r="F53" i="2"/>
  <c r="B33" i="15" l="1"/>
  <c r="H38" i="15" l="1"/>
  <c r="C13" i="10" l="1"/>
  <c r="C2" i="26" l="1"/>
  <c r="B2" i="26"/>
  <c r="A2" i="26"/>
  <c r="U2" i="26"/>
  <c r="R2" i="26"/>
  <c r="O2" i="26"/>
  <c r="H2" i="26"/>
  <c r="I2" i="26"/>
  <c r="J2" i="26"/>
  <c r="K2" i="26"/>
  <c r="L2" i="26"/>
  <c r="M2" i="26"/>
  <c r="N2" i="26"/>
  <c r="P2" i="26"/>
  <c r="Q2" i="26"/>
  <c r="S2" i="26"/>
  <c r="T2" i="26"/>
  <c r="V2" i="26"/>
  <c r="W2" i="26"/>
  <c r="X2" i="26"/>
  <c r="Y2" i="26"/>
  <c r="Z2" i="26"/>
  <c r="AA2" i="26"/>
  <c r="AB2" i="26"/>
  <c r="G2" i="26"/>
  <c r="AQ2" i="21" l="1"/>
  <c r="AR2" i="21"/>
  <c r="AS2" i="21"/>
  <c r="AT2" i="21"/>
  <c r="AU2" i="21"/>
  <c r="AW2" i="21"/>
  <c r="AX2" i="21"/>
  <c r="AQ3" i="21"/>
  <c r="AR3" i="21"/>
  <c r="AS3" i="21"/>
  <c r="AT3" i="21"/>
  <c r="AU3" i="21"/>
  <c r="AV3" i="21"/>
  <c r="AW3" i="21"/>
  <c r="AX3" i="21"/>
  <c r="AQ4" i="21"/>
  <c r="AR4" i="21"/>
  <c r="AS4" i="21"/>
  <c r="AT4" i="21"/>
  <c r="AU4" i="21"/>
  <c r="AV4" i="21"/>
  <c r="AW4" i="21"/>
  <c r="AX4" i="21"/>
  <c r="AQ5" i="21"/>
  <c r="AR5" i="21"/>
  <c r="AS5" i="21"/>
  <c r="AT5" i="21"/>
  <c r="AU5" i="21"/>
  <c r="AW5" i="21"/>
  <c r="AX5" i="21"/>
  <c r="AQ6" i="21"/>
  <c r="AR6" i="21"/>
  <c r="AS6" i="21"/>
  <c r="AT6" i="21"/>
  <c r="AU6" i="21"/>
  <c r="AV6" i="21"/>
  <c r="AW6" i="21"/>
  <c r="AX6" i="21"/>
  <c r="AQ7" i="21"/>
  <c r="AR7" i="21"/>
  <c r="AS7" i="21"/>
  <c r="AT7" i="21"/>
  <c r="AU7" i="21"/>
  <c r="AV7" i="21"/>
  <c r="AW7" i="21"/>
  <c r="AX7" i="21"/>
  <c r="AQ8" i="21"/>
  <c r="AR8" i="21"/>
  <c r="AS8" i="21"/>
  <c r="AT8" i="21"/>
  <c r="AU8" i="21"/>
  <c r="AV8" i="21"/>
  <c r="AW8" i="21"/>
  <c r="AX8" i="21"/>
  <c r="AQ9" i="21"/>
  <c r="AR9" i="21"/>
  <c r="AS9" i="21"/>
  <c r="AT9" i="21"/>
  <c r="AU9" i="21"/>
  <c r="AV9" i="21"/>
  <c r="AW9" i="21"/>
  <c r="AX9" i="21"/>
  <c r="AQ10" i="21"/>
  <c r="AR10" i="21"/>
  <c r="AS10" i="21"/>
  <c r="AT10" i="21"/>
  <c r="AU10" i="21"/>
  <c r="AW10" i="21"/>
  <c r="AX10" i="21"/>
  <c r="AQ11" i="21"/>
  <c r="AR11" i="21"/>
  <c r="AS11" i="21"/>
  <c r="AT11" i="21"/>
  <c r="AU11" i="21"/>
  <c r="AV11" i="21"/>
  <c r="AW11" i="21"/>
  <c r="AX11" i="21"/>
  <c r="AQ12" i="21"/>
  <c r="AR12" i="21"/>
  <c r="AS12" i="21"/>
  <c r="AT12" i="21"/>
  <c r="AU12" i="21"/>
  <c r="AV12" i="21"/>
  <c r="AW12" i="21"/>
  <c r="AX12" i="21"/>
  <c r="AQ13" i="21"/>
  <c r="AR13" i="21"/>
  <c r="AS13" i="21"/>
  <c r="AT13" i="21"/>
  <c r="AU13" i="21"/>
  <c r="AV13" i="21"/>
  <c r="AW13" i="21"/>
  <c r="AX13" i="21"/>
  <c r="AQ14" i="21"/>
  <c r="AR14" i="21"/>
  <c r="AS14" i="21"/>
  <c r="AT14" i="21"/>
  <c r="AU14" i="21"/>
  <c r="AV14" i="21"/>
  <c r="AW14" i="21"/>
  <c r="AX14" i="21"/>
  <c r="AQ15" i="21"/>
  <c r="AR15" i="21"/>
  <c r="AS15" i="21"/>
  <c r="AT15" i="21"/>
  <c r="AU15" i="21"/>
  <c r="AV15" i="21"/>
  <c r="AW15" i="21"/>
  <c r="AX15" i="21"/>
  <c r="AQ16" i="21"/>
  <c r="AR16" i="21"/>
  <c r="AS16" i="21"/>
  <c r="AT16" i="21"/>
  <c r="AU16" i="21"/>
  <c r="AV16" i="21"/>
  <c r="AW16" i="21"/>
  <c r="AX16" i="21"/>
  <c r="AQ17" i="21"/>
  <c r="AR17" i="21"/>
  <c r="AS17" i="21"/>
  <c r="AT17" i="21"/>
  <c r="AU17" i="21"/>
  <c r="AV17" i="21"/>
  <c r="AW17" i="21"/>
  <c r="AX17" i="21"/>
  <c r="AQ18" i="21"/>
  <c r="AR18" i="21"/>
  <c r="AS18" i="21"/>
  <c r="AT18" i="21"/>
  <c r="AU18" i="21"/>
  <c r="AV18" i="21"/>
  <c r="AW18" i="21"/>
  <c r="AX18" i="21"/>
  <c r="AQ19" i="21"/>
  <c r="AR19" i="21"/>
  <c r="AS19" i="21"/>
  <c r="AT19" i="21"/>
  <c r="AU19" i="21"/>
  <c r="AV19" i="21"/>
  <c r="AW19" i="21"/>
  <c r="AX19" i="21"/>
  <c r="AQ20" i="21"/>
  <c r="AR20" i="21"/>
  <c r="AS20" i="21"/>
  <c r="AT20" i="21"/>
  <c r="AU20" i="21"/>
  <c r="AV20" i="21"/>
  <c r="AW20" i="21"/>
  <c r="AX20" i="21"/>
  <c r="AQ21" i="21"/>
  <c r="AR21" i="21"/>
  <c r="AS21" i="21"/>
  <c r="AT21" i="21"/>
  <c r="AU21" i="21"/>
  <c r="AV21" i="21"/>
  <c r="AW21" i="21"/>
  <c r="AX21" i="21"/>
  <c r="AQ22" i="21"/>
  <c r="AR22" i="21"/>
  <c r="AS22" i="21"/>
  <c r="AT22" i="21"/>
  <c r="AU22" i="21"/>
  <c r="AV22" i="21"/>
  <c r="AW22" i="21"/>
  <c r="AX22" i="21"/>
  <c r="AQ23" i="21"/>
  <c r="AR23" i="21"/>
  <c r="AS23" i="21"/>
  <c r="AT23" i="21"/>
  <c r="AU23" i="21"/>
  <c r="AV23" i="21"/>
  <c r="AW23" i="21"/>
  <c r="AX23" i="21"/>
  <c r="AQ24" i="21"/>
  <c r="AR24" i="21"/>
  <c r="AS24" i="21"/>
  <c r="AT24" i="21"/>
  <c r="AU24" i="21"/>
  <c r="AW24" i="21"/>
  <c r="AX24" i="21"/>
  <c r="AQ25" i="21"/>
  <c r="AR25" i="21"/>
  <c r="AS25" i="21"/>
  <c r="AT25" i="21"/>
  <c r="AU25" i="21"/>
  <c r="AV25" i="21"/>
  <c r="AW25" i="21"/>
  <c r="AX25" i="21"/>
  <c r="AQ26" i="21"/>
  <c r="AR26" i="21"/>
  <c r="AS26" i="21"/>
  <c r="AT26" i="21"/>
  <c r="AU26" i="21"/>
  <c r="AV26" i="21"/>
  <c r="AW26" i="21"/>
  <c r="AX26" i="21"/>
  <c r="AQ27" i="21"/>
  <c r="AR27" i="21"/>
  <c r="AS27" i="21"/>
  <c r="AT27" i="21"/>
  <c r="AU27" i="21"/>
  <c r="AW27" i="21"/>
  <c r="AX27" i="21"/>
  <c r="AQ28" i="21"/>
  <c r="AR28" i="21"/>
  <c r="AS28" i="21"/>
  <c r="AT28" i="21"/>
  <c r="AU28" i="21"/>
  <c r="AV28" i="21"/>
  <c r="AW28" i="21"/>
  <c r="AX28" i="21"/>
  <c r="AQ29" i="21"/>
  <c r="AR29" i="21"/>
  <c r="AS29" i="21"/>
  <c r="AT29" i="21"/>
  <c r="AU29" i="21"/>
  <c r="AV29" i="21"/>
  <c r="AW29" i="21"/>
  <c r="AX29" i="21"/>
  <c r="AQ30" i="21"/>
  <c r="AR30" i="21"/>
  <c r="AS30" i="21"/>
  <c r="AT30" i="21"/>
  <c r="AU30" i="21"/>
  <c r="AV30" i="21"/>
  <c r="AW30" i="21"/>
  <c r="AX30" i="21"/>
  <c r="AQ31" i="21"/>
  <c r="AR31" i="21"/>
  <c r="AS31" i="21"/>
  <c r="AT31" i="21"/>
  <c r="AU31" i="21"/>
  <c r="AV31" i="21"/>
  <c r="AW31" i="21"/>
  <c r="AX31" i="21"/>
  <c r="AQ32" i="21"/>
  <c r="AR32" i="21"/>
  <c r="AS32" i="21"/>
  <c r="AT32" i="21"/>
  <c r="AU32" i="21"/>
  <c r="AV32" i="21"/>
  <c r="AW32" i="21"/>
  <c r="AX32" i="21"/>
  <c r="AQ33" i="21"/>
  <c r="AR33" i="21"/>
  <c r="AS33" i="21"/>
  <c r="AT33" i="21"/>
  <c r="AU33" i="21"/>
  <c r="AV33" i="21"/>
  <c r="AW33" i="21"/>
  <c r="AX33" i="21"/>
  <c r="AQ34" i="21"/>
  <c r="AR34" i="21"/>
  <c r="AS34" i="21"/>
  <c r="AT34" i="21"/>
  <c r="AU34" i="21"/>
  <c r="AV34" i="21"/>
  <c r="AW34" i="21"/>
  <c r="AX34" i="21"/>
  <c r="AQ35" i="21"/>
  <c r="AR35" i="21"/>
  <c r="AS35" i="21"/>
  <c r="AT35" i="21"/>
  <c r="AU35" i="21"/>
  <c r="AV35" i="21"/>
  <c r="AW35" i="21"/>
  <c r="AX35" i="21"/>
  <c r="AQ36" i="21"/>
  <c r="AR36" i="21"/>
  <c r="AS36" i="21"/>
  <c r="AT36" i="21"/>
  <c r="AU36" i="21"/>
  <c r="AV36" i="21"/>
  <c r="AW36" i="21"/>
  <c r="AX36" i="21"/>
  <c r="AQ37" i="21"/>
  <c r="AR37" i="21"/>
  <c r="AS37" i="21"/>
  <c r="AT37" i="21"/>
  <c r="AU37" i="21"/>
  <c r="AV37" i="21"/>
  <c r="AW37" i="21"/>
  <c r="AX37" i="21"/>
  <c r="AQ38" i="21"/>
  <c r="AR38" i="21"/>
  <c r="AS38" i="21"/>
  <c r="AT38" i="21"/>
  <c r="AU38" i="21"/>
  <c r="AV38" i="21"/>
  <c r="AW38" i="21"/>
  <c r="AX38" i="21"/>
  <c r="AQ39" i="21"/>
  <c r="AR39" i="21"/>
  <c r="AS39" i="21"/>
  <c r="AT39" i="21"/>
  <c r="AU39" i="21"/>
  <c r="AW39" i="21"/>
  <c r="AX39" i="21"/>
  <c r="AQ40" i="21"/>
  <c r="AR40" i="21"/>
  <c r="AS40" i="21"/>
  <c r="AT40" i="21"/>
  <c r="AU40" i="21"/>
  <c r="AV40" i="21"/>
  <c r="AW40" i="21"/>
  <c r="AX40" i="21"/>
  <c r="AQ41" i="21"/>
  <c r="AR41" i="21"/>
  <c r="AS41" i="21"/>
  <c r="AT41" i="21"/>
  <c r="AU41" i="21"/>
  <c r="AV41" i="21"/>
  <c r="AW41" i="21"/>
  <c r="AX41" i="21"/>
  <c r="AQ42" i="21"/>
  <c r="AR42" i="21"/>
  <c r="AS42" i="21"/>
  <c r="AT42" i="21"/>
  <c r="AU42" i="21"/>
  <c r="AV42" i="21"/>
  <c r="AW42" i="21"/>
  <c r="AX42" i="21"/>
  <c r="AQ43" i="21"/>
  <c r="AR43" i="21"/>
  <c r="AS43" i="21"/>
  <c r="AT43" i="21"/>
  <c r="AU43" i="21"/>
  <c r="AV43" i="21"/>
  <c r="AW43" i="21"/>
  <c r="AX43" i="21"/>
  <c r="AQ44" i="21"/>
  <c r="AR44" i="21"/>
  <c r="AS44" i="21"/>
  <c r="AT44" i="21"/>
  <c r="AU44" i="21"/>
  <c r="AW44" i="21"/>
  <c r="AX44" i="21"/>
  <c r="AQ45" i="21"/>
  <c r="AR45" i="21"/>
  <c r="AS45" i="21"/>
  <c r="AT45" i="21"/>
  <c r="AU45" i="21"/>
  <c r="AW45" i="21"/>
  <c r="AX45" i="21"/>
  <c r="AQ46" i="21"/>
  <c r="AR46" i="21"/>
  <c r="AS46" i="21"/>
  <c r="AT46" i="21"/>
  <c r="AU46" i="21"/>
  <c r="AW46" i="21"/>
  <c r="AX46" i="21"/>
  <c r="AQ47" i="21"/>
  <c r="AR47" i="21"/>
  <c r="AS47" i="21"/>
  <c r="AT47" i="21"/>
  <c r="AU47" i="21"/>
  <c r="AV47" i="21"/>
  <c r="AW47" i="21"/>
  <c r="AX47" i="21"/>
  <c r="AQ48" i="21"/>
  <c r="AR48" i="21"/>
  <c r="AS48" i="21"/>
  <c r="AT48" i="21"/>
  <c r="AU48" i="21"/>
  <c r="AV48" i="21"/>
  <c r="AW48" i="21"/>
  <c r="AX48" i="21"/>
  <c r="AQ49" i="21"/>
  <c r="AR49" i="21"/>
  <c r="AS49" i="21"/>
  <c r="AT49" i="21"/>
  <c r="AU49" i="21"/>
  <c r="AV49" i="21"/>
  <c r="AW49" i="21"/>
  <c r="AX49" i="21"/>
  <c r="AQ50" i="21"/>
  <c r="AR50" i="21"/>
  <c r="AS50" i="21"/>
  <c r="AT50" i="21"/>
  <c r="AU50" i="21"/>
  <c r="AV50" i="21"/>
  <c r="AW50" i="21"/>
  <c r="AX50" i="21"/>
  <c r="AQ51" i="21"/>
  <c r="AR51" i="21"/>
  <c r="AS51" i="21"/>
  <c r="AT51" i="21"/>
  <c r="AU51" i="21"/>
  <c r="AV51" i="21"/>
  <c r="AW51" i="21"/>
  <c r="AX51" i="21"/>
  <c r="BE2" i="25" l="1"/>
  <c r="BD2" i="25"/>
  <c r="AU2" i="25"/>
  <c r="AQ2" i="25"/>
  <c r="AN2" i="25"/>
  <c r="AV2" i="25" l="1"/>
  <c r="AW2" i="25"/>
  <c r="AJ2" i="25"/>
  <c r="AI2" i="25"/>
  <c r="AH2" i="25"/>
  <c r="AG2" i="25"/>
  <c r="B2" i="25"/>
  <c r="C2" i="25"/>
  <c r="A2" i="25"/>
  <c r="I2" i="25"/>
  <c r="H2" i="25"/>
  <c r="G2" i="25"/>
  <c r="F2" i="25"/>
  <c r="E2" i="25"/>
  <c r="D2" i="25"/>
  <c r="S61" i="21" l="1"/>
  <c r="M3" i="11" l="1"/>
  <c r="AE72" i="19" l="1"/>
  <c r="E30" i="13"/>
  <c r="AE57" i="19" s="1"/>
  <c r="E27" i="13"/>
  <c r="AE55" i="19" s="1"/>
  <c r="E7" i="13"/>
  <c r="C51" i="17"/>
  <c r="C17" i="17"/>
  <c r="F17" i="17" s="1"/>
  <c r="AE2" i="25" s="1"/>
  <c r="U10" i="17"/>
  <c r="U9" i="17"/>
  <c r="U8" i="17"/>
  <c r="X3" i="24"/>
  <c r="Y8" i="24"/>
  <c r="A2" i="23"/>
  <c r="E18" i="22"/>
  <c r="N38" i="20" s="1"/>
  <c r="F18" i="22"/>
  <c r="N39" i="20" s="1"/>
  <c r="A11" i="21"/>
  <c r="T11" i="21"/>
  <c r="AV2" i="21" s="1"/>
  <c r="A12" i="21"/>
  <c r="T12" i="21"/>
  <c r="A13" i="21"/>
  <c r="T13" i="21"/>
  <c r="A14" i="21"/>
  <c r="T14" i="21"/>
  <c r="AV5" i="21" s="1"/>
  <c r="A15" i="21"/>
  <c r="T15" i="21"/>
  <c r="A16" i="21"/>
  <c r="T16" i="21"/>
  <c r="A17" i="21"/>
  <c r="T17" i="21"/>
  <c r="A18" i="21"/>
  <c r="T18" i="21"/>
  <c r="A19" i="21"/>
  <c r="T19" i="21"/>
  <c r="AV10" i="21" s="1"/>
  <c r="A20" i="21"/>
  <c r="T20" i="21"/>
  <c r="A21" i="21"/>
  <c r="T21" i="21"/>
  <c r="A22" i="21"/>
  <c r="T22" i="21"/>
  <c r="A23" i="21"/>
  <c r="T23" i="21"/>
  <c r="A24" i="21"/>
  <c r="T24" i="21"/>
  <c r="A25" i="21"/>
  <c r="T25" i="21"/>
  <c r="A26" i="21"/>
  <c r="T26" i="21"/>
  <c r="A27" i="21"/>
  <c r="T27" i="21"/>
  <c r="A28" i="21"/>
  <c r="T28" i="21"/>
  <c r="A29" i="21"/>
  <c r="T29" i="21"/>
  <c r="A30" i="21"/>
  <c r="T30" i="21"/>
  <c r="A31" i="21"/>
  <c r="T31" i="21"/>
  <c r="A32" i="21"/>
  <c r="T32" i="21"/>
  <c r="A33" i="21"/>
  <c r="T33" i="21"/>
  <c r="AV24" i="21" s="1"/>
  <c r="A34" i="21"/>
  <c r="T34" i="21"/>
  <c r="A35" i="21"/>
  <c r="T35" i="21"/>
  <c r="A36" i="21"/>
  <c r="T36" i="21"/>
  <c r="AV27" i="21" s="1"/>
  <c r="A37" i="21"/>
  <c r="T37" i="21"/>
  <c r="A38" i="21"/>
  <c r="T38" i="21"/>
  <c r="A39" i="21"/>
  <c r="T39" i="21"/>
  <c r="A40" i="21"/>
  <c r="T40" i="21"/>
  <c r="A41" i="21"/>
  <c r="T41" i="21"/>
  <c r="A42" i="21"/>
  <c r="T42" i="21"/>
  <c r="A43" i="21"/>
  <c r="T43" i="21"/>
  <c r="A44" i="21"/>
  <c r="T44" i="21"/>
  <c r="A45" i="21"/>
  <c r="T45" i="21"/>
  <c r="A46" i="21"/>
  <c r="T46" i="21"/>
  <c r="A47" i="21"/>
  <c r="T47" i="21"/>
  <c r="A48" i="21"/>
  <c r="T48" i="21"/>
  <c r="AV39" i="21" s="1"/>
  <c r="A49" i="21"/>
  <c r="T49" i="21"/>
  <c r="A50" i="21"/>
  <c r="T50" i="21"/>
  <c r="A51" i="21"/>
  <c r="T51" i="21"/>
  <c r="A52" i="21"/>
  <c r="T52" i="21"/>
  <c r="A53" i="21"/>
  <c r="T53" i="21"/>
  <c r="AV44" i="21" s="1"/>
  <c r="A54" i="21"/>
  <c r="T54" i="21"/>
  <c r="AV45" i="21" s="1"/>
  <c r="A55" i="21"/>
  <c r="T55" i="21"/>
  <c r="AV46" i="21" s="1"/>
  <c r="A56" i="21"/>
  <c r="T56" i="21"/>
  <c r="A57" i="21"/>
  <c r="T57" i="21"/>
  <c r="A58" i="21"/>
  <c r="T58" i="21"/>
  <c r="A59" i="21"/>
  <c r="T59" i="21"/>
  <c r="A60" i="21"/>
  <c r="T60" i="21"/>
  <c r="K61" i="21"/>
  <c r="Y25" i="20" s="1"/>
  <c r="O61" i="21"/>
  <c r="Y29" i="20" s="1"/>
  <c r="P61" i="21"/>
  <c r="Y30" i="20" s="1"/>
  <c r="Y19" i="20"/>
  <c r="U61" i="21"/>
  <c r="V61" i="21"/>
  <c r="W61" i="21"/>
  <c r="X61" i="21"/>
  <c r="W14" i="20" s="1"/>
  <c r="AA61" i="21"/>
  <c r="Y21" i="20" s="1"/>
  <c r="AC61" i="21"/>
  <c r="Y23" i="20" s="1"/>
  <c r="T80" i="21"/>
  <c r="B2" i="20"/>
  <c r="X4" i="20"/>
  <c r="Y22" i="20"/>
  <c r="Y26" i="20"/>
  <c r="Y27" i="20"/>
  <c r="Y28" i="20"/>
  <c r="B3" i="19"/>
  <c r="U8" i="19"/>
  <c r="O4" i="23" s="1"/>
  <c r="L15" i="19"/>
  <c r="T15" i="19"/>
  <c r="B2" i="18"/>
  <c r="V8" i="18"/>
  <c r="B2" i="17"/>
  <c r="K24" i="13" l="1"/>
  <c r="T61" i="21"/>
  <c r="X63" i="21" s="1"/>
  <c r="Y63" i="21" s="1"/>
  <c r="AZ2" i="25" s="1"/>
  <c r="Y24" i="20"/>
  <c r="M27" i="19"/>
  <c r="F27" i="19"/>
  <c r="N29" i="19"/>
  <c r="T27" i="19"/>
  <c r="AA27" i="19"/>
  <c r="AP2" i="25"/>
  <c r="W13" i="20"/>
  <c r="BA20" i="20"/>
  <c r="Y11" i="24"/>
  <c r="V11" i="18"/>
  <c r="U11" i="19"/>
  <c r="O7" i="23" s="1"/>
  <c r="X7" i="20"/>
  <c r="Y10" i="24"/>
  <c r="U10" i="19"/>
  <c r="O6" i="23" s="1"/>
  <c r="X6" i="20"/>
  <c r="V10" i="18"/>
  <c r="E2" i="22"/>
  <c r="V9" i="18"/>
  <c r="X5" i="20"/>
  <c r="AF1" i="21" s="1"/>
  <c r="Y9" i="24"/>
  <c r="U9" i="19"/>
  <c r="O5" i="23" s="1"/>
  <c r="AF15" i="19"/>
  <c r="AK2" i="25" s="1"/>
  <c r="Q61" i="21"/>
  <c r="AD61" i="21" l="1"/>
  <c r="AD63" i="21" s="1"/>
  <c r="BA2" i="25" s="1"/>
  <c r="N14" i="20"/>
  <c r="AM2" i="25" s="1"/>
  <c r="F2" i="26"/>
  <c r="AZ20" i="20" l="1"/>
  <c r="Y20" i="20"/>
  <c r="Y18" i="20" s="1"/>
  <c r="AJ18" i="20" s="1"/>
  <c r="AT2" i="25" s="1"/>
  <c r="N13" i="20"/>
  <c r="H34" i="15"/>
  <c r="K2" i="25" s="1"/>
  <c r="E31" i="15"/>
  <c r="D28" i="15"/>
  <c r="E19" i="15"/>
  <c r="E15" i="15"/>
  <c r="H45" i="15" l="1"/>
  <c r="T2" i="25" s="1"/>
  <c r="J2" i="25"/>
  <c r="H40" i="15"/>
  <c r="Q2" i="25" s="1"/>
  <c r="H41" i="15"/>
  <c r="R2" i="25" s="1"/>
  <c r="H35" i="15"/>
  <c r="L2" i="25" s="1"/>
  <c r="H36" i="15"/>
  <c r="M2" i="25" s="1"/>
  <c r="H37" i="15"/>
  <c r="N2" i="25" s="1"/>
  <c r="H39" i="15" l="1"/>
  <c r="P2" i="25" s="1"/>
  <c r="O2" i="25"/>
  <c r="H42" i="15"/>
  <c r="H43" i="15" s="1"/>
  <c r="H44" i="15" s="1"/>
  <c r="S2" i="25" s="1"/>
  <c r="AD2" i="25" l="1"/>
  <c r="AA95" i="19"/>
  <c r="A23" i="14" l="1"/>
  <c r="A22" i="14"/>
  <c r="F29" i="13" l="1"/>
  <c r="F11" i="13"/>
  <c r="E47" i="13"/>
  <c r="E46" i="13"/>
  <c r="E45" i="13"/>
  <c r="E44" i="13"/>
  <c r="E43" i="13"/>
  <c r="E42" i="13"/>
  <c r="E41" i="13"/>
  <c r="E40" i="13"/>
  <c r="AE64" i="19" s="1"/>
  <c r="E39" i="13"/>
  <c r="AE63" i="19" s="1"/>
  <c r="F38" i="13"/>
  <c r="E38" i="13"/>
  <c r="E37" i="13"/>
  <c r="E36" i="13"/>
  <c r="I30" i="13"/>
  <c r="E28" i="13"/>
  <c r="E25" i="13"/>
  <c r="J10" i="13"/>
  <c r="L34" i="13" s="1"/>
  <c r="J9" i="13"/>
  <c r="F10" i="13"/>
  <c r="F9" i="13"/>
  <c r="I42" i="13"/>
  <c r="D3" i="13"/>
  <c r="H48" i="13"/>
  <c r="F31" i="13"/>
  <c r="G31" i="13" s="1"/>
  <c r="H31" i="13" s="1"/>
  <c r="F26" i="13"/>
  <c r="F24" i="13"/>
  <c r="J11" i="13"/>
  <c r="H42" i="13" l="1"/>
  <c r="AE66" i="19"/>
  <c r="H36" i="13"/>
  <c r="AE60" i="19"/>
  <c r="H44" i="13"/>
  <c r="AE68" i="19"/>
  <c r="H43" i="13"/>
  <c r="AE67" i="19"/>
  <c r="H38" i="13"/>
  <c r="AE62" i="19"/>
  <c r="H45" i="13"/>
  <c r="AE69" i="19"/>
  <c r="H37" i="13"/>
  <c r="AE61" i="19"/>
  <c r="H46" i="13"/>
  <c r="AE70" i="19"/>
  <c r="H47" i="13"/>
  <c r="AE71" i="19"/>
  <c r="I25" i="13"/>
  <c r="AE56" i="19"/>
  <c r="I28" i="13"/>
  <c r="AE58" i="19"/>
  <c r="H41" i="13"/>
  <c r="AE65" i="19"/>
  <c r="H40" i="13"/>
  <c r="G29" i="13"/>
  <c r="H29" i="13" s="1"/>
  <c r="G26" i="13"/>
  <c r="H26" i="13" s="1"/>
  <c r="I27" i="13"/>
  <c r="K26" i="13" s="1"/>
  <c r="L26" i="13" s="1"/>
  <c r="G24" i="13"/>
  <c r="H24" i="13" s="1"/>
  <c r="H39" i="13"/>
  <c r="J8" i="13"/>
  <c r="G49" i="13"/>
  <c r="H49" i="13" s="1"/>
  <c r="H33" i="13"/>
  <c r="F8" i="13"/>
  <c r="M25" i="19" s="1"/>
  <c r="I43" i="13"/>
  <c r="I47" i="13"/>
  <c r="I48" i="13"/>
  <c r="J26" i="13"/>
  <c r="I39" i="13"/>
  <c r="I36" i="13"/>
  <c r="I40" i="13"/>
  <c r="I44" i="13"/>
  <c r="J31" i="13"/>
  <c r="K31" i="13" s="1"/>
  <c r="L31" i="13" s="1"/>
  <c r="J7" i="13"/>
  <c r="L24" i="13"/>
  <c r="L33" i="13"/>
  <c r="I37" i="13"/>
  <c r="I41" i="13"/>
  <c r="K49" i="13"/>
  <c r="L49" i="13" s="1"/>
  <c r="J24" i="13"/>
  <c r="J29" i="13"/>
  <c r="K29" i="13" s="1"/>
  <c r="L29" i="13" s="1"/>
  <c r="I46" i="13"/>
  <c r="I38" i="13"/>
  <c r="H32" i="13" l="1"/>
  <c r="L32" i="13"/>
  <c r="M3" i="12" l="1"/>
  <c r="H55" i="12"/>
  <c r="H54" i="12"/>
  <c r="G54" i="12"/>
  <c r="F54" i="12"/>
  <c r="E54" i="12"/>
  <c r="Q54" i="12" s="1"/>
  <c r="B54" i="12"/>
  <c r="H53" i="12"/>
  <c r="G53" i="12"/>
  <c r="F53" i="12"/>
  <c r="E53" i="12"/>
  <c r="Q53" i="12" s="1"/>
  <c r="B53" i="12"/>
  <c r="H52" i="12"/>
  <c r="G52" i="12"/>
  <c r="Q52" i="12" s="1"/>
  <c r="F52" i="12"/>
  <c r="E52" i="12"/>
  <c r="B52" i="12"/>
  <c r="H51" i="12"/>
  <c r="G51" i="12"/>
  <c r="F51" i="12"/>
  <c r="E51" i="12"/>
  <c r="Q51" i="12" s="1"/>
  <c r="C51" i="12"/>
  <c r="H50" i="12"/>
  <c r="G50" i="12"/>
  <c r="F50" i="12"/>
  <c r="E50" i="12"/>
  <c r="Q50" i="12" s="1"/>
  <c r="B50" i="12"/>
  <c r="H49" i="12"/>
  <c r="G49" i="12"/>
  <c r="F49" i="12"/>
  <c r="E49" i="12"/>
  <c r="B49" i="12"/>
  <c r="H48" i="12"/>
  <c r="G48" i="12"/>
  <c r="F48" i="12"/>
  <c r="E48" i="12"/>
  <c r="B48" i="12"/>
  <c r="H39" i="12"/>
  <c r="G39" i="12"/>
  <c r="F39" i="12"/>
  <c r="E39" i="12"/>
  <c r="M38" i="12"/>
  <c r="B38" i="12"/>
  <c r="N37" i="12"/>
  <c r="B37" i="12"/>
  <c r="I36" i="12"/>
  <c r="B36" i="12"/>
  <c r="C35" i="12"/>
  <c r="M34" i="12"/>
  <c r="L34" i="12"/>
  <c r="B34" i="12"/>
  <c r="O33" i="12"/>
  <c r="N33" i="12"/>
  <c r="B33" i="12"/>
  <c r="B32" i="12"/>
  <c r="H26" i="12"/>
  <c r="G26" i="12"/>
  <c r="F26" i="12"/>
  <c r="E26" i="12"/>
  <c r="P25" i="12"/>
  <c r="P38" i="12" s="1"/>
  <c r="O25" i="12"/>
  <c r="O38" i="12" s="1"/>
  <c r="N25" i="12"/>
  <c r="N38" i="12" s="1"/>
  <c r="M25" i="12"/>
  <c r="L25" i="12"/>
  <c r="L38" i="12" s="1"/>
  <c r="K25" i="12"/>
  <c r="K38" i="12" s="1"/>
  <c r="J25" i="12"/>
  <c r="J38" i="12" s="1"/>
  <c r="I25" i="12"/>
  <c r="I38" i="12" s="1"/>
  <c r="H25" i="12"/>
  <c r="G25" i="12"/>
  <c r="F25" i="12"/>
  <c r="Q24" i="12"/>
  <c r="P23" i="12"/>
  <c r="P37" i="12" s="1"/>
  <c r="O23" i="12"/>
  <c r="O37" i="12" s="1"/>
  <c r="N23" i="12"/>
  <c r="M23" i="12"/>
  <c r="M37" i="12" s="1"/>
  <c r="L23" i="12"/>
  <c r="L37" i="12" s="1"/>
  <c r="K23" i="12"/>
  <c r="K37" i="12" s="1"/>
  <c r="J23" i="12"/>
  <c r="J37" i="12" s="1"/>
  <c r="I23" i="12"/>
  <c r="I37" i="12" s="1"/>
  <c r="H23" i="12"/>
  <c r="G23" i="12"/>
  <c r="F23" i="12"/>
  <c r="Q22" i="12"/>
  <c r="P21" i="12"/>
  <c r="P36" i="12" s="1"/>
  <c r="O21" i="12"/>
  <c r="O36" i="12" s="1"/>
  <c r="N21" i="12"/>
  <c r="N36" i="12" s="1"/>
  <c r="M21" i="12"/>
  <c r="M36" i="12" s="1"/>
  <c r="L21" i="12"/>
  <c r="L36" i="12" s="1"/>
  <c r="K21" i="12"/>
  <c r="K36" i="12" s="1"/>
  <c r="J21" i="12"/>
  <c r="J36" i="12" s="1"/>
  <c r="I21" i="12"/>
  <c r="H21" i="12"/>
  <c r="G21" i="12"/>
  <c r="F21" i="12"/>
  <c r="Q20" i="12"/>
  <c r="P19" i="12"/>
  <c r="P35" i="12" s="1"/>
  <c r="O19" i="12"/>
  <c r="O35" i="12" s="1"/>
  <c r="N19" i="12"/>
  <c r="N35" i="12" s="1"/>
  <c r="M19" i="12"/>
  <c r="M35" i="12" s="1"/>
  <c r="L19" i="12"/>
  <c r="L35" i="12" s="1"/>
  <c r="K19" i="12"/>
  <c r="K35" i="12" s="1"/>
  <c r="J19" i="12"/>
  <c r="J35" i="12" s="1"/>
  <c r="I19" i="12"/>
  <c r="I35" i="12" s="1"/>
  <c r="H19" i="12"/>
  <c r="G19" i="12"/>
  <c r="F19" i="12"/>
  <c r="Q18" i="12"/>
  <c r="P17" i="12"/>
  <c r="P34" i="12" s="1"/>
  <c r="O17" i="12"/>
  <c r="O34" i="12" s="1"/>
  <c r="N17" i="12"/>
  <c r="N34" i="12" s="1"/>
  <c r="M17" i="12"/>
  <c r="L17" i="12"/>
  <c r="K17" i="12"/>
  <c r="K34" i="12" s="1"/>
  <c r="J17" i="12"/>
  <c r="J34" i="12" s="1"/>
  <c r="I17" i="12"/>
  <c r="I34" i="12" s="1"/>
  <c r="H17" i="12"/>
  <c r="G17" i="12"/>
  <c r="F17" i="12"/>
  <c r="Q16" i="12"/>
  <c r="P15" i="12"/>
  <c r="P33" i="12" s="1"/>
  <c r="O15" i="12"/>
  <c r="N15" i="12"/>
  <c r="M15" i="12"/>
  <c r="M33" i="12" s="1"/>
  <c r="L15" i="12"/>
  <c r="L33" i="12" s="1"/>
  <c r="K15" i="12"/>
  <c r="K33" i="12" s="1"/>
  <c r="J15" i="12"/>
  <c r="J33" i="12" s="1"/>
  <c r="I15" i="12"/>
  <c r="I33" i="12" s="1"/>
  <c r="H15" i="12"/>
  <c r="G15" i="12"/>
  <c r="F15" i="12"/>
  <c r="Q14" i="12"/>
  <c r="P13" i="12"/>
  <c r="P32" i="12" s="1"/>
  <c r="O13" i="12"/>
  <c r="O32" i="12" s="1"/>
  <c r="N13" i="12"/>
  <c r="N32" i="12" s="1"/>
  <c r="M13" i="12"/>
  <c r="M32" i="12" s="1"/>
  <c r="L13" i="12"/>
  <c r="L32" i="12" s="1"/>
  <c r="K13" i="12"/>
  <c r="K32" i="12" s="1"/>
  <c r="J13" i="12"/>
  <c r="J32" i="12" s="1"/>
  <c r="I13" i="12"/>
  <c r="I32" i="12" s="1"/>
  <c r="H13" i="12"/>
  <c r="G13" i="12"/>
  <c r="F13" i="12"/>
  <c r="Q12" i="12"/>
  <c r="H55" i="11"/>
  <c r="G55" i="11"/>
  <c r="H54" i="11"/>
  <c r="G54" i="11"/>
  <c r="F54" i="11"/>
  <c r="H53" i="11"/>
  <c r="G53" i="11"/>
  <c r="F53" i="11"/>
  <c r="H52" i="11"/>
  <c r="G52" i="11"/>
  <c r="F52" i="11"/>
  <c r="H51" i="11"/>
  <c r="G51" i="11"/>
  <c r="F51" i="11"/>
  <c r="H50" i="11"/>
  <c r="G50" i="11"/>
  <c r="F50" i="11"/>
  <c r="H49" i="11"/>
  <c r="G49" i="11"/>
  <c r="F49" i="11"/>
  <c r="F55" i="11" s="1"/>
  <c r="H48" i="11"/>
  <c r="G48" i="11"/>
  <c r="F48" i="11"/>
  <c r="P37" i="11"/>
  <c r="N37" i="11"/>
  <c r="M37" i="11"/>
  <c r="L37" i="11"/>
  <c r="J37" i="11"/>
  <c r="I37" i="11"/>
  <c r="H39" i="11"/>
  <c r="G39" i="11"/>
  <c r="F39" i="11"/>
  <c r="E39" i="11"/>
  <c r="H26" i="11"/>
  <c r="G26" i="11"/>
  <c r="F26" i="11"/>
  <c r="E26" i="11"/>
  <c r="P25" i="11"/>
  <c r="O25" i="11"/>
  <c r="N25" i="11"/>
  <c r="M25" i="11"/>
  <c r="L25" i="11"/>
  <c r="K25" i="11"/>
  <c r="J25" i="11"/>
  <c r="I25" i="11"/>
  <c r="H25" i="11"/>
  <c r="G25" i="11"/>
  <c r="F25" i="11"/>
  <c r="P23" i="11"/>
  <c r="O23" i="11"/>
  <c r="O37" i="11" s="1"/>
  <c r="N23" i="11"/>
  <c r="M23" i="11"/>
  <c r="L23" i="11"/>
  <c r="K23" i="11"/>
  <c r="K37" i="11" s="1"/>
  <c r="J23" i="11"/>
  <c r="I23" i="11"/>
  <c r="H23" i="11"/>
  <c r="G23" i="11"/>
  <c r="F23" i="11"/>
  <c r="P21" i="11"/>
  <c r="O21" i="11"/>
  <c r="N21" i="11"/>
  <c r="M21" i="11"/>
  <c r="L21" i="11"/>
  <c r="K21" i="11"/>
  <c r="J21" i="11"/>
  <c r="I21" i="11"/>
  <c r="H21" i="11"/>
  <c r="G21" i="11"/>
  <c r="F21" i="11"/>
  <c r="P19" i="11"/>
  <c r="O19" i="11"/>
  <c r="N19" i="11"/>
  <c r="M19" i="11"/>
  <c r="L19" i="11"/>
  <c r="K19" i="11"/>
  <c r="J19" i="11"/>
  <c r="I19" i="11"/>
  <c r="H19" i="11"/>
  <c r="G19" i="11"/>
  <c r="F19" i="11"/>
  <c r="P17" i="11"/>
  <c r="O17" i="11"/>
  <c r="N17" i="11"/>
  <c r="M17" i="11"/>
  <c r="L17" i="11"/>
  <c r="K17" i="11"/>
  <c r="J17" i="11"/>
  <c r="I17" i="11"/>
  <c r="H17" i="11"/>
  <c r="G17" i="11"/>
  <c r="F17" i="11"/>
  <c r="P15" i="11"/>
  <c r="P33" i="11" s="1"/>
  <c r="O15" i="11"/>
  <c r="O33" i="11" s="1"/>
  <c r="N15" i="11"/>
  <c r="N33" i="11" s="1"/>
  <c r="M15" i="11"/>
  <c r="M33" i="11" s="1"/>
  <c r="L15" i="11"/>
  <c r="L33" i="11" s="1"/>
  <c r="K15" i="11"/>
  <c r="K33" i="11" s="1"/>
  <c r="J15" i="11"/>
  <c r="J33" i="11" s="1"/>
  <c r="I15" i="11"/>
  <c r="I33" i="11" s="1"/>
  <c r="H15" i="11"/>
  <c r="G15" i="11"/>
  <c r="F15" i="11"/>
  <c r="G13" i="11"/>
  <c r="H13" i="11"/>
  <c r="I13" i="11"/>
  <c r="J13" i="11"/>
  <c r="K13" i="11"/>
  <c r="L13" i="11"/>
  <c r="M13" i="11"/>
  <c r="N13" i="11"/>
  <c r="O13" i="11"/>
  <c r="P13" i="11"/>
  <c r="F13" i="11"/>
  <c r="C51" i="11"/>
  <c r="B54" i="11"/>
  <c r="B53" i="11"/>
  <c r="B52" i="11"/>
  <c r="B50" i="11"/>
  <c r="B49" i="11"/>
  <c r="B48" i="11"/>
  <c r="B38" i="11"/>
  <c r="B37" i="11"/>
  <c r="B36" i="11"/>
  <c r="C35" i="11"/>
  <c r="B34" i="11"/>
  <c r="B33" i="11"/>
  <c r="B32" i="11"/>
  <c r="E53" i="11"/>
  <c r="E49" i="11"/>
  <c r="T23" i="13" l="1"/>
  <c r="P23" i="2"/>
  <c r="E55" i="12"/>
  <c r="T22" i="13"/>
  <c r="P24" i="2"/>
  <c r="T21" i="13"/>
  <c r="P25" i="2"/>
  <c r="G55" i="12"/>
  <c r="T20" i="13"/>
  <c r="P26" i="2"/>
  <c r="T19" i="13"/>
  <c r="P27" i="2"/>
  <c r="Q49" i="12"/>
  <c r="P28" i="2" s="1"/>
  <c r="F55" i="12"/>
  <c r="Q38" i="12"/>
  <c r="Q34" i="12"/>
  <c r="Q26" i="12"/>
  <c r="Q53" i="11"/>
  <c r="P22" i="13" s="1"/>
  <c r="Q48" i="12"/>
  <c r="Q49" i="11"/>
  <c r="M28" i="2" s="1"/>
  <c r="Q33" i="11"/>
  <c r="M18" i="2" s="1"/>
  <c r="Q33" i="12"/>
  <c r="P18" i="2" s="1"/>
  <c r="Q35" i="12"/>
  <c r="Q37" i="12"/>
  <c r="Q32" i="12"/>
  <c r="Q36" i="12"/>
  <c r="Q37" i="11"/>
  <c r="Q22" i="11"/>
  <c r="Q14" i="11"/>
  <c r="E54" i="11"/>
  <c r="Q54" i="11" s="1"/>
  <c r="E52" i="11"/>
  <c r="Q52" i="11" s="1"/>
  <c r="E51" i="11"/>
  <c r="Q51" i="11" s="1"/>
  <c r="E50" i="11"/>
  <c r="Q50" i="11" s="1"/>
  <c r="E48" i="11"/>
  <c r="E55" i="11" s="1"/>
  <c r="L38" i="11"/>
  <c r="J38" i="11"/>
  <c r="P36" i="11"/>
  <c r="N36" i="11"/>
  <c r="L35" i="11"/>
  <c r="J35" i="11"/>
  <c r="P34" i="11"/>
  <c r="N34" i="11"/>
  <c r="L32" i="11"/>
  <c r="J32" i="11"/>
  <c r="P38" i="11"/>
  <c r="O38" i="11"/>
  <c r="N38" i="11"/>
  <c r="M38" i="11"/>
  <c r="K38" i="11"/>
  <c r="I38" i="11"/>
  <c r="Q24" i="11"/>
  <c r="O36" i="11"/>
  <c r="M36" i="11"/>
  <c r="L36" i="11"/>
  <c r="K36" i="11"/>
  <c r="J36" i="11"/>
  <c r="I36" i="11"/>
  <c r="Q20" i="11"/>
  <c r="P35" i="11"/>
  <c r="O35" i="11"/>
  <c r="N35" i="11"/>
  <c r="M35" i="11"/>
  <c r="K35" i="11"/>
  <c r="I35" i="11"/>
  <c r="Q18" i="11"/>
  <c r="O34" i="11"/>
  <c r="M34" i="11"/>
  <c r="L34" i="11"/>
  <c r="K34" i="11"/>
  <c r="J34" i="11"/>
  <c r="I34" i="11"/>
  <c r="Q16" i="11"/>
  <c r="P32" i="11"/>
  <c r="O32" i="11"/>
  <c r="N32" i="11"/>
  <c r="M32" i="11"/>
  <c r="K32" i="11"/>
  <c r="I32" i="11"/>
  <c r="Q12" i="11"/>
  <c r="F52" i="2"/>
  <c r="D5" i="14" s="1"/>
  <c r="U2" i="25" s="1"/>
  <c r="T13" i="13" l="1"/>
  <c r="P13" i="2"/>
  <c r="T12" i="13"/>
  <c r="P14" i="2"/>
  <c r="T11" i="13"/>
  <c r="P15" i="2"/>
  <c r="T10" i="13"/>
  <c r="P16" i="2"/>
  <c r="T9" i="13"/>
  <c r="P17" i="2"/>
  <c r="M24" i="2"/>
  <c r="P12" i="13"/>
  <c r="M14" i="2"/>
  <c r="T8" i="13"/>
  <c r="Q39" i="12"/>
  <c r="Q55" i="12"/>
  <c r="T18" i="13"/>
  <c r="P29" i="2"/>
  <c r="D6" i="14"/>
  <c r="V2" i="25" s="1"/>
  <c r="F51" i="17"/>
  <c r="AF2" i="25" s="1"/>
  <c r="Q26" i="11"/>
  <c r="P20" i="13"/>
  <c r="M26" i="2"/>
  <c r="P23" i="13"/>
  <c r="M23" i="2"/>
  <c r="P21" i="13"/>
  <c r="M25" i="2"/>
  <c r="P19" i="13"/>
  <c r="M27" i="2"/>
  <c r="P19" i="2"/>
  <c r="Q36" i="11"/>
  <c r="Q34" i="11"/>
  <c r="Q32" i="11"/>
  <c r="Q35" i="11"/>
  <c r="Q38" i="11"/>
  <c r="Q48" i="11"/>
  <c r="G34" i="2"/>
  <c r="P13" i="13" l="1"/>
  <c r="M13" i="2"/>
  <c r="P11" i="13"/>
  <c r="M15" i="2"/>
  <c r="P10" i="13"/>
  <c r="M16" i="2"/>
  <c r="P9" i="13"/>
  <c r="M17" i="2"/>
  <c r="Q55" i="11"/>
  <c r="P18" i="13"/>
  <c r="M29" i="2"/>
  <c r="Q39" i="11"/>
  <c r="P8" i="13"/>
  <c r="M19" i="2"/>
  <c r="C20" i="10"/>
  <c r="C19" i="10"/>
  <c r="C18" i="10"/>
  <c r="B38" i="10"/>
  <c r="A38" i="10"/>
  <c r="A17" i="10"/>
  <c r="C15" i="10"/>
  <c r="C14" i="10"/>
  <c r="I41" i="2"/>
  <c r="C38" i="10" l="1"/>
  <c r="C34" i="10"/>
  <c r="C12" i="10"/>
  <c r="C32" i="10" s="1"/>
  <c r="I37" i="2"/>
  <c r="C11" i="10"/>
  <c r="C31" i="10" s="1"/>
  <c r="C10" i="10"/>
  <c r="C30" i="10" s="1"/>
  <c r="C9" i="10"/>
  <c r="C8" i="10"/>
  <c r="C7" i="10"/>
  <c r="C27" i="10" s="1"/>
  <c r="C6" i="10"/>
  <c r="C26" i="10" s="1"/>
  <c r="G4" i="10"/>
  <c r="F4" i="10"/>
  <c r="E4" i="10"/>
  <c r="D4" i="10"/>
  <c r="B42" i="10"/>
  <c r="B41" i="10"/>
  <c r="B40" i="10"/>
  <c r="B39" i="10"/>
  <c r="A39" i="10"/>
  <c r="B37" i="10"/>
  <c r="B36" i="10"/>
  <c r="C35" i="10"/>
  <c r="B35" i="10"/>
  <c r="B34" i="10"/>
  <c r="B33" i="10"/>
  <c r="B32" i="10"/>
  <c r="B31" i="10"/>
  <c r="B30" i="10"/>
  <c r="B29" i="10"/>
  <c r="B28" i="10"/>
  <c r="B27" i="10"/>
  <c r="B26" i="10"/>
  <c r="C25" i="10"/>
  <c r="B25" i="10"/>
  <c r="C17" i="10"/>
  <c r="C37" i="10" s="1"/>
  <c r="C16" i="10"/>
  <c r="C36" i="10" s="1"/>
  <c r="C33" i="10"/>
  <c r="A19" i="5"/>
  <c r="C16" i="5"/>
  <c r="C19" i="5"/>
  <c r="A20" i="5"/>
  <c r="C28" i="10" l="1"/>
  <c r="C29" i="10"/>
  <c r="C40" i="10"/>
  <c r="C39" i="10"/>
  <c r="A37" i="10"/>
  <c r="A40" i="10" l="1"/>
  <c r="I9" i="2" l="1"/>
  <c r="J9" i="2" s="1"/>
  <c r="A9" i="5" s="1"/>
  <c r="I8" i="2"/>
  <c r="J8" i="2" s="1"/>
  <c r="A7" i="5" s="1"/>
  <c r="Z9" i="5" l="1"/>
  <c r="R9" i="5"/>
  <c r="J9" i="5"/>
  <c r="V9" i="5"/>
  <c r="N9" i="5"/>
  <c r="F9" i="5"/>
  <c r="D7" i="5"/>
  <c r="P7" i="5"/>
  <c r="X7" i="5"/>
  <c r="T7" i="5"/>
  <c r="H7" i="5"/>
  <c r="L7" i="5"/>
  <c r="D17" i="2"/>
  <c r="D39" i="10" l="1"/>
  <c r="G20" i="10"/>
  <c r="G18" i="10"/>
  <c r="E39" i="10"/>
  <c r="G40" i="10"/>
  <c r="G38" i="10"/>
  <c r="F20" i="10"/>
  <c r="F18" i="10"/>
  <c r="F19" i="10"/>
  <c r="F40" i="10"/>
  <c r="F38" i="10"/>
  <c r="E20" i="10"/>
  <c r="E18" i="10"/>
  <c r="E40" i="10"/>
  <c r="E38" i="10"/>
  <c r="D20" i="10"/>
  <c r="D18" i="10"/>
  <c r="G39" i="10"/>
  <c r="D19" i="10"/>
  <c r="D40" i="10"/>
  <c r="D38" i="10"/>
  <c r="G19" i="10"/>
  <c r="F39" i="10"/>
  <c r="E19" i="10"/>
  <c r="I13" i="3"/>
  <c r="I14" i="3"/>
  <c r="I15" i="3" s="1"/>
  <c r="I16" i="3" s="1"/>
  <c r="I17" i="3" s="1"/>
  <c r="I18" i="3" s="1"/>
  <c r="I19" i="3" s="1"/>
  <c r="I20" i="3" s="1"/>
  <c r="I21" i="3" s="1"/>
  <c r="I22" i="3" s="1"/>
  <c r="I23" i="3" s="1"/>
  <c r="I24" i="3" s="1"/>
  <c r="I25" i="3" s="1"/>
  <c r="I12" i="3"/>
  <c r="D9" i="2"/>
  <c r="F9" i="2"/>
  <c r="E9" i="2"/>
  <c r="I7" i="2" l="1"/>
  <c r="J7" i="2" s="1"/>
  <c r="A11" i="5" s="1"/>
  <c r="I11" i="2"/>
  <c r="D2" i="26" s="1"/>
  <c r="I10" i="2"/>
  <c r="J10" i="2" s="1"/>
  <c r="I6" i="2"/>
  <c r="J6" i="2" s="1"/>
  <c r="A5" i="10" s="1"/>
  <c r="E5" i="10" l="1"/>
  <c r="G5" i="10"/>
  <c r="F5" i="10"/>
  <c r="D5" i="10"/>
  <c r="A16" i="5"/>
  <c r="A12" i="10"/>
  <c r="A6" i="10"/>
  <c r="A25" i="10"/>
  <c r="F25" i="10" l="1"/>
  <c r="G25" i="10"/>
  <c r="E25" i="10"/>
  <c r="D25" i="10"/>
  <c r="F6" i="10"/>
  <c r="G6" i="10"/>
  <c r="E6" i="10"/>
  <c r="D6" i="10"/>
  <c r="G12" i="10"/>
  <c r="F12" i="10"/>
  <c r="E12" i="10"/>
  <c r="D12" i="10"/>
  <c r="AA16" i="5"/>
  <c r="S16" i="5"/>
  <c r="Z16" i="5"/>
  <c r="R16" i="5"/>
  <c r="Y16" i="5"/>
  <c r="Q16" i="5"/>
  <c r="X16" i="5"/>
  <c r="P16" i="5"/>
  <c r="T16" i="5"/>
  <c r="W16" i="5"/>
  <c r="V16" i="5"/>
  <c r="U16" i="5"/>
  <c r="A32" i="10"/>
  <c r="A7" i="10"/>
  <c r="A26" i="10"/>
  <c r="G26" i="10" l="1"/>
  <c r="F26" i="10"/>
  <c r="E26" i="10"/>
  <c r="D26" i="10"/>
  <c r="E7" i="10"/>
  <c r="G7" i="10"/>
  <c r="F7" i="10"/>
  <c r="D7" i="10"/>
  <c r="G32" i="10"/>
  <c r="F32" i="10"/>
  <c r="E32" i="10"/>
  <c r="D32" i="10"/>
  <c r="A8" i="10"/>
  <c r="A27" i="10"/>
  <c r="D27" i="10" l="1"/>
  <c r="F27" i="10"/>
  <c r="G27" i="10"/>
  <c r="E27" i="10"/>
  <c r="E8" i="10"/>
  <c r="D8" i="10"/>
  <c r="A9" i="10"/>
  <c r="A28" i="10"/>
  <c r="E28" i="10" l="1"/>
  <c r="D28" i="10"/>
  <c r="F9" i="10"/>
  <c r="G9" i="10"/>
  <c r="A29" i="10"/>
  <c r="A10" i="10"/>
  <c r="D10" i="10" s="1"/>
  <c r="F29" i="10" l="1"/>
  <c r="G29" i="10"/>
  <c r="A11" i="10"/>
  <c r="A30" i="10"/>
  <c r="D30" i="10" s="1"/>
  <c r="G11" i="10" l="1"/>
  <c r="F11" i="10"/>
  <c r="E11" i="10"/>
  <c r="D11" i="10"/>
  <c r="A13" i="10"/>
  <c r="A31" i="10"/>
  <c r="D31" i="10" l="1"/>
  <c r="G31" i="10"/>
  <c r="E31" i="10"/>
  <c r="F31" i="10"/>
  <c r="D13" i="10"/>
  <c r="F13" i="10"/>
  <c r="G13" i="10"/>
  <c r="E13" i="10"/>
  <c r="A14" i="10"/>
  <c r="A33" i="10"/>
  <c r="D33" i="10" l="1"/>
  <c r="E33" i="10"/>
  <c r="G33" i="10"/>
  <c r="F33" i="10"/>
  <c r="G14" i="10"/>
  <c r="F14" i="10"/>
  <c r="E14" i="10"/>
  <c r="D14" i="10"/>
  <c r="A15" i="10"/>
  <c r="A34" i="10"/>
  <c r="F15" i="10" l="1"/>
  <c r="D15" i="10"/>
  <c r="G15" i="10"/>
  <c r="E15" i="10"/>
  <c r="G34" i="10"/>
  <c r="F34" i="10"/>
  <c r="E34" i="10"/>
  <c r="D34" i="10"/>
  <c r="A16" i="10"/>
  <c r="A35" i="10"/>
  <c r="D35" i="10" l="1"/>
  <c r="G35" i="10"/>
  <c r="E35" i="10"/>
  <c r="F35" i="10"/>
  <c r="G16" i="10"/>
  <c r="F16" i="10"/>
  <c r="E16" i="10"/>
  <c r="D16" i="10"/>
  <c r="A36" i="10"/>
  <c r="G36" i="10" l="1"/>
  <c r="F36" i="10"/>
  <c r="E36" i="10"/>
  <c r="D36" i="10"/>
  <c r="AS1" i="7"/>
  <c r="AR1" i="7"/>
  <c r="AQ1" i="7"/>
  <c r="AN1" i="7"/>
  <c r="AM1" i="7"/>
  <c r="AL1" i="7"/>
  <c r="AK1" i="7"/>
  <c r="AH1" i="7"/>
  <c r="AG1" i="7"/>
  <c r="AF1" i="7"/>
  <c r="AC1" i="7"/>
  <c r="AB1" i="7"/>
  <c r="AA1" i="7"/>
  <c r="A14" i="5" s="1"/>
  <c r="Z1" i="7"/>
  <c r="X1" i="7"/>
  <c r="W1" i="7"/>
  <c r="V1" i="7"/>
  <c r="U1" i="7"/>
  <c r="T1" i="7"/>
  <c r="S1" i="7"/>
  <c r="R1" i="7"/>
  <c r="Q1" i="7"/>
  <c r="P1" i="7"/>
  <c r="O1" i="7"/>
  <c r="N1" i="7"/>
  <c r="M1" i="7"/>
  <c r="L1" i="7"/>
  <c r="K1" i="7"/>
  <c r="J1" i="7"/>
  <c r="I1" i="7"/>
  <c r="H1" i="7"/>
  <c r="G1" i="7"/>
  <c r="F1" i="7"/>
  <c r="AK1" i="9"/>
  <c r="AJ1" i="9"/>
  <c r="AI1" i="9"/>
  <c r="G1" i="9"/>
  <c r="H1" i="9"/>
  <c r="I1" i="9"/>
  <c r="J1" i="9"/>
  <c r="K1" i="9"/>
  <c r="L1" i="9"/>
  <c r="M1" i="9"/>
  <c r="N1" i="9"/>
  <c r="O1" i="9"/>
  <c r="P1" i="9"/>
  <c r="Q1" i="9"/>
  <c r="R1" i="9"/>
  <c r="S1" i="9"/>
  <c r="T1" i="9"/>
  <c r="U1" i="9"/>
  <c r="V1" i="9"/>
  <c r="W1" i="9"/>
  <c r="X1" i="9"/>
  <c r="Y1" i="9"/>
  <c r="Z1" i="9"/>
  <c r="AA1" i="9"/>
  <c r="AB1" i="9"/>
  <c r="AC1" i="9"/>
  <c r="AD1" i="9"/>
  <c r="AE1" i="9"/>
  <c r="AF1" i="9"/>
  <c r="F1" i="9"/>
  <c r="F17" i="10" l="1"/>
  <c r="G17" i="10"/>
  <c r="D17" i="10"/>
  <c r="G37" i="10"/>
  <c r="E17" i="10"/>
  <c r="F37" i="10"/>
  <c r="D37" i="10"/>
  <c r="E37" i="10"/>
  <c r="X99" i="7"/>
  <c r="W99" i="7"/>
  <c r="X98" i="7"/>
  <c r="W98" i="7"/>
  <c r="X97" i="7"/>
  <c r="W97" i="7"/>
  <c r="X95" i="7"/>
  <c r="W95" i="7"/>
  <c r="X94" i="7"/>
  <c r="W94" i="7"/>
  <c r="X93" i="7"/>
  <c r="W93" i="7"/>
  <c r="X91" i="7"/>
  <c r="W91" i="7"/>
  <c r="X90" i="7"/>
  <c r="W90" i="7"/>
  <c r="X89" i="7"/>
  <c r="W89" i="7"/>
  <c r="X87" i="7"/>
  <c r="W87" i="7"/>
  <c r="X86" i="7"/>
  <c r="W86" i="7"/>
  <c r="X85" i="7"/>
  <c r="W85" i="7"/>
  <c r="X83" i="7"/>
  <c r="W83" i="7"/>
  <c r="X82" i="7"/>
  <c r="W82" i="7"/>
  <c r="X81" i="7"/>
  <c r="W81" i="7"/>
  <c r="X79" i="7"/>
  <c r="W79" i="7"/>
  <c r="X78" i="7"/>
  <c r="W78" i="7"/>
  <c r="X77" i="7"/>
  <c r="W77" i="7"/>
  <c r="X75" i="7"/>
  <c r="W75" i="7"/>
  <c r="X74" i="7"/>
  <c r="W74" i="7"/>
  <c r="X73" i="7"/>
  <c r="W73" i="7"/>
  <c r="X71" i="7"/>
  <c r="W71" i="7"/>
  <c r="X70" i="7"/>
  <c r="W70" i="7"/>
  <c r="X69" i="7"/>
  <c r="W69" i="7"/>
  <c r="X67" i="7"/>
  <c r="W67" i="7"/>
  <c r="X66" i="7"/>
  <c r="W66" i="7"/>
  <c r="X65" i="7"/>
  <c r="W65" i="7"/>
  <c r="X63" i="7"/>
  <c r="W63" i="7"/>
  <c r="X62" i="7"/>
  <c r="W62" i="7"/>
  <c r="X61" i="7"/>
  <c r="W61" i="7"/>
  <c r="X59" i="7"/>
  <c r="W59" i="7"/>
  <c r="X58" i="7"/>
  <c r="W58" i="7"/>
  <c r="X57" i="7"/>
  <c r="W57" i="7"/>
  <c r="X55" i="7"/>
  <c r="W55" i="7"/>
  <c r="X54" i="7"/>
  <c r="W54" i="7"/>
  <c r="X53" i="7"/>
  <c r="W53" i="7"/>
  <c r="X51" i="7"/>
  <c r="W51" i="7"/>
  <c r="X50" i="7"/>
  <c r="W50" i="7"/>
  <c r="X49" i="7"/>
  <c r="W49" i="7"/>
  <c r="X47" i="7"/>
  <c r="W47" i="7"/>
  <c r="X46" i="7"/>
  <c r="W46" i="7"/>
  <c r="X45" i="7"/>
  <c r="W45" i="7"/>
  <c r="X43" i="7"/>
  <c r="W43" i="7"/>
  <c r="X42" i="7"/>
  <c r="W42" i="7"/>
  <c r="X41" i="7"/>
  <c r="W41" i="7"/>
  <c r="X39" i="7"/>
  <c r="W39" i="7"/>
  <c r="X38" i="7"/>
  <c r="W38" i="7"/>
  <c r="X37" i="7"/>
  <c r="W37" i="7"/>
  <c r="X35" i="7"/>
  <c r="W35" i="7"/>
  <c r="X34" i="7"/>
  <c r="W34" i="7"/>
  <c r="X33" i="7"/>
  <c r="W33" i="7"/>
  <c r="X31" i="7"/>
  <c r="W31" i="7"/>
  <c r="X30" i="7"/>
  <c r="W30" i="7"/>
  <c r="X29" i="7"/>
  <c r="W29" i="7"/>
  <c r="X27" i="7"/>
  <c r="W27" i="7"/>
  <c r="X26" i="7"/>
  <c r="W26" i="7"/>
  <c r="X25" i="7"/>
  <c r="W25" i="7"/>
  <c r="X23" i="7"/>
  <c r="W23" i="7"/>
  <c r="X22" i="7"/>
  <c r="W22" i="7"/>
  <c r="X21" i="7"/>
  <c r="W21" i="7"/>
  <c r="X19" i="7"/>
  <c r="W19" i="7"/>
  <c r="X18" i="7"/>
  <c r="W18" i="7"/>
  <c r="X17" i="7"/>
  <c r="W17" i="7"/>
  <c r="X15" i="7"/>
  <c r="W15" i="7"/>
  <c r="X14" i="7"/>
  <c r="W14" i="7"/>
  <c r="X13" i="7"/>
  <c r="W13" i="7"/>
  <c r="X11" i="7"/>
  <c r="W11" i="7"/>
  <c r="X10" i="7"/>
  <c r="W10" i="7"/>
  <c r="X9" i="7"/>
  <c r="W9" i="7"/>
  <c r="V99" i="7"/>
  <c r="U99" i="7"/>
  <c r="T99" i="7"/>
  <c r="S99" i="7"/>
  <c r="V98" i="7"/>
  <c r="U98" i="7"/>
  <c r="T98" i="7"/>
  <c r="S98" i="7"/>
  <c r="V97" i="7"/>
  <c r="U97" i="7"/>
  <c r="T97" i="7"/>
  <c r="S97" i="7"/>
  <c r="V95" i="7"/>
  <c r="U95" i="7"/>
  <c r="T95" i="7"/>
  <c r="S95" i="7"/>
  <c r="V94" i="7"/>
  <c r="U94" i="7"/>
  <c r="T94" i="7"/>
  <c r="S94" i="7"/>
  <c r="V93" i="7"/>
  <c r="U93" i="7"/>
  <c r="T93" i="7"/>
  <c r="S93" i="7"/>
  <c r="V91" i="7"/>
  <c r="U91" i="7"/>
  <c r="T91" i="7"/>
  <c r="S91" i="7"/>
  <c r="V90" i="7"/>
  <c r="U90" i="7"/>
  <c r="T90" i="7"/>
  <c r="S90" i="7"/>
  <c r="V89" i="7"/>
  <c r="U89" i="7"/>
  <c r="T89" i="7"/>
  <c r="S89" i="7"/>
  <c r="V87" i="7"/>
  <c r="U87" i="7"/>
  <c r="T87" i="7"/>
  <c r="S87" i="7"/>
  <c r="V86" i="7"/>
  <c r="U86" i="7"/>
  <c r="T86" i="7"/>
  <c r="S86" i="7"/>
  <c r="V85" i="7"/>
  <c r="U85" i="7"/>
  <c r="T85" i="7"/>
  <c r="S85" i="7"/>
  <c r="V83" i="7"/>
  <c r="U83" i="7"/>
  <c r="T83" i="7"/>
  <c r="S83" i="7"/>
  <c r="V82" i="7"/>
  <c r="U82" i="7"/>
  <c r="T82" i="7"/>
  <c r="S82" i="7"/>
  <c r="V81" i="7"/>
  <c r="U81" i="7"/>
  <c r="T81" i="7"/>
  <c r="S81" i="7"/>
  <c r="V79" i="7"/>
  <c r="U79" i="7"/>
  <c r="T79" i="7"/>
  <c r="S79" i="7"/>
  <c r="V78" i="7"/>
  <c r="U78" i="7"/>
  <c r="T78" i="7"/>
  <c r="S78" i="7"/>
  <c r="V77" i="7"/>
  <c r="U77" i="7"/>
  <c r="T77" i="7"/>
  <c r="S77" i="7"/>
  <c r="V75" i="7"/>
  <c r="U75" i="7"/>
  <c r="T75" i="7"/>
  <c r="S75" i="7"/>
  <c r="V74" i="7"/>
  <c r="U74" i="7"/>
  <c r="T74" i="7"/>
  <c r="S74" i="7"/>
  <c r="V73" i="7"/>
  <c r="U73" i="7"/>
  <c r="T73" i="7"/>
  <c r="S73" i="7"/>
  <c r="V71" i="7"/>
  <c r="U71" i="7"/>
  <c r="T71" i="7"/>
  <c r="S71" i="7"/>
  <c r="V70" i="7"/>
  <c r="U70" i="7"/>
  <c r="T70" i="7"/>
  <c r="S70" i="7"/>
  <c r="V69" i="7"/>
  <c r="U69" i="7"/>
  <c r="T69" i="7"/>
  <c r="S69" i="7"/>
  <c r="V67" i="7"/>
  <c r="U67" i="7"/>
  <c r="T67" i="7"/>
  <c r="S67" i="7"/>
  <c r="V66" i="7"/>
  <c r="U66" i="7"/>
  <c r="T66" i="7"/>
  <c r="S66" i="7"/>
  <c r="V65" i="7"/>
  <c r="U65" i="7"/>
  <c r="T65" i="7"/>
  <c r="S65" i="7"/>
  <c r="V63" i="7"/>
  <c r="V62" i="7"/>
  <c r="V61" i="7"/>
  <c r="V59" i="7"/>
  <c r="V58" i="7"/>
  <c r="V57" i="7"/>
  <c r="V55" i="7"/>
  <c r="V54" i="7"/>
  <c r="V53" i="7"/>
  <c r="V51" i="7"/>
  <c r="V50" i="7"/>
  <c r="V49" i="7"/>
  <c r="V47" i="7"/>
  <c r="V46" i="7"/>
  <c r="V45" i="7"/>
  <c r="V43" i="7"/>
  <c r="V42" i="7"/>
  <c r="V41" i="7"/>
  <c r="V39" i="7"/>
  <c r="V38" i="7"/>
  <c r="V37" i="7"/>
  <c r="V35" i="7"/>
  <c r="V34" i="7"/>
  <c r="V33" i="7"/>
  <c r="V31" i="7"/>
  <c r="V30" i="7"/>
  <c r="V29" i="7"/>
  <c r="V27" i="7"/>
  <c r="V26" i="7"/>
  <c r="V25" i="7"/>
  <c r="V23" i="7"/>
  <c r="V22" i="7"/>
  <c r="V21" i="7"/>
  <c r="V19" i="7"/>
  <c r="V18" i="7"/>
  <c r="V17" i="7"/>
  <c r="V15" i="7"/>
  <c r="V14" i="7"/>
  <c r="V13" i="7"/>
  <c r="V11" i="7"/>
  <c r="V10" i="7"/>
  <c r="V9" i="7"/>
  <c r="U63" i="7"/>
  <c r="U62" i="7"/>
  <c r="U61" i="7"/>
  <c r="U59" i="7"/>
  <c r="U58" i="7"/>
  <c r="U57" i="7"/>
  <c r="U55" i="7"/>
  <c r="U54" i="7"/>
  <c r="U53" i="7"/>
  <c r="U51" i="7"/>
  <c r="U50" i="7"/>
  <c r="U49" i="7"/>
  <c r="U47" i="7"/>
  <c r="U46" i="7"/>
  <c r="U45" i="7"/>
  <c r="U43" i="7"/>
  <c r="U42" i="7"/>
  <c r="U41" i="7"/>
  <c r="U39" i="7"/>
  <c r="U38" i="7"/>
  <c r="U37" i="7"/>
  <c r="U35" i="7"/>
  <c r="U34" i="7"/>
  <c r="U33" i="7"/>
  <c r="U31" i="7"/>
  <c r="U30" i="7"/>
  <c r="U29" i="7"/>
  <c r="U27" i="7"/>
  <c r="U26" i="7"/>
  <c r="U25" i="7"/>
  <c r="U23" i="7"/>
  <c r="U22" i="7"/>
  <c r="U21" i="7"/>
  <c r="U19" i="7"/>
  <c r="U18" i="7"/>
  <c r="U17" i="7"/>
  <c r="U15" i="7"/>
  <c r="U14" i="7"/>
  <c r="U13" i="7"/>
  <c r="U11" i="7"/>
  <c r="U10" i="7"/>
  <c r="U9" i="7"/>
  <c r="T63" i="7"/>
  <c r="T62" i="7"/>
  <c r="T61" i="7"/>
  <c r="T59" i="7"/>
  <c r="T58" i="7"/>
  <c r="T57" i="7"/>
  <c r="T55" i="7"/>
  <c r="T54" i="7"/>
  <c r="T53" i="7"/>
  <c r="T51" i="7"/>
  <c r="T50" i="7"/>
  <c r="T49" i="7"/>
  <c r="T47" i="7"/>
  <c r="T46" i="7"/>
  <c r="T45" i="7"/>
  <c r="T43" i="7"/>
  <c r="T42" i="7"/>
  <c r="T41" i="7"/>
  <c r="T39" i="7"/>
  <c r="T38" i="7"/>
  <c r="T37" i="7"/>
  <c r="T35" i="7"/>
  <c r="T34" i="7"/>
  <c r="T33" i="7"/>
  <c r="T31" i="7"/>
  <c r="T30" i="7"/>
  <c r="T29" i="7"/>
  <c r="T27" i="7"/>
  <c r="T26" i="7"/>
  <c r="T25" i="7"/>
  <c r="T23" i="7"/>
  <c r="T22" i="7"/>
  <c r="T21" i="7"/>
  <c r="T19" i="7"/>
  <c r="T18" i="7"/>
  <c r="T17" i="7"/>
  <c r="T15" i="7"/>
  <c r="T14" i="7"/>
  <c r="T13" i="7"/>
  <c r="T11" i="7"/>
  <c r="T10" i="7"/>
  <c r="T9" i="7"/>
  <c r="S63" i="7"/>
  <c r="S62" i="7"/>
  <c r="S61" i="7"/>
  <c r="S59" i="7"/>
  <c r="S58" i="7"/>
  <c r="S57" i="7"/>
  <c r="S55" i="7"/>
  <c r="S54" i="7"/>
  <c r="S53" i="7"/>
  <c r="S51" i="7"/>
  <c r="S50" i="7"/>
  <c r="S49" i="7"/>
  <c r="S47" i="7"/>
  <c r="S46" i="7"/>
  <c r="S45" i="7"/>
  <c r="S43" i="7"/>
  <c r="S42" i="7"/>
  <c r="S41" i="7"/>
  <c r="S39" i="7"/>
  <c r="S38" i="7"/>
  <c r="S37" i="7"/>
  <c r="S35" i="7"/>
  <c r="S34" i="7"/>
  <c r="S33" i="7"/>
  <c r="S31" i="7"/>
  <c r="S30" i="7"/>
  <c r="S29" i="7"/>
  <c r="S27" i="7"/>
  <c r="S26" i="7"/>
  <c r="S25" i="7"/>
  <c r="S23" i="7"/>
  <c r="S22" i="7"/>
  <c r="S21" i="7"/>
  <c r="S19" i="7"/>
  <c r="S18" i="7"/>
  <c r="S17" i="7"/>
  <c r="S15" i="7"/>
  <c r="S14" i="7"/>
  <c r="S13" i="7"/>
  <c r="S11" i="7"/>
  <c r="S10" i="7"/>
  <c r="S9" i="7"/>
  <c r="AC53" i="9" l="1"/>
  <c r="AB53" i="9"/>
  <c r="AC51" i="9"/>
  <c r="AB51" i="9"/>
  <c r="AC49" i="9"/>
  <c r="AB49" i="9"/>
  <c r="AC47" i="9"/>
  <c r="AB47" i="9"/>
  <c r="AC45" i="9"/>
  <c r="AB45" i="9"/>
  <c r="AC43" i="9"/>
  <c r="AB43" i="9"/>
  <c r="AC41" i="9"/>
  <c r="AB41" i="9"/>
  <c r="AC39" i="9"/>
  <c r="AB39" i="9"/>
  <c r="AC37" i="9"/>
  <c r="AB37" i="9"/>
  <c r="AC35" i="9"/>
  <c r="AB35" i="9"/>
  <c r="AC33" i="9"/>
  <c r="AB33" i="9"/>
  <c r="AC31" i="9"/>
  <c r="AB31" i="9"/>
  <c r="AC29" i="9"/>
  <c r="AB29" i="9"/>
  <c r="AC27" i="9"/>
  <c r="AB27" i="9"/>
  <c r="AC25" i="9"/>
  <c r="AB25" i="9"/>
  <c r="AC23" i="9"/>
  <c r="AB23" i="9"/>
  <c r="AC21" i="9"/>
  <c r="AB21" i="9"/>
  <c r="AC19" i="9"/>
  <c r="AB19" i="9"/>
  <c r="AC17" i="9"/>
  <c r="AB17" i="9"/>
  <c r="AC15" i="9"/>
  <c r="AB15" i="9"/>
  <c r="AC13" i="9"/>
  <c r="AB13" i="9"/>
  <c r="AC11" i="9"/>
  <c r="AB11" i="9"/>
  <c r="AC9" i="9"/>
  <c r="AB9" i="9"/>
  <c r="AF53" i="9"/>
  <c r="AE53" i="9"/>
  <c r="AA53" i="9"/>
  <c r="Z53" i="9"/>
  <c r="Y53" i="9"/>
  <c r="X53" i="9"/>
  <c r="W53" i="9"/>
  <c r="V53" i="9"/>
  <c r="U53" i="9"/>
  <c r="T53" i="9"/>
  <c r="S53" i="9"/>
  <c r="R53" i="9"/>
  <c r="Q53" i="9"/>
  <c r="P53" i="9"/>
  <c r="O53" i="9"/>
  <c r="N53" i="9"/>
  <c r="M53" i="9"/>
  <c r="L53" i="9"/>
  <c r="K53" i="9"/>
  <c r="J53" i="9"/>
  <c r="I53" i="9"/>
  <c r="E53" i="9"/>
  <c r="D53" i="9"/>
  <c r="C53" i="9"/>
  <c r="S52" i="9"/>
  <c r="R52" i="9"/>
  <c r="Q52" i="9"/>
  <c r="P52" i="9"/>
  <c r="O52" i="9"/>
  <c r="N52" i="9"/>
  <c r="M52" i="9"/>
  <c r="L52" i="9"/>
  <c r="E52" i="9"/>
  <c r="F52" i="9" s="1"/>
  <c r="C52" i="9"/>
  <c r="AF51" i="9"/>
  <c r="AE51" i="9"/>
  <c r="AA51" i="9"/>
  <c r="Z51" i="9"/>
  <c r="Y51" i="9"/>
  <c r="X51" i="9"/>
  <c r="W51" i="9"/>
  <c r="V51" i="9"/>
  <c r="U51" i="9"/>
  <c r="T51" i="9"/>
  <c r="S51" i="9"/>
  <c r="R51" i="9"/>
  <c r="Q51" i="9"/>
  <c r="P51" i="9"/>
  <c r="O51" i="9"/>
  <c r="N51" i="9"/>
  <c r="M51" i="9"/>
  <c r="L51" i="9"/>
  <c r="K51" i="9"/>
  <c r="J51" i="9"/>
  <c r="I51" i="9"/>
  <c r="E51" i="9"/>
  <c r="D51" i="9"/>
  <c r="C51" i="9"/>
  <c r="S50" i="9"/>
  <c r="R50" i="9"/>
  <c r="Q50" i="9"/>
  <c r="P50" i="9"/>
  <c r="O50" i="9"/>
  <c r="N50" i="9"/>
  <c r="M50" i="9"/>
  <c r="L50" i="9"/>
  <c r="E50" i="9"/>
  <c r="F50" i="9" s="1"/>
  <c r="C50" i="9"/>
  <c r="AF49" i="9"/>
  <c r="AE49" i="9"/>
  <c r="AA49" i="9"/>
  <c r="Z49" i="9"/>
  <c r="Y49" i="9"/>
  <c r="X49" i="9"/>
  <c r="W49" i="9"/>
  <c r="V49" i="9"/>
  <c r="U49" i="9"/>
  <c r="T49" i="9"/>
  <c r="S49" i="9"/>
  <c r="R49" i="9"/>
  <c r="Q49" i="9"/>
  <c r="P49" i="9"/>
  <c r="O49" i="9"/>
  <c r="N49" i="9"/>
  <c r="M49" i="9"/>
  <c r="L49" i="9"/>
  <c r="K49" i="9"/>
  <c r="J49" i="9"/>
  <c r="I49" i="9"/>
  <c r="E49" i="9"/>
  <c r="D49" i="9"/>
  <c r="C49" i="9"/>
  <c r="S48" i="9"/>
  <c r="R48" i="9"/>
  <c r="Q48" i="9"/>
  <c r="P48" i="9"/>
  <c r="O48" i="9"/>
  <c r="N48" i="9"/>
  <c r="M48" i="9"/>
  <c r="L48" i="9"/>
  <c r="E48" i="9"/>
  <c r="F48" i="9" s="1"/>
  <c r="C48" i="9"/>
  <c r="AF47" i="9"/>
  <c r="AE47" i="9"/>
  <c r="AA47" i="9"/>
  <c r="Z47" i="9"/>
  <c r="Y47" i="9"/>
  <c r="X47" i="9"/>
  <c r="W47" i="9"/>
  <c r="V47" i="9"/>
  <c r="U47" i="9"/>
  <c r="T47" i="9"/>
  <c r="S47" i="9"/>
  <c r="R47" i="9"/>
  <c r="Q47" i="9"/>
  <c r="P47" i="9"/>
  <c r="O47" i="9"/>
  <c r="N47" i="9"/>
  <c r="M47" i="9"/>
  <c r="L47" i="9"/>
  <c r="K47" i="9"/>
  <c r="J47" i="9"/>
  <c r="I47" i="9"/>
  <c r="E47" i="9"/>
  <c r="D47" i="9"/>
  <c r="C47" i="9"/>
  <c r="S46" i="9"/>
  <c r="R46" i="9"/>
  <c r="Q46" i="9"/>
  <c r="P46" i="9"/>
  <c r="O46" i="9"/>
  <c r="N46" i="9"/>
  <c r="M46" i="9"/>
  <c r="L46" i="9"/>
  <c r="E46" i="9"/>
  <c r="F46" i="9" s="1"/>
  <c r="C46" i="9"/>
  <c r="AF45" i="9"/>
  <c r="AE45" i="9"/>
  <c r="AA45" i="9"/>
  <c r="Z45" i="9"/>
  <c r="Y45" i="9"/>
  <c r="X45" i="9"/>
  <c r="W45" i="9"/>
  <c r="V45" i="9"/>
  <c r="U45" i="9"/>
  <c r="T45" i="9"/>
  <c r="S45" i="9"/>
  <c r="R45" i="9"/>
  <c r="Q45" i="9"/>
  <c r="P45" i="9"/>
  <c r="O45" i="9"/>
  <c r="N45" i="9"/>
  <c r="M45" i="9"/>
  <c r="L45" i="9"/>
  <c r="K45" i="9"/>
  <c r="J45" i="9"/>
  <c r="I45" i="9"/>
  <c r="E45" i="9"/>
  <c r="D45" i="9"/>
  <c r="C45" i="9"/>
  <c r="S44" i="9"/>
  <c r="R44" i="9"/>
  <c r="Q44" i="9"/>
  <c r="P44" i="9"/>
  <c r="O44" i="9"/>
  <c r="N44" i="9"/>
  <c r="M44" i="9"/>
  <c r="L44" i="9"/>
  <c r="E44" i="9"/>
  <c r="F44" i="9" s="1"/>
  <c r="C44" i="9"/>
  <c r="AF43" i="9"/>
  <c r="AE43" i="9"/>
  <c r="AA43" i="9"/>
  <c r="Z43" i="9"/>
  <c r="Y43" i="9"/>
  <c r="X43" i="9"/>
  <c r="W43" i="9"/>
  <c r="V43" i="9"/>
  <c r="U43" i="9"/>
  <c r="T43" i="9"/>
  <c r="S43" i="9"/>
  <c r="R43" i="9"/>
  <c r="Q43" i="9"/>
  <c r="P43" i="9"/>
  <c r="O43" i="9"/>
  <c r="N43" i="9"/>
  <c r="M43" i="9"/>
  <c r="L43" i="9"/>
  <c r="K43" i="9"/>
  <c r="J43" i="9"/>
  <c r="I43" i="9"/>
  <c r="E43" i="9"/>
  <c r="D43" i="9"/>
  <c r="C43" i="9"/>
  <c r="S42" i="9"/>
  <c r="R42" i="9"/>
  <c r="Q42" i="9"/>
  <c r="P42" i="9"/>
  <c r="O42" i="9"/>
  <c r="N42" i="9"/>
  <c r="M42" i="9"/>
  <c r="L42" i="9"/>
  <c r="E42" i="9"/>
  <c r="F42" i="9" s="1"/>
  <c r="C42" i="9"/>
  <c r="AF41" i="9"/>
  <c r="AE41" i="9"/>
  <c r="AA41" i="9"/>
  <c r="Z41" i="9"/>
  <c r="Y41" i="9"/>
  <c r="X41" i="9"/>
  <c r="W41" i="9"/>
  <c r="V41" i="9"/>
  <c r="U41" i="9"/>
  <c r="T41" i="9"/>
  <c r="S41" i="9"/>
  <c r="R41" i="9"/>
  <c r="Q41" i="9"/>
  <c r="P41" i="9"/>
  <c r="O41" i="9"/>
  <c r="N41" i="9"/>
  <c r="M41" i="9"/>
  <c r="L41" i="9"/>
  <c r="K41" i="9"/>
  <c r="J41" i="9"/>
  <c r="I41" i="9"/>
  <c r="E41" i="9"/>
  <c r="D41" i="9"/>
  <c r="C41" i="9"/>
  <c r="S40" i="9"/>
  <c r="R40" i="9"/>
  <c r="Q40" i="9"/>
  <c r="P40" i="9"/>
  <c r="O40" i="9"/>
  <c r="N40" i="9"/>
  <c r="M40" i="9"/>
  <c r="L40" i="9"/>
  <c r="E40" i="9"/>
  <c r="F40" i="9" s="1"/>
  <c r="C40" i="9"/>
  <c r="AF39" i="9"/>
  <c r="AE39" i="9"/>
  <c r="AA39" i="9"/>
  <c r="Z39" i="9"/>
  <c r="Y39" i="9"/>
  <c r="X39" i="9"/>
  <c r="W39" i="9"/>
  <c r="V39" i="9"/>
  <c r="U39" i="9"/>
  <c r="T39" i="9"/>
  <c r="S39" i="9"/>
  <c r="R39" i="9"/>
  <c r="Q39" i="9"/>
  <c r="P39" i="9"/>
  <c r="O39" i="9"/>
  <c r="N39" i="9"/>
  <c r="M39" i="9"/>
  <c r="L39" i="9"/>
  <c r="K39" i="9"/>
  <c r="J39" i="9"/>
  <c r="I39" i="9"/>
  <c r="E39" i="9"/>
  <c r="D39" i="9"/>
  <c r="C39" i="9"/>
  <c r="S38" i="9"/>
  <c r="R38" i="9"/>
  <c r="Q38" i="9"/>
  <c r="P38" i="9"/>
  <c r="O38" i="9"/>
  <c r="N38" i="9"/>
  <c r="M38" i="9"/>
  <c r="L38" i="9"/>
  <c r="E38" i="9"/>
  <c r="F38" i="9" s="1"/>
  <c r="C38" i="9"/>
  <c r="AF37" i="9"/>
  <c r="AE37" i="9"/>
  <c r="AA37" i="9"/>
  <c r="Z37" i="9"/>
  <c r="Y37" i="9"/>
  <c r="X37" i="9"/>
  <c r="W37" i="9"/>
  <c r="V37" i="9"/>
  <c r="U37" i="9"/>
  <c r="T37" i="9"/>
  <c r="S37" i="9"/>
  <c r="R37" i="9"/>
  <c r="Q37" i="9"/>
  <c r="P37" i="9"/>
  <c r="O37" i="9"/>
  <c r="N37" i="9"/>
  <c r="M37" i="9"/>
  <c r="L37" i="9"/>
  <c r="K37" i="9"/>
  <c r="J37" i="9"/>
  <c r="I37" i="9"/>
  <c r="E37" i="9"/>
  <c r="D37" i="9"/>
  <c r="C37" i="9"/>
  <c r="S36" i="9"/>
  <c r="R36" i="9"/>
  <c r="Q36" i="9"/>
  <c r="P36" i="9"/>
  <c r="O36" i="9"/>
  <c r="N36" i="9"/>
  <c r="M36" i="9"/>
  <c r="L36" i="9"/>
  <c r="E36" i="9"/>
  <c r="F36" i="9" s="1"/>
  <c r="C36" i="9"/>
  <c r="AF35" i="9"/>
  <c r="AE35" i="9"/>
  <c r="AA35" i="9"/>
  <c r="Z35" i="9"/>
  <c r="Y35" i="9"/>
  <c r="X35" i="9"/>
  <c r="W35" i="9"/>
  <c r="V35" i="9"/>
  <c r="U35" i="9"/>
  <c r="T35" i="9"/>
  <c r="S35" i="9"/>
  <c r="R35" i="9"/>
  <c r="Q35" i="9"/>
  <c r="P35" i="9"/>
  <c r="O35" i="9"/>
  <c r="N35" i="9"/>
  <c r="M35" i="9"/>
  <c r="L35" i="9"/>
  <c r="K35" i="9"/>
  <c r="J35" i="9"/>
  <c r="I35" i="9"/>
  <c r="E35" i="9"/>
  <c r="D35" i="9"/>
  <c r="C35" i="9"/>
  <c r="S34" i="9"/>
  <c r="R34" i="9"/>
  <c r="Q34" i="9"/>
  <c r="P34" i="9"/>
  <c r="O34" i="9"/>
  <c r="N34" i="9"/>
  <c r="M34" i="9"/>
  <c r="L34" i="9"/>
  <c r="E34" i="9"/>
  <c r="F34" i="9" s="1"/>
  <c r="C34" i="9"/>
  <c r="AF33" i="9"/>
  <c r="AE33" i="9"/>
  <c r="AA33" i="9"/>
  <c r="Z33" i="9"/>
  <c r="Y33" i="9"/>
  <c r="X33" i="9"/>
  <c r="W33" i="9"/>
  <c r="V33" i="9"/>
  <c r="U33" i="9"/>
  <c r="T33" i="9"/>
  <c r="S33" i="9"/>
  <c r="R33" i="9"/>
  <c r="Q33" i="9"/>
  <c r="P33" i="9"/>
  <c r="O33" i="9"/>
  <c r="N33" i="9"/>
  <c r="M33" i="9"/>
  <c r="L33" i="9"/>
  <c r="K33" i="9"/>
  <c r="J33" i="9"/>
  <c r="I33" i="9"/>
  <c r="E33" i="9"/>
  <c r="D33" i="9"/>
  <c r="C33" i="9"/>
  <c r="S32" i="9"/>
  <c r="R32" i="9"/>
  <c r="Q32" i="9"/>
  <c r="P32" i="9"/>
  <c r="O32" i="9"/>
  <c r="N32" i="9"/>
  <c r="M32" i="9"/>
  <c r="L32" i="9"/>
  <c r="E32" i="9"/>
  <c r="F32" i="9" s="1"/>
  <c r="C32" i="9"/>
  <c r="AF31" i="9"/>
  <c r="AE31" i="9"/>
  <c r="AA31" i="9"/>
  <c r="Z31" i="9"/>
  <c r="Y31" i="9"/>
  <c r="X31" i="9"/>
  <c r="W31" i="9"/>
  <c r="V31" i="9"/>
  <c r="U31" i="9"/>
  <c r="T31" i="9"/>
  <c r="S31" i="9"/>
  <c r="R31" i="9"/>
  <c r="Q31" i="9"/>
  <c r="P31" i="9"/>
  <c r="O31" i="9"/>
  <c r="N31" i="9"/>
  <c r="M31" i="9"/>
  <c r="L31" i="9"/>
  <c r="K31" i="9"/>
  <c r="J31" i="9"/>
  <c r="I31" i="9"/>
  <c r="E31" i="9"/>
  <c r="D31" i="9"/>
  <c r="C31" i="9"/>
  <c r="S30" i="9"/>
  <c r="R30" i="9"/>
  <c r="Q30" i="9"/>
  <c r="P30" i="9"/>
  <c r="O30" i="9"/>
  <c r="N30" i="9"/>
  <c r="M30" i="9"/>
  <c r="L30" i="9"/>
  <c r="E30" i="9"/>
  <c r="F30" i="9" s="1"/>
  <c r="C30" i="9"/>
  <c r="AF29" i="9"/>
  <c r="AE29" i="9"/>
  <c r="AA29" i="9"/>
  <c r="Z29" i="9"/>
  <c r="Y29" i="9"/>
  <c r="X29" i="9"/>
  <c r="W29" i="9"/>
  <c r="V29" i="9"/>
  <c r="U29" i="9"/>
  <c r="T29" i="9"/>
  <c r="S29" i="9"/>
  <c r="R29" i="9"/>
  <c r="Q29" i="9"/>
  <c r="P29" i="9"/>
  <c r="O29" i="9"/>
  <c r="N29" i="9"/>
  <c r="M29" i="9"/>
  <c r="L29" i="9"/>
  <c r="K29" i="9"/>
  <c r="J29" i="9"/>
  <c r="I29" i="9"/>
  <c r="E29" i="9"/>
  <c r="D29" i="9"/>
  <c r="C29" i="9"/>
  <c r="S28" i="9"/>
  <c r="R28" i="9"/>
  <c r="Q28" i="9"/>
  <c r="P28" i="9"/>
  <c r="O28" i="9"/>
  <c r="N28" i="9"/>
  <c r="M28" i="9"/>
  <c r="L28" i="9"/>
  <c r="E28" i="9"/>
  <c r="F28" i="9" s="1"/>
  <c r="C28" i="9"/>
  <c r="AF27" i="9"/>
  <c r="AE27" i="9"/>
  <c r="AA27" i="9"/>
  <c r="Z27" i="9"/>
  <c r="Y27" i="9"/>
  <c r="X27" i="9"/>
  <c r="W27" i="9"/>
  <c r="V27" i="9"/>
  <c r="U27" i="9"/>
  <c r="T27" i="9"/>
  <c r="S27" i="9"/>
  <c r="R27" i="9"/>
  <c r="Q27" i="9"/>
  <c r="P27" i="9"/>
  <c r="O27" i="9"/>
  <c r="N27" i="9"/>
  <c r="M27" i="9"/>
  <c r="L27" i="9"/>
  <c r="K27" i="9"/>
  <c r="J27" i="9"/>
  <c r="I27" i="9"/>
  <c r="E27" i="9"/>
  <c r="D27" i="9"/>
  <c r="C27" i="9"/>
  <c r="S26" i="9"/>
  <c r="R26" i="9"/>
  <c r="Q26" i="9"/>
  <c r="P26" i="9"/>
  <c r="O26" i="9"/>
  <c r="N26" i="9"/>
  <c r="M26" i="9"/>
  <c r="L26" i="9"/>
  <c r="E26" i="9"/>
  <c r="F26" i="9" s="1"/>
  <c r="C26" i="9"/>
  <c r="AF25" i="9"/>
  <c r="AE25" i="9"/>
  <c r="AA25" i="9"/>
  <c r="Z25" i="9"/>
  <c r="Y25" i="9"/>
  <c r="X25" i="9"/>
  <c r="W25" i="9"/>
  <c r="V25" i="9"/>
  <c r="U25" i="9"/>
  <c r="T25" i="9"/>
  <c r="S25" i="9"/>
  <c r="R25" i="9"/>
  <c r="Q25" i="9"/>
  <c r="P25" i="9"/>
  <c r="O25" i="9"/>
  <c r="N25" i="9"/>
  <c r="M25" i="9"/>
  <c r="L25" i="9"/>
  <c r="K25" i="9"/>
  <c r="J25" i="9"/>
  <c r="I25" i="9"/>
  <c r="E25" i="9"/>
  <c r="D25" i="9"/>
  <c r="C25" i="9"/>
  <c r="S24" i="9"/>
  <c r="R24" i="9"/>
  <c r="Q24" i="9"/>
  <c r="P24" i="9"/>
  <c r="O24" i="9"/>
  <c r="N24" i="9"/>
  <c r="M24" i="9"/>
  <c r="L24" i="9"/>
  <c r="E24" i="9"/>
  <c r="F24" i="9" s="1"/>
  <c r="C24" i="9"/>
  <c r="AF23" i="9"/>
  <c r="AE23" i="9"/>
  <c r="AA23" i="9"/>
  <c r="Z23" i="9"/>
  <c r="Y23" i="9"/>
  <c r="X23" i="9"/>
  <c r="W23" i="9"/>
  <c r="V23" i="9"/>
  <c r="U23" i="9"/>
  <c r="T23" i="9"/>
  <c r="S23" i="9"/>
  <c r="R23" i="9"/>
  <c r="Q23" i="9"/>
  <c r="P23" i="9"/>
  <c r="O23" i="9"/>
  <c r="N23" i="9"/>
  <c r="M23" i="9"/>
  <c r="L23" i="9"/>
  <c r="K23" i="9"/>
  <c r="J23" i="9"/>
  <c r="I23" i="9"/>
  <c r="E23" i="9"/>
  <c r="D23" i="9"/>
  <c r="C23" i="9"/>
  <c r="S22" i="9"/>
  <c r="R22" i="9"/>
  <c r="Q22" i="9"/>
  <c r="P22" i="9"/>
  <c r="O22" i="9"/>
  <c r="N22" i="9"/>
  <c r="M22" i="9"/>
  <c r="L22" i="9"/>
  <c r="E22" i="9"/>
  <c r="F22" i="9" s="1"/>
  <c r="C22" i="9"/>
  <c r="AF21" i="9"/>
  <c r="AE21" i="9"/>
  <c r="AA21" i="9"/>
  <c r="Z21" i="9"/>
  <c r="Y21" i="9"/>
  <c r="X21" i="9"/>
  <c r="W21" i="9"/>
  <c r="V21" i="9"/>
  <c r="U21" i="9"/>
  <c r="T21" i="9"/>
  <c r="S21" i="9"/>
  <c r="R21" i="9"/>
  <c r="Q21" i="9"/>
  <c r="P21" i="9"/>
  <c r="O21" i="9"/>
  <c r="N21" i="9"/>
  <c r="M21" i="9"/>
  <c r="L21" i="9"/>
  <c r="K21" i="9"/>
  <c r="J21" i="9"/>
  <c r="I21" i="9"/>
  <c r="E21" i="9"/>
  <c r="D21" i="9"/>
  <c r="C21" i="9"/>
  <c r="S20" i="9"/>
  <c r="R20" i="9"/>
  <c r="Q20" i="9"/>
  <c r="P20" i="9"/>
  <c r="O20" i="9"/>
  <c r="N20" i="9"/>
  <c r="M20" i="9"/>
  <c r="L20" i="9"/>
  <c r="E20" i="9"/>
  <c r="F20" i="9" s="1"/>
  <c r="C20" i="9"/>
  <c r="AF19" i="9"/>
  <c r="AE19" i="9"/>
  <c r="AA19" i="9"/>
  <c r="Z19" i="9"/>
  <c r="Y19" i="9"/>
  <c r="X19" i="9"/>
  <c r="W19" i="9"/>
  <c r="V19" i="9"/>
  <c r="U19" i="9"/>
  <c r="T19" i="9"/>
  <c r="S19" i="9"/>
  <c r="R19" i="9"/>
  <c r="Q19" i="9"/>
  <c r="P19" i="9"/>
  <c r="O19" i="9"/>
  <c r="N19" i="9"/>
  <c r="M19" i="9"/>
  <c r="L19" i="9"/>
  <c r="K19" i="9"/>
  <c r="J19" i="9"/>
  <c r="I19" i="9"/>
  <c r="E19" i="9"/>
  <c r="D19" i="9"/>
  <c r="C19" i="9"/>
  <c r="S18" i="9"/>
  <c r="R18" i="9"/>
  <c r="Q18" i="9"/>
  <c r="P18" i="9"/>
  <c r="O18" i="9"/>
  <c r="N18" i="9"/>
  <c r="M18" i="9"/>
  <c r="L18" i="9"/>
  <c r="E18" i="9"/>
  <c r="F18" i="9" s="1"/>
  <c r="C18" i="9"/>
  <c r="AF17" i="9"/>
  <c r="AE17" i="9"/>
  <c r="AA17" i="9"/>
  <c r="Z17" i="9"/>
  <c r="Y17" i="9"/>
  <c r="X17" i="9"/>
  <c r="W17" i="9"/>
  <c r="V17" i="9"/>
  <c r="U17" i="9"/>
  <c r="T17" i="9"/>
  <c r="S17" i="9"/>
  <c r="R17" i="9"/>
  <c r="Q17" i="9"/>
  <c r="P17" i="9"/>
  <c r="O17" i="9"/>
  <c r="N17" i="9"/>
  <c r="M17" i="9"/>
  <c r="L17" i="9"/>
  <c r="K17" i="9"/>
  <c r="J17" i="9"/>
  <c r="I17" i="9"/>
  <c r="E17" i="9"/>
  <c r="D17" i="9"/>
  <c r="C17" i="9"/>
  <c r="S16" i="9"/>
  <c r="R16" i="9"/>
  <c r="Q16" i="9"/>
  <c r="P16" i="9"/>
  <c r="O16" i="9"/>
  <c r="N16" i="9"/>
  <c r="M16" i="9"/>
  <c r="L16" i="9"/>
  <c r="E16" i="9"/>
  <c r="F16" i="9" s="1"/>
  <c r="C16" i="9"/>
  <c r="AF15" i="9"/>
  <c r="AE15" i="9"/>
  <c r="AA15" i="9"/>
  <c r="Z15" i="9"/>
  <c r="Y15" i="9"/>
  <c r="X15" i="9"/>
  <c r="W15" i="9"/>
  <c r="V15" i="9"/>
  <c r="U15" i="9"/>
  <c r="T15" i="9"/>
  <c r="S15" i="9"/>
  <c r="R15" i="9"/>
  <c r="Q15" i="9"/>
  <c r="P15" i="9"/>
  <c r="O15" i="9"/>
  <c r="N15" i="9"/>
  <c r="M15" i="9"/>
  <c r="L15" i="9"/>
  <c r="K15" i="9"/>
  <c r="J15" i="9"/>
  <c r="I15" i="9"/>
  <c r="E15" i="9"/>
  <c r="D15" i="9"/>
  <c r="C15" i="9"/>
  <c r="S14" i="9"/>
  <c r="R14" i="9"/>
  <c r="Q14" i="9"/>
  <c r="P14" i="9"/>
  <c r="O14" i="9"/>
  <c r="N14" i="9"/>
  <c r="M14" i="9"/>
  <c r="L14" i="9"/>
  <c r="E14" i="9"/>
  <c r="F14" i="9" s="1"/>
  <c r="C14" i="9"/>
  <c r="AF13" i="9"/>
  <c r="AE13" i="9"/>
  <c r="AA13" i="9"/>
  <c r="Z13" i="9"/>
  <c r="Y13" i="9"/>
  <c r="X13" i="9"/>
  <c r="W13" i="9"/>
  <c r="V13" i="9"/>
  <c r="U13" i="9"/>
  <c r="T13" i="9"/>
  <c r="S13" i="9"/>
  <c r="R13" i="9"/>
  <c r="Q13" i="9"/>
  <c r="P13" i="9"/>
  <c r="O13" i="9"/>
  <c r="N13" i="9"/>
  <c r="M13" i="9"/>
  <c r="L13" i="9"/>
  <c r="K13" i="9"/>
  <c r="J13" i="9"/>
  <c r="I13" i="9"/>
  <c r="E13" i="9"/>
  <c r="D13" i="9"/>
  <c r="C13" i="9"/>
  <c r="S12" i="9"/>
  <c r="R12" i="9"/>
  <c r="Q12" i="9"/>
  <c r="P12" i="9"/>
  <c r="O12" i="9"/>
  <c r="N12" i="9"/>
  <c r="M12" i="9"/>
  <c r="L12" i="9"/>
  <c r="E12" i="9"/>
  <c r="F12" i="9" s="1"/>
  <c r="C12" i="9"/>
  <c r="AF11" i="9"/>
  <c r="AE11" i="9"/>
  <c r="AA11" i="9"/>
  <c r="Z11" i="9"/>
  <c r="Y11" i="9"/>
  <c r="X11" i="9"/>
  <c r="W11" i="9"/>
  <c r="V11" i="9"/>
  <c r="U11" i="9"/>
  <c r="T11" i="9"/>
  <c r="S11" i="9"/>
  <c r="R11" i="9"/>
  <c r="Q11" i="9"/>
  <c r="P11" i="9"/>
  <c r="O11" i="9"/>
  <c r="N11" i="9"/>
  <c r="M11" i="9"/>
  <c r="L11" i="9"/>
  <c r="K11" i="9"/>
  <c r="J11" i="9"/>
  <c r="I11" i="9"/>
  <c r="E11" i="9"/>
  <c r="D11" i="9"/>
  <c r="C11" i="9"/>
  <c r="S10" i="9"/>
  <c r="R10" i="9"/>
  <c r="Q10" i="9"/>
  <c r="P10" i="9"/>
  <c r="O10" i="9"/>
  <c r="N10" i="9"/>
  <c r="M10" i="9"/>
  <c r="L10" i="9"/>
  <c r="E10" i="9"/>
  <c r="F10" i="9" s="1"/>
  <c r="C10" i="9"/>
  <c r="AA9" i="9"/>
  <c r="Z9" i="9"/>
  <c r="Y9" i="9"/>
  <c r="X9" i="9"/>
  <c r="W9" i="9"/>
  <c r="V9" i="9"/>
  <c r="U9" i="9"/>
  <c r="T9" i="9"/>
  <c r="K9" i="9"/>
  <c r="J9" i="9"/>
  <c r="I9" i="9"/>
  <c r="D9" i="9"/>
  <c r="F9" i="9" s="1"/>
  <c r="F8" i="9"/>
  <c r="F13" i="9" l="1"/>
  <c r="F19" i="9"/>
  <c r="F35" i="9"/>
  <c r="F51" i="9"/>
  <c r="F25" i="9"/>
  <c r="F41" i="9"/>
  <c r="F11" i="9"/>
  <c r="F27" i="9"/>
  <c r="F43" i="9"/>
  <c r="F17" i="9"/>
  <c r="F33" i="9"/>
  <c r="F49" i="9"/>
  <c r="F53" i="9"/>
  <c r="F21" i="9"/>
  <c r="F29" i="9"/>
  <c r="F37" i="9"/>
  <c r="F45" i="9"/>
  <c r="F15" i="9"/>
  <c r="F23" i="9"/>
  <c r="F31" i="9"/>
  <c r="F39" i="9"/>
  <c r="F47" i="9"/>
  <c r="P99" i="7" l="1"/>
  <c r="O99" i="7"/>
  <c r="N99" i="7"/>
  <c r="M99" i="7"/>
  <c r="L99" i="7"/>
  <c r="K99" i="7"/>
  <c r="E99" i="7"/>
  <c r="D99" i="7"/>
  <c r="C99" i="7"/>
  <c r="P98" i="7"/>
  <c r="O98" i="7"/>
  <c r="N98" i="7"/>
  <c r="M98" i="7"/>
  <c r="L98" i="7"/>
  <c r="K98" i="7"/>
  <c r="E98" i="7"/>
  <c r="D98" i="7"/>
  <c r="C98" i="7"/>
  <c r="P97" i="7"/>
  <c r="O97" i="7"/>
  <c r="N97" i="7"/>
  <c r="M97" i="7"/>
  <c r="L97" i="7"/>
  <c r="K97" i="7"/>
  <c r="E97" i="7"/>
  <c r="D97" i="7"/>
  <c r="C97" i="7"/>
  <c r="P96" i="7"/>
  <c r="O96" i="7"/>
  <c r="N96" i="7"/>
  <c r="M96" i="7"/>
  <c r="L96" i="7"/>
  <c r="K96" i="7"/>
  <c r="E96" i="7"/>
  <c r="F96" i="7" s="1"/>
  <c r="C96" i="7"/>
  <c r="P95" i="7"/>
  <c r="O95" i="7"/>
  <c r="N95" i="7"/>
  <c r="M95" i="7"/>
  <c r="L95" i="7"/>
  <c r="K95" i="7"/>
  <c r="E95" i="7"/>
  <c r="D95" i="7"/>
  <c r="C95" i="7"/>
  <c r="P94" i="7"/>
  <c r="O94" i="7"/>
  <c r="N94" i="7"/>
  <c r="M94" i="7"/>
  <c r="L94" i="7"/>
  <c r="K94" i="7"/>
  <c r="E94" i="7"/>
  <c r="D94" i="7"/>
  <c r="C94" i="7"/>
  <c r="P93" i="7"/>
  <c r="O93" i="7"/>
  <c r="N93" i="7"/>
  <c r="M93" i="7"/>
  <c r="L93" i="7"/>
  <c r="K93" i="7"/>
  <c r="E93" i="7"/>
  <c r="D93" i="7"/>
  <c r="C93" i="7"/>
  <c r="P92" i="7"/>
  <c r="O92" i="7"/>
  <c r="N92" i="7"/>
  <c r="M92" i="7"/>
  <c r="L92" i="7"/>
  <c r="K92" i="7"/>
  <c r="E92" i="7"/>
  <c r="F92" i="7" s="1"/>
  <c r="C92" i="7"/>
  <c r="P91" i="7"/>
  <c r="O91" i="7"/>
  <c r="N91" i="7"/>
  <c r="M91" i="7"/>
  <c r="L91" i="7"/>
  <c r="K91" i="7"/>
  <c r="E91" i="7"/>
  <c r="D91" i="7"/>
  <c r="C91" i="7"/>
  <c r="P90" i="7"/>
  <c r="O90" i="7"/>
  <c r="N90" i="7"/>
  <c r="M90" i="7"/>
  <c r="L90" i="7"/>
  <c r="K90" i="7"/>
  <c r="E90" i="7"/>
  <c r="D90" i="7"/>
  <c r="C90" i="7"/>
  <c r="P89" i="7"/>
  <c r="O89" i="7"/>
  <c r="N89" i="7"/>
  <c r="M89" i="7"/>
  <c r="L89" i="7"/>
  <c r="K89" i="7"/>
  <c r="E89" i="7"/>
  <c r="D89" i="7"/>
  <c r="C89" i="7"/>
  <c r="P88" i="7"/>
  <c r="O88" i="7"/>
  <c r="N88" i="7"/>
  <c r="M88" i="7"/>
  <c r="L88" i="7"/>
  <c r="K88" i="7"/>
  <c r="E88" i="7"/>
  <c r="F88" i="7" s="1"/>
  <c r="C88" i="7"/>
  <c r="P87" i="7"/>
  <c r="O87" i="7"/>
  <c r="N87" i="7"/>
  <c r="M87" i="7"/>
  <c r="L87" i="7"/>
  <c r="K87" i="7"/>
  <c r="E87" i="7"/>
  <c r="D87" i="7"/>
  <c r="C87" i="7"/>
  <c r="P86" i="7"/>
  <c r="O86" i="7"/>
  <c r="N86" i="7"/>
  <c r="M86" i="7"/>
  <c r="L86" i="7"/>
  <c r="K86" i="7"/>
  <c r="E86" i="7"/>
  <c r="D86" i="7"/>
  <c r="C86" i="7"/>
  <c r="P85" i="7"/>
  <c r="O85" i="7"/>
  <c r="N85" i="7"/>
  <c r="M85" i="7"/>
  <c r="L85" i="7"/>
  <c r="K85" i="7"/>
  <c r="E85" i="7"/>
  <c r="D85" i="7"/>
  <c r="C85" i="7"/>
  <c r="P84" i="7"/>
  <c r="O84" i="7"/>
  <c r="N84" i="7"/>
  <c r="M84" i="7"/>
  <c r="L84" i="7"/>
  <c r="K84" i="7"/>
  <c r="E84" i="7"/>
  <c r="F84" i="7" s="1"/>
  <c r="C84" i="7"/>
  <c r="P83" i="7"/>
  <c r="O83" i="7"/>
  <c r="N83" i="7"/>
  <c r="M83" i="7"/>
  <c r="L83" i="7"/>
  <c r="K83" i="7"/>
  <c r="E83" i="7"/>
  <c r="D83" i="7"/>
  <c r="C83" i="7"/>
  <c r="P82" i="7"/>
  <c r="O82" i="7"/>
  <c r="N82" i="7"/>
  <c r="M82" i="7"/>
  <c r="L82" i="7"/>
  <c r="K82" i="7"/>
  <c r="E82" i="7"/>
  <c r="D82" i="7"/>
  <c r="C82" i="7"/>
  <c r="P81" i="7"/>
  <c r="O81" i="7"/>
  <c r="N81" i="7"/>
  <c r="M81" i="7"/>
  <c r="L81" i="7"/>
  <c r="K81" i="7"/>
  <c r="E81" i="7"/>
  <c r="D81" i="7"/>
  <c r="C81" i="7"/>
  <c r="P80" i="7"/>
  <c r="O80" i="7"/>
  <c r="N80" i="7"/>
  <c r="M80" i="7"/>
  <c r="L80" i="7"/>
  <c r="K80" i="7"/>
  <c r="E80" i="7"/>
  <c r="F80" i="7" s="1"/>
  <c r="C80" i="7"/>
  <c r="P79" i="7"/>
  <c r="O79" i="7"/>
  <c r="N79" i="7"/>
  <c r="M79" i="7"/>
  <c r="L79" i="7"/>
  <c r="K79" i="7"/>
  <c r="E79" i="7"/>
  <c r="D79" i="7"/>
  <c r="C79" i="7"/>
  <c r="P78" i="7"/>
  <c r="O78" i="7"/>
  <c r="N78" i="7"/>
  <c r="M78" i="7"/>
  <c r="L78" i="7"/>
  <c r="K78" i="7"/>
  <c r="E78" i="7"/>
  <c r="D78" i="7"/>
  <c r="C78" i="7"/>
  <c r="P77" i="7"/>
  <c r="O77" i="7"/>
  <c r="N77" i="7"/>
  <c r="M77" i="7"/>
  <c r="L77" i="7"/>
  <c r="K77" i="7"/>
  <c r="E77" i="7"/>
  <c r="F77" i="7" s="1"/>
  <c r="D77" i="7"/>
  <c r="C77" i="7"/>
  <c r="P76" i="7"/>
  <c r="O76" i="7"/>
  <c r="N76" i="7"/>
  <c r="M76" i="7"/>
  <c r="L76" i="7"/>
  <c r="K76" i="7"/>
  <c r="E76" i="7"/>
  <c r="F76" i="7" s="1"/>
  <c r="C76" i="7"/>
  <c r="P75" i="7"/>
  <c r="O75" i="7"/>
  <c r="N75" i="7"/>
  <c r="M75" i="7"/>
  <c r="L75" i="7"/>
  <c r="K75" i="7"/>
  <c r="E75" i="7"/>
  <c r="D75" i="7"/>
  <c r="C75" i="7"/>
  <c r="P74" i="7"/>
  <c r="O74" i="7"/>
  <c r="N74" i="7"/>
  <c r="M74" i="7"/>
  <c r="L74" i="7"/>
  <c r="K74" i="7"/>
  <c r="E74" i="7"/>
  <c r="D74" i="7"/>
  <c r="C74" i="7"/>
  <c r="P73" i="7"/>
  <c r="O73" i="7"/>
  <c r="N73" i="7"/>
  <c r="M73" i="7"/>
  <c r="L73" i="7"/>
  <c r="K73" i="7"/>
  <c r="E73" i="7"/>
  <c r="D73" i="7"/>
  <c r="C73" i="7"/>
  <c r="P72" i="7"/>
  <c r="O72" i="7"/>
  <c r="N72" i="7"/>
  <c r="M72" i="7"/>
  <c r="L72" i="7"/>
  <c r="K72" i="7"/>
  <c r="E72" i="7"/>
  <c r="F72" i="7" s="1"/>
  <c r="C72" i="7"/>
  <c r="P71" i="7"/>
  <c r="O71" i="7"/>
  <c r="N71" i="7"/>
  <c r="M71" i="7"/>
  <c r="L71" i="7"/>
  <c r="K71" i="7"/>
  <c r="E71" i="7"/>
  <c r="D71" i="7"/>
  <c r="C71" i="7"/>
  <c r="P70" i="7"/>
  <c r="O70" i="7"/>
  <c r="N70" i="7"/>
  <c r="M70" i="7"/>
  <c r="L70" i="7"/>
  <c r="K70" i="7"/>
  <c r="E70" i="7"/>
  <c r="D70" i="7"/>
  <c r="C70" i="7"/>
  <c r="P69" i="7"/>
  <c r="O69" i="7"/>
  <c r="N69" i="7"/>
  <c r="M69" i="7"/>
  <c r="L69" i="7"/>
  <c r="K69" i="7"/>
  <c r="E69" i="7"/>
  <c r="D69" i="7"/>
  <c r="C69" i="7"/>
  <c r="P68" i="7"/>
  <c r="O68" i="7"/>
  <c r="N68" i="7"/>
  <c r="M68" i="7"/>
  <c r="L68" i="7"/>
  <c r="K68" i="7"/>
  <c r="E68" i="7"/>
  <c r="F68" i="7" s="1"/>
  <c r="C68" i="7"/>
  <c r="P67" i="7"/>
  <c r="O67" i="7"/>
  <c r="N67" i="7"/>
  <c r="M67" i="7"/>
  <c r="L67" i="7"/>
  <c r="K67" i="7"/>
  <c r="E67" i="7"/>
  <c r="D67" i="7"/>
  <c r="C67" i="7"/>
  <c r="P66" i="7"/>
  <c r="O66" i="7"/>
  <c r="N66" i="7"/>
  <c r="M66" i="7"/>
  <c r="L66" i="7"/>
  <c r="K66" i="7"/>
  <c r="E66" i="7"/>
  <c r="D66" i="7"/>
  <c r="C66" i="7"/>
  <c r="P65" i="7"/>
  <c r="O65" i="7"/>
  <c r="N65" i="7"/>
  <c r="M65" i="7"/>
  <c r="L65" i="7"/>
  <c r="K65" i="7"/>
  <c r="E65" i="7"/>
  <c r="D65" i="7"/>
  <c r="C65" i="7"/>
  <c r="P64" i="7"/>
  <c r="O64" i="7"/>
  <c r="N64" i="7"/>
  <c r="M64" i="7"/>
  <c r="L64" i="7"/>
  <c r="K64" i="7"/>
  <c r="E64" i="7"/>
  <c r="F64" i="7" s="1"/>
  <c r="C64" i="7"/>
  <c r="R63" i="7"/>
  <c r="Q63" i="7"/>
  <c r="P63" i="7"/>
  <c r="O63" i="7"/>
  <c r="N63" i="7"/>
  <c r="M63" i="7"/>
  <c r="L63" i="7"/>
  <c r="K63" i="7"/>
  <c r="E63" i="7"/>
  <c r="D63" i="7"/>
  <c r="C63" i="7"/>
  <c r="R62" i="7"/>
  <c r="Q62" i="7"/>
  <c r="P62" i="7"/>
  <c r="O62" i="7"/>
  <c r="N62" i="7"/>
  <c r="M62" i="7"/>
  <c r="L62" i="7"/>
  <c r="K62" i="7"/>
  <c r="E62" i="7"/>
  <c r="D62" i="7"/>
  <c r="C62" i="7"/>
  <c r="R61" i="7"/>
  <c r="Q61" i="7"/>
  <c r="P61" i="7"/>
  <c r="O61" i="7"/>
  <c r="N61" i="7"/>
  <c r="M61" i="7"/>
  <c r="L61" i="7"/>
  <c r="K61" i="7"/>
  <c r="E61" i="7"/>
  <c r="D61" i="7"/>
  <c r="C61" i="7"/>
  <c r="P60" i="7"/>
  <c r="O60" i="7"/>
  <c r="N60" i="7"/>
  <c r="M60" i="7"/>
  <c r="L60" i="7"/>
  <c r="K60" i="7"/>
  <c r="E60" i="7"/>
  <c r="F60" i="7" s="1"/>
  <c r="C60" i="7"/>
  <c r="R59" i="7"/>
  <c r="Q59" i="7"/>
  <c r="P59" i="7"/>
  <c r="O59" i="7"/>
  <c r="N59" i="7"/>
  <c r="M59" i="7"/>
  <c r="L59" i="7"/>
  <c r="K59" i="7"/>
  <c r="E59" i="7"/>
  <c r="D59" i="7"/>
  <c r="C59" i="7"/>
  <c r="R58" i="7"/>
  <c r="Q58" i="7"/>
  <c r="P58" i="7"/>
  <c r="O58" i="7"/>
  <c r="N58" i="7"/>
  <c r="M58" i="7"/>
  <c r="L58" i="7"/>
  <c r="K58" i="7"/>
  <c r="E58" i="7"/>
  <c r="D58" i="7"/>
  <c r="C58" i="7"/>
  <c r="R57" i="7"/>
  <c r="Q57" i="7"/>
  <c r="P57" i="7"/>
  <c r="O57" i="7"/>
  <c r="N57" i="7"/>
  <c r="M57" i="7"/>
  <c r="L57" i="7"/>
  <c r="K57" i="7"/>
  <c r="E57" i="7"/>
  <c r="D57" i="7"/>
  <c r="C57" i="7"/>
  <c r="P56" i="7"/>
  <c r="O56" i="7"/>
  <c r="N56" i="7"/>
  <c r="M56" i="7"/>
  <c r="L56" i="7"/>
  <c r="K56" i="7"/>
  <c r="E56" i="7"/>
  <c r="F56" i="7" s="1"/>
  <c r="C56" i="7"/>
  <c r="R55" i="7"/>
  <c r="Q55" i="7"/>
  <c r="P55" i="7"/>
  <c r="O55" i="7"/>
  <c r="N55" i="7"/>
  <c r="M55" i="7"/>
  <c r="L55" i="7"/>
  <c r="K55" i="7"/>
  <c r="E55" i="7"/>
  <c r="D55" i="7"/>
  <c r="C55" i="7"/>
  <c r="R54" i="7"/>
  <c r="Q54" i="7"/>
  <c r="P54" i="7"/>
  <c r="O54" i="7"/>
  <c r="N54" i="7"/>
  <c r="M54" i="7"/>
  <c r="L54" i="7"/>
  <c r="K54" i="7"/>
  <c r="E54" i="7"/>
  <c r="D54" i="7"/>
  <c r="C54" i="7"/>
  <c r="R53" i="7"/>
  <c r="Q53" i="7"/>
  <c r="P53" i="7"/>
  <c r="O53" i="7"/>
  <c r="N53" i="7"/>
  <c r="M53" i="7"/>
  <c r="L53" i="7"/>
  <c r="K53" i="7"/>
  <c r="E53" i="7"/>
  <c r="D53" i="7"/>
  <c r="C53" i="7"/>
  <c r="P52" i="7"/>
  <c r="O52" i="7"/>
  <c r="N52" i="7"/>
  <c r="M52" i="7"/>
  <c r="L52" i="7"/>
  <c r="K52" i="7"/>
  <c r="E52" i="7"/>
  <c r="F52" i="7" s="1"/>
  <c r="C52" i="7"/>
  <c r="R51" i="7"/>
  <c r="Q51" i="7"/>
  <c r="P51" i="7"/>
  <c r="O51" i="7"/>
  <c r="N51" i="7"/>
  <c r="M51" i="7"/>
  <c r="L51" i="7"/>
  <c r="K51" i="7"/>
  <c r="E51" i="7"/>
  <c r="D51" i="7"/>
  <c r="C51" i="7"/>
  <c r="R50" i="7"/>
  <c r="Q50" i="7"/>
  <c r="P50" i="7"/>
  <c r="O50" i="7"/>
  <c r="N50" i="7"/>
  <c r="M50" i="7"/>
  <c r="L50" i="7"/>
  <c r="K50" i="7"/>
  <c r="E50" i="7"/>
  <c r="D50" i="7"/>
  <c r="C50" i="7"/>
  <c r="R49" i="7"/>
  <c r="Q49" i="7"/>
  <c r="P49" i="7"/>
  <c r="O49" i="7"/>
  <c r="N49" i="7"/>
  <c r="M49" i="7"/>
  <c r="L49" i="7"/>
  <c r="K49" i="7"/>
  <c r="E49" i="7"/>
  <c r="D49" i="7"/>
  <c r="C49" i="7"/>
  <c r="P48" i="7"/>
  <c r="O48" i="7"/>
  <c r="N48" i="7"/>
  <c r="M48" i="7"/>
  <c r="L48" i="7"/>
  <c r="K48" i="7"/>
  <c r="E48" i="7"/>
  <c r="F48" i="7" s="1"/>
  <c r="C48" i="7"/>
  <c r="R47" i="7"/>
  <c r="Q47" i="7"/>
  <c r="P47" i="7"/>
  <c r="O47" i="7"/>
  <c r="N47" i="7"/>
  <c r="M47" i="7"/>
  <c r="L47" i="7"/>
  <c r="K47" i="7"/>
  <c r="E47" i="7"/>
  <c r="D47" i="7"/>
  <c r="C47" i="7"/>
  <c r="R46" i="7"/>
  <c r="Q46" i="7"/>
  <c r="P46" i="7"/>
  <c r="O46" i="7"/>
  <c r="N46" i="7"/>
  <c r="M46" i="7"/>
  <c r="L46" i="7"/>
  <c r="K46" i="7"/>
  <c r="E46" i="7"/>
  <c r="D46" i="7"/>
  <c r="C46" i="7"/>
  <c r="R45" i="7"/>
  <c r="Q45" i="7"/>
  <c r="P45" i="7"/>
  <c r="O45" i="7"/>
  <c r="N45" i="7"/>
  <c r="M45" i="7"/>
  <c r="L45" i="7"/>
  <c r="K45" i="7"/>
  <c r="E45" i="7"/>
  <c r="D45" i="7"/>
  <c r="C45" i="7"/>
  <c r="P44" i="7"/>
  <c r="O44" i="7"/>
  <c r="N44" i="7"/>
  <c r="M44" i="7"/>
  <c r="L44" i="7"/>
  <c r="K44" i="7"/>
  <c r="E44" i="7"/>
  <c r="F44" i="7" s="1"/>
  <c r="C44" i="7"/>
  <c r="R43" i="7"/>
  <c r="Q43" i="7"/>
  <c r="P43" i="7"/>
  <c r="O43" i="7"/>
  <c r="N43" i="7"/>
  <c r="M43" i="7"/>
  <c r="L43" i="7"/>
  <c r="K43" i="7"/>
  <c r="E43" i="7"/>
  <c r="D43" i="7"/>
  <c r="C43" i="7"/>
  <c r="R42" i="7"/>
  <c r="Q42" i="7"/>
  <c r="P42" i="7"/>
  <c r="O42" i="7"/>
  <c r="N42" i="7"/>
  <c r="M42" i="7"/>
  <c r="L42" i="7"/>
  <c r="K42" i="7"/>
  <c r="E42" i="7"/>
  <c r="D42" i="7"/>
  <c r="C42" i="7"/>
  <c r="R41" i="7"/>
  <c r="Q41" i="7"/>
  <c r="P41" i="7"/>
  <c r="O41" i="7"/>
  <c r="N41" i="7"/>
  <c r="M41" i="7"/>
  <c r="L41" i="7"/>
  <c r="K41" i="7"/>
  <c r="E41" i="7"/>
  <c r="D41" i="7"/>
  <c r="C41" i="7"/>
  <c r="P40" i="7"/>
  <c r="O40" i="7"/>
  <c r="N40" i="7"/>
  <c r="M40" i="7"/>
  <c r="L40" i="7"/>
  <c r="K40" i="7"/>
  <c r="E40" i="7"/>
  <c r="F40" i="7" s="1"/>
  <c r="C40" i="7"/>
  <c r="R39" i="7"/>
  <c r="Q39" i="7"/>
  <c r="P39" i="7"/>
  <c r="O39" i="7"/>
  <c r="N39" i="7"/>
  <c r="M39" i="7"/>
  <c r="L39" i="7"/>
  <c r="K39" i="7"/>
  <c r="E39" i="7"/>
  <c r="D39" i="7"/>
  <c r="C39" i="7"/>
  <c r="R38" i="7"/>
  <c r="Q38" i="7"/>
  <c r="P38" i="7"/>
  <c r="O38" i="7"/>
  <c r="N38" i="7"/>
  <c r="M38" i="7"/>
  <c r="L38" i="7"/>
  <c r="K38" i="7"/>
  <c r="E38" i="7"/>
  <c r="D38" i="7"/>
  <c r="C38" i="7"/>
  <c r="R37" i="7"/>
  <c r="Q37" i="7"/>
  <c r="P37" i="7"/>
  <c r="O37" i="7"/>
  <c r="N37" i="7"/>
  <c r="M37" i="7"/>
  <c r="L37" i="7"/>
  <c r="K37" i="7"/>
  <c r="E37" i="7"/>
  <c r="D37" i="7"/>
  <c r="C37" i="7"/>
  <c r="P36" i="7"/>
  <c r="O36" i="7"/>
  <c r="N36" i="7"/>
  <c r="M36" i="7"/>
  <c r="L36" i="7"/>
  <c r="K36" i="7"/>
  <c r="E36" i="7"/>
  <c r="F36" i="7" s="1"/>
  <c r="C36" i="7"/>
  <c r="R35" i="7"/>
  <c r="Q35" i="7"/>
  <c r="P35" i="7"/>
  <c r="O35" i="7"/>
  <c r="N35" i="7"/>
  <c r="M35" i="7"/>
  <c r="L35" i="7"/>
  <c r="K35" i="7"/>
  <c r="E35" i="7"/>
  <c r="D35" i="7"/>
  <c r="F35" i="7" s="1"/>
  <c r="C35" i="7"/>
  <c r="R34" i="7"/>
  <c r="Q34" i="7"/>
  <c r="P34" i="7"/>
  <c r="O34" i="7"/>
  <c r="N34" i="7"/>
  <c r="M34" i="7"/>
  <c r="L34" i="7"/>
  <c r="K34" i="7"/>
  <c r="E34" i="7"/>
  <c r="D34" i="7"/>
  <c r="C34" i="7"/>
  <c r="R33" i="7"/>
  <c r="Q33" i="7"/>
  <c r="P33" i="7"/>
  <c r="O33" i="7"/>
  <c r="N33" i="7"/>
  <c r="M33" i="7"/>
  <c r="L33" i="7"/>
  <c r="K33" i="7"/>
  <c r="E33" i="7"/>
  <c r="D33" i="7"/>
  <c r="C33" i="7"/>
  <c r="P32" i="7"/>
  <c r="O32" i="7"/>
  <c r="N32" i="7"/>
  <c r="M32" i="7"/>
  <c r="L32" i="7"/>
  <c r="K32" i="7"/>
  <c r="E32" i="7"/>
  <c r="F32" i="7" s="1"/>
  <c r="C32" i="7"/>
  <c r="R31" i="7"/>
  <c r="Q31" i="7"/>
  <c r="P31" i="7"/>
  <c r="O31" i="7"/>
  <c r="N31" i="7"/>
  <c r="M31" i="7"/>
  <c r="L31" i="7"/>
  <c r="K31" i="7"/>
  <c r="E31" i="7"/>
  <c r="D31" i="7"/>
  <c r="C31" i="7"/>
  <c r="R30" i="7"/>
  <c r="Q30" i="7"/>
  <c r="P30" i="7"/>
  <c r="O30" i="7"/>
  <c r="N30" i="7"/>
  <c r="M30" i="7"/>
  <c r="L30" i="7"/>
  <c r="K30" i="7"/>
  <c r="E30" i="7"/>
  <c r="D30" i="7"/>
  <c r="C30" i="7"/>
  <c r="R29" i="7"/>
  <c r="Q29" i="7"/>
  <c r="P29" i="7"/>
  <c r="O29" i="7"/>
  <c r="N29" i="7"/>
  <c r="M29" i="7"/>
  <c r="L29" i="7"/>
  <c r="K29" i="7"/>
  <c r="E29" i="7"/>
  <c r="D29" i="7"/>
  <c r="C29" i="7"/>
  <c r="P28" i="7"/>
  <c r="O28" i="7"/>
  <c r="N28" i="7"/>
  <c r="M28" i="7"/>
  <c r="L28" i="7"/>
  <c r="K28" i="7"/>
  <c r="E28" i="7"/>
  <c r="F28" i="7" s="1"/>
  <c r="C28" i="7"/>
  <c r="R27" i="7"/>
  <c r="Q27" i="7"/>
  <c r="P27" i="7"/>
  <c r="O27" i="7"/>
  <c r="N27" i="7"/>
  <c r="M27" i="7"/>
  <c r="L27" i="7"/>
  <c r="K27" i="7"/>
  <c r="E27" i="7"/>
  <c r="D27" i="7"/>
  <c r="C27" i="7"/>
  <c r="R26" i="7"/>
  <c r="Q26" i="7"/>
  <c r="P26" i="7"/>
  <c r="O26" i="7"/>
  <c r="N26" i="7"/>
  <c r="M26" i="7"/>
  <c r="L26" i="7"/>
  <c r="K26" i="7"/>
  <c r="E26" i="7"/>
  <c r="D26" i="7"/>
  <c r="C26" i="7"/>
  <c r="R25" i="7"/>
  <c r="Q25" i="7"/>
  <c r="P25" i="7"/>
  <c r="O25" i="7"/>
  <c r="N25" i="7"/>
  <c r="M25" i="7"/>
  <c r="L25" i="7"/>
  <c r="K25" i="7"/>
  <c r="E25" i="7"/>
  <c r="D25" i="7"/>
  <c r="C25" i="7"/>
  <c r="P24" i="7"/>
  <c r="O24" i="7"/>
  <c r="N24" i="7"/>
  <c r="M24" i="7"/>
  <c r="L24" i="7"/>
  <c r="K24" i="7"/>
  <c r="E24" i="7"/>
  <c r="F24" i="7" s="1"/>
  <c r="C24" i="7"/>
  <c r="R23" i="7"/>
  <c r="Q23" i="7"/>
  <c r="P23" i="7"/>
  <c r="O23" i="7"/>
  <c r="N23" i="7"/>
  <c r="M23" i="7"/>
  <c r="L23" i="7"/>
  <c r="K23" i="7"/>
  <c r="E23" i="7"/>
  <c r="D23" i="7"/>
  <c r="C23" i="7"/>
  <c r="R22" i="7"/>
  <c r="Q22" i="7"/>
  <c r="P22" i="7"/>
  <c r="O22" i="7"/>
  <c r="N22" i="7"/>
  <c r="M22" i="7"/>
  <c r="L22" i="7"/>
  <c r="K22" i="7"/>
  <c r="E22" i="7"/>
  <c r="D22" i="7"/>
  <c r="C22" i="7"/>
  <c r="R21" i="7"/>
  <c r="Q21" i="7"/>
  <c r="P21" i="7"/>
  <c r="O21" i="7"/>
  <c r="N21" i="7"/>
  <c r="M21" i="7"/>
  <c r="L21" i="7"/>
  <c r="K21" i="7"/>
  <c r="E21" i="7"/>
  <c r="D21" i="7"/>
  <c r="C21" i="7"/>
  <c r="P20" i="7"/>
  <c r="O20" i="7"/>
  <c r="N20" i="7"/>
  <c r="M20" i="7"/>
  <c r="L20" i="7"/>
  <c r="K20" i="7"/>
  <c r="E20" i="7"/>
  <c r="F20" i="7" s="1"/>
  <c r="C20" i="7"/>
  <c r="R19" i="7"/>
  <c r="Q19" i="7"/>
  <c r="P19" i="7"/>
  <c r="O19" i="7"/>
  <c r="N19" i="7"/>
  <c r="M19" i="7"/>
  <c r="L19" i="7"/>
  <c r="K19" i="7"/>
  <c r="E19" i="7"/>
  <c r="D19" i="7"/>
  <c r="C19" i="7"/>
  <c r="R18" i="7"/>
  <c r="Q18" i="7"/>
  <c r="P18" i="7"/>
  <c r="O18" i="7"/>
  <c r="N18" i="7"/>
  <c r="M18" i="7"/>
  <c r="L18" i="7"/>
  <c r="K18" i="7"/>
  <c r="E18" i="7"/>
  <c r="D18" i="7"/>
  <c r="C18" i="7"/>
  <c r="R17" i="7"/>
  <c r="Q17" i="7"/>
  <c r="P17" i="7"/>
  <c r="O17" i="7"/>
  <c r="N17" i="7"/>
  <c r="M17" i="7"/>
  <c r="L17" i="7"/>
  <c r="K17" i="7"/>
  <c r="E17" i="7"/>
  <c r="D17" i="7"/>
  <c r="C17" i="7"/>
  <c r="P16" i="7"/>
  <c r="O16" i="7"/>
  <c r="N16" i="7"/>
  <c r="M16" i="7"/>
  <c r="L16" i="7"/>
  <c r="K16" i="7"/>
  <c r="E16" i="7"/>
  <c r="F16" i="7" s="1"/>
  <c r="C16" i="7"/>
  <c r="R15" i="7"/>
  <c r="Q15" i="7"/>
  <c r="P15" i="7"/>
  <c r="O15" i="7"/>
  <c r="N15" i="7"/>
  <c r="M15" i="7"/>
  <c r="L15" i="7"/>
  <c r="K15" i="7"/>
  <c r="E15" i="7"/>
  <c r="D15" i="7"/>
  <c r="C15" i="7"/>
  <c r="R14" i="7"/>
  <c r="Q14" i="7"/>
  <c r="P14" i="7"/>
  <c r="O14" i="7"/>
  <c r="N14" i="7"/>
  <c r="M14" i="7"/>
  <c r="L14" i="7"/>
  <c r="K14" i="7"/>
  <c r="E14" i="7"/>
  <c r="D14" i="7"/>
  <c r="C14" i="7"/>
  <c r="R13" i="7"/>
  <c r="Q13" i="7"/>
  <c r="P13" i="7"/>
  <c r="O13" i="7"/>
  <c r="N13" i="7"/>
  <c r="M13" i="7"/>
  <c r="L13" i="7"/>
  <c r="K13" i="7"/>
  <c r="E13" i="7"/>
  <c r="D13" i="7"/>
  <c r="C13" i="7"/>
  <c r="P12" i="7"/>
  <c r="O12" i="7"/>
  <c r="N12" i="7"/>
  <c r="M12" i="7"/>
  <c r="L12" i="7"/>
  <c r="K12" i="7"/>
  <c r="E12" i="7"/>
  <c r="F12" i="7" s="1"/>
  <c r="C12" i="7"/>
  <c r="R11" i="7"/>
  <c r="Q11" i="7"/>
  <c r="D11" i="7"/>
  <c r="F11" i="7" s="1"/>
  <c r="R10" i="7"/>
  <c r="Q10" i="7"/>
  <c r="D10" i="7"/>
  <c r="F10" i="7" s="1"/>
  <c r="R9" i="7"/>
  <c r="Q9" i="7"/>
  <c r="D9" i="7"/>
  <c r="F9" i="7" s="1"/>
  <c r="F8" i="7"/>
  <c r="F73" i="7" l="1"/>
  <c r="F79" i="7"/>
  <c r="F95" i="7"/>
  <c r="F51" i="7"/>
  <c r="F67" i="7"/>
  <c r="F46" i="7"/>
  <c r="F22" i="7"/>
  <c r="F33" i="7"/>
  <c r="F54" i="7"/>
  <c r="F99" i="7"/>
  <c r="F37" i="7"/>
  <c r="F55" i="7"/>
  <c r="F58" i="7"/>
  <c r="F75" i="7"/>
  <c r="F18" i="7"/>
  <c r="F70" i="7"/>
  <c r="F21" i="7"/>
  <c r="F31" i="7"/>
  <c r="F63" i="7"/>
  <c r="F94" i="7"/>
  <c r="F15" i="7"/>
  <c r="F25" i="7"/>
  <c r="F34" i="7"/>
  <c r="F65" i="7"/>
  <c r="F69" i="7"/>
  <c r="F49" i="7"/>
  <c r="F83" i="7"/>
  <c r="F41" i="7"/>
  <c r="F50" i="7"/>
  <c r="F59" i="7"/>
  <c r="F97" i="7"/>
  <c r="F61" i="7"/>
  <c r="F74" i="7"/>
  <c r="F91" i="7"/>
  <c r="F13" i="7"/>
  <c r="F47" i="7"/>
  <c r="F81" i="7"/>
  <c r="F17" i="7"/>
  <c r="F26" i="7"/>
  <c r="F38" i="7"/>
  <c r="F86" i="7"/>
  <c r="F82" i="7"/>
  <c r="F29" i="7"/>
  <c r="F39" i="7"/>
  <c r="F57" i="7"/>
  <c r="F62" i="7"/>
  <c r="F71" i="7"/>
  <c r="F78" i="7"/>
  <c r="F98" i="7"/>
  <c r="F14" i="7"/>
  <c r="F19" i="7"/>
  <c r="F27" i="7"/>
  <c r="F42" i="7"/>
  <c r="F85" i="7"/>
  <c r="F30" i="7"/>
  <c r="F45" i="7"/>
  <c r="F66" i="7"/>
  <c r="F87" i="7"/>
  <c r="F93" i="7"/>
  <c r="F43" i="7"/>
  <c r="F53" i="7"/>
  <c r="F23" i="7"/>
  <c r="F89" i="7"/>
  <c r="F90" i="7"/>
  <c r="B42" i="5" l="1"/>
  <c r="B41" i="5"/>
  <c r="B40" i="5"/>
  <c r="B39" i="5"/>
  <c r="B38" i="5"/>
  <c r="A38" i="5"/>
  <c r="B37" i="5"/>
  <c r="C36" i="5"/>
  <c r="B36" i="5"/>
  <c r="A36" i="5"/>
  <c r="B35" i="5"/>
  <c r="B34" i="5"/>
  <c r="B33" i="5"/>
  <c r="B32" i="5"/>
  <c r="B31" i="5"/>
  <c r="B30" i="5"/>
  <c r="C29" i="5"/>
  <c r="B29" i="5"/>
  <c r="C28" i="5"/>
  <c r="B28" i="5"/>
  <c r="C27" i="5"/>
  <c r="B27" i="5"/>
  <c r="C26" i="5"/>
  <c r="B26" i="5"/>
  <c r="C21" i="5"/>
  <c r="C20" i="5"/>
  <c r="C38" i="5"/>
  <c r="C18" i="5"/>
  <c r="C35" i="5"/>
  <c r="C15" i="5"/>
  <c r="C34" i="5" s="1"/>
  <c r="C14" i="5"/>
  <c r="C13" i="5"/>
  <c r="C32" i="5" s="1"/>
  <c r="C12" i="5"/>
  <c r="C11" i="5"/>
  <c r="AA6" i="5"/>
  <c r="Z6" i="5"/>
  <c r="Y6" i="5"/>
  <c r="X6" i="5"/>
  <c r="W6" i="5"/>
  <c r="V6" i="5"/>
  <c r="U6" i="5"/>
  <c r="T6" i="5"/>
  <c r="S6" i="5"/>
  <c r="R6" i="5"/>
  <c r="Q6" i="5"/>
  <c r="P6" i="5"/>
  <c r="O6" i="5"/>
  <c r="N6" i="5"/>
  <c r="M6" i="5"/>
  <c r="L6" i="5"/>
  <c r="K6" i="5"/>
  <c r="J6" i="5"/>
  <c r="I6" i="5"/>
  <c r="H6" i="5"/>
  <c r="G6" i="5"/>
  <c r="F6" i="5"/>
  <c r="E6" i="5"/>
  <c r="D6" i="5"/>
  <c r="Y1" i="5"/>
  <c r="Z1" i="5" s="1"/>
  <c r="AA1" i="5" s="1"/>
  <c r="U1" i="5"/>
  <c r="V1" i="5" s="1"/>
  <c r="W1" i="5" s="1"/>
  <c r="Q1" i="5"/>
  <c r="R1" i="5" s="1"/>
  <c r="M1" i="5"/>
  <c r="N1" i="5" s="1"/>
  <c r="O1" i="5" s="1"/>
  <c r="I1" i="5"/>
  <c r="J1" i="5" s="1"/>
  <c r="E1" i="5"/>
  <c r="F1" i="5" s="1"/>
  <c r="Q11" i="5" l="1"/>
  <c r="P11" i="5"/>
  <c r="S11" i="5"/>
  <c r="R11" i="5"/>
  <c r="C31" i="5"/>
  <c r="C30" i="5"/>
  <c r="C39" i="5"/>
  <c r="C33" i="5"/>
  <c r="G1" i="5"/>
  <c r="S1" i="5"/>
  <c r="K1" i="5"/>
  <c r="C37" i="5"/>
  <c r="C40" i="5"/>
  <c r="I39" i="2"/>
  <c r="I27" i="2" l="1"/>
  <c r="H27" i="2"/>
  <c r="I35" i="13" s="1"/>
  <c r="L35" i="13" s="1"/>
  <c r="L50" i="13" s="1"/>
  <c r="L51" i="13" s="1"/>
  <c r="I4" i="3"/>
  <c r="I5" i="3" s="1"/>
  <c r="I6" i="3" s="1"/>
  <c r="I7" i="3" s="1"/>
  <c r="I8" i="3" s="1"/>
  <c r="I9" i="3" s="1"/>
  <c r="I10" i="3" s="1"/>
  <c r="I11" i="3" s="1"/>
  <c r="E27" i="2"/>
  <c r="D27" i="2"/>
  <c r="E35" i="13" s="1"/>
  <c r="H35" i="13" l="1"/>
  <c r="H50" i="13" s="1"/>
  <c r="H51" i="13" s="1"/>
  <c r="AA93" i="19" s="1"/>
  <c r="AE59" i="19"/>
  <c r="V17" i="5"/>
  <c r="A33" i="5"/>
  <c r="D28" i="2"/>
  <c r="G55" i="13" l="1"/>
  <c r="H55" i="13" s="1"/>
  <c r="G54" i="13"/>
  <c r="H54" i="13" s="1"/>
  <c r="AC2" i="25" s="1"/>
  <c r="H59" i="13"/>
  <c r="Z19" i="5"/>
  <c r="P19" i="5"/>
  <c r="M19" i="5"/>
  <c r="E19" i="5"/>
  <c r="V19" i="5"/>
  <c r="R19" i="5"/>
  <c r="H19" i="5"/>
  <c r="Y19" i="5"/>
  <c r="K19" i="5"/>
  <c r="T19" i="5"/>
  <c r="J19" i="5"/>
  <c r="W19" i="5"/>
  <c r="N19" i="5"/>
  <c r="L19" i="5"/>
  <c r="G19" i="5"/>
  <c r="O19" i="5"/>
  <c r="X19" i="5"/>
  <c r="D19" i="5"/>
  <c r="U19" i="5"/>
  <c r="AA19" i="5"/>
  <c r="Q19" i="5"/>
  <c r="S19" i="5"/>
  <c r="I19" i="5"/>
  <c r="F19" i="5"/>
  <c r="T38" i="5"/>
  <c r="R38" i="5"/>
  <c r="H38" i="5"/>
  <c r="Z14" i="5"/>
  <c r="P14" i="5"/>
  <c r="F14" i="5"/>
  <c r="G20" i="5"/>
  <c r="U20" i="5"/>
  <c r="J20" i="5"/>
  <c r="L38" i="5"/>
  <c r="J38" i="5"/>
  <c r="W38" i="5"/>
  <c r="R14" i="5"/>
  <c r="H14" i="5"/>
  <c r="U14" i="5"/>
  <c r="S20" i="5"/>
  <c r="Z20" i="5"/>
  <c r="Y20" i="5"/>
  <c r="D38" i="5"/>
  <c r="Y38" i="5"/>
  <c r="V38" i="5"/>
  <c r="J14" i="5"/>
  <c r="W14" i="5"/>
  <c r="M14" i="5"/>
  <c r="X20" i="5"/>
  <c r="H20" i="5"/>
  <c r="O20" i="5"/>
  <c r="G38" i="5"/>
  <c r="Q38" i="5"/>
  <c r="N38" i="5"/>
  <c r="T14" i="5"/>
  <c r="O14" i="5"/>
  <c r="E14" i="5"/>
  <c r="V20" i="5"/>
  <c r="F20" i="5"/>
  <c r="M20" i="5"/>
  <c r="AA38" i="5"/>
  <c r="I38" i="5"/>
  <c r="F38" i="5"/>
  <c r="Y14" i="5"/>
  <c r="G14" i="5"/>
  <c r="D14" i="5"/>
  <c r="E20" i="5"/>
  <c r="W20" i="5"/>
  <c r="Q20" i="5"/>
  <c r="P38" i="5"/>
  <c r="N14" i="5"/>
  <c r="T20" i="5"/>
  <c r="S38" i="5"/>
  <c r="O38" i="5"/>
  <c r="U38" i="5"/>
  <c r="AA14" i="5"/>
  <c r="Q14" i="5"/>
  <c r="L14" i="5"/>
  <c r="AA20" i="5"/>
  <c r="K20" i="5"/>
  <c r="R20" i="5"/>
  <c r="K14" i="5"/>
  <c r="L20" i="5"/>
  <c r="K38" i="5"/>
  <c r="X38" i="5"/>
  <c r="M38" i="5"/>
  <c r="S14" i="5"/>
  <c r="I14" i="5"/>
  <c r="V14" i="5"/>
  <c r="I20" i="5"/>
  <c r="P20" i="5"/>
  <c r="D20" i="5"/>
  <c r="Z38" i="5"/>
  <c r="X14" i="5"/>
  <c r="N20" i="5"/>
  <c r="E38" i="5"/>
  <c r="AA33" i="5"/>
  <c r="Y33" i="5"/>
  <c r="G33" i="5"/>
  <c r="S33" i="5"/>
  <c r="Q33" i="5"/>
  <c r="V33" i="5"/>
  <c r="E33" i="5"/>
  <c r="K33" i="5"/>
  <c r="I33" i="5"/>
  <c r="N33" i="5"/>
  <c r="D33" i="5"/>
  <c r="X33" i="5"/>
  <c r="F33" i="5"/>
  <c r="Z33" i="5"/>
  <c r="U33" i="5"/>
  <c r="R33" i="5"/>
  <c r="M33" i="5"/>
  <c r="O33" i="5"/>
  <c r="P33" i="5"/>
  <c r="H33" i="5"/>
  <c r="W33" i="5"/>
  <c r="J33" i="5"/>
  <c r="T33" i="5"/>
  <c r="L33" i="5"/>
  <c r="E41" i="10"/>
  <c r="E42" i="10" s="1"/>
  <c r="G41" i="10"/>
  <c r="G42" i="10" s="1"/>
  <c r="F41" i="10"/>
  <c r="F42" i="10" s="1"/>
  <c r="D41" i="10"/>
  <c r="D42" i="10" s="1"/>
  <c r="D61" i="2" s="1"/>
  <c r="E21" i="10"/>
  <c r="E22" i="10" s="1"/>
  <c r="I29" i="2"/>
  <c r="E2" i="26" s="1"/>
  <c r="Z17" i="5"/>
  <c r="A28" i="5"/>
  <c r="A10" i="5"/>
  <c r="N17" i="5"/>
  <c r="R17" i="5"/>
  <c r="F17" i="5"/>
  <c r="J17" i="5"/>
  <c r="H58" i="13" l="1"/>
  <c r="H60" i="13" s="1"/>
  <c r="D19" i="14" s="1"/>
  <c r="AA94" i="19"/>
  <c r="Z28" i="5"/>
  <c r="Z36" i="5" s="1"/>
  <c r="V28" i="5"/>
  <c r="V36" i="5" s="1"/>
  <c r="N28" i="5"/>
  <c r="N36" i="5" s="1"/>
  <c r="J28" i="5"/>
  <c r="F28" i="5"/>
  <c r="F36" i="5" s="1"/>
  <c r="R28" i="5"/>
  <c r="R36" i="5" s="1"/>
  <c r="G10" i="5"/>
  <c r="G17" i="5" s="1"/>
  <c r="W10" i="5"/>
  <c r="W17" i="5" s="1"/>
  <c r="K10" i="5"/>
  <c r="K17" i="5" s="1"/>
  <c r="AA10" i="5"/>
  <c r="AA17" i="5" s="1"/>
  <c r="S10" i="5"/>
  <c r="O10" i="5"/>
  <c r="O17" i="5" s="1"/>
  <c r="G21" i="10"/>
  <c r="G22" i="10" s="1"/>
  <c r="F21" i="10"/>
  <c r="F22" i="10" s="1"/>
  <c r="D21" i="10"/>
  <c r="D22" i="10" s="1"/>
  <c r="A8" i="5"/>
  <c r="A26" i="5"/>
  <c r="A30" i="5"/>
  <c r="A12" i="5"/>
  <c r="A29" i="5"/>
  <c r="AM15" i="19" l="1"/>
  <c r="AA2" i="25"/>
  <c r="D20" i="14"/>
  <c r="AA29" i="5"/>
  <c r="AA36" i="5" s="1"/>
  <c r="W29" i="5"/>
  <c r="W36" i="5" s="1"/>
  <c r="S29" i="5"/>
  <c r="S36" i="5" s="1"/>
  <c r="O29" i="5"/>
  <c r="O36" i="5" s="1"/>
  <c r="K29" i="5"/>
  <c r="K36" i="5" s="1"/>
  <c r="G29" i="5"/>
  <c r="G36" i="5" s="1"/>
  <c r="M8" i="5"/>
  <c r="I8" i="5"/>
  <c r="Q8" i="5"/>
  <c r="E8" i="5"/>
  <c r="Y8" i="5"/>
  <c r="U8" i="5"/>
  <c r="D60" i="2"/>
  <c r="Y12" i="5"/>
  <c r="X12" i="5"/>
  <c r="W12" i="5"/>
  <c r="V12" i="5"/>
  <c r="T12" i="5"/>
  <c r="Z12" i="5"/>
  <c r="AA12" i="5"/>
  <c r="U12" i="5"/>
  <c r="P30" i="5"/>
  <c r="S30" i="5"/>
  <c r="R30" i="5"/>
  <c r="Q30" i="5"/>
  <c r="D26" i="5"/>
  <c r="X26" i="5"/>
  <c r="T26" i="5"/>
  <c r="P26" i="5"/>
  <c r="L26" i="5"/>
  <c r="H26" i="5"/>
  <c r="J36" i="5"/>
  <c r="S17" i="5"/>
  <c r="A13" i="5"/>
  <c r="A31" i="5"/>
  <c r="A27" i="5"/>
  <c r="AB2" i="25" l="1"/>
  <c r="T11" i="23"/>
  <c r="BC2" i="25" s="1"/>
  <c r="W12" i="20"/>
  <c r="W31" i="5"/>
  <c r="V31" i="5"/>
  <c r="U31" i="5"/>
  <c r="T31" i="5"/>
  <c r="AA31" i="5"/>
  <c r="Z31" i="5"/>
  <c r="Y31" i="5"/>
  <c r="X31" i="5"/>
  <c r="M27" i="5"/>
  <c r="I27" i="5"/>
  <c r="E27" i="5"/>
  <c r="Y27" i="5"/>
  <c r="U27" i="5"/>
  <c r="Q27" i="5"/>
  <c r="K13" i="5"/>
  <c r="J13" i="5"/>
  <c r="I13" i="5"/>
  <c r="H13" i="5"/>
  <c r="A39" i="5"/>
  <c r="A32" i="5"/>
  <c r="A15" i="5"/>
  <c r="AO2" i="25" l="1"/>
  <c r="AJ12" i="20"/>
  <c r="AS2" i="25" s="1"/>
  <c r="K32" i="5"/>
  <c r="J32" i="5"/>
  <c r="I32" i="5"/>
  <c r="H32" i="5"/>
  <c r="AA15" i="5"/>
  <c r="S15" i="5"/>
  <c r="K15" i="5"/>
  <c r="Z15" i="5"/>
  <c r="R15" i="5"/>
  <c r="J15" i="5"/>
  <c r="Y15" i="5"/>
  <c r="Q15" i="5"/>
  <c r="I15" i="5"/>
  <c r="D15" i="5"/>
  <c r="X15" i="5"/>
  <c r="P15" i="5"/>
  <c r="H15" i="5"/>
  <c r="L15" i="5"/>
  <c r="W15" i="5"/>
  <c r="O15" i="5"/>
  <c r="G15" i="5"/>
  <c r="V15" i="5"/>
  <c r="N15" i="5"/>
  <c r="F15" i="5"/>
  <c r="T15" i="5"/>
  <c r="U15" i="5"/>
  <c r="M15" i="5"/>
  <c r="E15" i="5"/>
  <c r="AA39" i="5"/>
  <c r="S39" i="5"/>
  <c r="K39" i="5"/>
  <c r="L39" i="5"/>
  <c r="Z39" i="5"/>
  <c r="R39" i="5"/>
  <c r="J39" i="5"/>
  <c r="Y39" i="5"/>
  <c r="Q39" i="5"/>
  <c r="I39" i="5"/>
  <c r="X39" i="5"/>
  <c r="P39" i="5"/>
  <c r="H39" i="5"/>
  <c r="D39" i="5"/>
  <c r="W39" i="5"/>
  <c r="O39" i="5"/>
  <c r="G39" i="5"/>
  <c r="V39" i="5"/>
  <c r="N39" i="5"/>
  <c r="F39" i="5"/>
  <c r="T39" i="5"/>
  <c r="U39" i="5"/>
  <c r="M39" i="5"/>
  <c r="E39" i="5"/>
  <c r="A18" i="5"/>
  <c r="A37" i="5" s="1"/>
  <c r="A34" i="5"/>
  <c r="AA18" i="5" l="1"/>
  <c r="S18" i="5"/>
  <c r="K18" i="5"/>
  <c r="Z18" i="5"/>
  <c r="R18" i="5"/>
  <c r="J18" i="5"/>
  <c r="Y18" i="5"/>
  <c r="Q18" i="5"/>
  <c r="I18" i="5"/>
  <c r="L18" i="5"/>
  <c r="X18" i="5"/>
  <c r="P18" i="5"/>
  <c r="H18" i="5"/>
  <c r="W18" i="5"/>
  <c r="O18" i="5"/>
  <c r="G18" i="5"/>
  <c r="T18" i="5"/>
  <c r="V18" i="5"/>
  <c r="N18" i="5"/>
  <c r="F18" i="5"/>
  <c r="D18" i="5"/>
  <c r="U18" i="5"/>
  <c r="M18" i="5"/>
  <c r="E18" i="5"/>
  <c r="AA37" i="5"/>
  <c r="S37" i="5"/>
  <c r="K37" i="5"/>
  <c r="Z37" i="5"/>
  <c r="R37" i="5"/>
  <c r="J37" i="5"/>
  <c r="Y37" i="5"/>
  <c r="Q37" i="5"/>
  <c r="I37" i="5"/>
  <c r="T37" i="5"/>
  <c r="X37" i="5"/>
  <c r="P37" i="5"/>
  <c r="H37" i="5"/>
  <c r="W37" i="5"/>
  <c r="O37" i="5"/>
  <c r="G37" i="5"/>
  <c r="L37" i="5"/>
  <c r="V37" i="5"/>
  <c r="N37" i="5"/>
  <c r="F37" i="5"/>
  <c r="U37" i="5"/>
  <c r="M37" i="5"/>
  <c r="E37" i="5"/>
  <c r="D37" i="5"/>
  <c r="AA34" i="5"/>
  <c r="S34" i="5"/>
  <c r="K34" i="5"/>
  <c r="Z34" i="5"/>
  <c r="R34" i="5"/>
  <c r="J34" i="5"/>
  <c r="Y34" i="5"/>
  <c r="Q34" i="5"/>
  <c r="I34" i="5"/>
  <c r="L34" i="5"/>
  <c r="X34" i="5"/>
  <c r="P34" i="5"/>
  <c r="H34" i="5"/>
  <c r="T34" i="5"/>
  <c r="W34" i="5"/>
  <c r="O34" i="5"/>
  <c r="G34" i="5"/>
  <c r="D34" i="5"/>
  <c r="V34" i="5"/>
  <c r="N34" i="5"/>
  <c r="F34" i="5"/>
  <c r="U34" i="5"/>
  <c r="M34" i="5"/>
  <c r="E34" i="5"/>
  <c r="A21" i="5"/>
  <c r="A40" i="5" s="1"/>
  <c r="A35" i="5"/>
  <c r="J40" i="5" l="1"/>
  <c r="AA21" i="5"/>
  <c r="AA22" i="5" s="1"/>
  <c r="AA23" i="5" s="1"/>
  <c r="N21" i="5"/>
  <c r="N22" i="5" s="1"/>
  <c r="N23" i="5" s="1"/>
  <c r="AA35" i="5"/>
  <c r="S35" i="5"/>
  <c r="Z35" i="5"/>
  <c r="R35" i="5"/>
  <c r="T35" i="5"/>
  <c r="Y35" i="5"/>
  <c r="Q35" i="5"/>
  <c r="X35" i="5"/>
  <c r="P35" i="5"/>
  <c r="W35" i="5"/>
  <c r="V35" i="5"/>
  <c r="U35" i="5"/>
  <c r="D40" i="5"/>
  <c r="V40" i="5"/>
  <c r="X21" i="5"/>
  <c r="X22" i="5" s="1"/>
  <c r="X23" i="5" s="1"/>
  <c r="I40" i="5"/>
  <c r="U21" i="5"/>
  <c r="U22" i="5" s="1"/>
  <c r="U23" i="5" s="1"/>
  <c r="P21" i="5"/>
  <c r="P22" i="5" s="1"/>
  <c r="P23" i="5" s="1"/>
  <c r="K40" i="5"/>
  <c r="M40" i="5"/>
  <c r="W40" i="5"/>
  <c r="O21" i="5"/>
  <c r="O22" i="5" s="1"/>
  <c r="O23" i="5" s="1"/>
  <c r="H40" i="5"/>
  <c r="V21" i="5"/>
  <c r="V22" i="5" s="1"/>
  <c r="V23" i="5" s="1"/>
  <c r="F21" i="5"/>
  <c r="F22" i="5" s="1"/>
  <c r="F23" i="5" s="1"/>
  <c r="S40" i="5"/>
  <c r="U40" i="5"/>
  <c r="D21" i="5"/>
  <c r="D22" i="5" s="1"/>
  <c r="D23" i="5" s="1"/>
  <c r="AA40" i="5"/>
  <c r="F40" i="5"/>
  <c r="P40" i="5"/>
  <c r="E21" i="5"/>
  <c r="E22" i="5" s="1"/>
  <c r="E23" i="5" s="1"/>
  <c r="L21" i="5"/>
  <c r="L22" i="5" s="1"/>
  <c r="L23" i="5" s="1"/>
  <c r="R40" i="5"/>
  <c r="N40" i="5"/>
  <c r="X40" i="5"/>
  <c r="R21" i="5"/>
  <c r="R22" i="5" s="1"/>
  <c r="R23" i="5" s="1"/>
  <c r="W21" i="5"/>
  <c r="W22" i="5" s="1"/>
  <c r="W23" i="5" s="1"/>
  <c r="J21" i="5"/>
  <c r="J22" i="5" s="1"/>
  <c r="J23" i="5" s="1"/>
  <c r="Y21" i="5"/>
  <c r="Y22" i="5" s="1"/>
  <c r="Y23" i="5" s="1"/>
  <c r="L40" i="5"/>
  <c r="Z40" i="5"/>
  <c r="G21" i="5"/>
  <c r="G22" i="5" s="1"/>
  <c r="G23" i="5" s="1"/>
  <c r="H21" i="5"/>
  <c r="H22" i="5" s="1"/>
  <c r="H23" i="5" s="1"/>
  <c r="M21" i="5"/>
  <c r="M22" i="5" s="1"/>
  <c r="M23" i="5" s="1"/>
  <c r="T40" i="5"/>
  <c r="G40" i="5"/>
  <c r="Q40" i="5"/>
  <c r="Q21" i="5"/>
  <c r="Q22" i="5" s="1"/>
  <c r="Q23" i="5" s="1"/>
  <c r="I21" i="5"/>
  <c r="I22" i="5" s="1"/>
  <c r="I23" i="5" s="1"/>
  <c r="S21" i="5"/>
  <c r="S22" i="5" s="1"/>
  <c r="S23" i="5" s="1"/>
  <c r="Z21" i="5"/>
  <c r="Z22" i="5" s="1"/>
  <c r="Z23" i="5" s="1"/>
  <c r="E40" i="5"/>
  <c r="O40" i="5"/>
  <c r="Y40" i="5"/>
  <c r="Y41" i="5" s="1"/>
  <c r="Y42" i="5" s="1"/>
  <c r="T21" i="5"/>
  <c r="T22" i="5" s="1"/>
  <c r="T23" i="5" s="1"/>
  <c r="K21" i="5"/>
  <c r="K22" i="5" s="1"/>
  <c r="K23" i="5" s="1"/>
  <c r="G41" i="5" l="1"/>
  <c r="G42" i="5" s="1"/>
  <c r="L41" i="5"/>
  <c r="L42" i="5" s="1"/>
  <c r="V41" i="5"/>
  <c r="V42" i="5" s="1"/>
  <c r="U41" i="5"/>
  <c r="U42" i="5" s="1"/>
  <c r="F41" i="5"/>
  <c r="F42" i="5" s="1"/>
  <c r="Q41" i="5"/>
  <c r="Q42" i="5" s="1"/>
  <c r="S41" i="5"/>
  <c r="S42" i="5" s="1"/>
  <c r="D41" i="5"/>
  <c r="D42" i="5" s="1"/>
  <c r="E61" i="2" s="1"/>
  <c r="I41" i="5"/>
  <c r="I42" i="5" s="1"/>
  <c r="P41" i="5"/>
  <c r="P42" i="5" s="1"/>
  <c r="N41" i="5"/>
  <c r="N42" i="5" s="1"/>
  <c r="K41" i="5"/>
  <c r="K42" i="5" s="1"/>
  <c r="Z41" i="5"/>
  <c r="Z42" i="5" s="1"/>
  <c r="J41" i="5"/>
  <c r="J42" i="5" s="1"/>
  <c r="H41" i="5"/>
  <c r="H42" i="5" s="1"/>
  <c r="R41" i="5"/>
  <c r="R42" i="5" s="1"/>
  <c r="M41" i="5"/>
  <c r="M42" i="5" s="1"/>
  <c r="O41" i="5"/>
  <c r="O42" i="5" s="1"/>
  <c r="T41" i="5"/>
  <c r="T42" i="5" s="1"/>
  <c r="W41" i="5"/>
  <c r="W42" i="5" s="1"/>
  <c r="X41" i="5"/>
  <c r="X42" i="5" s="1"/>
  <c r="E41" i="5"/>
  <c r="E42" i="5" s="1"/>
  <c r="AA41" i="5"/>
  <c r="AA42" i="5" s="1"/>
  <c r="E60" i="2"/>
  <c r="F60" i="2" s="1"/>
  <c r="D9" i="14" l="1"/>
  <c r="F61" i="2"/>
  <c r="D13" i="14" s="1"/>
  <c r="W2" i="25" l="1"/>
  <c r="D10" i="14"/>
  <c r="X2" i="25" s="1"/>
  <c r="Y2" i="25" l="1"/>
  <c r="D14" i="14"/>
  <c r="Z2" i="25" l="1"/>
  <c r="K11" i="23"/>
  <c r="BB2" i="25" s="1"/>
  <c r="N12" i="20"/>
  <c r="AJ11" i="20" l="1"/>
  <c r="AR2" i="25" s="1"/>
  <c r="AL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C10" authorId="0" shapeId="0" xr:uid="{545F882C-EC71-463D-9828-0B02CC211D5C}">
      <text>
        <r>
          <rPr>
            <sz val="9"/>
            <color indexed="81"/>
            <rFont val="MS P ゴシック"/>
            <family val="3"/>
            <charset val="128"/>
          </rPr>
          <t>これまでキャリアパス要件届出書・資質向上のための計画を提出していない施設については、「いいえ」を選択してください。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1B8F44E0-93FC-4DF5-9138-E5A78F1F3952}">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30" authorId="0" shapeId="0" xr:uid="{4E658D63-FC3C-440C-8733-C1C714BE4B25}">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FDCA3345-F3F5-4B3C-8C1D-0704F3E4D6BD}">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30" authorId="0" shapeId="0" xr:uid="{822F56B6-CE44-4A06-A634-2DD704EBAEC1}">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Kitajima</author>
    <author>nakajo</author>
  </authors>
  <commentList>
    <comment ref="L17" authorId="0" shapeId="0" xr:uid="{7E570DAB-30D7-4AE0-B6AF-6D51A1C27F8A}">
      <text>
        <r>
          <rPr>
            <sz val="9"/>
            <color indexed="81"/>
            <rFont val="MS P ゴシック"/>
            <family val="3"/>
            <charset val="128"/>
          </rPr>
          <t>満３歳児を控除した数字を引用しています。他の欄も同じ。</t>
        </r>
      </text>
    </comment>
    <comment ref="C44" authorId="1" shapeId="0" xr:uid="{6710736D-9F2E-4EEA-87D6-C97570A6F057}">
      <text>
        <r>
          <rPr>
            <sz val="11"/>
            <color indexed="81"/>
            <rFont val="MS P ゴシック"/>
            <family val="3"/>
            <charset val="128"/>
          </rPr>
          <t>区分Ａ・Ｂのどちらかを選択している場合のみ該当。（Ｃ・Ｄは対象外）</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8" authorId="0" shapeId="0" xr:uid="{76BF810F-FA86-4E4B-A49D-13897D438767}">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45" authorId="0" shapeId="0" xr:uid="{6F4D12FD-6DFE-4CCD-8590-50F147E0F400}">
      <text>
        <r>
          <rPr>
            <sz val="12"/>
            <color indexed="81"/>
            <rFont val="MS P ゴシック"/>
            <family val="3"/>
            <charset val="128"/>
          </rPr>
          <t>A[配置」であること</t>
        </r>
      </text>
    </comment>
    <comment ref="F47" authorId="0" shapeId="0" xr:uid="{5EB0E4BD-AE8B-490F-8F3B-9D2A34BA6540}">
      <text>
        <r>
          <rPr>
            <sz val="12"/>
            <color indexed="81"/>
            <rFont val="MS P ゴシック"/>
            <family val="3"/>
            <charset val="128"/>
          </rPr>
          <t>「必要代替保育教諭等数－配置代替保育教諭等数」の値を入力</t>
        </r>
      </text>
    </comment>
    <comment ref="F48" authorId="0" shapeId="0" xr:uid="{D5299B82-9B09-4BF3-96E2-B76B4E19AB5A}">
      <text>
        <r>
          <rPr>
            <sz val="12"/>
            <color indexed="81"/>
            <rFont val="MS P ゴシック"/>
            <family val="3"/>
            <charset val="128"/>
          </rPr>
          <t>「必要保育教諭等数－配置保育教諭等数」
の値を入力</t>
        </r>
      </text>
    </comment>
    <comment ref="I53" authorId="0" shapeId="0" xr:uid="{3D751ABA-CE9E-4E5A-A9B3-6965A4FDF1D3}">
      <text>
        <r>
          <rPr>
            <sz val="12"/>
            <color indexed="81"/>
            <rFont val="MS P ゴシック"/>
            <family val="3"/>
            <charset val="128"/>
          </rPr>
          <t>研修修了者の実人数を入力
（実人数を入力しなければ加算見込額が算出されません。）</t>
        </r>
      </text>
    </comment>
    <comment ref="H58" authorId="0" shapeId="0" xr:uid="{02CA0279-83EA-41B8-92CC-B9712960AD20}">
      <text>
        <r>
          <rPr>
            <sz val="12"/>
            <color indexed="81"/>
            <rFont val="MS P ゴシック"/>
            <family val="3"/>
            <charset val="128"/>
          </rPr>
          <t>研修修了者の実人数が算定人数に達していない場合は、実人数が人数Aとなります。</t>
        </r>
      </text>
    </comment>
    <comment ref="H59" authorId="0" shapeId="0" xr:uid="{95A5DD3F-6493-4866-B053-36359DBAF2A2}">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<sst xmlns="http://schemas.openxmlformats.org/spreadsheetml/2006/main" count="1403" uniqueCount="885">
  <si>
    <t>◆適用単価（加算１）</t>
    <rPh sb="1" eb="3">
      <t>テキヨウ</t>
    </rPh>
    <rPh sb="3" eb="5">
      <t>タンカ</t>
    </rPh>
    <rPh sb="6" eb="8">
      <t>カサン</t>
    </rPh>
    <phoneticPr fontId="4"/>
  </si>
  <si>
    <t>◆適用単価（加算２）</t>
    <rPh sb="1" eb="3">
      <t>テキヨウ</t>
    </rPh>
    <rPh sb="3" eb="5">
      <t>タンカ</t>
    </rPh>
    <rPh sb="6" eb="8">
      <t>カサン</t>
    </rPh>
    <phoneticPr fontId="4"/>
  </si>
  <si>
    <t>【通常定員区分】</t>
    <rPh sb="1" eb="3">
      <t>ツウジョウ</t>
    </rPh>
    <rPh sb="3" eb="5">
      <t>テイイン</t>
    </rPh>
    <rPh sb="5" eb="7">
      <t>クブン</t>
    </rPh>
    <phoneticPr fontId="4"/>
  </si>
  <si>
    <t>【その他の区分】</t>
    <rPh sb="3" eb="4">
      <t>ホカ</t>
    </rPh>
    <rPh sb="5" eb="7">
      <t>クブン</t>
    </rPh>
    <phoneticPr fontId="4"/>
  </si>
  <si>
    <t>【区分があるもの】</t>
    <rPh sb="1" eb="3">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</si>
  <si>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</si>
  <si>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</si>
  <si>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</si>
  <si>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</si>
  <si>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３歳児配置改善</t>
    <rPh sb="1" eb="3">
      <t>サイジ</t>
    </rPh>
    <rPh sb="3" eb="5">
      <t>ハイチ</t>
    </rPh>
    <rPh sb="5" eb="7">
      <t>カイゼン</t>
    </rPh>
    <phoneticPr fontId="6"/>
  </si>
  <si>
    <t>4歳以上児配置改善</t>
    <rPh sb="1" eb="4">
      <t>サイイジョウ</t>
    </rPh>
    <rPh sb="4" eb="5">
      <t>ジ</t>
    </rPh>
    <rPh sb="5" eb="7">
      <t>ハイチ</t>
    </rPh>
    <rPh sb="7" eb="9">
      <t>カイゼン</t>
    </rPh>
    <phoneticPr fontId="6"/>
  </si>
  <si>
    <t>夜間保育</t>
    <rPh sb="0" eb="2">
      <t>ヤカン</t>
    </rPh>
    <rPh sb="2" eb="4">
      <t>ホイク</t>
    </rPh>
    <phoneticPr fontId="6"/>
  </si>
  <si>
    <t>休日保育加算</t>
    <rPh sb="0" eb="2">
      <t>キュウジツ</t>
    </rPh>
    <rPh sb="2" eb="4">
      <t>ホイク</t>
    </rPh>
    <rPh sb="4" eb="6">
      <t>カサン</t>
    </rPh>
    <phoneticPr fontId="2"/>
  </si>
  <si>
    <t>休日保育加算</t>
    <rPh sb="0" eb="2">
      <t>キュウジツ</t>
    </rPh>
    <rPh sb="2" eb="4">
      <t>ホイク</t>
    </rPh>
    <rPh sb="4" eb="6">
      <t>カサン</t>
    </rPh>
    <phoneticPr fontId="4"/>
  </si>
  <si>
    <t>療育支援加算</t>
    <rPh sb="0" eb="2">
      <t>リョウイク</t>
    </rPh>
    <rPh sb="2" eb="4">
      <t>シエン</t>
    </rPh>
    <rPh sb="4" eb="6">
      <t>カサン</t>
    </rPh>
    <phoneticPr fontId="4"/>
  </si>
  <si>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</si>
  <si>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</si>
  <si>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</si>
  <si>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</si>
  <si>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</si>
  <si>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</si>
  <si>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</si>
  <si>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</si>
  <si>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４歳以上児</t>
    <rPh sb="1" eb="2">
      <t>サイ</t>
    </rPh>
    <rPh sb="2" eb="4">
      <t>イジョウ</t>
    </rPh>
    <rPh sb="4" eb="5">
      <t>ジ</t>
    </rPh>
    <phoneticPr fontId="6"/>
  </si>
  <si>
    <t>A</t>
    <phoneticPr fontId="6"/>
  </si>
  <si>
    <t>対象外</t>
    <rPh sb="0" eb="3">
      <t>タイショウガイ</t>
    </rPh>
    <phoneticPr fontId="4"/>
  </si>
  <si>
    <t>３歳児</t>
    <rPh sb="1" eb="3">
      <t>サイジ</t>
    </rPh>
    <phoneticPr fontId="6"/>
  </si>
  <si>
    <t>B</t>
    <phoneticPr fontId="6"/>
  </si>
  <si>
    <t>～210人</t>
    <rPh sb="4" eb="5">
      <t>ヒト</t>
    </rPh>
    <phoneticPr fontId="4"/>
  </si>
  <si>
    <t>Ａ</t>
    <phoneticPr fontId="4"/>
  </si>
  <si>
    <t>配置(A)</t>
    <rPh sb="0" eb="2">
      <t>ハイチ</t>
    </rPh>
    <phoneticPr fontId="4"/>
  </si>
  <si>
    <t>１、２歳児</t>
    <rPh sb="3" eb="5">
      <t>サイジ</t>
    </rPh>
    <phoneticPr fontId="6"/>
  </si>
  <si>
    <t>C</t>
    <phoneticPr fontId="6"/>
  </si>
  <si>
    <t>211人～279人</t>
    <rPh sb="3" eb="4">
      <t>ヒト</t>
    </rPh>
    <rPh sb="8" eb="9">
      <t>ヒト</t>
    </rPh>
    <phoneticPr fontId="4"/>
  </si>
  <si>
    <t>B</t>
    <phoneticPr fontId="4"/>
  </si>
  <si>
    <t>兼務(B)</t>
    <rPh sb="0" eb="2">
      <t>ケンム</t>
    </rPh>
    <phoneticPr fontId="4"/>
  </si>
  <si>
    <t>乳児</t>
    <rPh sb="0" eb="2">
      <t>ニュウジ</t>
    </rPh>
    <phoneticPr fontId="6"/>
  </si>
  <si>
    <t>D</t>
    <phoneticPr fontId="6"/>
  </si>
  <si>
    <t>280人～349人</t>
    <rPh sb="3" eb="4">
      <t>ヒト</t>
    </rPh>
    <rPh sb="8" eb="9">
      <t>ヒト</t>
    </rPh>
    <phoneticPr fontId="4"/>
  </si>
  <si>
    <t>嘱託(C)</t>
    <rPh sb="0" eb="2">
      <t>ショクタク</t>
    </rPh>
    <phoneticPr fontId="4"/>
  </si>
  <si>
    <t>350人～419人</t>
    <rPh sb="3" eb="4">
      <t>ヒト</t>
    </rPh>
    <rPh sb="8" eb="9">
      <t>ヒト</t>
    </rPh>
    <phoneticPr fontId="4"/>
  </si>
  <si>
    <t>420人～489人</t>
    <rPh sb="3" eb="4">
      <t>ヒト</t>
    </rPh>
    <rPh sb="8" eb="9">
      <t>ヒト</t>
    </rPh>
    <phoneticPr fontId="4"/>
  </si>
  <si>
    <t>【区分なし】</t>
    <rPh sb="1" eb="3">
      <t>クブン</t>
    </rPh>
    <phoneticPr fontId="4"/>
  </si>
  <si>
    <t>490人～559人</t>
    <rPh sb="3" eb="4">
      <t>ヒト</t>
    </rPh>
    <rPh sb="8" eb="9">
      <t>ヒト</t>
    </rPh>
    <phoneticPr fontId="4"/>
  </si>
  <si>
    <t>560人～629人</t>
    <rPh sb="3" eb="4">
      <t>ヒト</t>
    </rPh>
    <rPh sb="8" eb="9">
      <t>ヒト</t>
    </rPh>
    <phoneticPr fontId="4"/>
  </si>
  <si>
    <t>21人から25人まで</t>
    <phoneticPr fontId="4"/>
  </si>
  <si>
    <t>630人～699人</t>
    <rPh sb="3" eb="4">
      <t>ヒト</t>
    </rPh>
    <phoneticPr fontId="4"/>
  </si>
  <si>
    <t>700人～769人</t>
    <phoneticPr fontId="4"/>
  </si>
  <si>
    <t>840人～909人</t>
    <phoneticPr fontId="4"/>
  </si>
  <si>
    <t>冷暖房費-その他地域</t>
    <rPh sb="0" eb="3">
      <t>レイダンボウ</t>
    </rPh>
    <rPh sb="3" eb="4">
      <t>ヒ</t>
    </rPh>
    <rPh sb="7" eb="8">
      <t>ホカ</t>
    </rPh>
    <rPh sb="8" eb="10">
      <t>チイキ</t>
    </rPh>
    <phoneticPr fontId="4"/>
  </si>
  <si>
    <t>26人から30人まで</t>
    <phoneticPr fontId="4"/>
  </si>
  <si>
    <t>910人～979人</t>
    <phoneticPr fontId="4"/>
  </si>
  <si>
    <t>施設機能強化推進費</t>
    <rPh sb="0" eb="2">
      <t>シセツ</t>
    </rPh>
    <rPh sb="2" eb="4">
      <t>キノウ</t>
    </rPh>
    <rPh sb="4" eb="6">
      <t>キョウカ</t>
    </rPh>
    <rPh sb="6" eb="8">
      <t>スイシン</t>
    </rPh>
    <rPh sb="8" eb="9">
      <t>ヒ</t>
    </rPh>
    <phoneticPr fontId="4"/>
  </si>
  <si>
    <t>980人～1049人</t>
    <phoneticPr fontId="4"/>
  </si>
  <si>
    <t>第三者評価受審</t>
    <rPh sb="0" eb="3">
      <t>ダイサンシャ</t>
    </rPh>
    <rPh sb="3" eb="5">
      <t>ヒョウカ</t>
    </rPh>
    <rPh sb="5" eb="7">
      <t>ジュシン</t>
    </rPh>
    <phoneticPr fontId="4"/>
  </si>
  <si>
    <t>1050人～</t>
    <phoneticPr fontId="4"/>
  </si>
  <si>
    <t>31人から35人まで</t>
    <phoneticPr fontId="4"/>
  </si>
  <si>
    <t>36人から40人まで</t>
    <phoneticPr fontId="4"/>
  </si>
  <si>
    <t>41人から45人まで</t>
    <phoneticPr fontId="4"/>
  </si>
  <si>
    <t>46人から50人まで</t>
    <phoneticPr fontId="4"/>
  </si>
  <si>
    <t>51人から55人まで</t>
    <phoneticPr fontId="4"/>
  </si>
  <si>
    <t>56人から60人まで</t>
    <phoneticPr fontId="4"/>
  </si>
  <si>
    <t>61人から70人まで</t>
  </si>
  <si>
    <t>71人から80人まで</t>
  </si>
  <si>
    <t>81人から90人まで</t>
  </si>
  <si>
    <t>91人から100人まで</t>
  </si>
  <si>
    <t>101人から110人まで</t>
  </si>
  <si>
    <t>111人から120人まで</t>
  </si>
  <si>
    <t>121人から130人まで</t>
  </si>
  <si>
    <t>131人から140人まで</t>
  </si>
  <si>
    <t>141人から150人まで</t>
  </si>
  <si>
    <t>151人から160人まで</t>
  </si>
  <si>
    <t>161人から170人まで</t>
  </si>
  <si>
    <t>171人以上</t>
    <rPh sb="3" eb="4">
      <t>ヒト</t>
    </rPh>
    <rPh sb="4" eb="6">
      <t>イジョウ</t>
    </rPh>
    <phoneticPr fontId="4"/>
  </si>
  <si>
    <t>平均経験年数</t>
    <rPh sb="0" eb="6">
      <t>ヘイキンケイケンネンスウ</t>
    </rPh>
    <phoneticPr fontId="4"/>
  </si>
  <si>
    <t>分園</t>
    <rPh sb="0" eb="1">
      <t>ブン</t>
    </rPh>
    <rPh sb="1" eb="2">
      <t>ソノ</t>
    </rPh>
    <phoneticPr fontId="4"/>
  </si>
  <si>
    <t>分園なし</t>
    <rPh sb="0" eb="2">
      <t>ブンエン</t>
    </rPh>
    <phoneticPr fontId="4"/>
  </si>
  <si>
    <t>分園あり</t>
    <rPh sb="0" eb="2">
      <t>ブンエン</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</si>
  <si>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</si>
  <si>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</si>
  <si>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</si>
  <si>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</si>
  <si>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</si>
  <si>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</si>
  <si>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</si>
  <si>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</si>
  <si>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</si>
  <si>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</si>
  <si>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</si>
  <si>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</si>
  <si>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</si>
  <si>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分園の定員</t>
    <rPh sb="0" eb="2">
      <t>ブンエン</t>
    </rPh>
    <rPh sb="3" eb="5">
      <t>テイイン</t>
    </rPh>
    <phoneticPr fontId="4"/>
  </si>
  <si>
    <t>分園の有無</t>
    <rPh sb="0" eb="2">
      <t>ブンエン</t>
    </rPh>
    <rPh sb="3" eb="5">
      <t>ウム</t>
    </rPh>
    <phoneticPr fontId="4"/>
  </si>
  <si>
    <t>定員（全体）</t>
    <rPh sb="0" eb="2">
      <t>テイイン</t>
    </rPh>
    <rPh sb="3" eb="5">
      <t>ゼンタイ</t>
    </rPh>
    <phoneticPr fontId="4"/>
  </si>
  <si>
    <t>〇　基本情報</t>
    <rPh sb="2" eb="6">
      <t>キホンジョウホウ</t>
    </rPh>
    <phoneticPr fontId="4"/>
  </si>
  <si>
    <t>標準時間</t>
    <rPh sb="0" eb="4">
      <t>ヒョウジュンジカン</t>
    </rPh>
    <phoneticPr fontId="4"/>
  </si>
  <si>
    <t>短時間</t>
    <rPh sb="0" eb="3">
      <t>タンジカン</t>
    </rPh>
    <phoneticPr fontId="4"/>
  </si>
  <si>
    <t>※「分園あり」を選ばない限り、分園の情報は反映されません。</t>
    <rPh sb="2" eb="4">
      <t>ブンエン</t>
    </rPh>
    <rPh sb="8" eb="9">
      <t>エラ</t>
    </rPh>
    <rPh sb="12" eb="13">
      <t>カギ</t>
    </rPh>
    <rPh sb="15" eb="17">
      <t>ブンエン</t>
    </rPh>
    <rPh sb="18" eb="20">
      <t>ジョウホウ</t>
    </rPh>
    <rPh sb="21" eb="23">
      <t>ハンエイ</t>
    </rPh>
    <phoneticPr fontId="4"/>
  </si>
  <si>
    <t>計</t>
    <rPh sb="0" eb="1">
      <t>ケイ</t>
    </rPh>
    <phoneticPr fontId="4"/>
  </si>
  <si>
    <t>本園</t>
    <rPh sb="0" eb="2">
      <t>ホンエン</t>
    </rPh>
    <phoneticPr fontId="4"/>
  </si>
  <si>
    <t>分園</t>
    <rPh sb="0" eb="2">
      <t>ブンエン</t>
    </rPh>
    <phoneticPr fontId="4"/>
  </si>
  <si>
    <t>３歳児配置改善加算</t>
    <rPh sb="1" eb="3">
      <t>サイジ</t>
    </rPh>
    <rPh sb="3" eb="5">
      <t>ハイチ</t>
    </rPh>
    <rPh sb="5" eb="7">
      <t>カイゼン</t>
    </rPh>
    <rPh sb="7" eb="9">
      <t>カサン</t>
    </rPh>
    <phoneticPr fontId="2"/>
  </si>
  <si>
    <t>４歳以上児配置改善加算</t>
    <rPh sb="1" eb="2">
      <t>サイ</t>
    </rPh>
    <rPh sb="4" eb="5">
      <t>ジ</t>
    </rPh>
    <rPh sb="5" eb="7">
      <t>ハイチ</t>
    </rPh>
    <rPh sb="7" eb="9">
      <t>カイゼン</t>
    </rPh>
    <rPh sb="9" eb="11">
      <t>カサン</t>
    </rPh>
    <phoneticPr fontId="2"/>
  </si>
  <si>
    <t>１歳児配置改善加算</t>
    <rPh sb="1" eb="3">
      <t>サイジ</t>
    </rPh>
    <rPh sb="3" eb="5">
      <t>ハイチ</t>
    </rPh>
    <rPh sb="5" eb="7">
      <t>カイゼン</t>
    </rPh>
    <rPh sb="7" eb="9">
      <t>カサン</t>
    </rPh>
    <phoneticPr fontId="2"/>
  </si>
  <si>
    <t>●</t>
    <phoneticPr fontId="4"/>
  </si>
  <si>
    <t>園合計</t>
    <rPh sb="0" eb="1">
      <t>ソノ</t>
    </rPh>
    <rPh sb="1" eb="3">
      <t>ゴウケイ</t>
    </rPh>
    <phoneticPr fontId="4"/>
  </si>
  <si>
    <t>加算一般</t>
    <rPh sb="0" eb="2">
      <t>カサン</t>
    </rPh>
    <rPh sb="2" eb="4">
      <t>イッパン</t>
    </rPh>
    <phoneticPr fontId="4"/>
  </si>
  <si>
    <t>療育支援</t>
    <rPh sb="0" eb="4">
      <t>リョウイクシエン</t>
    </rPh>
    <phoneticPr fontId="4"/>
  </si>
  <si>
    <t>栄養管理</t>
    <rPh sb="0" eb="4">
      <t>エイヨウカンリ</t>
    </rPh>
    <phoneticPr fontId="4"/>
  </si>
  <si>
    <t>A(特別児童扶養手当支給対象児童受入）</t>
    <rPh sb="2" eb="4">
      <t>トクベツ</t>
    </rPh>
    <rPh sb="4" eb="6">
      <t>ジドウ</t>
    </rPh>
    <rPh sb="6" eb="10">
      <t>フヨウテアテ</t>
    </rPh>
    <rPh sb="10" eb="16">
      <t>シキュウタイショウジドウ</t>
    </rPh>
    <rPh sb="16" eb="17">
      <t>ウ</t>
    </rPh>
    <rPh sb="17" eb="18">
      <t>イ</t>
    </rPh>
    <phoneticPr fontId="4"/>
  </si>
  <si>
    <t>B(それ以外の障害児受入）</t>
    <rPh sb="4" eb="6">
      <t>イガイ</t>
    </rPh>
    <rPh sb="7" eb="11">
      <t>ショウガイジウ</t>
    </rPh>
    <rPh sb="11" eb="12">
      <t>イ</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</si>
  <si>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</si>
  <si>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</si>
  <si>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</si>
  <si>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</si>
  <si>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夜間保育加算</t>
    <rPh sb="0" eb="2">
      <t>ヤカン</t>
    </rPh>
    <rPh sb="2" eb="4">
      <t>ホイク</t>
    </rPh>
    <rPh sb="4" eb="6">
      <t>カサン</t>
    </rPh>
    <phoneticPr fontId="2"/>
  </si>
  <si>
    <t>療育支援加算</t>
    <rPh sb="0" eb="6">
      <t>リョウイクシエンカサン</t>
    </rPh>
    <phoneticPr fontId="2"/>
  </si>
  <si>
    <t>栄養管理加算</t>
    <rPh sb="0" eb="6">
      <t>エイヨウカンリカサン</t>
    </rPh>
    <phoneticPr fontId="2"/>
  </si>
  <si>
    <t>区分1</t>
    <rPh sb="0" eb="2">
      <t>クブン</t>
    </rPh>
    <phoneticPr fontId="4"/>
  </si>
  <si>
    <t>区分2</t>
    <rPh sb="0" eb="2">
      <t>クブン</t>
    </rPh>
    <phoneticPr fontId="4"/>
  </si>
  <si>
    <t>○　加算率</t>
    <rPh sb="2" eb="5">
      <t>カサンリツ</t>
    </rPh>
    <phoneticPr fontId="4"/>
  </si>
  <si>
    <t>D</t>
    <phoneticPr fontId="4"/>
  </si>
  <si>
    <t>C</t>
    <phoneticPr fontId="4"/>
  </si>
  <si>
    <t>A</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</si>
  <si>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</si>
  <si>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</si>
  <si>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</si>
  <si>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</si>
  <si>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処遇改善等加算（本園/標準時間）単価</t>
    <rPh sb="0" eb="7">
      <t>ショグウカイゼントウカサン</t>
    </rPh>
    <rPh sb="11" eb="15">
      <t>ヒョウジュンジカン</t>
    </rPh>
    <rPh sb="16" eb="18">
      <t>タンカ</t>
    </rPh>
    <phoneticPr fontId="4"/>
  </si>
  <si>
    <t>処遇改善等加算（本園/短時間）単価</t>
    <rPh sb="0" eb="5">
      <t>ショグウカイゼントウ</t>
    </rPh>
    <rPh sb="5" eb="7">
      <t>カサン</t>
    </rPh>
    <rPh sb="8" eb="10">
      <t>ホンエン</t>
    </rPh>
    <rPh sb="11" eb="14">
      <t>タンジカン</t>
    </rPh>
    <rPh sb="15" eb="17">
      <t>タンカ</t>
    </rPh>
    <phoneticPr fontId="4"/>
  </si>
  <si>
    <t>処遇改善等加算（分園/標準時間）単価</t>
    <rPh sb="0" eb="7">
      <t>ショグウカイゼントウカサン</t>
    </rPh>
    <rPh sb="11" eb="15">
      <t>ヒョウジュンジカン</t>
    </rPh>
    <rPh sb="16" eb="18">
      <t>タンカ</t>
    </rPh>
    <phoneticPr fontId="4"/>
  </si>
  <si>
    <t>処遇改善等加算（分園/短時間）単価</t>
    <rPh sb="0" eb="5">
      <t>ショグウカイゼントウ</t>
    </rPh>
    <rPh sb="5" eb="7">
      <t>カサン</t>
    </rPh>
    <rPh sb="11" eb="14">
      <t>タンジカン</t>
    </rPh>
    <rPh sb="15" eb="17">
      <t>タンカ</t>
    </rPh>
    <phoneticPr fontId="4"/>
  </si>
  <si>
    <t>3歳児配置改善加算単価</t>
    <rPh sb="1" eb="3">
      <t>サイジ</t>
    </rPh>
    <rPh sb="3" eb="9">
      <t>ハイチカイゼンカサン</t>
    </rPh>
    <rPh sb="9" eb="11">
      <t>タンカ</t>
    </rPh>
    <phoneticPr fontId="4"/>
  </si>
  <si>
    <t>1歳児配置改善加算単価</t>
    <rPh sb="1" eb="3">
      <t>サイジ</t>
    </rPh>
    <rPh sb="3" eb="9">
      <t>ハイチカイゼンカサン</t>
    </rPh>
    <rPh sb="9" eb="11">
      <t>タンカ</t>
    </rPh>
    <phoneticPr fontId="4"/>
  </si>
  <si>
    <t>4歳以上児配置改善加算単価</t>
    <rPh sb="1" eb="4">
      <t>サイイジョウ</t>
    </rPh>
    <rPh sb="4" eb="5">
      <t>ジ</t>
    </rPh>
    <rPh sb="5" eb="7">
      <t>ハイチ</t>
    </rPh>
    <rPh sb="7" eb="9">
      <t>カイゼン</t>
    </rPh>
    <rPh sb="9" eb="11">
      <t>カサン</t>
    </rPh>
    <rPh sb="11" eb="13">
      <t>タンカ</t>
    </rPh>
    <phoneticPr fontId="4"/>
  </si>
  <si>
    <t>休日保育</t>
    <rPh sb="0" eb="4">
      <t>キュウジツホイク</t>
    </rPh>
    <phoneticPr fontId="4"/>
  </si>
  <si>
    <t>～210人</t>
  </si>
  <si>
    <t>211人～279人</t>
  </si>
  <si>
    <t>280人～349人</t>
  </si>
  <si>
    <t>350人～419人</t>
  </si>
  <si>
    <t>420人～489人</t>
  </si>
  <si>
    <t>490人～559人</t>
  </si>
  <si>
    <t>560人～629人</t>
  </si>
  <si>
    <t>630人～699人</t>
  </si>
  <si>
    <t>700人～769人</t>
  </si>
  <si>
    <t>770人～839人</t>
  </si>
  <si>
    <t>840人～909人</t>
  </si>
  <si>
    <t>910人～979人</t>
  </si>
  <si>
    <t>980人～1049人</t>
  </si>
  <si>
    <t>1050人～</t>
  </si>
  <si>
    <t>休日保育加算単価</t>
    <rPh sb="0" eb="8">
      <t>キュウジツホイクカサンタンカ</t>
    </rPh>
    <phoneticPr fontId="4"/>
  </si>
  <si>
    <t>770人～839人</t>
    <phoneticPr fontId="4"/>
  </si>
  <si>
    <t>夜間保育加算単価</t>
    <rPh sb="0" eb="6">
      <t>ヤカンホイクカサン</t>
    </rPh>
    <rPh sb="6" eb="8">
      <t>タンカ</t>
    </rPh>
    <phoneticPr fontId="4"/>
  </si>
  <si>
    <t>分園の調整</t>
    <rPh sb="0" eb="2">
      <t>ブンエン</t>
    </rPh>
    <rPh sb="3" eb="5">
      <t>チョウセイ</t>
    </rPh>
    <phoneticPr fontId="4"/>
  </si>
  <si>
    <t>療育支援加算単価</t>
    <rPh sb="0" eb="6">
      <t>リョウイクシエンカサン</t>
    </rPh>
    <rPh sb="6" eb="8">
      <t>タンカ</t>
    </rPh>
    <phoneticPr fontId="2"/>
  </si>
  <si>
    <t>栄養管理加算単価</t>
    <rPh sb="0" eb="6">
      <t>エイヨウカンリカサン</t>
    </rPh>
    <rPh sb="6" eb="8">
      <t>タンカ</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</si>
  <si>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</si>
  <si>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</si>
  <si>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</si>
  <si>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</si>
  <si>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</si>
  <si>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</si>
  <si>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</si>
  <si>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</si>
  <si>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加算率（a）</t>
    <rPh sb="0" eb="3">
      <t>カサンリツ</t>
    </rPh>
    <phoneticPr fontId="2"/>
  </si>
  <si>
    <t>加算率（b）</t>
    <rPh sb="0" eb="3">
      <t>カサンリツ</t>
    </rPh>
    <phoneticPr fontId="2"/>
  </si>
  <si>
    <t>チーム保育</t>
    <rPh sb="3" eb="5">
      <t>ホイク</t>
    </rPh>
    <phoneticPr fontId="4"/>
  </si>
  <si>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</si>
  <si>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</si>
  <si>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</si>
  <si>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</si>
  <si>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</si>
  <si>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flag</t>
    <phoneticPr fontId="4"/>
  </si>
  <si>
    <t>土曜閉所減算単価</t>
    <rPh sb="0" eb="4">
      <t>ドヨウヘイショ</t>
    </rPh>
    <rPh sb="4" eb="6">
      <t>ゲンサン</t>
    </rPh>
    <rPh sb="6" eb="8">
      <t>タンカ</t>
    </rPh>
    <phoneticPr fontId="4"/>
  </si>
  <si>
    <t>1歳児配置改善</t>
    <rPh sb="1" eb="3">
      <t>サイジ</t>
    </rPh>
    <rPh sb="3" eb="5">
      <t>ハイチ</t>
    </rPh>
    <rPh sb="5" eb="7">
      <t>カイゼン</t>
    </rPh>
    <phoneticPr fontId="6"/>
  </si>
  <si>
    <t>チーム保育加配加算</t>
    <rPh sb="3" eb="5">
      <t>ホイク</t>
    </rPh>
    <rPh sb="5" eb="7">
      <t>カハイ</t>
    </rPh>
    <rPh sb="7" eb="9">
      <t>カサン</t>
    </rPh>
    <phoneticPr fontId="4"/>
  </si>
  <si>
    <t>1号2号利用定員</t>
    <rPh sb="1" eb="2">
      <t>ゴウ</t>
    </rPh>
    <rPh sb="3" eb="4">
      <t>ゴウ</t>
    </rPh>
    <rPh sb="4" eb="6">
      <t>リヨウ</t>
    </rPh>
    <rPh sb="6" eb="8">
      <t>テイイン</t>
    </rPh>
    <phoneticPr fontId="4"/>
  </si>
  <si>
    <t>10人まで</t>
    <rPh sb="2" eb="3">
      <t>ヒト</t>
    </rPh>
    <phoneticPr fontId="4"/>
  </si>
  <si>
    <t>～10人</t>
    <rPh sb="3" eb="4">
      <t>ヒト</t>
    </rPh>
    <phoneticPr fontId="4"/>
  </si>
  <si>
    <t>11人～15人</t>
    <rPh sb="2" eb="3">
      <t>ヒト</t>
    </rPh>
    <rPh sb="6" eb="7">
      <t>ヒト</t>
    </rPh>
    <phoneticPr fontId="4"/>
  </si>
  <si>
    <t>16人～20人</t>
    <rPh sb="2" eb="3">
      <t>ヒト</t>
    </rPh>
    <rPh sb="6" eb="7">
      <t>ヒト</t>
    </rPh>
    <phoneticPr fontId="4"/>
  </si>
  <si>
    <t>21人～25人</t>
    <rPh sb="2" eb="3">
      <t>ヒト</t>
    </rPh>
    <rPh sb="6" eb="7">
      <t>ヒト</t>
    </rPh>
    <phoneticPr fontId="4"/>
  </si>
  <si>
    <t>26人～30人</t>
    <rPh sb="2" eb="3">
      <t>ヒト</t>
    </rPh>
    <rPh sb="6" eb="7">
      <t>ヒト</t>
    </rPh>
    <phoneticPr fontId="4"/>
  </si>
  <si>
    <t>E</t>
    <phoneticPr fontId="4"/>
  </si>
  <si>
    <t>31人～35人</t>
    <rPh sb="2" eb="3">
      <t>ヒト</t>
    </rPh>
    <rPh sb="6" eb="7">
      <t>ヒト</t>
    </rPh>
    <phoneticPr fontId="4"/>
  </si>
  <si>
    <t>F</t>
    <phoneticPr fontId="4"/>
  </si>
  <si>
    <t>36人～40人</t>
    <rPh sb="2" eb="3">
      <t>ヒト</t>
    </rPh>
    <rPh sb="6" eb="7">
      <t>ヒト</t>
    </rPh>
    <phoneticPr fontId="4"/>
  </si>
  <si>
    <t>G</t>
    <phoneticPr fontId="4"/>
  </si>
  <si>
    <t>41人～45人</t>
    <rPh sb="2" eb="3">
      <t>ヒト</t>
    </rPh>
    <rPh sb="6" eb="7">
      <t>ヒト</t>
    </rPh>
    <phoneticPr fontId="4"/>
  </si>
  <si>
    <t>H</t>
    <phoneticPr fontId="4"/>
  </si>
  <si>
    <t>処遇改善等加算Ⅱ(A)</t>
    <rPh sb="0" eb="2">
      <t>ショグウ</t>
    </rPh>
    <rPh sb="2" eb="4">
      <t>カイゼン</t>
    </rPh>
    <rPh sb="4" eb="5">
      <t>トウ</t>
    </rPh>
    <rPh sb="5" eb="7">
      <t>カサン</t>
    </rPh>
    <phoneticPr fontId="4"/>
  </si>
  <si>
    <t>16人から20人まで</t>
    <rPh sb="2" eb="3">
      <t>ヒト</t>
    </rPh>
    <rPh sb="7" eb="8">
      <t>ヒト</t>
    </rPh>
    <phoneticPr fontId="6"/>
  </si>
  <si>
    <t>46人～50人</t>
    <rPh sb="2" eb="3">
      <t>ヒト</t>
    </rPh>
    <rPh sb="6" eb="7">
      <t>ヒト</t>
    </rPh>
    <phoneticPr fontId="4"/>
  </si>
  <si>
    <t>I</t>
    <phoneticPr fontId="4"/>
  </si>
  <si>
    <t>処遇改善等加算Ⅱ(B)</t>
    <rPh sb="0" eb="2">
      <t>ショグウ</t>
    </rPh>
    <rPh sb="2" eb="4">
      <t>カイゼン</t>
    </rPh>
    <rPh sb="4" eb="5">
      <t>トウ</t>
    </rPh>
    <rPh sb="5" eb="7">
      <t>カサン</t>
    </rPh>
    <phoneticPr fontId="4"/>
  </si>
  <si>
    <t>51人～55人</t>
    <rPh sb="2" eb="3">
      <t>ヒト</t>
    </rPh>
    <rPh sb="6" eb="7">
      <t>ヒト</t>
    </rPh>
    <phoneticPr fontId="4"/>
  </si>
  <si>
    <t>J</t>
    <phoneticPr fontId="4"/>
  </si>
  <si>
    <t>56人～60人</t>
    <rPh sb="2" eb="3">
      <t>ヒト</t>
    </rPh>
    <rPh sb="6" eb="7">
      <t>ヒト</t>
    </rPh>
    <phoneticPr fontId="4"/>
  </si>
  <si>
    <t>K</t>
    <phoneticPr fontId="4"/>
  </si>
  <si>
    <t>61人～75人</t>
    <rPh sb="2" eb="3">
      <t>ヒト</t>
    </rPh>
    <rPh sb="6" eb="7">
      <t>ヒト</t>
    </rPh>
    <phoneticPr fontId="4"/>
  </si>
  <si>
    <t>L</t>
    <phoneticPr fontId="4"/>
  </si>
  <si>
    <t>70人～90人</t>
    <rPh sb="2" eb="3">
      <t>ヒト</t>
    </rPh>
    <rPh sb="6" eb="7">
      <t>ヒト</t>
    </rPh>
    <phoneticPr fontId="4"/>
  </si>
  <si>
    <t>M</t>
    <phoneticPr fontId="4"/>
  </si>
  <si>
    <t>91人～105人</t>
    <rPh sb="2" eb="3">
      <t>ヒト</t>
    </rPh>
    <rPh sb="7" eb="8">
      <t>ヒト</t>
    </rPh>
    <phoneticPr fontId="4"/>
  </si>
  <si>
    <t>N</t>
    <phoneticPr fontId="4"/>
  </si>
  <si>
    <t>106人～120人</t>
    <rPh sb="3" eb="4">
      <t>ヒト</t>
    </rPh>
    <phoneticPr fontId="4"/>
  </si>
  <si>
    <t>O</t>
    <phoneticPr fontId="4"/>
  </si>
  <si>
    <t>121人～135人</t>
    <phoneticPr fontId="4"/>
  </si>
  <si>
    <t>P</t>
    <phoneticPr fontId="4"/>
  </si>
  <si>
    <t>136人～150人</t>
    <phoneticPr fontId="4"/>
  </si>
  <si>
    <t>Q</t>
    <phoneticPr fontId="4"/>
  </si>
  <si>
    <t>151人～180人</t>
    <phoneticPr fontId="4"/>
  </si>
  <si>
    <t>R</t>
    <phoneticPr fontId="4"/>
  </si>
  <si>
    <t>181人～210人</t>
    <phoneticPr fontId="4"/>
  </si>
  <si>
    <t>S</t>
    <phoneticPr fontId="4"/>
  </si>
  <si>
    <t>211人～240人</t>
    <phoneticPr fontId="4"/>
  </si>
  <si>
    <t>T</t>
    <phoneticPr fontId="4"/>
  </si>
  <si>
    <t>241人～270人</t>
    <rPh sb="8" eb="9">
      <t>ヒト</t>
    </rPh>
    <phoneticPr fontId="4"/>
  </si>
  <si>
    <t>U</t>
    <phoneticPr fontId="4"/>
  </si>
  <si>
    <t>270人～300人</t>
    <rPh sb="8" eb="9">
      <t>ヒト</t>
    </rPh>
    <phoneticPr fontId="4"/>
  </si>
  <si>
    <t>V</t>
    <phoneticPr fontId="4"/>
  </si>
  <si>
    <t>301人～</t>
    <phoneticPr fontId="4"/>
  </si>
  <si>
    <t>W</t>
    <phoneticPr fontId="4"/>
  </si>
  <si>
    <t>副園長・教頭配置</t>
    <rPh sb="0" eb="3">
      <t>フクエンチョウ</t>
    </rPh>
    <rPh sb="4" eb="6">
      <t>キョウトウ</t>
    </rPh>
    <rPh sb="6" eb="8">
      <t>ハイチ</t>
    </rPh>
    <phoneticPr fontId="4"/>
  </si>
  <si>
    <t>３歳児配置改善</t>
    <rPh sb="1" eb="3">
      <t>サイジ</t>
    </rPh>
    <rPh sb="3" eb="5">
      <t>ハイチ</t>
    </rPh>
    <rPh sb="5" eb="7">
      <t>カイゼン</t>
    </rPh>
    <phoneticPr fontId="4"/>
  </si>
  <si>
    <t>4歳以上児配置改善</t>
    <rPh sb="1" eb="4">
      <t>サイイジョウ</t>
    </rPh>
    <rPh sb="4" eb="5">
      <t>ジ</t>
    </rPh>
    <rPh sb="5" eb="7">
      <t>ハイチ</t>
    </rPh>
    <rPh sb="7" eb="9">
      <t>カイゼン</t>
    </rPh>
    <phoneticPr fontId="4"/>
  </si>
  <si>
    <t>満3歳児対応加配(3歳児配置改善なし）</t>
    <rPh sb="0" eb="1">
      <t>ミツル</t>
    </rPh>
    <rPh sb="2" eb="4">
      <t>サイジ</t>
    </rPh>
    <rPh sb="4" eb="6">
      <t>タイオウ</t>
    </rPh>
    <rPh sb="6" eb="8">
      <t>カハイ</t>
    </rPh>
    <rPh sb="10" eb="12">
      <t>サイジ</t>
    </rPh>
    <rPh sb="12" eb="14">
      <t>ハイチ</t>
    </rPh>
    <rPh sb="14" eb="16">
      <t>カイゼン</t>
    </rPh>
    <phoneticPr fontId="4"/>
  </si>
  <si>
    <t>満3歳児対応加配(3歳児配置改善あり）</t>
    <rPh sb="0" eb="1">
      <t>ミツル</t>
    </rPh>
    <rPh sb="2" eb="4">
      <t>サイジ</t>
    </rPh>
    <rPh sb="4" eb="6">
      <t>タイオウ</t>
    </rPh>
    <rPh sb="6" eb="8">
      <t>カハイ</t>
    </rPh>
    <rPh sb="10" eb="12">
      <t>サイジ</t>
    </rPh>
    <rPh sb="12" eb="14">
      <t>ハイチ</t>
    </rPh>
    <rPh sb="14" eb="16">
      <t>カイゼン</t>
    </rPh>
    <phoneticPr fontId="4"/>
  </si>
  <si>
    <t>講師配置</t>
    <rPh sb="0" eb="2">
      <t>コウシ</t>
    </rPh>
    <rPh sb="2" eb="4">
      <t>ハイチ</t>
    </rPh>
    <phoneticPr fontId="4"/>
  </si>
  <si>
    <t>チーム保育加配</t>
    <rPh sb="3" eb="5">
      <t>ホイク</t>
    </rPh>
    <rPh sb="5" eb="7">
      <t>カハイ</t>
    </rPh>
    <phoneticPr fontId="4"/>
  </si>
  <si>
    <t>通園送迎</t>
    <rPh sb="0" eb="2">
      <t>ツウエン</t>
    </rPh>
    <rPh sb="2" eb="4">
      <t>ソウゲイ</t>
    </rPh>
    <phoneticPr fontId="4"/>
  </si>
  <si>
    <t>給食実施（施設内）</t>
    <rPh sb="0" eb="2">
      <t>キュウショク</t>
    </rPh>
    <rPh sb="2" eb="4">
      <t>ジッシ</t>
    </rPh>
    <rPh sb="5" eb="7">
      <t>シセツ</t>
    </rPh>
    <rPh sb="7" eb="8">
      <t>ナイ</t>
    </rPh>
    <phoneticPr fontId="4"/>
  </si>
  <si>
    <t>給食実施（外部搬入）</t>
    <rPh sb="0" eb="2">
      <t>キュウショク</t>
    </rPh>
    <rPh sb="2" eb="4">
      <t>ジッシ</t>
    </rPh>
    <rPh sb="5" eb="7">
      <t>ガイブ</t>
    </rPh>
    <rPh sb="7" eb="9">
      <t>ハンニュウ</t>
    </rPh>
    <phoneticPr fontId="4"/>
  </si>
  <si>
    <t>a</t>
    <phoneticPr fontId="6"/>
  </si>
  <si>
    <t>b</t>
    <phoneticPr fontId="6"/>
  </si>
  <si>
    <t>16人から20人まで</t>
    <rPh sb="2" eb="3">
      <t>ヒト</t>
    </rPh>
    <rPh sb="7" eb="8">
      <t>ヒト</t>
    </rPh>
    <phoneticPr fontId="4"/>
  </si>
  <si>
    <t>21人から25人まで</t>
    <rPh sb="2" eb="3">
      <t>ヒト</t>
    </rPh>
    <rPh sb="7" eb="8">
      <t>ヒト</t>
    </rPh>
    <phoneticPr fontId="4"/>
  </si>
  <si>
    <t>事務職員配置</t>
    <rPh sb="0" eb="2">
      <t>ジム</t>
    </rPh>
    <rPh sb="2" eb="4">
      <t>ショクイン</t>
    </rPh>
    <rPh sb="4" eb="6">
      <t>ハイチ</t>
    </rPh>
    <phoneticPr fontId="6"/>
  </si>
  <si>
    <t>指導充実加配</t>
    <rPh sb="0" eb="2">
      <t>シドウ</t>
    </rPh>
    <rPh sb="2" eb="4">
      <t>ジュウジツ</t>
    </rPh>
    <rPh sb="4" eb="6">
      <t>カハイ</t>
    </rPh>
    <phoneticPr fontId="6"/>
  </si>
  <si>
    <t>事務負担対応加配</t>
    <rPh sb="0" eb="2">
      <t>ジム</t>
    </rPh>
    <rPh sb="2" eb="4">
      <t>フタン</t>
    </rPh>
    <rPh sb="4" eb="6">
      <t>タイオウ</t>
    </rPh>
    <rPh sb="6" eb="8">
      <t>カハイ</t>
    </rPh>
    <phoneticPr fontId="6"/>
  </si>
  <si>
    <t>61人から75人まで</t>
    <rPh sb="2" eb="3">
      <t>ヒト</t>
    </rPh>
    <rPh sb="7" eb="8">
      <t>ヒト</t>
    </rPh>
    <phoneticPr fontId="4"/>
  </si>
  <si>
    <t>76人から90人まで</t>
    <rPh sb="2" eb="3">
      <t>ヒト</t>
    </rPh>
    <rPh sb="7" eb="8">
      <t>ヒト</t>
    </rPh>
    <phoneticPr fontId="4"/>
  </si>
  <si>
    <t>91人から105人まで</t>
    <rPh sb="2" eb="3">
      <t>ヒト</t>
    </rPh>
    <rPh sb="8" eb="9">
      <t>ヒト</t>
    </rPh>
    <phoneticPr fontId="4"/>
  </si>
  <si>
    <t>106人から120人まで</t>
    <rPh sb="3" eb="4">
      <t>ヒト</t>
    </rPh>
    <rPh sb="9" eb="10">
      <t>ヒト</t>
    </rPh>
    <phoneticPr fontId="4"/>
  </si>
  <si>
    <t>121人から135人まで</t>
    <rPh sb="3" eb="4">
      <t>ヒト</t>
    </rPh>
    <rPh sb="9" eb="10">
      <t>ヒト</t>
    </rPh>
    <phoneticPr fontId="4"/>
  </si>
  <si>
    <t>136人から150人まで</t>
    <rPh sb="3" eb="4">
      <t>ヒト</t>
    </rPh>
    <rPh sb="9" eb="10">
      <t>ヒト</t>
    </rPh>
    <phoneticPr fontId="4"/>
  </si>
  <si>
    <t>151人から180人まで</t>
    <rPh sb="3" eb="4">
      <t>ヒト</t>
    </rPh>
    <rPh sb="9" eb="10">
      <t>ヒト</t>
    </rPh>
    <phoneticPr fontId="4"/>
  </si>
  <si>
    <t>181人から210人まで</t>
    <rPh sb="3" eb="4">
      <t>ヒト</t>
    </rPh>
    <rPh sb="9" eb="10">
      <t>ヒト</t>
    </rPh>
    <phoneticPr fontId="4"/>
  </si>
  <si>
    <t>211人から240人まで</t>
    <rPh sb="3" eb="4">
      <t>ヒト</t>
    </rPh>
    <rPh sb="9" eb="10">
      <t>ヒト</t>
    </rPh>
    <phoneticPr fontId="4"/>
  </si>
  <si>
    <t>241人から270人まで</t>
    <rPh sb="3" eb="4">
      <t>ヒト</t>
    </rPh>
    <rPh sb="9" eb="10">
      <t>ヒト</t>
    </rPh>
    <phoneticPr fontId="4"/>
  </si>
  <si>
    <t>271人から300人まで</t>
    <rPh sb="3" eb="4">
      <t>ヒト</t>
    </rPh>
    <rPh sb="9" eb="10">
      <t>ヒト</t>
    </rPh>
    <phoneticPr fontId="4"/>
  </si>
  <si>
    <t>301人以上</t>
    <rPh sb="3" eb="4">
      <t>ヒト</t>
    </rPh>
    <rPh sb="4" eb="6">
      <t>イジョウ</t>
    </rPh>
    <phoneticPr fontId="4"/>
  </si>
  <si>
    <t>【1号2号利用定員】</t>
    <rPh sb="2" eb="3">
      <t>ゴウ</t>
    </rPh>
    <rPh sb="4" eb="5">
      <t>ゴウ</t>
    </rPh>
    <rPh sb="5" eb="7">
      <t>リヨウ</t>
    </rPh>
    <rPh sb="7" eb="9">
      <t>テイイン</t>
    </rPh>
    <phoneticPr fontId="4"/>
  </si>
  <si>
    <t>学級編制調整</t>
    <rPh sb="0" eb="2">
      <t>ガッキュウ</t>
    </rPh>
    <rPh sb="2" eb="4">
      <t>ヘンセイ</t>
    </rPh>
    <rPh sb="4" eb="6">
      <t>チョウセイ</t>
    </rPh>
    <phoneticPr fontId="4"/>
  </si>
  <si>
    <t>11人から15人まで</t>
    <rPh sb="2" eb="3">
      <t>ヒト</t>
    </rPh>
    <rPh sb="7" eb="8">
      <t>ヒト</t>
    </rPh>
    <phoneticPr fontId="4"/>
  </si>
  <si>
    <t>主幹教諭等非専任化調整</t>
    <rPh sb="0" eb="1">
      <t>オモ</t>
    </rPh>
    <rPh sb="1" eb="2">
      <t>ミキ</t>
    </rPh>
    <rPh sb="2" eb="4">
      <t>キョウユ</t>
    </rPh>
    <rPh sb="4" eb="5">
      <t>トウ</t>
    </rPh>
    <rPh sb="5" eb="6">
      <t>ヒ</t>
    </rPh>
    <rPh sb="6" eb="8">
      <t>センニン</t>
    </rPh>
    <rPh sb="8" eb="9">
      <t>カ</t>
    </rPh>
    <rPh sb="9" eb="11">
      <t>チョウセイ</t>
    </rPh>
    <phoneticPr fontId="4"/>
  </si>
  <si>
    <t>検討メモ：年齢別配置基準違反と資格なしの減算はいったん無視している。</t>
    <rPh sb="0" eb="2">
      <t>ケントウ</t>
    </rPh>
    <rPh sb="5" eb="12">
      <t>ネンレイベツハイチキジュン</t>
    </rPh>
    <rPh sb="12" eb="14">
      <t>イハン</t>
    </rPh>
    <rPh sb="15" eb="17">
      <t>シカク</t>
    </rPh>
    <rPh sb="20" eb="22">
      <t>ゲンサン</t>
    </rPh>
    <rPh sb="27" eb="29">
      <t>ムシ</t>
    </rPh>
    <phoneticPr fontId="4"/>
  </si>
  <si>
    <t>土曜閉所</t>
    <rPh sb="0" eb="4">
      <t>ドヨウヘイショ</t>
    </rPh>
    <phoneticPr fontId="4"/>
  </si>
  <si>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</si>
  <si>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</si>
  <si>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</si>
  <si>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</si>
  <si>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主幹教諭等非専任化調整</t>
    <rPh sb="0" eb="2">
      <t>シュカン</t>
    </rPh>
    <rPh sb="2" eb="5">
      <t>キョウユトウ</t>
    </rPh>
    <rPh sb="5" eb="8">
      <t>ヒセンニン</t>
    </rPh>
    <rPh sb="8" eb="9">
      <t>バ</t>
    </rPh>
    <rPh sb="9" eb="11">
      <t>チョウセイ</t>
    </rPh>
    <phoneticPr fontId="6"/>
  </si>
  <si>
    <t>検討メモ：年齢別配置基準違反と資格なしの減算、1号こども利用定員設定なしの加算はいったん無視している。</t>
    <rPh sb="0" eb="2">
      <t>ケントウ</t>
    </rPh>
    <rPh sb="24" eb="25">
      <t>ゴウ</t>
    </rPh>
    <rPh sb="28" eb="30">
      <t>リヨウ</t>
    </rPh>
    <rPh sb="30" eb="32">
      <t>テイイン</t>
    </rPh>
    <rPh sb="32" eb="34">
      <t>セッテイ</t>
    </rPh>
    <rPh sb="37" eb="39">
      <t>カサン</t>
    </rPh>
    <rPh sb="44" eb="46">
      <t>ムシ</t>
    </rPh>
    <phoneticPr fontId="4"/>
  </si>
  <si>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</si>
  <si>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</si>
  <si>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</si>
  <si>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</si>
  <si>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</si>
  <si>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</si>
  <si>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</si>
  <si>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</si>
  <si>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</si>
  <si>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</si>
  <si>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</si>
  <si>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</si>
  <si>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</si>
  <si>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</si>
  <si>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</si>
  <si>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</si>
  <si>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</si>
  <si>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</si>
  <si>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</si>
  <si>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</si>
  <si>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</si>
  <si>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</si>
  <si>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列23</t>
  </si>
  <si>
    <t>列24</t>
  </si>
  <si>
    <t>列25</t>
  </si>
  <si>
    <t>列26</t>
  </si>
  <si>
    <t>列27</t>
  </si>
  <si>
    <t>【認定こども園用】処遇改善等加算区分1・2加算額見込み計算表</t>
    <rPh sb="1" eb="3">
      <t>ニンテイ</t>
    </rPh>
    <rPh sb="6" eb="7">
      <t>エン</t>
    </rPh>
    <rPh sb="7" eb="8">
      <t>ヨウ</t>
    </rPh>
    <rPh sb="9" eb="16">
      <t>ショグウカイゼントウカサン</t>
    </rPh>
    <phoneticPr fontId="4"/>
  </si>
  <si>
    <t>1号定員key1</t>
    <rPh sb="1" eb="2">
      <t>ゴウ</t>
    </rPh>
    <rPh sb="2" eb="4">
      <t>テイイン</t>
    </rPh>
    <phoneticPr fontId="4"/>
  </si>
  <si>
    <t>1号定員key2</t>
    <rPh sb="1" eb="2">
      <t>ゴウ</t>
    </rPh>
    <rPh sb="2" eb="4">
      <t>テイイン</t>
    </rPh>
    <phoneticPr fontId="4"/>
  </si>
  <si>
    <t>1号定員</t>
    <rPh sb="1" eb="4">
      <t>ゴウテイイン</t>
    </rPh>
    <phoneticPr fontId="4"/>
  </si>
  <si>
    <t>1号2号定員</t>
    <rPh sb="1" eb="2">
      <t>ゴウ</t>
    </rPh>
    <rPh sb="3" eb="4">
      <t>ゴウ</t>
    </rPh>
    <rPh sb="4" eb="6">
      <t>テイイン</t>
    </rPh>
    <phoneticPr fontId="4"/>
  </si>
  <si>
    <t>総定員</t>
    <rPh sb="0" eb="3">
      <t>ソウテイイン</t>
    </rPh>
    <phoneticPr fontId="4"/>
  </si>
  <si>
    <t>〇　【1号】平均利用子ども数（見込）</t>
    <rPh sb="4" eb="5">
      <t>ゴウ</t>
    </rPh>
    <rPh sb="6" eb="10">
      <t>ヘイキンリヨウ</t>
    </rPh>
    <rPh sb="10" eb="11">
      <t>コ</t>
    </rPh>
    <rPh sb="13" eb="14">
      <t>カズ</t>
    </rPh>
    <rPh sb="15" eb="17">
      <t>ミコ</t>
    </rPh>
    <phoneticPr fontId="4"/>
  </si>
  <si>
    <t>〇　【2・3号】平均利用子ども数（見込）</t>
    <rPh sb="6" eb="7">
      <t>ゴウ</t>
    </rPh>
    <rPh sb="8" eb="12">
      <t>ヘイキンリヨウ</t>
    </rPh>
    <rPh sb="12" eb="13">
      <t>コ</t>
    </rPh>
    <rPh sb="15" eb="16">
      <t>カズ</t>
    </rPh>
    <rPh sb="17" eb="19">
      <t>ミコ</t>
    </rPh>
    <phoneticPr fontId="4"/>
  </si>
  <si>
    <t>【1号】</t>
    <rPh sb="2" eb="3">
      <t>ゴウ</t>
    </rPh>
    <phoneticPr fontId="4"/>
  </si>
  <si>
    <t>【2号】</t>
    <rPh sb="2" eb="3">
      <t>ゴウ</t>
    </rPh>
    <phoneticPr fontId="4"/>
  </si>
  <si>
    <t>【3号】</t>
    <rPh sb="2" eb="3">
      <t>ゴウ</t>
    </rPh>
    <phoneticPr fontId="4"/>
  </si>
  <si>
    <t>教育標準時間</t>
    <rPh sb="0" eb="2">
      <t>キョウイク</t>
    </rPh>
    <rPh sb="2" eb="6">
      <t>ヒョウジュンジカン</t>
    </rPh>
    <phoneticPr fontId="4"/>
  </si>
  <si>
    <t>副園長・教頭配置加算</t>
    <rPh sb="0" eb="3">
      <t>フクエンチョウ</t>
    </rPh>
    <rPh sb="4" eb="6">
      <t>キョウトウ</t>
    </rPh>
    <rPh sb="6" eb="8">
      <t>ハイチ</t>
    </rPh>
    <rPh sb="8" eb="10">
      <t>カサン</t>
    </rPh>
    <phoneticPr fontId="2"/>
  </si>
  <si>
    <t>学級編成調整加配加算</t>
    <phoneticPr fontId="2"/>
  </si>
  <si>
    <t>満３歳児対応加配加算</t>
    <phoneticPr fontId="2"/>
  </si>
  <si>
    <t>講師配置加算</t>
    <rPh sb="0" eb="2">
      <t>コウシ</t>
    </rPh>
    <rPh sb="2" eb="4">
      <t>ハイチ</t>
    </rPh>
    <rPh sb="4" eb="6">
      <t>カサン</t>
    </rPh>
    <phoneticPr fontId="2"/>
  </si>
  <si>
    <t>チーム保育加配加算</t>
    <rPh sb="3" eb="5">
      <t>ホイク</t>
    </rPh>
    <rPh sb="5" eb="7">
      <t>カハイ</t>
    </rPh>
    <rPh sb="7" eb="9">
      <t>カサン</t>
    </rPh>
    <phoneticPr fontId="2"/>
  </si>
  <si>
    <t>通園送迎加算</t>
    <rPh sb="0" eb="2">
      <t>ツウエン</t>
    </rPh>
    <rPh sb="2" eb="4">
      <t>ソウゲイ</t>
    </rPh>
    <rPh sb="4" eb="6">
      <t>カサン</t>
    </rPh>
    <phoneticPr fontId="2"/>
  </si>
  <si>
    <t>給食実施加算</t>
    <rPh sb="0" eb="6">
      <t>キュウショクジッシカサン</t>
    </rPh>
    <phoneticPr fontId="4"/>
  </si>
  <si>
    <t>給食実施</t>
    <rPh sb="0" eb="2">
      <t>キュウショク</t>
    </rPh>
    <rPh sb="2" eb="4">
      <t>ジッシ</t>
    </rPh>
    <phoneticPr fontId="4"/>
  </si>
  <si>
    <t>施設内調理</t>
    <rPh sb="0" eb="3">
      <t>シセツナイ</t>
    </rPh>
    <rPh sb="3" eb="5">
      <t>チョウリ</t>
    </rPh>
    <phoneticPr fontId="4"/>
  </si>
  <si>
    <t>外部搬入</t>
    <rPh sb="0" eb="4">
      <t>ガイブハンニュウ</t>
    </rPh>
    <phoneticPr fontId="4"/>
  </si>
  <si>
    <t>主幹保育教諭等専任化なしの調整（減算）</t>
    <rPh sb="0" eb="2">
      <t>シュカン</t>
    </rPh>
    <rPh sb="2" eb="4">
      <t>ホイク</t>
    </rPh>
    <rPh sb="4" eb="7">
      <t>キョウユトウ</t>
    </rPh>
    <rPh sb="7" eb="9">
      <t>センニン</t>
    </rPh>
    <rPh sb="9" eb="10">
      <t>バ</t>
    </rPh>
    <rPh sb="13" eb="15">
      <t>チョウセイ</t>
    </rPh>
    <rPh sb="16" eb="18">
      <t>ゲンサン</t>
    </rPh>
    <phoneticPr fontId="2"/>
  </si>
  <si>
    <t>事務職員配置加算</t>
    <rPh sb="0" eb="2">
      <t>ジム</t>
    </rPh>
    <rPh sb="2" eb="4">
      <t>ショクイン</t>
    </rPh>
    <rPh sb="4" eb="6">
      <t>ハイチ</t>
    </rPh>
    <rPh sb="6" eb="8">
      <t>カサン</t>
    </rPh>
    <phoneticPr fontId="2"/>
  </si>
  <si>
    <t>指導充実加配加算</t>
    <rPh sb="0" eb="6">
      <t>シドウジュウジツカハイ</t>
    </rPh>
    <rPh sb="6" eb="8">
      <t>カサン</t>
    </rPh>
    <phoneticPr fontId="2"/>
  </si>
  <si>
    <t>事務負担対応加配加算</t>
    <rPh sb="0" eb="6">
      <t>ジムフタンタイオウ</t>
    </rPh>
    <rPh sb="6" eb="8">
      <t>カハイ</t>
    </rPh>
    <rPh sb="8" eb="10">
      <t>カサン</t>
    </rPh>
    <phoneticPr fontId="2"/>
  </si>
  <si>
    <t>満3歳児</t>
    <rPh sb="0" eb="1">
      <t>ミツル</t>
    </rPh>
    <rPh sb="2" eb="4">
      <t>サイジ</t>
    </rPh>
    <phoneticPr fontId="4"/>
  </si>
  <si>
    <t>※ 満3歳児を除く。</t>
    <rPh sb="2" eb="3">
      <t>ミツル</t>
    </rPh>
    <rPh sb="4" eb="6">
      <t>サイジ</t>
    </rPh>
    <rPh sb="7" eb="8">
      <t>ノゾ</t>
    </rPh>
    <phoneticPr fontId="4"/>
  </si>
  <si>
    <t>2・3号定員（全体）</t>
    <rPh sb="3" eb="6">
      <t>ゴウテイイン</t>
    </rPh>
    <rPh sb="7" eb="9">
      <t>ゼンタイ</t>
    </rPh>
    <phoneticPr fontId="4"/>
  </si>
  <si>
    <t>2・3号定員（本園）</t>
    <rPh sb="3" eb="6">
      <t>ゴウテイイン</t>
    </rPh>
    <rPh sb="7" eb="9">
      <t>ホンエン</t>
    </rPh>
    <phoneticPr fontId="4"/>
  </si>
  <si>
    <t>2・3号定員（分園）</t>
    <rPh sb="3" eb="6">
      <t>ゴウテイイン</t>
    </rPh>
    <rPh sb="7" eb="9">
      <t>ブンエン</t>
    </rPh>
    <phoneticPr fontId="4"/>
  </si>
  <si>
    <t>参考／園全体</t>
    <rPh sb="0" eb="2">
      <t>サンコウ</t>
    </rPh>
    <rPh sb="3" eb="4">
      <t>ソノ</t>
    </rPh>
    <rPh sb="4" eb="6">
      <t>ゼンタイ</t>
    </rPh>
    <phoneticPr fontId="4"/>
  </si>
  <si>
    <t>チーム保育加配加算単価</t>
    <rPh sb="3" eb="5">
      <t>ホイク</t>
    </rPh>
    <rPh sb="5" eb="7">
      <t>カハイ</t>
    </rPh>
    <rPh sb="7" eb="9">
      <t>カサン</t>
    </rPh>
    <rPh sb="9" eb="11">
      <t>タンカ</t>
    </rPh>
    <phoneticPr fontId="4"/>
  </si>
  <si>
    <t>主幹教諭等専任化なしの調整</t>
    <rPh sb="0" eb="2">
      <t>シュカン</t>
    </rPh>
    <rPh sb="2" eb="4">
      <t>キョウユ</t>
    </rPh>
    <rPh sb="4" eb="5">
      <t>トウ</t>
    </rPh>
    <rPh sb="5" eb="7">
      <t>センニン</t>
    </rPh>
    <rPh sb="7" eb="8">
      <t>バ</t>
    </rPh>
    <rPh sb="11" eb="13">
      <t>チョウセイ</t>
    </rPh>
    <phoneticPr fontId="4"/>
  </si>
  <si>
    <t>b</t>
    <phoneticPr fontId="4"/>
  </si>
  <si>
    <t>a</t>
    <phoneticPr fontId="4"/>
  </si>
  <si>
    <t>処遇改善等加算単価</t>
    <rPh sb="0" eb="7">
      <t>ショグウカイゼントウカサン</t>
    </rPh>
    <rPh sb="7" eb="9">
      <t>タンカ</t>
    </rPh>
    <phoneticPr fontId="4"/>
  </si>
  <si>
    <t>副園長・教頭配置加算単価</t>
    <rPh sb="0" eb="3">
      <t>フクエンチョウ</t>
    </rPh>
    <rPh sb="4" eb="6">
      <t>キョウトウ</t>
    </rPh>
    <rPh sb="6" eb="8">
      <t>ハイチ</t>
    </rPh>
    <rPh sb="8" eb="10">
      <t>カサン</t>
    </rPh>
    <rPh sb="10" eb="12">
      <t>タンカ</t>
    </rPh>
    <phoneticPr fontId="4"/>
  </si>
  <si>
    <t>学級編成調整加配加算単価</t>
    <rPh sb="0" eb="2">
      <t>ガッキュウ</t>
    </rPh>
    <rPh sb="2" eb="4">
      <t>ヘンセイ</t>
    </rPh>
    <rPh sb="4" eb="6">
      <t>チョウセイ</t>
    </rPh>
    <rPh sb="6" eb="8">
      <t>カハイ</t>
    </rPh>
    <rPh sb="8" eb="10">
      <t>カサン</t>
    </rPh>
    <rPh sb="10" eb="12">
      <t>タンカ</t>
    </rPh>
    <phoneticPr fontId="4"/>
  </si>
  <si>
    <t>3歳児配置改善加算単価</t>
  </si>
  <si>
    <t>4歳以上児配置改善加算単価</t>
    <rPh sb="1" eb="4">
      <t>サイイジョウ</t>
    </rPh>
    <rPh sb="4" eb="5">
      <t>コ</t>
    </rPh>
    <rPh sb="5" eb="7">
      <t>ハイチ</t>
    </rPh>
    <rPh sb="7" eb="9">
      <t>カイゼン</t>
    </rPh>
    <rPh sb="9" eb="11">
      <t>カサン</t>
    </rPh>
    <rPh sb="11" eb="13">
      <t>タンカ</t>
    </rPh>
    <phoneticPr fontId="4"/>
  </si>
  <si>
    <t>講師配置加算単価</t>
    <rPh sb="0" eb="6">
      <t>コウシハイチカサン</t>
    </rPh>
    <rPh sb="6" eb="8">
      <t>タンカ</t>
    </rPh>
    <phoneticPr fontId="4"/>
  </si>
  <si>
    <t>満３歳児対応加配加算単価</t>
    <rPh sb="0" eb="1">
      <t>マン</t>
    </rPh>
    <rPh sb="2" eb="4">
      <t>サイジ</t>
    </rPh>
    <rPh sb="4" eb="6">
      <t>タイオウ</t>
    </rPh>
    <rPh sb="6" eb="8">
      <t>カハイ</t>
    </rPh>
    <rPh sb="8" eb="10">
      <t>カサン</t>
    </rPh>
    <rPh sb="10" eb="12">
      <t>タンカ</t>
    </rPh>
    <phoneticPr fontId="4"/>
  </si>
  <si>
    <t>通園送迎費加算単価</t>
    <rPh sb="0" eb="2">
      <t>ツウエン</t>
    </rPh>
    <rPh sb="2" eb="4">
      <t>ソウゲイ</t>
    </rPh>
    <rPh sb="4" eb="5">
      <t>ヒ</t>
    </rPh>
    <rPh sb="5" eb="7">
      <t>カサン</t>
    </rPh>
    <rPh sb="7" eb="9">
      <t>タンカ</t>
    </rPh>
    <phoneticPr fontId="4"/>
  </si>
  <si>
    <t>給食日数</t>
    <rPh sb="0" eb="2">
      <t>キュウショク</t>
    </rPh>
    <rPh sb="2" eb="4">
      <t>ニッスウ</t>
    </rPh>
    <phoneticPr fontId="4"/>
  </si>
  <si>
    <t>給食実施加算単価（自園調理）</t>
    <rPh sb="0" eb="6">
      <t>キュウショクジッシカサン</t>
    </rPh>
    <rPh sb="6" eb="8">
      <t>タンカ</t>
    </rPh>
    <rPh sb="9" eb="10">
      <t>ジ</t>
    </rPh>
    <rPh sb="10" eb="11">
      <t>ソノ</t>
    </rPh>
    <rPh sb="11" eb="13">
      <t>チョウリ</t>
    </rPh>
    <phoneticPr fontId="4"/>
  </si>
  <si>
    <t>給食実施加算単価（外部搬入）</t>
    <rPh sb="0" eb="6">
      <t>キュウショクジッシカサン</t>
    </rPh>
    <rPh sb="6" eb="8">
      <t>タンカ</t>
    </rPh>
    <rPh sb="9" eb="13">
      <t>ガイブハンニュウ</t>
    </rPh>
    <phoneticPr fontId="4"/>
  </si>
  <si>
    <t>事務職員配置加算単価</t>
    <rPh sb="0" eb="2">
      <t>ジム</t>
    </rPh>
    <rPh sb="2" eb="4">
      <t>ショクイン</t>
    </rPh>
    <rPh sb="4" eb="6">
      <t>ハイチ</t>
    </rPh>
    <rPh sb="6" eb="8">
      <t>カサン</t>
    </rPh>
    <rPh sb="8" eb="10">
      <t>タンカ</t>
    </rPh>
    <phoneticPr fontId="4"/>
  </si>
  <si>
    <t>指導充実加配加算単価</t>
    <rPh sb="0" eb="2">
      <t>シドウ</t>
    </rPh>
    <rPh sb="2" eb="4">
      <t>ジュウジツ</t>
    </rPh>
    <rPh sb="4" eb="6">
      <t>カハイ</t>
    </rPh>
    <rPh sb="6" eb="8">
      <t>カサン</t>
    </rPh>
    <rPh sb="8" eb="10">
      <t>タンカ</t>
    </rPh>
    <phoneticPr fontId="4"/>
  </si>
  <si>
    <t>事務負担対応加配加算単価</t>
    <rPh sb="0" eb="6">
      <t>ジムフタンタイオウ</t>
    </rPh>
    <rPh sb="6" eb="10">
      <t>カハイカサン</t>
    </rPh>
    <rPh sb="10" eb="12">
      <t>タンカ</t>
    </rPh>
    <phoneticPr fontId="4"/>
  </si>
  <si>
    <t>月額（1号）</t>
    <rPh sb="0" eb="2">
      <t>ゲツガク</t>
    </rPh>
    <rPh sb="4" eb="5">
      <t>ゴウ</t>
    </rPh>
    <phoneticPr fontId="4"/>
  </si>
  <si>
    <t>月額（2・3号）</t>
    <rPh sb="0" eb="2">
      <t>ゲツガク</t>
    </rPh>
    <rPh sb="6" eb="7">
      <t>ゴウ</t>
    </rPh>
    <phoneticPr fontId="4"/>
  </si>
  <si>
    <t>加算率(a)</t>
    <rPh sb="0" eb="2">
      <t>カサン</t>
    </rPh>
    <rPh sb="2" eb="3">
      <t>リツ</t>
    </rPh>
    <phoneticPr fontId="4"/>
  </si>
  <si>
    <t>加算率(b)</t>
    <rPh sb="0" eb="2">
      <t>カサン</t>
    </rPh>
    <rPh sb="2" eb="3">
      <t>リツ</t>
    </rPh>
    <phoneticPr fontId="4"/>
  </si>
  <si>
    <t>月額合計</t>
    <rPh sb="0" eb="2">
      <t>ゲツガク</t>
    </rPh>
    <rPh sb="2" eb="4">
      <t>ゴウケイ</t>
    </rPh>
    <phoneticPr fontId="4"/>
  </si>
  <si>
    <t>施設・事業所名</t>
    <rPh sb="0" eb="2">
      <t>シセツ</t>
    </rPh>
    <rPh sb="3" eb="6">
      <t>ジギョウショ</t>
    </rPh>
    <rPh sb="6" eb="7">
      <t>メイ</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</si>
  <si>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</si>
  <si>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</si>
  <si>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平均
児童数</t>
    <rPh sb="0" eb="2">
      <t>ヘイキン</t>
    </rPh>
    <rPh sb="3" eb="6">
      <t>ジドウスウ</t>
    </rPh>
    <phoneticPr fontId="4"/>
  </si>
  <si>
    <t>実績</t>
    <rPh sb="0" eb="2">
      <t>ジッセキ</t>
    </rPh>
    <phoneticPr fontId="4"/>
  </si>
  <si>
    <t>児童数</t>
    <rPh sb="0" eb="3">
      <t>ジドウスウ</t>
    </rPh>
    <phoneticPr fontId="4"/>
  </si>
  <si>
    <t>伸び率</t>
    <rPh sb="0" eb="1">
      <t>ノ</t>
    </rPh>
    <rPh sb="2" eb="3">
      <t>リツ</t>
    </rPh>
    <phoneticPr fontId="4"/>
  </si>
  <si>
    <t xml:space="preserve"> </t>
    <phoneticPr fontId="4"/>
  </si>
  <si>
    <t>３歳児</t>
    <rPh sb="1" eb="3">
      <t>サイジ</t>
    </rPh>
    <phoneticPr fontId="4"/>
  </si>
  <si>
    <t>０歳児</t>
    <rPh sb="1" eb="3">
      <t>サイジ</t>
    </rPh>
    <phoneticPr fontId="4"/>
  </si>
  <si>
    <t>合計</t>
    <rPh sb="0" eb="2">
      <t>ゴウケイ</t>
    </rPh>
    <phoneticPr fontId="4"/>
  </si>
  <si>
    <t>７年度</t>
    <rPh sb="1" eb="3">
      <t>ネンド</t>
    </rPh>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</si>
  <si>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</si>
  <si>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</si>
  <si>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</si>
  <si>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</si>
  <si>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</si>
  <si>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平均年齢別児童数計算表（認定こども園）</t>
    <rPh sb="0" eb="2">
      <t>ヘイキン</t>
    </rPh>
    <rPh sb="2" eb="5">
      <t>ネンレイベツ</t>
    </rPh>
    <rPh sb="5" eb="8">
      <t>ジドウスウ</t>
    </rPh>
    <rPh sb="8" eb="11">
      <t>ケイサンヒョウ</t>
    </rPh>
    <rPh sb="12" eb="14">
      <t>ニン</t>
    </rPh>
    <phoneticPr fontId="4"/>
  </si>
  <si>
    <t>うち満３歳児</t>
    <rPh sb="2" eb="3">
      <t>マン</t>
    </rPh>
    <rPh sb="4" eb="6">
      <t>サイジ</t>
    </rPh>
    <phoneticPr fontId="4"/>
  </si>
  <si>
    <t>２歳児</t>
    <rPh sb="1" eb="3">
      <t>サイジ</t>
    </rPh>
    <phoneticPr fontId="4"/>
  </si>
  <si>
    <t>青色セルは入力項目</t>
    <rPh sb="0" eb="2">
      <t>アオイロ</t>
    </rPh>
    <rPh sb="5" eb="7">
      <t>ニュウリョク</t>
    </rPh>
    <rPh sb="7" eb="9">
      <t>コウモク</t>
    </rPh>
    <phoneticPr fontId="4"/>
  </si>
  <si>
    <t>５歳児</t>
    <rPh sb="1" eb="3">
      <t>サイジ</t>
    </rPh>
    <phoneticPr fontId="4"/>
  </si>
  <si>
    <t>４歳児</t>
    <rPh sb="1" eb="3">
      <t>サイジ</t>
    </rPh>
    <phoneticPr fontId="4"/>
  </si>
  <si>
    <t>１歳児</t>
    <rPh sb="1" eb="3">
      <t>サイジ</t>
    </rPh>
    <phoneticPr fontId="4"/>
  </si>
  <si>
    <t>見込み（4月実績×（１）で算出された伸び率）</t>
    <phoneticPr fontId="4"/>
  </si>
  <si>
    <t>平均年齢別児童数計算表（認定こども園／分園）</t>
    <rPh sb="0" eb="2">
      <t>ヘイキン</t>
    </rPh>
    <rPh sb="2" eb="5">
      <t>ネンレイベツ</t>
    </rPh>
    <rPh sb="5" eb="8">
      <t>ジドウスウ</t>
    </rPh>
    <rPh sb="8" eb="11">
      <t>ケイサンヒョウ</t>
    </rPh>
    <rPh sb="12" eb="14">
      <t>ニン</t>
    </rPh>
    <rPh sb="19" eb="21">
      <t>ブンエン</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</si>
  <si>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</si>
  <si>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</si>
  <si>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本園</t>
  </si>
  <si>
    <t>分園</t>
  </si>
  <si>
    <t>平均児童数</t>
    <rPh sb="0" eb="2">
      <t>ヘイキン</t>
    </rPh>
    <rPh sb="2" eb="4">
      <t>ジドウ</t>
    </rPh>
    <rPh sb="4" eb="5">
      <t>スウ</t>
    </rPh>
    <phoneticPr fontId="4"/>
  </si>
  <si>
    <t>処遇改善等加算区分３　加算算定対象人数計算表（認定こども園）</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rPh sb="23" eb="25">
      <t>ニン</t>
    </rPh>
    <phoneticPr fontId="4"/>
  </si>
  <si>
    <t>0．基礎情報</t>
    <rPh sb="2" eb="4">
      <t>キソ</t>
    </rPh>
    <rPh sb="4" eb="6">
      <t>ジョウホウ</t>
    </rPh>
    <phoneticPr fontId="4"/>
  </si>
  <si>
    <t>選択
項目</t>
    <rPh sb="0" eb="2">
      <t>センタク</t>
    </rPh>
    <rPh sb="3" eb="5">
      <t>コウモク</t>
    </rPh>
    <phoneticPr fontId="4"/>
  </si>
  <si>
    <t>入力
項目</t>
    <rPh sb="0" eb="2">
      <t>ニュウリョク</t>
    </rPh>
    <rPh sb="3" eb="5">
      <t>コウモク</t>
    </rPh>
    <phoneticPr fontId="4"/>
  </si>
  <si>
    <t>本園分を
記入</t>
    <rPh sb="0" eb="1">
      <t>ホン</t>
    </rPh>
    <rPh sb="1" eb="2">
      <t>エン</t>
    </rPh>
    <rPh sb="2" eb="3">
      <t>ブン</t>
    </rPh>
    <rPh sb="5" eb="7">
      <t>キニュウ</t>
    </rPh>
    <phoneticPr fontId="4"/>
  </si>
  <si>
    <t>利用定員数</t>
    <rPh sb="0" eb="2">
      <t>リヨウ</t>
    </rPh>
    <rPh sb="2" eb="4">
      <t>テイイン</t>
    </rPh>
    <rPh sb="4" eb="5">
      <t>スウ</t>
    </rPh>
    <phoneticPr fontId="4"/>
  </si>
  <si>
    <t>１号</t>
    <rPh sb="1" eb="2">
      <t>ゴウ</t>
    </rPh>
    <phoneticPr fontId="4"/>
  </si>
  <si>
    <t>２・３号</t>
    <rPh sb="3" eb="4">
      <t>ゴウ</t>
    </rPh>
    <phoneticPr fontId="4"/>
  </si>
  <si>
    <t>年齢別児童数</t>
    <rPh sb="0" eb="3">
      <t>ネンレイベツ</t>
    </rPh>
    <rPh sb="3" eb="6">
      <t>ジドウスウ</t>
    </rPh>
    <phoneticPr fontId="4"/>
  </si>
  <si>
    <t>４歳児以上児</t>
    <rPh sb="1" eb="3">
      <t>サイジ</t>
    </rPh>
    <rPh sb="3" eb="5">
      <t>イジョウ</t>
    </rPh>
    <rPh sb="5" eb="6">
      <t>ジ</t>
    </rPh>
    <phoneticPr fontId="4"/>
  </si>
  <si>
    <t>３歳児</t>
    <rPh sb="1" eb="2">
      <t>サイ</t>
    </rPh>
    <rPh sb="2" eb="3">
      <t>ジ</t>
    </rPh>
    <phoneticPr fontId="4"/>
  </si>
  <si>
    <t>　うち満３歳児</t>
    <rPh sb="3" eb="4">
      <t>マン</t>
    </rPh>
    <rPh sb="5" eb="7">
      <t>サイジ</t>
    </rPh>
    <phoneticPr fontId="4"/>
  </si>
  <si>
    <t>１，２歳児</t>
    <rPh sb="3" eb="5">
      <t>サイジ</t>
    </rPh>
    <phoneticPr fontId="4"/>
  </si>
  <si>
    <t>　うち１歳児</t>
    <rPh sb="4" eb="6">
      <t>サイジ</t>
    </rPh>
    <phoneticPr fontId="4"/>
  </si>
  <si>
    <t>※</t>
    <phoneticPr fontId="4"/>
  </si>
  <si>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4"/>
  </si>
  <si>
    <t>１．加算対象人数の基礎となる職員数</t>
    <rPh sb="2" eb="4">
      <t>カサン</t>
    </rPh>
    <rPh sb="4" eb="6">
      <t>タイショウ</t>
    </rPh>
    <rPh sb="6" eb="8">
      <t>ニンズウ</t>
    </rPh>
    <rPh sb="9" eb="11">
      <t>キソ</t>
    </rPh>
    <rPh sb="14" eb="17">
      <t>ショクインスウ</t>
    </rPh>
    <phoneticPr fontId="4"/>
  </si>
  <si>
    <t>本園分</t>
    <rPh sb="0" eb="1">
      <t>ホン</t>
    </rPh>
    <rPh sb="1" eb="2">
      <t>エン</t>
    </rPh>
    <rPh sb="2" eb="3">
      <t>ブン</t>
    </rPh>
    <phoneticPr fontId="4"/>
  </si>
  <si>
    <t>分園分</t>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</si>
  <si>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</si>
  <si>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</si>
  <si>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</si>
  <si>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t>4歳以上児</t>
    <rPh sb="1" eb="4">
      <t>サイイジョウ</t>
    </rPh>
    <rPh sb="2" eb="4">
      <t>イジョウ</t>
    </rPh>
    <rPh sb="4" eb="5">
      <t>ジ</t>
    </rPh>
    <phoneticPr fontId="4"/>
  </si>
  <si>
    <t>　４歳以上児配置改善加算</t>
    <rPh sb="3" eb="5">
      <t>イジョウ</t>
    </rPh>
    <rPh sb="5" eb="6">
      <t>ジ</t>
    </rPh>
    <phoneticPr fontId="4"/>
  </si>
  <si>
    <t>3歳児（満３歳児含む）</t>
    <rPh sb="1" eb="3">
      <t>サイジ</t>
    </rPh>
    <rPh sb="4" eb="5">
      <t>マン</t>
    </rPh>
    <rPh sb="6" eb="8">
      <t>サイジ</t>
    </rPh>
    <rPh sb="8" eb="9">
      <t>フク</t>
    </rPh>
    <phoneticPr fontId="4"/>
  </si>
  <si>
    <t>　３歳児配置改善加算</t>
    <phoneticPr fontId="4"/>
  </si>
  <si>
    <t>　満３歳児対応加配加算</t>
    <rPh sb="1" eb="2">
      <t>マン</t>
    </rPh>
    <rPh sb="3" eb="4">
      <t>サイ</t>
    </rPh>
    <rPh sb="4" eb="5">
      <t>ジ</t>
    </rPh>
    <rPh sb="5" eb="7">
      <t>タイオウ</t>
    </rPh>
    <rPh sb="7" eb="9">
      <t>カハイ</t>
    </rPh>
    <rPh sb="9" eb="11">
      <t>カサン</t>
    </rPh>
    <phoneticPr fontId="4"/>
  </si>
  <si>
    <t>　１歳児配置改善加算</t>
    <phoneticPr fontId="4"/>
  </si>
  <si>
    <t>小計（小数点第一位四捨五入）</t>
    <rPh sb="0" eb="2">
      <t>ショウケイ</t>
    </rPh>
    <rPh sb="3" eb="6">
      <t>ショウスウテン</t>
    </rPh>
    <rPh sb="6" eb="7">
      <t>ダイ</t>
    </rPh>
    <rPh sb="7" eb="9">
      <t>イチイ</t>
    </rPh>
    <rPh sb="9" eb="13">
      <t>シシャゴニュウ</t>
    </rPh>
    <phoneticPr fontId="4"/>
  </si>
  <si>
    <t>休けい保育教諭</t>
    <rPh sb="0" eb="1">
      <t>キュウ</t>
    </rPh>
    <rPh sb="3" eb="5">
      <t>ホイク</t>
    </rPh>
    <rPh sb="5" eb="7">
      <t>キョウユ</t>
    </rPh>
    <phoneticPr fontId="4"/>
  </si>
  <si>
    <t>ｃ</t>
    <phoneticPr fontId="4"/>
  </si>
  <si>
    <t>調理員</t>
    <rPh sb="0" eb="3">
      <t>チョウリイン</t>
    </rPh>
    <phoneticPr fontId="4"/>
  </si>
  <si>
    <t>d</t>
    <phoneticPr fontId="4"/>
  </si>
  <si>
    <t>保育標準時間認定の児童</t>
    <rPh sb="0" eb="2">
      <t>ホイク</t>
    </rPh>
    <rPh sb="2" eb="4">
      <t>ヒョウジュン</t>
    </rPh>
    <rPh sb="4" eb="6">
      <t>ジカン</t>
    </rPh>
    <rPh sb="6" eb="8">
      <t>ニンテイ</t>
    </rPh>
    <rPh sb="9" eb="11">
      <t>ジドウ</t>
    </rPh>
    <phoneticPr fontId="4"/>
  </si>
  <si>
    <t>e</t>
    <phoneticPr fontId="4"/>
  </si>
  <si>
    <t>学級編制調整加配加算</t>
    <rPh sb="0" eb="2">
      <t>ガッキュウ</t>
    </rPh>
    <rPh sb="2" eb="4">
      <t>ヘンセイ</t>
    </rPh>
    <rPh sb="4" eb="6">
      <t>チョウセイ</t>
    </rPh>
    <rPh sb="6" eb="8">
      <t>カハイ</t>
    </rPh>
    <rPh sb="8" eb="10">
      <t>カサン</t>
    </rPh>
    <phoneticPr fontId="4"/>
  </si>
  <si>
    <t>f</t>
    <phoneticPr fontId="4"/>
  </si>
  <si>
    <t>講師配置加算</t>
    <rPh sb="0" eb="2">
      <t>コウシ</t>
    </rPh>
    <rPh sb="2" eb="4">
      <t>ハイチ</t>
    </rPh>
    <rPh sb="4" eb="6">
      <t>カサン</t>
    </rPh>
    <phoneticPr fontId="4"/>
  </si>
  <si>
    <t>g</t>
    <phoneticPr fontId="4"/>
  </si>
  <si>
    <t>h</t>
    <phoneticPr fontId="4"/>
  </si>
  <si>
    <t>通園送迎加算</t>
    <rPh sb="0" eb="2">
      <t>ツウエン</t>
    </rPh>
    <rPh sb="2" eb="4">
      <t>ソウゲイ</t>
    </rPh>
    <rPh sb="4" eb="6">
      <t>カサン</t>
    </rPh>
    <phoneticPr fontId="4"/>
  </si>
  <si>
    <t>i</t>
    <phoneticPr fontId="4"/>
  </si>
  <si>
    <t>給食実施加算（自園調理に限る。）</t>
    <rPh sb="0" eb="2">
      <t>キュウショク</t>
    </rPh>
    <rPh sb="2" eb="4">
      <t>ジッシ</t>
    </rPh>
    <rPh sb="4" eb="6">
      <t>カサン</t>
    </rPh>
    <phoneticPr fontId="4"/>
  </si>
  <si>
    <t>j</t>
  </si>
  <si>
    <t>k</t>
  </si>
  <si>
    <t>事務職員配置加算</t>
    <rPh sb="0" eb="2">
      <t>ジム</t>
    </rPh>
    <rPh sb="2" eb="4">
      <t>ショクイン</t>
    </rPh>
    <rPh sb="4" eb="6">
      <t>ハイチ</t>
    </rPh>
    <rPh sb="6" eb="8">
      <t>カサン</t>
    </rPh>
    <phoneticPr fontId="4"/>
  </si>
  <si>
    <t>l</t>
  </si>
  <si>
    <t>指導充実加配加算</t>
    <rPh sb="0" eb="2">
      <t>シドウ</t>
    </rPh>
    <rPh sb="2" eb="4">
      <t>ジュウジツ</t>
    </rPh>
    <rPh sb="4" eb="6">
      <t>カハイ</t>
    </rPh>
    <rPh sb="6" eb="8">
      <t>カサン</t>
    </rPh>
    <phoneticPr fontId="4"/>
  </si>
  <si>
    <t>m</t>
  </si>
  <si>
    <t>事務負担対応加配加算</t>
    <rPh sb="0" eb="2">
      <t>ジム</t>
    </rPh>
    <rPh sb="2" eb="4">
      <t>フタン</t>
    </rPh>
    <rPh sb="4" eb="6">
      <t>タイオウ</t>
    </rPh>
    <rPh sb="6" eb="8">
      <t>カハイ</t>
    </rPh>
    <rPh sb="8" eb="10">
      <t>カサン</t>
    </rPh>
    <phoneticPr fontId="4"/>
  </si>
  <si>
    <t>n</t>
    <phoneticPr fontId="4"/>
  </si>
  <si>
    <t>o</t>
    <phoneticPr fontId="4"/>
  </si>
  <si>
    <t>副園長・教頭配置加算</t>
    <rPh sb="0" eb="3">
      <t>フクエンチョウ</t>
    </rPh>
    <rPh sb="4" eb="6">
      <t>キョウトウ</t>
    </rPh>
    <rPh sb="6" eb="8">
      <t>ハイチ</t>
    </rPh>
    <rPh sb="8" eb="10">
      <t>カサン</t>
    </rPh>
    <phoneticPr fontId="4"/>
  </si>
  <si>
    <t>p</t>
    <phoneticPr fontId="4"/>
  </si>
  <si>
    <t>主幹保育教諭等の専任化により子育て支援の取組を実施していない場合であって、代替保育教諭等を配置していない場合</t>
    <rPh sb="0" eb="2">
      <t>シュカン</t>
    </rPh>
    <rPh sb="2" eb="4">
      <t>ホイク</t>
    </rPh>
    <rPh sb="4" eb="6">
      <t>キョウユ</t>
    </rPh>
    <rPh sb="6" eb="7">
      <t>トウ</t>
    </rPh>
    <rPh sb="8" eb="10">
      <t>センニン</t>
    </rPh>
    <rPh sb="10" eb="11">
      <t>カ</t>
    </rPh>
    <rPh sb="14" eb="17">
      <t>コソ</t>
    </rPh>
    <rPh sb="17" eb="19">
      <t>シエン</t>
    </rPh>
    <rPh sb="20" eb="22">
      <t>トリクミ</t>
    </rPh>
    <rPh sb="23" eb="25">
      <t>ジッシ</t>
    </rPh>
    <rPh sb="30" eb="32">
      <t>バアイ</t>
    </rPh>
    <rPh sb="37" eb="39">
      <t>ダイタイ</t>
    </rPh>
    <rPh sb="39" eb="41">
      <t>ホイク</t>
    </rPh>
    <rPh sb="41" eb="43">
      <t>キョウユ</t>
    </rPh>
    <rPh sb="43" eb="44">
      <t>トウ</t>
    </rPh>
    <rPh sb="45" eb="47">
      <t>ハイチ</t>
    </rPh>
    <rPh sb="52" eb="54">
      <t>バアイ</t>
    </rPh>
    <phoneticPr fontId="4"/>
  </si>
  <si>
    <t>q</t>
    <phoneticPr fontId="4"/>
  </si>
  <si>
    <t>年齢別配置基準を下回る場合</t>
    <rPh sb="0" eb="3">
      <t>ネンレイベツ</t>
    </rPh>
    <rPh sb="3" eb="7">
      <t>ハイキ</t>
    </rPh>
    <rPh sb="8" eb="10">
      <t>シタマワ</t>
    </rPh>
    <rPh sb="11" eb="13">
      <t>バアイ</t>
    </rPh>
    <phoneticPr fontId="4"/>
  </si>
  <si>
    <t>利用定員数に基づく職員数</t>
    <rPh sb="0" eb="2">
      <t>リヨウ</t>
    </rPh>
    <rPh sb="2" eb="4">
      <t>テイイン</t>
    </rPh>
    <rPh sb="4" eb="5">
      <t>スウ</t>
    </rPh>
    <rPh sb="6" eb="7">
      <t>モト</t>
    </rPh>
    <rPh sb="9" eb="12">
      <t>ショクインスウ</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</si>
  <si>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</si>
  <si>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</si>
  <si>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</si>
  <si>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</si>
  <si>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</si>
  <si>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</si>
  <si>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</si>
  <si>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</si>
  <si>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</si>
  <si>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</si>
  <si>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4歳以上児</t>
    <rPh sb="1" eb="2">
      <t>サイ</t>
    </rPh>
    <rPh sb="2" eb="4">
      <t>イジョウ</t>
    </rPh>
    <rPh sb="4" eb="5">
      <t>ジ</t>
    </rPh>
    <phoneticPr fontId="4"/>
  </si>
  <si>
    <t>1、2歳児</t>
    <rPh sb="3" eb="5">
      <t>サイジ</t>
    </rPh>
    <phoneticPr fontId="4"/>
  </si>
  <si>
    <t>うち満3歳児</t>
    <rPh sb="2" eb="3">
      <t>ミツル</t>
    </rPh>
    <rPh sb="4" eb="6">
      <t>サイジ</t>
    </rPh>
    <phoneticPr fontId="4"/>
  </si>
  <si>
    <t>3歳児</t>
    <rPh sb="1" eb="3">
      <t>サイジ</t>
    </rPh>
    <phoneticPr fontId="4"/>
  </si>
  <si>
    <t>うち1歳児</t>
    <rPh sb="3" eb="5">
      <t>サイジ</t>
    </rPh>
    <phoneticPr fontId="4"/>
  </si>
  <si>
    <t>0歳児</t>
    <rPh sb="1" eb="3">
      <t>サイジ</t>
    </rPh>
    <phoneticPr fontId="4"/>
  </si>
  <si>
    <t>入力ありがとうございました。試算の結果は以下のとおりです。</t>
    <rPh sb="0" eb="2">
      <t>ニュウリョク</t>
    </rPh>
    <rPh sb="14" eb="16">
      <t>シサン</t>
    </rPh>
    <rPh sb="17" eb="19">
      <t>ケッカ</t>
    </rPh>
    <rPh sb="20" eb="22">
      <t>イカ</t>
    </rPh>
    <phoneticPr fontId="4"/>
  </si>
  <si>
    <t>加算率（a）</t>
    <rPh sb="0" eb="2">
      <t>カサン</t>
    </rPh>
    <rPh sb="2" eb="3">
      <t>リツ</t>
    </rPh>
    <phoneticPr fontId="4"/>
  </si>
  <si>
    <t>◎加算率</t>
    <rPh sb="1" eb="3">
      <t>カサン</t>
    </rPh>
    <rPh sb="3" eb="4">
      <t>リツ</t>
    </rPh>
    <phoneticPr fontId="4"/>
  </si>
  <si>
    <t>加算率（b）</t>
    <rPh sb="0" eb="2">
      <t>カサン</t>
    </rPh>
    <rPh sb="2" eb="3">
      <t>リツ</t>
    </rPh>
    <phoneticPr fontId="4"/>
  </si>
  <si>
    <t>月額</t>
    <rPh sb="0" eb="2">
      <t>ゲツガク</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</si>
  <si>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</si>
  <si>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</si>
  <si>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</si>
  <si>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</si>
  <si>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</si>
  <si>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</si>
  <si>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11人から15人まで</t>
    <rPh sb="2" eb="3">
      <t>ヒト</t>
    </rPh>
    <rPh sb="7" eb="8">
      <t>ヒト</t>
    </rPh>
    <phoneticPr fontId="6"/>
  </si>
  <si>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</si>
  <si>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</si>
  <si>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4桁コード</t>
    <phoneticPr fontId="4"/>
  </si>
  <si>
    <t>施設・事業所名</t>
    <phoneticPr fontId="4"/>
  </si>
  <si>
    <t>施設類型</t>
    <phoneticPr fontId="4"/>
  </si>
  <si>
    <t>認定こども園－幼保連携型</t>
  </si>
  <si>
    <t>2.処遇改善等加算の適用状況を入力してください。</t>
    <rPh sb="2" eb="7">
      <t>ショグウカイゼントウ</t>
    </rPh>
    <rPh sb="7" eb="9">
      <t>カサン</t>
    </rPh>
    <rPh sb="10" eb="14">
      <t>テキヨウジョウキョウ</t>
    </rPh>
    <rPh sb="15" eb="17">
      <t>ニュウリョク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</si>
  <si>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</si>
  <si>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</si>
  <si>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申請する</t>
    <rPh sb="0" eb="2">
      <t>シンセイ</t>
    </rPh>
    <phoneticPr fontId="4"/>
  </si>
  <si>
    <t>区分3</t>
    <rPh sb="0" eb="2">
      <t>クブン</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</si>
  <si>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</si>
  <si>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該当しない</t>
    <rPh sb="0" eb="2">
      <t>ガイトウ</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</si>
  <si>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</si>
  <si>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</si>
  <si>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充てない</t>
    <rPh sb="0" eb="1">
      <t>ア</t>
    </rPh>
    <phoneticPr fontId="4"/>
  </si>
  <si>
    <t>1-1_児童数計算表　※ 分園を設置している場合は1-2も作成</t>
    <rPh sb="4" eb="6">
      <t>ジドウ</t>
    </rPh>
    <rPh sb="6" eb="7">
      <t>スウ</t>
    </rPh>
    <rPh sb="7" eb="9">
      <t>ケイサン</t>
    </rPh>
    <rPh sb="9" eb="10">
      <t>オモテ</t>
    </rPh>
    <rPh sb="13" eb="15">
      <t>ブンエン</t>
    </rPh>
    <rPh sb="16" eb="18">
      <t>セッチ</t>
    </rPh>
    <rPh sb="22" eb="24">
      <t>バアイ</t>
    </rPh>
    <rPh sb="29" eb="31">
      <t>サクセイ</t>
    </rPh>
    <phoneticPr fontId="4"/>
  </si>
  <si>
    <t>2_区分12加算額計算表</t>
    <rPh sb="2" eb="4">
      <t>クブン</t>
    </rPh>
    <rPh sb="6" eb="9">
      <t>カサンガク</t>
    </rPh>
    <rPh sb="9" eb="11">
      <t>ケイサン</t>
    </rPh>
    <rPh sb="11" eb="12">
      <t>オモテ</t>
    </rPh>
    <phoneticPr fontId="4"/>
  </si>
  <si>
    <t>3_区分3計算表</t>
    <rPh sb="2" eb="4">
      <t>クブン</t>
    </rPh>
    <rPh sb="5" eb="7">
      <t>ケイサン</t>
    </rPh>
    <rPh sb="7" eb="8">
      <t>オモテ</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</si>
  <si>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</si>
  <si>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様式2_キャリアパス要件届出書</t>
    <rPh sb="0" eb="2">
      <t>ヨウシキ</t>
    </rPh>
    <rPh sb="10" eb="15">
      <t>ヨウケントドケデショ</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</si>
  <si>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</si>
  <si>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</si>
  <si>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</si>
  <si>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</si>
  <si>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様式5_賃金改善の誓約書</t>
    <rPh sb="0" eb="2">
      <t>ヨウシキ</t>
    </rPh>
    <rPh sb="4" eb="8">
      <t>チンギンカイゼン</t>
    </rPh>
    <rPh sb="9" eb="12">
      <t>セイヤクショ</t>
    </rPh>
    <phoneticPr fontId="4"/>
  </si>
  <si>
    <t>様式7_特別な事情に係る届出書</t>
    <rPh sb="0" eb="2">
      <t>ヨウシキ</t>
    </rPh>
    <rPh sb="4" eb="6">
      <t>トクベツ</t>
    </rPh>
    <rPh sb="7" eb="9">
      <t>ジジョウ</t>
    </rPh>
    <rPh sb="10" eb="11">
      <t>カカ</t>
    </rPh>
    <rPh sb="12" eb="15">
      <t>トドケデショ</t>
    </rPh>
    <phoneticPr fontId="4"/>
  </si>
  <si>
    <t>施設類型</t>
    <rPh sb="0" eb="4">
      <t>シセツルイケイ</t>
    </rPh>
    <phoneticPr fontId="4"/>
  </si>
  <si>
    <t>YesNo</t>
    <phoneticPr fontId="4"/>
  </si>
  <si>
    <t>申請</t>
    <rPh sb="0" eb="2">
      <t>シンセイ</t>
    </rPh>
    <phoneticPr fontId="4"/>
  </si>
  <si>
    <t>特別事情</t>
    <rPh sb="0" eb="4">
      <t>トクベツジジョウ</t>
    </rPh>
    <phoneticPr fontId="4"/>
  </si>
  <si>
    <t>他施設</t>
    <rPh sb="0" eb="3">
      <t>ホカシセツ</t>
    </rPh>
    <phoneticPr fontId="4"/>
  </si>
  <si>
    <t>エラーチェック</t>
    <phoneticPr fontId="4"/>
  </si>
  <si>
    <t>保育所</t>
  </si>
  <si>
    <t>はい</t>
    <phoneticPr fontId="4"/>
  </si>
  <si>
    <t>入力ありがとうございました。以下で「●」が付いているシートの作成をお願いします。</t>
    <rPh sb="0" eb="2">
      <t>ニュウリョク</t>
    </rPh>
    <rPh sb="30" eb="32">
      <t>サクセイ</t>
    </rPh>
    <rPh sb="34" eb="35">
      <t>ネガ</t>
    </rPh>
    <phoneticPr fontId="4"/>
  </si>
  <si>
    <t>認定こども園－保育所型</t>
  </si>
  <si>
    <t>いいえ</t>
    <phoneticPr fontId="4"/>
  </si>
  <si>
    <t>申請しない</t>
    <rPh sb="0" eb="2">
      <t>シンセイ</t>
    </rPh>
    <phoneticPr fontId="4"/>
  </si>
  <si>
    <t>該当する</t>
    <rPh sb="0" eb="2">
      <t>ガイトウ</t>
    </rPh>
    <phoneticPr fontId="4"/>
  </si>
  <si>
    <t>充てる</t>
    <rPh sb="0" eb="1">
      <t>ア</t>
    </rPh>
    <phoneticPr fontId="4"/>
  </si>
  <si>
    <t>未入力事項があります。</t>
    <phoneticPr fontId="4"/>
  </si>
  <si>
    <t>認定こども園－幼稚園型</t>
  </si>
  <si>
    <t>小規模保育－Ａ型</t>
  </si>
  <si>
    <t>小規模保育－Ｂ型</t>
  </si>
  <si>
    <t>事業所内保育－２０人以上</t>
  </si>
  <si>
    <t>事業所内保育－Ａ型</t>
  </si>
  <si>
    <t>家庭的保育</t>
  </si>
  <si>
    <t>幼稚園</t>
  </si>
  <si>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</si>
  <si>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</si>
  <si>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t>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</si>
  <si>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</si>
  <si>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</si>
  <si>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</si>
  <si>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</si>
  <si>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</si>
  <si>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</si>
  <si>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</si>
  <si>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施設・事業所コード</t>
    <rPh sb="0" eb="2">
      <t>シセツ</t>
    </rPh>
    <rPh sb="3" eb="6">
      <t>ジギョウショ</t>
    </rPh>
    <phoneticPr fontId="6"/>
  </si>
  <si>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</si>
  <si>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</si>
  <si>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京都市</t>
    <rPh sb="0" eb="3">
      <t>キョウトシ</t>
    </rPh>
    <phoneticPr fontId="6"/>
  </si>
  <si>
    <t>市町村名</t>
    <rPh sb="0" eb="3">
      <t>シチョウソン</t>
    </rPh>
    <rPh sb="3" eb="4">
      <t>メイ</t>
    </rPh>
    <phoneticPr fontId="6"/>
  </si>
  <si>
    <t>京都市長　殿</t>
    <rPh sb="0" eb="2">
      <t>キョウト</t>
    </rPh>
    <rPh sb="2" eb="4">
      <t>シチョウ</t>
    </rPh>
    <rPh sb="5" eb="6">
      <t>ドノ</t>
    </rPh>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</si>
  <si>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</si>
  <si>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</si>
  <si>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</si>
  <si>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</si>
  <si>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</si>
  <si>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</si>
  <si>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</si>
  <si>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</si>
  <si>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</si>
  <si>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</si>
  <si>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</si>
  <si>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</si>
  <si>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</si>
  <si>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</si>
  <si>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</si>
  <si>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</si>
  <si>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</si>
  <si>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</si>
  <si>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</si>
  <si>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</si>
  <si>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</si>
  <si>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</si>
  <si>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</si>
  <si>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〇キャリアパスに関する要件について</t>
    <rPh sb="8" eb="9">
      <t>カン</t>
    </rPh>
    <rPh sb="11" eb="13">
      <t>ヨウケン</t>
    </rPh>
    <phoneticPr fontId="6"/>
  </si>
  <si>
    <t>施設・事業所番号</t>
    <rPh sb="0" eb="2">
      <t>シセツ</t>
    </rPh>
    <rPh sb="3" eb="6">
      <t>ジギョウショ</t>
    </rPh>
    <rPh sb="6" eb="8">
      <t>バンゴウ</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</si>
  <si>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</si>
  <si>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</si>
  <si>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</si>
  <si>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</si>
  <si>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</si>
  <si>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</si>
  <si>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</si>
  <si>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</si>
  <si>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</si>
  <si>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</si>
  <si>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</si>
  <si>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</si>
  <si>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</si>
  <si>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</si>
  <si>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</si>
  <si>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</si>
  <si>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</si>
  <si>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</si>
  <si>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</si>
  <si>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</si>
  <si>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</si>
  <si>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</si>
  <si>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</si>
  <si>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</si>
  <si>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</si>
  <si>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</si>
  <si>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</si>
  <si>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</si>
  <si>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</si>
  <si>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</si>
  <si>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</si>
  <si>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</si>
  <si>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</si>
  <si>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</si>
  <si>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</si>
  <si>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</si>
  <si>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</si>
  <si>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</si>
  <si>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</si>
  <si>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</si>
  <si>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</si>
  <si>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</si>
  <si>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</si>
  <si>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</si>
  <si>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</si>
  <si>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</si>
  <si>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</si>
  <si>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</si>
  <si>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</si>
  <si>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</si>
  <si>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</si>
  <si>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</si>
  <si>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</si>
  <si>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</si>
  <si>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</si>
  <si>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</si>
  <si>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</si>
  <si>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</si>
  <si>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</si>
  <si>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</si>
  <si>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</si>
  <si>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</si>
  <si>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</si>
  <si>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</si>
  <si>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</si>
  <si>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</si>
  <si>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</si>
  <si>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</si>
  <si>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</si>
  <si>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</si>
  <si>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</si>
  <si>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</si>
  <si>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</si>
  <si>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</si>
  <si>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</si>
  <si>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</si>
  <si>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</si>
  <si>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</si>
  <si>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</si>
  <si>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</si>
  <si>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</si>
  <si>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</si>
  <si>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</si>
  <si>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</si>
  <si>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</si>
  <si>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</si>
  <si>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</si>
  <si>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</si>
  <si>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</si>
  <si>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</si>
  <si>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</si>
  <si>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</si>
  <si>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</si>
  <si>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</si>
  <si>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</si>
  <si>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</si>
  <si>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</si>
  <si>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</si>
  <si>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</si>
  <si>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</si>
  <si>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</si>
  <si>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</si>
  <si>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</si>
  <si>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</si>
  <si>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</si>
  <si>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</si>
  <si>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</si>
  <si>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</si>
  <si>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</si>
  <si>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</si>
  <si>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</si>
  <si>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</si>
  <si>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</si>
  <si>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</si>
  <si>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</si>
  <si>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</si>
  <si>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</si>
  <si>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</si>
  <si>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</si>
  <si>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</si>
  <si>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</si>
  <si>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</si>
  <si>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幼稚園教諭</t>
    <rPh sb="0" eb="3">
      <t>ヨウチエン</t>
    </rPh>
    <rPh sb="3" eb="5">
      <t>キョウユ</t>
    </rPh>
    <phoneticPr fontId="6"/>
  </si>
  <si>
    <t>保育教諭</t>
    <rPh sb="0" eb="2">
      <t>ホイク</t>
    </rPh>
    <rPh sb="2" eb="4">
      <t>キョウユ</t>
    </rPh>
    <phoneticPr fontId="6"/>
  </si>
  <si>
    <t>保育士</t>
    <rPh sb="0" eb="3">
      <t>ホイクシ</t>
    </rPh>
    <phoneticPr fontId="6"/>
  </si>
  <si>
    <t>教頭</t>
    <rPh sb="0" eb="2">
      <t>キョウトウ</t>
    </rPh>
    <phoneticPr fontId="6"/>
  </si>
  <si>
    <t>副園長</t>
    <rPh sb="0" eb="3">
      <t>フクエンチョウ</t>
    </rPh>
    <phoneticPr fontId="6"/>
  </si>
  <si>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</si>
  <si>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</si>
  <si>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</si>
  <si>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</si>
  <si>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</si>
  <si>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</si>
  <si>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</si>
  <si>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</si>
  <si>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</si>
  <si>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</si>
  <si>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</si>
  <si>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</si>
  <si>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</si>
  <si>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</si>
  <si>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</si>
  <si>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</si>
  <si>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</si>
  <si>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</si>
  <si>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</si>
  <si>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</si>
  <si>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</si>
  <si>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</si>
  <si>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</si>
  <si>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</si>
  <si>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</si>
  <si>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</si>
  <si>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</si>
  <si>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</si>
  <si>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</si>
  <si>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</si>
  <si>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</si>
  <si>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</si>
  <si>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</si>
  <si>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</si>
  <si>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</si>
  <si>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</si>
  <si>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</si>
  <si>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</si>
  <si>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</si>
  <si>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</si>
  <si>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</si>
  <si>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</si>
  <si>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</si>
  <si>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</si>
  <si>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</si>
  <si>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</si>
  <si>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</si>
  <si>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</si>
  <si>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</si>
  <si>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</si>
  <si>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</si>
  <si>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</si>
  <si>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</si>
  <si>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</si>
  <si>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</si>
  <si>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</si>
  <si>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</si>
  <si>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</si>
  <si>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</si>
  <si>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</si>
  <si>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</si>
  <si>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</si>
  <si>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</si>
  <si>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</si>
  <si>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</si>
  <si>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</si>
  <si>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</si>
  <si>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</si>
  <si>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</si>
  <si>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</si>
  <si>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</si>
  <si>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</si>
  <si>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</si>
  <si>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</si>
  <si>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</si>
  <si>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</si>
  <si>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</si>
  <si>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</si>
  <si>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</si>
  <si>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</si>
  <si>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</si>
  <si>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</si>
  <si>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</si>
  <si>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</si>
  <si>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</si>
  <si>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</si>
  <si>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</si>
  <si>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</si>
  <si>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</si>
  <si>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</si>
  <si>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</si>
  <si>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</si>
  <si>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</si>
  <si>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</si>
  <si>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</si>
  <si>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</si>
  <si>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</si>
  <si>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</si>
  <si>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</si>
  <si>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</si>
  <si>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</si>
  <si>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</si>
  <si>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事業所名</t>
    <rPh sb="0" eb="3">
      <t>ジギョウショ</t>
    </rPh>
    <rPh sb="3" eb="4">
      <t>メイ</t>
    </rPh>
    <phoneticPr fontId="4"/>
  </si>
  <si>
    <t>施設類型</t>
    <rPh sb="0" eb="2">
      <t>シセツ</t>
    </rPh>
    <rPh sb="2" eb="4">
      <t>ルイケイ</t>
    </rPh>
    <phoneticPr fontId="4"/>
  </si>
  <si>
    <t>コード</t>
    <phoneticPr fontId="4"/>
  </si>
  <si>
    <t>前年度区分1適用</t>
    <rPh sb="0" eb="3">
      <t>ゼンネンド</t>
    </rPh>
    <rPh sb="3" eb="5">
      <t>クブン</t>
    </rPh>
    <rPh sb="6" eb="8">
      <t>テキヨウ</t>
    </rPh>
    <phoneticPr fontId="4"/>
  </si>
  <si>
    <t>前年度区分2適用</t>
    <rPh sb="0" eb="3">
      <t>ゼンネンド</t>
    </rPh>
    <rPh sb="3" eb="5">
      <t>クブン</t>
    </rPh>
    <rPh sb="6" eb="8">
      <t>テキヨウ</t>
    </rPh>
    <phoneticPr fontId="4"/>
  </si>
  <si>
    <t>前年度区分3適用</t>
    <rPh sb="0" eb="3">
      <t>ゼンネンド</t>
    </rPh>
    <rPh sb="3" eb="5">
      <t>クブン</t>
    </rPh>
    <rPh sb="6" eb="8">
      <t>テキヨウ</t>
    </rPh>
    <phoneticPr fontId="4"/>
  </si>
  <si>
    <t>現年度区分1申請</t>
    <rPh sb="0" eb="1">
      <t>ゲン</t>
    </rPh>
    <rPh sb="1" eb="3">
      <t>ネンド</t>
    </rPh>
    <rPh sb="3" eb="5">
      <t>クブン</t>
    </rPh>
    <rPh sb="6" eb="8">
      <t>シンセイ</t>
    </rPh>
    <phoneticPr fontId="4"/>
  </si>
  <si>
    <t>現年度区分2申請</t>
    <rPh sb="0" eb="1">
      <t>ゲン</t>
    </rPh>
    <rPh sb="1" eb="3">
      <t>ネンド</t>
    </rPh>
    <rPh sb="3" eb="5">
      <t>クブン</t>
    </rPh>
    <rPh sb="6" eb="8">
      <t>シンセイ</t>
    </rPh>
    <phoneticPr fontId="4"/>
  </si>
  <si>
    <t>現年度区分3申請</t>
    <rPh sb="0" eb="1">
      <t>ゲン</t>
    </rPh>
    <rPh sb="1" eb="3">
      <t>ネンド</t>
    </rPh>
    <rPh sb="3" eb="5">
      <t>クブン</t>
    </rPh>
    <rPh sb="6" eb="8">
      <t>シンセイ</t>
    </rPh>
    <phoneticPr fontId="4"/>
  </si>
  <si>
    <t>基本情報入力判定</t>
    <rPh sb="0" eb="2">
      <t>キホン</t>
    </rPh>
    <rPh sb="2" eb="4">
      <t>ジョウホウ</t>
    </rPh>
    <rPh sb="4" eb="6">
      <t>ニュウリョク</t>
    </rPh>
    <rPh sb="6" eb="8">
      <t>ハンテイ</t>
    </rPh>
    <phoneticPr fontId="4"/>
  </si>
  <si>
    <t>提出物－1_児童数計算表</t>
    <rPh sb="0" eb="2">
      <t>テイシュツ</t>
    </rPh>
    <rPh sb="2" eb="3">
      <t>ブツ</t>
    </rPh>
    <rPh sb="6" eb="8">
      <t>ジドウ</t>
    </rPh>
    <rPh sb="8" eb="9">
      <t>スウ</t>
    </rPh>
    <rPh sb="9" eb="11">
      <t>ケイサン</t>
    </rPh>
    <rPh sb="11" eb="12">
      <t>オモテ</t>
    </rPh>
    <phoneticPr fontId="4"/>
  </si>
  <si>
    <t>提出物－2_区分12計算表</t>
    <rPh sb="0" eb="2">
      <t>テイシュツ</t>
    </rPh>
    <rPh sb="2" eb="3">
      <t>ブツ</t>
    </rPh>
    <rPh sb="6" eb="8">
      <t>クブン</t>
    </rPh>
    <rPh sb="10" eb="12">
      <t>ケイサン</t>
    </rPh>
    <rPh sb="12" eb="13">
      <t>オモテ</t>
    </rPh>
    <phoneticPr fontId="4"/>
  </si>
  <si>
    <t>提出物－3_区分３計算表</t>
    <rPh sb="0" eb="2">
      <t>テイシュツ</t>
    </rPh>
    <rPh sb="2" eb="3">
      <t>ブツ</t>
    </rPh>
    <rPh sb="6" eb="8">
      <t>クブン</t>
    </rPh>
    <rPh sb="9" eb="11">
      <t>ケイサン</t>
    </rPh>
    <rPh sb="11" eb="12">
      <t>オモテ</t>
    </rPh>
    <phoneticPr fontId="4"/>
  </si>
  <si>
    <t>提出物－様式1_加算率等</t>
    <rPh sb="0" eb="2">
      <t>テイシュツ</t>
    </rPh>
    <rPh sb="2" eb="3">
      <t>ブツ</t>
    </rPh>
    <rPh sb="4" eb="6">
      <t>ヨウシキ</t>
    </rPh>
    <rPh sb="8" eb="10">
      <t>カサン</t>
    </rPh>
    <rPh sb="10" eb="11">
      <t>リツ</t>
    </rPh>
    <rPh sb="11" eb="12">
      <t>トウ</t>
    </rPh>
    <phoneticPr fontId="4"/>
  </si>
  <si>
    <t>提出物－様式2_キャリアパス</t>
    <rPh sb="0" eb="2">
      <t>テイシュツ</t>
    </rPh>
    <rPh sb="2" eb="3">
      <t>ブツ</t>
    </rPh>
    <rPh sb="4" eb="6">
      <t>ヨウシキ</t>
    </rPh>
    <phoneticPr fontId="4"/>
  </si>
  <si>
    <t>提出物－資質向上計画書</t>
    <rPh sb="0" eb="2">
      <t>テイシュツ</t>
    </rPh>
    <rPh sb="2" eb="3">
      <t>ブツ</t>
    </rPh>
    <rPh sb="4" eb="6">
      <t>シシツ</t>
    </rPh>
    <rPh sb="6" eb="8">
      <t>コウジョウ</t>
    </rPh>
    <rPh sb="8" eb="10">
      <t>ケイカク</t>
    </rPh>
    <rPh sb="10" eb="11">
      <t>ショ</t>
    </rPh>
    <phoneticPr fontId="4"/>
  </si>
  <si>
    <t>提出物－様式3_区分3人数等</t>
    <rPh sb="0" eb="2">
      <t>テイシュツ</t>
    </rPh>
    <rPh sb="2" eb="3">
      <t>ブツ</t>
    </rPh>
    <rPh sb="4" eb="6">
      <t>ヨウシキ</t>
    </rPh>
    <rPh sb="8" eb="10">
      <t>クブン</t>
    </rPh>
    <rPh sb="11" eb="13">
      <t>ニンズウ</t>
    </rPh>
    <rPh sb="13" eb="14">
      <t>トウ</t>
    </rPh>
    <phoneticPr fontId="4"/>
  </si>
  <si>
    <t>提出物－様式4_賃金改善計画書</t>
    <rPh sb="0" eb="2">
      <t>テイシュツ</t>
    </rPh>
    <rPh sb="2" eb="3">
      <t>ブツ</t>
    </rPh>
    <rPh sb="4" eb="6">
      <t>ヨウシキ</t>
    </rPh>
    <rPh sb="8" eb="10">
      <t>チンギン</t>
    </rPh>
    <rPh sb="10" eb="12">
      <t>カイゼン</t>
    </rPh>
    <rPh sb="12" eb="15">
      <t>ケイカクショ</t>
    </rPh>
    <phoneticPr fontId="4"/>
  </si>
  <si>
    <t>提出物－様式5_誓約書</t>
    <rPh sb="0" eb="2">
      <t>テイシュツ</t>
    </rPh>
    <rPh sb="2" eb="3">
      <t>ブツ</t>
    </rPh>
    <rPh sb="4" eb="6">
      <t>ヨウシキ</t>
    </rPh>
    <rPh sb="8" eb="11">
      <t>セイヤクショ</t>
    </rPh>
    <phoneticPr fontId="4"/>
  </si>
  <si>
    <t>提出物－様式7_特別事情届出</t>
    <rPh sb="0" eb="2">
      <t>テイシュツ</t>
    </rPh>
    <rPh sb="2" eb="3">
      <t>ブツ</t>
    </rPh>
    <rPh sb="4" eb="6">
      <t>ヨウシキ</t>
    </rPh>
    <rPh sb="8" eb="10">
      <t>トクベツ</t>
    </rPh>
    <rPh sb="10" eb="12">
      <t>ジジョウ</t>
    </rPh>
    <rPh sb="12" eb="14">
      <t>トドケデ</t>
    </rPh>
    <phoneticPr fontId="4"/>
  </si>
  <si>
    <t>計算結果－加算率(a)</t>
    <rPh sb="0" eb="2">
      <t>ケイサン</t>
    </rPh>
    <rPh sb="2" eb="4">
      <t>ケッカ</t>
    </rPh>
    <rPh sb="5" eb="7">
      <t>カサン</t>
    </rPh>
    <rPh sb="7" eb="8">
      <t>リツ</t>
    </rPh>
    <phoneticPr fontId="4"/>
  </si>
  <si>
    <t>計算結果－加算率(b)</t>
    <rPh sb="5" eb="7">
      <t>カサン</t>
    </rPh>
    <rPh sb="7" eb="8">
      <t>リツ</t>
    </rPh>
    <phoneticPr fontId="4"/>
  </si>
  <si>
    <t>計算結果－区分1見込額(月)</t>
    <rPh sb="5" eb="7">
      <t>クブン</t>
    </rPh>
    <rPh sb="8" eb="10">
      <t>ミコミ</t>
    </rPh>
    <rPh sb="10" eb="11">
      <t>ガク</t>
    </rPh>
    <rPh sb="12" eb="13">
      <t>ゲツ</t>
    </rPh>
    <phoneticPr fontId="4"/>
  </si>
  <si>
    <t>計算結果－区分1見込額(年)</t>
    <rPh sb="5" eb="7">
      <t>クブン</t>
    </rPh>
    <rPh sb="8" eb="10">
      <t>ミコミ</t>
    </rPh>
    <rPh sb="10" eb="11">
      <t>ガク</t>
    </rPh>
    <rPh sb="12" eb="13">
      <t>ネン</t>
    </rPh>
    <phoneticPr fontId="4"/>
  </si>
  <si>
    <t>計算結果－区分2見込額(月)</t>
    <rPh sb="5" eb="7">
      <t>クブン</t>
    </rPh>
    <rPh sb="8" eb="10">
      <t>ミコ</t>
    </rPh>
    <rPh sb="10" eb="11">
      <t>ガク</t>
    </rPh>
    <rPh sb="12" eb="13">
      <t>ゲツ</t>
    </rPh>
    <phoneticPr fontId="4"/>
  </si>
  <si>
    <t>計算結果－区分2見込額(年)</t>
    <rPh sb="5" eb="7">
      <t>クブン</t>
    </rPh>
    <rPh sb="8" eb="10">
      <t>ミコミ</t>
    </rPh>
    <rPh sb="10" eb="11">
      <t>ガク</t>
    </rPh>
    <rPh sb="12" eb="13">
      <t>ネン</t>
    </rPh>
    <phoneticPr fontId="4"/>
  </si>
  <si>
    <t>計算結果－区分3見込額(月)</t>
    <rPh sb="5" eb="7">
      <t>クブン</t>
    </rPh>
    <rPh sb="8" eb="10">
      <t>ミコミ</t>
    </rPh>
    <rPh sb="10" eb="11">
      <t>ガク</t>
    </rPh>
    <rPh sb="12" eb="13">
      <t>ゲツ</t>
    </rPh>
    <phoneticPr fontId="4"/>
  </si>
  <si>
    <t>計算結果－区分3見込額(年)</t>
    <rPh sb="5" eb="7">
      <t>クブン</t>
    </rPh>
    <rPh sb="8" eb="10">
      <t>ミコ</t>
    </rPh>
    <rPh sb="10" eb="11">
      <t>ガク</t>
    </rPh>
    <rPh sb="12" eb="13">
      <t>ネン</t>
    </rPh>
    <phoneticPr fontId="4"/>
  </si>
  <si>
    <t>計算結果－区分3－人数A</t>
    <rPh sb="5" eb="7">
      <t>クブン</t>
    </rPh>
    <rPh sb="9" eb="11">
      <t>ニンズウ</t>
    </rPh>
    <phoneticPr fontId="4"/>
  </si>
  <si>
    <t>計算結果－区分3－人数B</t>
    <rPh sb="9" eb="11">
      <t>ニンズウ</t>
    </rPh>
    <phoneticPr fontId="4"/>
  </si>
  <si>
    <t>様式１－加算率(a)</t>
    <rPh sb="0" eb="2">
      <t>ヨウシキ</t>
    </rPh>
    <rPh sb="4" eb="6">
      <t>カサン</t>
    </rPh>
    <rPh sb="6" eb="7">
      <t>リツ</t>
    </rPh>
    <phoneticPr fontId="4"/>
  </si>
  <si>
    <t>様式１－加算率(b)</t>
    <rPh sb="0" eb="2">
      <t>ヨウシキ</t>
    </rPh>
    <rPh sb="4" eb="6">
      <t>カサン</t>
    </rPh>
    <rPh sb="6" eb="7">
      <t>リツ</t>
    </rPh>
    <phoneticPr fontId="4"/>
  </si>
  <si>
    <t>様式3－研修修了者(副主任保育士等)</t>
    <rPh sb="0" eb="2">
      <t>ヨウシキ</t>
    </rPh>
    <rPh sb="4" eb="6">
      <t>ケンシュウ</t>
    </rPh>
    <rPh sb="6" eb="9">
      <t>シュウリョウシャ</t>
    </rPh>
    <rPh sb="10" eb="13">
      <t>フクシュニン</t>
    </rPh>
    <rPh sb="13" eb="16">
      <t>ホイクシ</t>
    </rPh>
    <rPh sb="16" eb="17">
      <t>トウ</t>
    </rPh>
    <phoneticPr fontId="4"/>
  </si>
  <si>
    <t>様式3－研修修了者(分野別リーダー等)</t>
    <rPh sb="0" eb="2">
      <t>ヨウシキ</t>
    </rPh>
    <rPh sb="4" eb="6">
      <t>ケンシュウ</t>
    </rPh>
    <rPh sb="6" eb="9">
      <t>シュウリョウシャ</t>
    </rPh>
    <rPh sb="10" eb="12">
      <t>ブンヤ</t>
    </rPh>
    <rPh sb="12" eb="13">
      <t>ベツ</t>
    </rPh>
    <rPh sb="17" eb="18">
      <t>トウ</t>
    </rPh>
    <phoneticPr fontId="4"/>
  </si>
  <si>
    <t>様式3－研修修了者(園長等)</t>
    <rPh sb="0" eb="2">
      <t>ヨウシキ</t>
    </rPh>
    <rPh sb="4" eb="6">
      <t>ケンシュウ</t>
    </rPh>
    <rPh sb="6" eb="9">
      <t>シュウリョウシャ</t>
    </rPh>
    <rPh sb="10" eb="12">
      <t>エンチョウ</t>
    </rPh>
    <rPh sb="12" eb="13">
      <t>トウ</t>
    </rPh>
    <phoneticPr fontId="4"/>
  </si>
  <si>
    <t>様式3－勤務条件・賃金体系等</t>
    <rPh sb="0" eb="2">
      <t>ヨウシキ</t>
    </rPh>
    <rPh sb="4" eb="6">
      <t>キンム</t>
    </rPh>
    <rPh sb="6" eb="8">
      <t>ジョウケン</t>
    </rPh>
    <rPh sb="9" eb="11">
      <t>チンギン</t>
    </rPh>
    <rPh sb="11" eb="13">
      <t>タイケイ</t>
    </rPh>
    <rPh sb="13" eb="14">
      <t>トウ</t>
    </rPh>
    <phoneticPr fontId="4"/>
  </si>
  <si>
    <t>様式3－判定欄(1人以上の修了者)</t>
    <rPh sb="0" eb="2">
      <t>ヨウシキ</t>
    </rPh>
    <rPh sb="4" eb="6">
      <t>ハンテイ</t>
    </rPh>
    <rPh sb="6" eb="7">
      <t>ラン</t>
    </rPh>
    <rPh sb="9" eb="12">
      <t>ニンイジョウ</t>
    </rPh>
    <rPh sb="13" eb="16">
      <t>シュウリョウシャ</t>
    </rPh>
    <phoneticPr fontId="4"/>
  </si>
  <si>
    <t>様式4－区分2見込額</t>
    <rPh sb="0" eb="2">
      <t>ヨウシキ</t>
    </rPh>
    <rPh sb="4" eb="6">
      <t>クブン</t>
    </rPh>
    <rPh sb="7" eb="9">
      <t>ミコミ</t>
    </rPh>
    <rPh sb="9" eb="10">
      <t>ガク</t>
    </rPh>
    <phoneticPr fontId="4"/>
  </si>
  <si>
    <t>様式4－区分3見込額</t>
    <rPh sb="0" eb="2">
      <t>ヨウシキ</t>
    </rPh>
    <rPh sb="4" eb="6">
      <t>クブン</t>
    </rPh>
    <rPh sb="7" eb="9">
      <t>ミコミ</t>
    </rPh>
    <rPh sb="9" eb="10">
      <t>ガク</t>
    </rPh>
    <phoneticPr fontId="4"/>
  </si>
  <si>
    <t>様式4－区分2_改善見込額</t>
    <rPh sb="0" eb="2">
      <t>ヨウシキ</t>
    </rPh>
    <rPh sb="4" eb="6">
      <t>クブン</t>
    </rPh>
    <rPh sb="8" eb="10">
      <t>カイゼン</t>
    </rPh>
    <rPh sb="10" eb="12">
      <t>ミコ</t>
    </rPh>
    <rPh sb="12" eb="13">
      <t>ガク</t>
    </rPh>
    <phoneticPr fontId="4"/>
  </si>
  <si>
    <t>様式4－区分2_事業主負担増加見込総額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</si>
  <si>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様式4－区分3_改善見込額</t>
    <rPh sb="0" eb="2">
      <t>ヨウシキ</t>
    </rPh>
    <rPh sb="4" eb="6">
      <t>クブン</t>
    </rPh>
    <rPh sb="8" eb="10">
      <t>カイゼン</t>
    </rPh>
    <rPh sb="10" eb="12">
      <t>ミコ</t>
    </rPh>
    <rPh sb="12" eb="13">
      <t>ガク</t>
    </rPh>
    <phoneticPr fontId="4"/>
  </si>
  <si>
    <t>様式4－区分3_事業主負担増加見込総額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</si>
  <si>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様式4－区分2_賃金改善判定</t>
    <rPh sb="0" eb="2">
      <t>ヨウシキ</t>
    </rPh>
    <rPh sb="4" eb="6">
      <t>クブン</t>
    </rPh>
    <rPh sb="8" eb="10">
      <t>チンギン</t>
    </rPh>
    <rPh sb="10" eb="12">
      <t>カイゼン</t>
    </rPh>
    <rPh sb="12" eb="14">
      <t>ハンテイ</t>
    </rPh>
    <phoneticPr fontId="4"/>
  </si>
  <si>
    <t>様式4－区分3_賃金改善判定</t>
    <rPh sb="0" eb="2">
      <t>ヨウシキ</t>
    </rPh>
    <rPh sb="4" eb="6">
      <t>クブン</t>
    </rPh>
    <rPh sb="8" eb="10">
      <t>チンギン</t>
    </rPh>
    <rPh sb="10" eb="12">
      <t>カイゼン</t>
    </rPh>
    <rPh sb="12" eb="14">
      <t>ハンテイ</t>
    </rPh>
    <phoneticPr fontId="4"/>
  </si>
  <si>
    <t>様式4－賃金水準低下判定</t>
    <rPh sb="0" eb="2">
      <t>ヨウシキ</t>
    </rPh>
    <rPh sb="4" eb="6">
      <t>チンギン</t>
    </rPh>
    <rPh sb="6" eb="8">
      <t>スイジュン</t>
    </rPh>
    <rPh sb="8" eb="10">
      <t>テイカ</t>
    </rPh>
    <rPh sb="10" eb="12">
      <t>ハンテイ</t>
    </rPh>
    <phoneticPr fontId="4"/>
  </si>
  <si>
    <t>賃金改善階層フラグ</t>
    <rPh sb="0" eb="2">
      <t>チンギン</t>
    </rPh>
    <rPh sb="2" eb="4">
      <t>カイゼン</t>
    </rPh>
    <rPh sb="4" eb="6">
      <t>カイソウ</t>
    </rPh>
    <phoneticPr fontId="4"/>
  </si>
  <si>
    <t>様式4別添1－改善割合判定</t>
    <rPh sb="7" eb="9">
      <t>カイゼン</t>
    </rPh>
    <rPh sb="9" eb="11">
      <t>ワリアイ</t>
    </rPh>
    <rPh sb="11" eb="13">
      <t>ハンテイ</t>
    </rPh>
    <phoneticPr fontId="4"/>
  </si>
  <si>
    <t>様式4別添1－賃金水準低下判定</t>
    <phoneticPr fontId="4"/>
  </si>
  <si>
    <t>様式5－区分2見込額</t>
    <rPh sb="0" eb="2">
      <t>ヨウシキ</t>
    </rPh>
    <phoneticPr fontId="4"/>
  </si>
  <si>
    <t>様式5－区分3見込額</t>
    <rPh sb="0" eb="2">
      <t>ヨウシキ</t>
    </rPh>
    <rPh sb="4" eb="6">
      <t>クブン</t>
    </rPh>
    <rPh sb="7" eb="9">
      <t>ミコミ</t>
    </rPh>
    <rPh sb="9" eb="10">
      <t>ガク</t>
    </rPh>
    <phoneticPr fontId="4"/>
  </si>
  <si>
    <t>様式5－賃金改善チェック</t>
    <rPh sb="0" eb="2">
      <t>ヨウシキ</t>
    </rPh>
    <rPh sb="4" eb="6">
      <t>チンギン</t>
    </rPh>
    <rPh sb="6" eb="8">
      <t>カイゼン</t>
    </rPh>
    <phoneticPr fontId="4"/>
  </si>
  <si>
    <t>様式5－賃金水準チェック</t>
    <rPh sb="0" eb="2">
      <t>ヨウシキ</t>
    </rPh>
    <rPh sb="4" eb="6">
      <t>チンギン</t>
    </rPh>
    <rPh sb="6" eb="8">
      <t>スイジュン</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</si>
  <si>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</si>
  <si>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</si>
  <si>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</si>
  <si>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</si>
  <si>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</si>
  <si>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</si>
  <si>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</si>
  <si>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</si>
  <si>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区分1・2総児童数</t>
    <rPh sb="5" eb="6">
      <t>ソウ</t>
    </rPh>
    <rPh sb="6" eb="8">
      <t>ジドウ</t>
    </rPh>
    <rPh sb="8" eb="9">
      <t>スウウン</t>
    </rPh>
    <phoneticPr fontId="4"/>
  </si>
  <si>
    <t>区分3総児童数</t>
    <rPh sb="3" eb="4">
      <t>ソウ</t>
    </rPh>
    <rPh sb="4" eb="6">
      <t>ジドウ</t>
    </rPh>
    <rPh sb="6" eb="7">
      <t>スウウン</t>
    </rPh>
    <phoneticPr fontId="4"/>
  </si>
  <si>
    <t>区分1・2・3総定員</t>
    <rPh sb="0" eb="2">
      <t>クブン</t>
    </rPh>
    <rPh sb="7" eb="10">
      <t>ソウテイイン</t>
    </rPh>
    <rPh sb="8" eb="10">
      <t>テイイン</t>
    </rPh>
    <phoneticPr fontId="4"/>
  </si>
  <si>
    <t>学級編成調整加配加算</t>
    <phoneticPr fontId="4"/>
  </si>
  <si>
    <t>３歳児配置改善加算</t>
    <rPh sb="1" eb="3">
      <t>サイジ</t>
    </rPh>
    <rPh sb="3" eb="5">
      <t>ハイチ</t>
    </rPh>
    <rPh sb="5" eb="7">
      <t>カイゼン</t>
    </rPh>
    <rPh sb="7" eb="9">
      <t>カサン</t>
    </rPh>
    <phoneticPr fontId="4"/>
  </si>
  <si>
    <t>４歳以上児配置改善加算</t>
    <rPh sb="1" eb="2">
      <t>サイ</t>
    </rPh>
    <rPh sb="4" eb="5">
      <t>ジ</t>
    </rPh>
    <rPh sb="5" eb="7">
      <t>ハイチ</t>
    </rPh>
    <rPh sb="7" eb="9">
      <t>カイゼン</t>
    </rPh>
    <rPh sb="9" eb="11">
      <t>カサン</t>
    </rPh>
    <phoneticPr fontId="4"/>
  </si>
  <si>
    <t>１歳児配置改善加算</t>
    <rPh sb="1" eb="3">
      <t>サイジ</t>
    </rPh>
    <rPh sb="3" eb="5">
      <t>ハイチ</t>
    </rPh>
    <rPh sb="5" eb="7">
      <t>カイゼン</t>
    </rPh>
    <rPh sb="7" eb="9">
      <t>カサン</t>
    </rPh>
    <phoneticPr fontId="4"/>
  </si>
  <si>
    <t>満３歳児対応加配加算</t>
    <phoneticPr fontId="4"/>
  </si>
  <si>
    <t>夜間保育加算</t>
    <rPh sb="0" eb="2">
      <t>ヤカン</t>
    </rPh>
    <rPh sb="2" eb="4">
      <t>ホイク</t>
    </rPh>
    <rPh sb="4" eb="6">
      <t>カサン</t>
    </rPh>
    <phoneticPr fontId="4"/>
  </si>
  <si>
    <t>主幹保育教諭等専任化なしの調整（減算）</t>
    <rPh sb="0" eb="2">
      <t>シュカン</t>
    </rPh>
    <rPh sb="2" eb="4">
      <t>ホイク</t>
    </rPh>
    <rPh sb="4" eb="7">
      <t>キョウユトウ</t>
    </rPh>
    <rPh sb="7" eb="9">
      <t>センニン</t>
    </rPh>
    <rPh sb="9" eb="10">
      <t>バ</t>
    </rPh>
    <rPh sb="13" eb="15">
      <t>チョウセイ</t>
    </rPh>
    <rPh sb="16" eb="18">
      <t>ゲンサン</t>
    </rPh>
    <phoneticPr fontId="4"/>
  </si>
  <si>
    <t>療育支援加算</t>
    <rPh sb="0" eb="6">
      <t>リョウイクシエンカサン</t>
    </rPh>
    <phoneticPr fontId="4"/>
  </si>
  <si>
    <t>指導充実加配加算</t>
    <rPh sb="0" eb="6">
      <t>シドウジュウジツカハイ</t>
    </rPh>
    <rPh sb="6" eb="8">
      <t>カサン</t>
    </rPh>
    <phoneticPr fontId="4"/>
  </si>
  <si>
    <t>事務負担対応加配加算</t>
    <rPh sb="0" eb="6">
      <t>ジムフタンタイオウ</t>
    </rPh>
    <rPh sb="6" eb="8">
      <t>カハイ</t>
    </rPh>
    <rPh sb="8" eb="10">
      <t>カサン</t>
    </rPh>
    <phoneticPr fontId="4"/>
  </si>
  <si>
    <t>栄養管理加算</t>
    <rPh sb="0" eb="6">
      <t>エイヨウカンリカサン</t>
    </rPh>
    <phoneticPr fontId="4"/>
  </si>
  <si>
    <t>休日保育のべ利用子ども数</t>
    <rPh sb="0" eb="2">
      <t>キュウジツ</t>
    </rPh>
    <rPh sb="2" eb="4">
      <t>ホイク</t>
    </rPh>
    <rPh sb="6" eb="8">
      <t>リヨウ</t>
    </rPh>
    <rPh sb="8" eb="9">
      <t>コ</t>
    </rPh>
    <rPh sb="11" eb="12">
      <t>スウ</t>
    </rPh>
    <phoneticPr fontId="4"/>
  </si>
  <si>
    <t>チーム保育加配加算加配人数</t>
    <rPh sb="3" eb="5">
      <t>ホイク</t>
    </rPh>
    <rPh sb="5" eb="7">
      <t>カハイ</t>
    </rPh>
    <rPh sb="7" eb="9">
      <t>カサン</t>
    </rPh>
    <rPh sb="9" eb="11">
      <t>カハイ</t>
    </rPh>
    <rPh sb="11" eb="13">
      <t>ニンズウ</t>
    </rPh>
    <phoneticPr fontId="4"/>
  </si>
  <si>
    <t>給食実施日数</t>
    <rPh sb="0" eb="2">
      <t>キュウショク</t>
    </rPh>
    <rPh sb="2" eb="4">
      <t>ジッシ</t>
    </rPh>
    <rPh sb="4" eb="6">
      <t>ニッスウ</t>
    </rPh>
    <phoneticPr fontId="4"/>
  </si>
  <si>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</si>
  <si>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</si>
  <si>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土曜日に閉所する場合</t>
    <rPh sb="0" eb="3">
      <t>ドヨウビ</t>
    </rPh>
    <rPh sb="4" eb="6">
      <t>ヘイショ</t>
    </rPh>
    <rPh sb="8" eb="10">
      <t>バアイ</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</si>
  <si>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</si>
  <si>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③加算前年度に処遇改善等加算（区分2）の適用を受けている。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</si>
  <si>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⑤加算前年度に処遇改善等加算（区分3）の適用を受けている。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</si>
  <si>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（１）令和７年度実績</t>
    <phoneticPr fontId="4"/>
  </si>
  <si>
    <t>（２）前年実績による令和８年度見込み年齢別平均児童数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</si>
  <si>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８年度</t>
    <rPh sb="1" eb="3">
      <t>ネンド</t>
    </rPh>
    <phoneticPr fontId="4"/>
  </si>
  <si>
    <t>８</t>
    <phoneticPr fontId="6"/>
  </si>
  <si>
    <t>基準年度の処遇改善等加算の加算額</t>
    <rPh sb="0" eb="2">
      <t>キジュン</t>
    </rPh>
    <rPh sb="2" eb="4">
      <t>ネンド</t>
    </rPh>
    <rPh sb="5" eb="9">
      <t>ショグウカイゼン</t>
    </rPh>
    <rPh sb="9" eb="10">
      <t>トウ</t>
    </rPh>
    <rPh sb="10" eb="12">
      <t>カサン</t>
    </rPh>
    <rPh sb="13" eb="16">
      <t>カサンガク</t>
    </rPh>
    <phoneticPr fontId="6"/>
  </si>
  <si>
    <t>加算当年度の前年度に支払うべき残額に対応した支払い賃金額※4</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</si>
  <si>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※4支払いを終えていない場合は、加算当年度の前年度に支払うべき残額を記載すること。</t>
    <phoneticPr fontId="6"/>
  </si>
  <si>
    <t>副主任保育士・専門リーダー等</t>
  </si>
  <si>
    <t>職務分野別リーダー等</t>
  </si>
  <si>
    <t>配分対象者（園長を除く管理職）</t>
  </si>
  <si>
    <t>園長配分フラグ</t>
    <rPh sb="0" eb="2">
      <t>エンチョウ</t>
    </rPh>
    <rPh sb="2" eb="4">
      <t>ハイブン</t>
    </rPh>
    <phoneticPr fontId="4"/>
  </si>
  <si>
    <t>様式4別添1－副主任保育士等最高</t>
    <rPh sb="0" eb="2">
      <t>ヨウシキ</t>
    </rPh>
    <rPh sb="3" eb="5">
      <t>ベッテン</t>
    </rPh>
    <rPh sb="7" eb="10">
      <t>フクシュニン</t>
    </rPh>
    <rPh sb="10" eb="13">
      <t>ホイクシ</t>
    </rPh>
    <rPh sb="13" eb="14">
      <t>トウ</t>
    </rPh>
    <rPh sb="14" eb="16">
      <t>サイコウ</t>
    </rPh>
    <phoneticPr fontId="4"/>
  </si>
  <si>
    <t>様式4別添1－副主任保育士等最低</t>
    <rPh sb="0" eb="2">
      <t>ヨウシキ</t>
    </rPh>
    <rPh sb="3" eb="5">
      <t>ベッテン</t>
    </rPh>
    <rPh sb="7" eb="10">
      <t>フクシュニン</t>
    </rPh>
    <rPh sb="10" eb="13">
      <t>ホイクシ</t>
    </rPh>
    <rPh sb="13" eb="14">
      <t>トウ</t>
    </rPh>
    <rPh sb="14" eb="16">
      <t>サイテイ</t>
    </rPh>
    <phoneticPr fontId="4"/>
  </si>
  <si>
    <t>様式4別添1－分野別リーダー等最高</t>
    <rPh sb="0" eb="2">
      <t>ヨウシキ</t>
    </rPh>
    <rPh sb="3" eb="5">
      <t>ベッテン</t>
    </rPh>
    <rPh sb="7" eb="9">
      <t>ブンヤ</t>
    </rPh>
    <rPh sb="9" eb="10">
      <t>ベツ</t>
    </rPh>
    <rPh sb="14" eb="15">
      <t>トウ</t>
    </rPh>
    <rPh sb="15" eb="17">
      <t>サイコウ</t>
    </rPh>
    <phoneticPr fontId="4"/>
  </si>
  <si>
    <t>様式4別添1－３－配分対象者最高</t>
    <rPh sb="9" eb="11">
      <t>ハイブン</t>
    </rPh>
    <rPh sb="11" eb="13">
      <t>タイショウ</t>
    </rPh>
    <rPh sb="13" eb="14">
      <t>シャ</t>
    </rPh>
    <rPh sb="14" eb="16">
      <t>サイコウ</t>
    </rPh>
    <phoneticPr fontId="4"/>
  </si>
  <si>
    <t>園長改善フラグ(1以上で対象あり）</t>
    <rPh sb="0" eb="2">
      <t>エンチョウ</t>
    </rPh>
    <rPh sb="2" eb="4">
      <t>カイゼン</t>
    </rPh>
    <rPh sb="9" eb="11">
      <t>イジョウ</t>
    </rPh>
    <rPh sb="12" eb="14">
      <t>タイショウ</t>
    </rPh>
    <phoneticPr fontId="4"/>
  </si>
  <si>
    <t>④(③が「はい」の場合)③の賃金改善の内容を職員に対して周知している。</t>
    <rPh sb="9" eb="11">
      <t>バアイ</t>
    </rPh>
    <rPh sb="14" eb="16">
      <t>チンギン</t>
    </rPh>
    <rPh sb="16" eb="18">
      <t>カイゼン</t>
    </rPh>
    <rPh sb="19" eb="21">
      <t>ナイヨウ</t>
    </rPh>
    <rPh sb="22" eb="24">
      <t>ショクイン</t>
    </rPh>
    <rPh sb="25" eb="26">
      <t>タイ</t>
    </rPh>
    <rPh sb="28" eb="30">
      <t>シュウチ</t>
    </rPh>
    <phoneticPr fontId="4"/>
  </si>
  <si>
    <t>⑥(⑤が「はい」の場合)⑥の賃金改善の内容を職員に対して周知している。</t>
    <rPh sb="9" eb="11">
      <t>バアイ</t>
    </rPh>
    <rPh sb="14" eb="16">
      <t>チンギン</t>
    </rPh>
    <rPh sb="16" eb="18">
      <t>カイゼン</t>
    </rPh>
    <rPh sb="19" eb="21">
      <t>ナイヨウ</t>
    </rPh>
    <rPh sb="22" eb="24">
      <t>ショクイン</t>
    </rPh>
    <rPh sb="25" eb="26">
      <t>タイ</t>
    </rPh>
    <rPh sb="28" eb="30">
      <t>シュウチ</t>
    </rPh>
    <phoneticPr fontId="4"/>
  </si>
  <si>
    <t>②過年度に申請したキャリアパス要件届出書や資質向上のための計画に変更がない。</t>
    <rPh sb="1" eb="4">
      <t>カネンド</t>
    </rPh>
    <rPh sb="5" eb="7">
      <t>シンセイ</t>
    </rPh>
    <rPh sb="15" eb="17">
      <t>ヨウケン</t>
    </rPh>
    <rPh sb="17" eb="20">
      <t>トドケデショ</t>
    </rPh>
    <rPh sb="21" eb="25">
      <t>シシツコウジョウ</t>
    </rPh>
    <rPh sb="29" eb="31">
      <t>ケイカク</t>
    </rPh>
    <rPh sb="32" eb="34">
      <t>ヘンコウ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</si>
</sst>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General&quot;日&quot;"/>
    <numFmt numFmtId="185" formatCode="#,##0&quot;月&quot;\ "/>
    <numFmt numFmtId="186" formatCode="#,##0&quot;人&quot;\ "/>
    <numFmt numFmtId="187" formatCode="0.00_ "/>
    <numFmt numFmtId="188" formatCode="#,##0.0&quot;人&quot;\ "/>
    <numFmt numFmtId="189" formatCode="0_);[Red]\(0\)"/>
    <numFmt numFmtId="190" formatCode="0.0_);[Red]\(0.0\)"/>
    <numFmt numFmtId="191" formatCode="0.00_);[Red]\(0.00\)"/>
    <numFmt numFmtId="192" formatCode="0.000_);[Red]\(0.000\)"/>
    <numFmt numFmtId="193" formatCode="0.0_ ;[Red]\-0.0\ "/>
    <numFmt numFmtId="194" formatCode="#,##0_);[Red]\(#,##0\)"/>
    <numFmt numFmtId="195" formatCode="#,##0_ "/>
    <numFmt numFmtId="196" formatCode="#,##0_ ;[Red]\-#,##0\ "/>
    <numFmt numFmtId="197" formatCode="0.0%"/>
    <numFmt numFmtId="198" formatCode="0.0_ "/>
    <numFmt numFmtId="199" formatCode="#,###"/>
    <numFmt numFmtId="200" formatCode="0_ "/>
  </numFmts>
  <fonts count="108">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20"/>
      <color theme="1"/>
      <name val="游ゴシック"/>
      <family val="2"/>
      <charset val="128"/>
      <scheme val="minor"/>
    </font>
    <font>
      <sz val="11"/>
      <color rgb="FFFF0000"/>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9"/>
      <color indexed="81"/>
      <name val="MS P ゴシック"/>
      <family val="3"/>
      <charset val="128"/>
    </font>
    <font>
      <sz val="16"/>
      <name val="HG丸ｺﾞｼｯｸM-PRO"/>
      <family val="3"/>
      <charset val="128"/>
    </font>
    <font>
      <sz val="14"/>
      <color theme="1"/>
      <name val="HG丸ｺﾞｼｯｸM-PRO"/>
      <family val="3"/>
      <charset val="128"/>
    </font>
    <font>
      <sz val="14"/>
      <color theme="1"/>
      <name val="游ゴシック"/>
      <family val="2"/>
      <charset val="128"/>
      <scheme val="minor"/>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name val="HG丸ｺﾞｼｯｸM-PRO"/>
      <family val="3"/>
      <charset val="128"/>
    </font>
    <font>
      <sz val="11"/>
      <color theme="8"/>
      <name val="HG丸ｺﾞｼｯｸM-PRO"/>
      <family val="3"/>
      <charset val="128"/>
    </font>
    <font>
      <sz val="11"/>
      <color rgb="FFFF0000"/>
      <name val="HG丸ｺﾞｼｯｸM-PRO"/>
      <family val="3"/>
      <charset val="128"/>
    </font>
    <font>
      <sz val="11"/>
      <color theme="0"/>
      <name val="HG丸ｺﾞｼｯｸM-PRO"/>
      <family val="3"/>
      <charset val="128"/>
    </font>
    <font>
      <sz val="11"/>
      <color theme="2" tint="-0.499984740745262"/>
      <name val="HG丸ｺﾞｼｯｸM-PRO"/>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name val="HG丸ｺﾞｼｯｸM-PRO"/>
      <family val="3"/>
      <charset val="128"/>
    </font>
    <font>
      <b/>
      <sz val="11"/>
      <color theme="1"/>
      <name val="HG丸ｺﾞｼｯｸM-PRO"/>
      <family val="3"/>
      <charset val="128"/>
    </font>
    <font>
      <sz val="12"/>
      <color indexed="81"/>
      <name val="ＭＳ Ｐゴシック"/>
      <family val="3"/>
      <charset val="128"/>
    </font>
    <font>
      <sz val="10"/>
      <color indexed="81"/>
      <name val="ＭＳ Ｐゴシック"/>
      <family val="3"/>
      <charset val="128"/>
    </font>
    <font>
      <sz val="12"/>
      <color indexed="81"/>
      <name val="MS P ゴシック"/>
      <family val="3"/>
      <charset val="128"/>
    </font>
    <font>
      <sz val="11"/>
      <color theme="1"/>
      <name val="BIZ UDゴシック"/>
      <family val="3"/>
      <charset val="128"/>
    </font>
    <font>
      <sz val="16"/>
      <color theme="1"/>
      <name val="BIZ UDゴシック"/>
      <family val="3"/>
      <charset val="128"/>
    </font>
    <font>
      <sz val="11"/>
      <color rgb="FFC00000"/>
      <name val="BIZ UDゴシック"/>
      <family val="3"/>
      <charset val="128"/>
    </font>
    <font>
      <sz val="10"/>
      <color theme="1"/>
      <name val="BIZ UDゴシック"/>
      <family val="3"/>
      <charset val="128"/>
    </font>
    <font>
      <sz val="10"/>
      <color theme="1"/>
      <name val="游ゴシック"/>
      <family val="2"/>
      <charset val="128"/>
      <scheme val="minor"/>
    </font>
    <font>
      <b/>
      <sz val="10"/>
      <color rgb="FFFF0000"/>
      <name val="游ゴシック"/>
      <family val="3"/>
      <charset val="128"/>
      <scheme val="minor"/>
    </font>
    <font>
      <sz val="10"/>
      <name val="游ゴシック"/>
      <family val="3"/>
      <charset val="128"/>
      <scheme val="minor"/>
    </font>
    <font>
      <b/>
      <sz val="12"/>
      <color rgb="FFFF0000"/>
      <name val="游ゴシック"/>
      <family val="3"/>
      <charset val="128"/>
      <scheme val="minor"/>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9"/>
      <color theme="1"/>
      <name val="游ゴシック"/>
      <family val="2"/>
      <charset val="128"/>
      <scheme val="minor"/>
    </font>
    <font>
      <sz val="12"/>
      <name val="ＭＳ Ｐ明朝"/>
      <family val="1"/>
      <charset val="128"/>
    </font>
    <font>
      <sz val="11"/>
      <color indexed="81"/>
      <name val="MS P 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s>
  <borders count="238">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Up="1">
      <left style="thin">
        <color indexed="64"/>
      </left>
      <right style="thin">
        <color indexed="64"/>
      </right>
      <top/>
      <bottom style="dotted">
        <color indexed="64"/>
      </bottom>
      <diagonal style="dotted">
        <color indexed="64"/>
      </diagonal>
    </border>
    <border diagonalUp="1">
      <left/>
      <right style="thin">
        <color indexed="64"/>
      </right>
      <top style="thin">
        <color indexed="64"/>
      </top>
      <bottom style="dotted">
        <color indexed="64"/>
      </bottom>
      <diagonal style="dotted">
        <color indexed="64"/>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medium">
        <color indexed="64"/>
      </left>
      <right style="thin">
        <color indexed="64"/>
      </right>
      <top style="hair">
        <color indexed="64"/>
      </top>
      <bottom style="double">
        <color indexed="64"/>
      </bottom>
      <diagonal style="thin">
        <color indexed="64"/>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style="medium">
        <color indexed="64"/>
      </left>
      <right/>
      <top style="dotted">
        <color indexed="64"/>
      </top>
      <bottom style="medium">
        <color indexed="64"/>
      </bottom>
      <diagonal style="thin">
        <color indexed="64"/>
      </diagonal>
    </border>
    <border diagonalUp="1">
      <left style="medium">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medium">
        <color indexed="64"/>
      </right>
      <top style="thin">
        <color indexed="64"/>
      </top>
      <bottom style="dotted">
        <color indexed="64"/>
      </bottom>
      <diagonal style="thin">
        <color indexed="64"/>
      </diagonal>
    </border>
    <border diagonalUp="1">
      <left style="medium">
        <color indexed="64"/>
      </left>
      <right/>
      <top style="dotted">
        <color indexed="64"/>
      </top>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right/>
      <top style="medium">
        <color indexed="64"/>
      </top>
      <bottom/>
      <diagonal style="thin">
        <color indexed="64"/>
      </diagonal>
    </border>
    <border diagonalUp="1">
      <left/>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5" fillId="0" borderId="0"/>
    <xf numFmtId="0" fontId="75" fillId="0" borderId="0"/>
    <xf numFmtId="0" fontId="82" fillId="0" borderId="0">
      <alignment vertical="center"/>
    </xf>
    <xf numFmtId="0" fontId="7" fillId="0" borderId="0"/>
  </cellStyleXfs>
  <cellXfs count="1278">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Continuous" vertical="center" wrapText="1"/>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0" fontId="9" fillId="0" borderId="21" xfId="2" applyFont="1" applyBorder="1" applyAlignment="1">
      <alignment vertical="center" shrinkToFit="1"/>
    </xf>
    <xf numFmtId="0" fontId="5" fillId="5" borderId="22" xfId="0" applyFont="1" applyFill="1" applyBorder="1" applyAlignment="1">
      <alignment vertical="center" shrinkToFit="1"/>
    </xf>
    <xf numFmtId="176" fontId="9" fillId="0" borderId="20" xfId="2" applyNumberFormat="1" applyFont="1" applyBorder="1" applyAlignment="1">
      <alignment vertical="center" shrinkToFit="1"/>
    </xf>
    <xf numFmtId="0" fontId="9" fillId="0" borderId="22" xfId="0" applyFont="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4" xfId="2" applyNumberFormat="1" applyFont="1" applyFill="1" applyBorder="1" applyAlignment="1">
      <alignment vertical="center" shrinkToFit="1"/>
    </xf>
    <xf numFmtId="177" fontId="8" fillId="5" borderId="24" xfId="2" applyNumberFormat="1" applyFont="1" applyFill="1" applyBorder="1" applyAlignment="1">
      <alignment vertical="center" shrinkToFit="1"/>
    </xf>
    <xf numFmtId="0" fontId="8" fillId="0" borderId="9" xfId="2" applyFont="1" applyBorder="1" applyAlignment="1">
      <alignment vertical="center" shrinkToFit="1"/>
    </xf>
    <xf numFmtId="0" fontId="9" fillId="0" borderId="25" xfId="2" applyFont="1" applyBorder="1" applyAlignment="1">
      <alignment vertical="center" shrinkToFit="1"/>
    </xf>
    <xf numFmtId="0" fontId="5" fillId="5" borderId="26" xfId="0" applyFont="1" applyFill="1" applyBorder="1" applyAlignment="1">
      <alignment vertical="center" shrinkToFit="1"/>
    </xf>
    <xf numFmtId="176" fontId="9" fillId="0" borderId="24" xfId="2" applyNumberFormat="1" applyFont="1" applyBorder="1" applyAlignment="1">
      <alignment vertical="center" shrinkToFit="1"/>
    </xf>
    <xf numFmtId="0" fontId="9" fillId="0" borderId="26"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9" fillId="0" borderId="20" xfId="2" applyFont="1" applyBorder="1" applyAlignment="1">
      <alignment vertical="center" shrinkToFit="1"/>
    </xf>
    <xf numFmtId="177" fontId="9" fillId="0" borderId="20" xfId="2" applyNumberFormat="1" applyFont="1" applyBorder="1" applyAlignment="1">
      <alignment vertical="center" shrinkToFit="1"/>
    </xf>
    <xf numFmtId="0" fontId="5" fillId="0" borderId="5" xfId="0" applyFont="1" applyBorder="1" applyAlignment="1">
      <alignment vertical="center" shrinkToFit="1"/>
    </xf>
    <xf numFmtId="0" fontId="9" fillId="0" borderId="24" xfId="2" applyFont="1" applyBorder="1" applyAlignment="1">
      <alignment vertical="center" shrinkToFit="1"/>
    </xf>
    <xf numFmtId="177" fontId="9" fillId="0" borderId="24" xfId="2" applyNumberFormat="1" applyFont="1" applyBorder="1" applyAlignment="1">
      <alignment vertical="center" shrinkToFit="1"/>
    </xf>
    <xf numFmtId="0" fontId="5" fillId="0" borderId="6" xfId="0" applyFont="1" applyBorder="1" applyAlignment="1">
      <alignment vertical="center" shrinkToFit="1"/>
    </xf>
    <xf numFmtId="176" fontId="8" fillId="5" borderId="9" xfId="2" applyNumberFormat="1" applyFont="1" applyFill="1" applyBorder="1" applyAlignment="1">
      <alignment vertical="center" shrinkToFit="1"/>
    </xf>
    <xf numFmtId="177" fontId="8" fillId="5" borderId="9" xfId="2" applyNumberFormat="1" applyFont="1" applyFill="1" applyBorder="1" applyAlignment="1">
      <alignment vertical="center" shrinkToFit="1"/>
    </xf>
    <xf numFmtId="3" fontId="8" fillId="0" borderId="13" xfId="2" applyNumberFormat="1"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176" fontId="8" fillId="5" borderId="30" xfId="2" applyNumberFormat="1" applyFont="1" applyFill="1" applyBorder="1" applyAlignment="1">
      <alignment vertical="center" shrinkToFit="1"/>
    </xf>
    <xf numFmtId="177" fontId="8" fillId="5" borderId="30" xfId="2" applyNumberFormat="1" applyFont="1" applyFill="1" applyBorder="1" applyAlignment="1">
      <alignment vertical="center" shrinkToFit="1"/>
    </xf>
    <xf numFmtId="176" fontId="9" fillId="0" borderId="30" xfId="2" applyNumberFormat="1" applyFont="1" applyBorder="1" applyAlignment="1">
      <alignment vertical="center" shrinkToFit="1"/>
    </xf>
    <xf numFmtId="177" fontId="9" fillId="0" borderId="30" xfId="2" applyNumberFormat="1" applyFont="1" applyBorder="1" applyAlignment="1">
      <alignment vertical="center" shrinkToFit="1"/>
    </xf>
    <xf numFmtId="0" fontId="0" fillId="0" borderId="0" xfId="0" applyAlignment="1">
      <alignment horizontal="right" vertical="center"/>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8" borderId="31" xfId="0" applyNumberFormat="1" applyFont="1" applyFill="1" applyBorder="1">
      <alignment vertical="center"/>
    </xf>
    <xf numFmtId="0" fontId="13" fillId="8" borderId="31" xfId="0" applyFont="1" applyFill="1" applyBorder="1" applyAlignment="1">
      <alignment horizontal="center" vertical="center"/>
    </xf>
    <xf numFmtId="182" fontId="13" fillId="8" borderId="31"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0" fillId="0" borderId="9" xfId="0" applyBorder="1" applyAlignment="1">
      <alignment vertical="center" shrinkToFi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Border="1">
      <alignment vertical="center"/>
    </xf>
    <xf numFmtId="0" fontId="0" fillId="0" borderId="37"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5" xfId="1" applyFont="1" applyBorder="1" applyAlignment="1">
      <alignment vertical="center" shrinkToFit="1"/>
    </xf>
    <xf numFmtId="38" fontId="0" fillId="0" borderId="42" xfId="1" applyFont="1" applyBorder="1" applyAlignment="1">
      <alignment vertical="center" shrinkToFit="1"/>
    </xf>
    <xf numFmtId="38" fontId="0" fillId="0" borderId="43" xfId="1" applyFont="1" applyBorder="1" applyAlignment="1">
      <alignment vertical="center" shrinkToFit="1"/>
    </xf>
    <xf numFmtId="38" fontId="0" fillId="0" borderId="33" xfId="1" applyFont="1" applyBorder="1" applyAlignment="1">
      <alignment vertical="center" shrinkToFit="1"/>
    </xf>
    <xf numFmtId="38" fontId="0" fillId="0" borderId="44" xfId="1" applyFont="1" applyBorder="1" applyAlignment="1">
      <alignment vertical="center" shrinkToFit="1"/>
    </xf>
    <xf numFmtId="38" fontId="0" fillId="0" borderId="34" xfId="1" applyFont="1" applyBorder="1" applyAlignment="1">
      <alignment vertical="center" shrinkToFit="1"/>
    </xf>
    <xf numFmtId="38" fontId="0" fillId="0" borderId="45" xfId="1" applyFont="1" applyBorder="1" applyAlignment="1">
      <alignment vertical="center" shrinkToFit="1"/>
    </xf>
    <xf numFmtId="38" fontId="0" fillId="0" borderId="36" xfId="1" applyFont="1" applyBorder="1" applyAlignment="1">
      <alignment vertical="center" shrinkToFit="1"/>
    </xf>
    <xf numFmtId="38" fontId="0" fillId="0" borderId="41" xfId="1" applyFont="1" applyBorder="1" applyAlignment="1">
      <alignment vertical="center" shrinkToFit="1"/>
    </xf>
    <xf numFmtId="38" fontId="0" fillId="0" borderId="46" xfId="1" applyFont="1" applyBorder="1" applyAlignment="1">
      <alignment vertical="center" shrinkToFit="1"/>
    </xf>
    <xf numFmtId="38" fontId="0" fillId="0" borderId="47" xfId="1" applyFont="1" applyBorder="1" applyAlignment="1">
      <alignment vertical="center" shrinkToFit="1"/>
    </xf>
    <xf numFmtId="38" fontId="0" fillId="0" borderId="48"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9" fillId="0" borderId="20" xfId="2" applyNumberFormat="1" applyFont="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18" fillId="0" borderId="0" xfId="0" applyFont="1" applyAlignment="1">
      <alignment horizontal="centerContinuous" vertical="center"/>
    </xf>
    <xf numFmtId="0" fontId="0" fillId="0" borderId="0" xfId="0" applyAlignment="1">
      <alignment horizontal="centerContinuous" vertical="center"/>
    </xf>
    <xf numFmtId="0" fontId="5" fillId="0" borderId="8" xfId="0" applyFont="1" applyBorder="1" applyAlignment="1">
      <alignment horizontal="centerContinuous" vertical="center" wrapText="1"/>
    </xf>
    <xf numFmtId="0" fontId="5" fillId="0" borderId="11" xfId="0" applyFont="1" applyBorder="1">
      <alignment vertical="center"/>
    </xf>
    <xf numFmtId="0" fontId="5" fillId="0" borderId="10" xfId="0" applyFont="1" applyBorder="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4" borderId="5" xfId="0" applyFont="1" applyFill="1" applyBorder="1">
      <alignment vertical="center"/>
    </xf>
    <xf numFmtId="0" fontId="5" fillId="4" borderId="7" xfId="0" applyFont="1" applyFill="1" applyBorder="1">
      <alignment vertical="center"/>
    </xf>
    <xf numFmtId="0" fontId="5" fillId="4" borderId="6" xfId="0" applyFont="1" applyFill="1" applyBorder="1">
      <alignment vertical="center"/>
    </xf>
    <xf numFmtId="0" fontId="5" fillId="4" borderId="8" xfId="0" applyFont="1" applyFill="1" applyBorder="1">
      <alignment vertical="center"/>
    </xf>
    <xf numFmtId="0" fontId="8" fillId="0" borderId="14" xfId="2" applyFont="1" applyBorder="1" applyAlignment="1">
      <alignment vertical="center" wrapText="1"/>
    </xf>
    <xf numFmtId="0" fontId="8" fillId="0" borderId="15" xfId="2" applyFont="1" applyBorder="1">
      <alignment vertical="center"/>
    </xf>
    <xf numFmtId="0" fontId="9" fillId="0" borderId="18" xfId="0" applyFont="1" applyBorder="1">
      <alignment vertical="center"/>
    </xf>
    <xf numFmtId="177" fontId="8" fillId="0" borderId="15" xfId="2" applyNumberFormat="1" applyFont="1" applyBorder="1" applyAlignment="1">
      <alignment vertical="center" shrinkToFit="1"/>
    </xf>
    <xf numFmtId="0" fontId="8" fillId="0" borderId="20" xfId="2" applyFont="1" applyBorder="1">
      <alignment vertical="center"/>
    </xf>
    <xf numFmtId="0" fontId="9" fillId="0" borderId="23" xfId="0" applyFont="1" applyBorder="1">
      <alignment vertical="center"/>
    </xf>
    <xf numFmtId="176" fontId="9" fillId="0" borderId="20" xfId="2" applyNumberFormat="1" applyFont="1" applyBorder="1">
      <alignment vertical="center"/>
    </xf>
    <xf numFmtId="0" fontId="8" fillId="0" borderId="24" xfId="2" applyFont="1" applyBorder="1">
      <alignment vertical="center"/>
    </xf>
    <xf numFmtId="0" fontId="9" fillId="0" borderId="27" xfId="0" applyFont="1" applyBorder="1">
      <alignment vertical="center"/>
    </xf>
    <xf numFmtId="176" fontId="9" fillId="0" borderId="24" xfId="2" applyNumberFormat="1" applyFont="1" applyBorder="1">
      <alignment vertical="center"/>
    </xf>
    <xf numFmtId="0" fontId="9" fillId="0" borderId="28" xfId="0" applyFont="1" applyBorder="1">
      <alignment vertical="center"/>
    </xf>
    <xf numFmtId="176" fontId="9" fillId="0" borderId="15" xfId="2" applyNumberFormat="1" applyFont="1" applyBorder="1">
      <alignment vertical="center"/>
    </xf>
    <xf numFmtId="0" fontId="5" fillId="0" borderId="4" xfId="0" applyFont="1" applyBorder="1" applyAlignment="1">
      <alignment horizontal="centerContinuous" vertical="center" wrapText="1"/>
    </xf>
    <xf numFmtId="0" fontId="5" fillId="0" borderId="50" xfId="0" applyFont="1" applyBorder="1" applyAlignment="1">
      <alignment vertical="center" wrapText="1" shrinkToFit="1"/>
    </xf>
    <xf numFmtId="0" fontId="8" fillId="0" borderId="1" xfId="2" applyFont="1" applyBorder="1" applyAlignment="1">
      <alignment vertical="center" wrapText="1"/>
    </xf>
    <xf numFmtId="0" fontId="8" fillId="0" borderId="19" xfId="2" applyFont="1" applyBorder="1">
      <alignment vertical="center"/>
    </xf>
    <xf numFmtId="0" fontId="9" fillId="0" borderId="51" xfId="0" applyFont="1" applyBorder="1" applyAlignment="1">
      <alignment vertical="center" shrinkToFit="1"/>
    </xf>
    <xf numFmtId="176" fontId="9" fillId="9" borderId="15" xfId="2" applyNumberFormat="1" applyFont="1" applyFill="1" applyBorder="1" applyAlignment="1">
      <alignment vertical="center" shrinkToFit="1"/>
    </xf>
    <xf numFmtId="177" fontId="9" fillId="9" borderId="15" xfId="2" applyNumberFormat="1" applyFont="1" applyFill="1" applyBorder="1" applyAlignment="1">
      <alignment vertical="center" shrinkToFit="1"/>
    </xf>
    <xf numFmtId="0" fontId="8" fillId="5" borderId="49" xfId="2" applyFont="1" applyFill="1" applyBorder="1" applyAlignment="1">
      <alignment vertical="center" shrinkToFit="1"/>
    </xf>
    <xf numFmtId="183" fontId="8" fillId="5" borderId="15" xfId="2" applyNumberFormat="1" applyFont="1" applyFill="1" applyBorder="1" applyAlignment="1">
      <alignment vertical="center" shrinkToFit="1"/>
    </xf>
    <xf numFmtId="183" fontId="9" fillId="0" borderId="24" xfId="2" applyNumberFormat="1" applyFont="1" applyBorder="1" applyAlignment="1">
      <alignment vertical="center" shrinkToFit="1"/>
    </xf>
    <xf numFmtId="183" fontId="9" fillId="0" borderId="20" xfId="2" applyNumberFormat="1" applyFont="1" applyBorder="1">
      <alignment vertical="center"/>
    </xf>
    <xf numFmtId="183" fontId="9" fillId="0" borderId="24" xfId="2" applyNumberFormat="1" applyFont="1" applyBorder="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9" fillId="0" borderId="29" xfId="0" applyFont="1" applyBorder="1">
      <alignment vertical="center"/>
    </xf>
    <xf numFmtId="177" fontId="9" fillId="0" borderId="14" xfId="2" applyNumberFormat="1" applyFont="1" applyBorder="1" applyAlignment="1">
      <alignment vertical="center" shrinkToFit="1"/>
    </xf>
    <xf numFmtId="0" fontId="0" fillId="0" borderId="6" xfId="0" applyBorder="1" applyAlignment="1">
      <alignment horizontal="centerContinuous" vertical="center"/>
    </xf>
    <xf numFmtId="179" fontId="0" fillId="0" borderId="52" xfId="0" applyNumberFormat="1" applyBorder="1" applyAlignment="1">
      <alignment horizontal="center" vertical="center"/>
    </xf>
    <xf numFmtId="179" fontId="0" fillId="0" borderId="8" xfId="0" applyNumberFormat="1" applyBorder="1" applyAlignment="1">
      <alignment horizontal="center" vertical="center"/>
    </xf>
    <xf numFmtId="179" fontId="0" fillId="0" borderId="53" xfId="0" applyNumberFormat="1" applyBorder="1" applyAlignment="1">
      <alignment horizontal="center" vertical="center"/>
    </xf>
    <xf numFmtId="0" fontId="0" fillId="0" borderId="10" xfId="0" applyBorder="1">
      <alignment vertical="center"/>
    </xf>
    <xf numFmtId="0" fontId="0" fillId="0" borderId="8" xfId="0" applyBorder="1" applyAlignment="1">
      <alignment horizontal="right" vertical="center"/>
    </xf>
    <xf numFmtId="179" fontId="0" fillId="0" borderId="0" xfId="0" applyNumberFormat="1">
      <alignment vertical="center"/>
    </xf>
    <xf numFmtId="0" fontId="19" fillId="0" borderId="0" xfId="0" applyFont="1">
      <alignment vertical="center"/>
    </xf>
    <xf numFmtId="186" fontId="21" fillId="2" borderId="67" xfId="0" applyNumberFormat="1" applyFont="1" applyFill="1" applyBorder="1" applyAlignment="1" applyProtection="1">
      <alignment vertical="center" shrinkToFit="1"/>
      <protection locked="0"/>
    </xf>
    <xf numFmtId="186" fontId="21" fillId="2" borderId="19" xfId="0" applyNumberFormat="1" applyFont="1" applyFill="1" applyBorder="1" applyAlignment="1" applyProtection="1">
      <alignment vertical="center" shrinkToFit="1"/>
      <protection locked="0"/>
    </xf>
    <xf numFmtId="186" fontId="21" fillId="2" borderId="68" xfId="0" applyNumberFormat="1" applyFont="1" applyFill="1" applyBorder="1" applyAlignment="1" applyProtection="1">
      <alignment vertical="center" shrinkToFit="1"/>
      <protection locked="0"/>
    </xf>
    <xf numFmtId="186" fontId="21" fillId="2" borderId="8" xfId="0" applyNumberFormat="1" applyFont="1" applyFill="1" applyBorder="1" applyAlignment="1" applyProtection="1">
      <alignment vertical="center" shrinkToFit="1"/>
      <protection locked="0"/>
    </xf>
    <xf numFmtId="186" fontId="21" fillId="2" borderId="94" xfId="0" applyNumberFormat="1" applyFont="1" applyFill="1" applyBorder="1" applyAlignment="1" applyProtection="1">
      <alignment vertical="center" shrinkToFit="1"/>
      <protection locked="0"/>
    </xf>
    <xf numFmtId="186" fontId="21" fillId="2" borderId="99" xfId="0" applyNumberFormat="1" applyFont="1" applyFill="1" applyBorder="1" applyAlignment="1" applyProtection="1">
      <alignment vertical="center" shrinkToFit="1"/>
      <protection locked="0"/>
    </xf>
    <xf numFmtId="186" fontId="21" fillId="2" borderId="97" xfId="0" applyNumberFormat="1" applyFont="1" applyFill="1" applyBorder="1" applyAlignment="1" applyProtection="1">
      <alignment vertical="center" shrinkToFit="1"/>
      <protection locked="0"/>
    </xf>
    <xf numFmtId="186" fontId="21" fillId="2" borderId="6" xfId="0" applyNumberFormat="1" applyFont="1" applyFill="1" applyBorder="1" applyAlignment="1" applyProtection="1">
      <alignment vertical="center" shrinkToFit="1"/>
      <protection locked="0"/>
    </xf>
    <xf numFmtId="186" fontId="21" fillId="2" borderId="96" xfId="0" applyNumberFormat="1" applyFont="1" applyFill="1" applyBorder="1" applyAlignment="1" applyProtection="1">
      <alignment vertical="center" shrinkToFit="1"/>
      <protection locked="0"/>
    </xf>
    <xf numFmtId="0" fontId="21" fillId="0" borderId="0" xfId="0" applyFont="1" applyProtection="1">
      <alignment vertical="center"/>
    </xf>
    <xf numFmtId="0" fontId="20" fillId="0" borderId="0" xfId="0" applyFont="1" applyProtection="1">
      <alignment vertical="center"/>
    </xf>
    <xf numFmtId="0" fontId="21" fillId="0" borderId="0" xfId="0" applyFont="1" applyAlignment="1" applyProtection="1">
      <alignment horizontal="center" vertical="center"/>
    </xf>
    <xf numFmtId="0" fontId="22" fillId="0" borderId="0" xfId="0" applyFont="1" applyProtection="1">
      <alignment vertical="center"/>
    </xf>
    <xf numFmtId="0" fontId="23" fillId="0" borderId="0" xfId="0" applyFont="1" applyProtection="1">
      <alignment vertical="center"/>
    </xf>
    <xf numFmtId="185" fontId="21" fillId="0" borderId="59" xfId="0" applyNumberFormat="1" applyFont="1" applyBorder="1" applyAlignment="1" applyProtection="1">
      <alignment horizontal="center" vertical="center"/>
    </xf>
    <xf numFmtId="185" fontId="21" fillId="0" borderId="53" xfId="0" applyNumberFormat="1" applyFont="1" applyBorder="1" applyAlignment="1" applyProtection="1">
      <alignment horizontal="center" vertical="center"/>
    </xf>
    <xf numFmtId="185" fontId="21" fillId="0" borderId="60" xfId="0" applyNumberFormat="1" applyFont="1" applyBorder="1" applyAlignment="1" applyProtection="1">
      <alignment horizontal="center" vertical="center"/>
    </xf>
    <xf numFmtId="0" fontId="21" fillId="0" borderId="16" xfId="0" applyFont="1" applyBorder="1" applyAlignment="1" applyProtection="1">
      <alignment horizontal="center" vertical="center"/>
    </xf>
    <xf numFmtId="186" fontId="17" fillId="0" borderId="69" xfId="0" applyNumberFormat="1" applyFont="1" applyFill="1" applyBorder="1" applyAlignment="1" applyProtection="1">
      <alignment vertical="center" shrinkToFit="1"/>
    </xf>
    <xf numFmtId="0" fontId="21" fillId="0" borderId="25" xfId="0" applyFont="1" applyBorder="1" applyAlignment="1" applyProtection="1">
      <alignment horizontal="center" vertical="center"/>
    </xf>
    <xf numFmtId="0" fontId="21" fillId="0" borderId="108" xfId="0" applyFont="1" applyBorder="1" applyAlignment="1" applyProtection="1">
      <alignment vertical="center" shrinkToFit="1"/>
    </xf>
    <xf numFmtId="187" fontId="21" fillId="0" borderId="24" xfId="0" applyNumberFormat="1" applyFont="1" applyFill="1" applyBorder="1" applyAlignment="1" applyProtection="1">
      <alignment vertical="center" shrinkToFit="1"/>
    </xf>
    <xf numFmtId="187" fontId="21" fillId="0" borderId="70" xfId="0" applyNumberFormat="1" applyFont="1" applyFill="1" applyBorder="1" applyAlignment="1" applyProtection="1">
      <alignment vertical="center" shrinkToFit="1"/>
    </xf>
    <xf numFmtId="186" fontId="17" fillId="0" borderId="71" xfId="0" applyNumberFormat="1" applyFont="1" applyFill="1" applyBorder="1" applyAlignment="1" applyProtection="1">
      <alignment vertical="center" shrinkToFit="1"/>
    </xf>
    <xf numFmtId="0" fontId="21" fillId="0" borderId="77" xfId="0" applyFont="1" applyBorder="1" applyAlignment="1" applyProtection="1">
      <alignment horizontal="center" vertical="center"/>
    </xf>
    <xf numFmtId="0" fontId="21" fillId="0" borderId="109" xfId="0" applyFont="1" applyBorder="1" applyAlignment="1" applyProtection="1">
      <alignment vertical="center" shrinkToFit="1"/>
    </xf>
    <xf numFmtId="187" fontId="21" fillId="0" borderId="78" xfId="0" applyNumberFormat="1" applyFont="1" applyFill="1" applyBorder="1" applyAlignment="1" applyProtection="1">
      <alignment vertical="center" shrinkToFit="1"/>
    </xf>
    <xf numFmtId="187" fontId="21" fillId="0" borderId="79" xfId="0" applyNumberFormat="1" applyFont="1" applyFill="1" applyBorder="1" applyAlignment="1" applyProtection="1">
      <alignment vertical="center" shrinkToFit="1"/>
    </xf>
    <xf numFmtId="186" fontId="17" fillId="0" borderId="80" xfId="0" applyNumberFormat="1" applyFont="1" applyFill="1" applyBorder="1" applyAlignment="1" applyProtection="1">
      <alignment vertical="center" shrinkToFit="1"/>
    </xf>
    <xf numFmtId="0" fontId="21" fillId="0" borderId="83" xfId="0" applyFont="1" applyBorder="1" applyAlignment="1" applyProtection="1">
      <alignment horizontal="center" vertical="center"/>
    </xf>
    <xf numFmtId="186" fontId="21" fillId="0" borderId="84" xfId="0" applyNumberFormat="1" applyFont="1" applyFill="1" applyBorder="1" applyAlignment="1" applyProtection="1">
      <alignment vertical="center" shrinkToFit="1"/>
    </xf>
    <xf numFmtId="186" fontId="21" fillId="0" borderId="85" xfId="0" applyNumberFormat="1" applyFont="1" applyBorder="1" applyAlignment="1" applyProtection="1">
      <alignment vertical="center" shrinkToFit="1"/>
    </xf>
    <xf numFmtId="186" fontId="21" fillId="0" borderId="86" xfId="0" applyNumberFormat="1" applyFont="1" applyBorder="1" applyAlignment="1" applyProtection="1">
      <alignment vertical="center" shrinkToFit="1"/>
    </xf>
    <xf numFmtId="186" fontId="17" fillId="0" borderId="87" xfId="0" applyNumberFormat="1" applyFont="1" applyFill="1" applyBorder="1" applyAlignment="1" applyProtection="1">
      <alignment vertical="center" shrinkToFit="1"/>
    </xf>
    <xf numFmtId="187" fontId="21" fillId="0" borderId="0" xfId="0" applyNumberFormat="1" applyFont="1" applyProtection="1">
      <alignment vertical="center"/>
    </xf>
    <xf numFmtId="0" fontId="21" fillId="0" borderId="0" xfId="0" applyFont="1" applyFill="1" applyProtection="1">
      <alignment vertical="center"/>
    </xf>
    <xf numFmtId="0" fontId="21" fillId="0" borderId="88" xfId="0" applyFont="1" applyBorder="1" applyAlignment="1" applyProtection="1">
      <alignment horizontal="center" vertical="center"/>
    </xf>
    <xf numFmtId="185" fontId="21" fillId="0" borderId="89" xfId="0" applyNumberFormat="1" applyFont="1" applyBorder="1" applyAlignment="1" applyProtection="1">
      <alignment horizontal="center" vertical="center"/>
    </xf>
    <xf numFmtId="185" fontId="21" fillId="0" borderId="90" xfId="0" applyNumberFormat="1" applyFont="1" applyBorder="1" applyAlignment="1" applyProtection="1">
      <alignment horizontal="center" vertical="center"/>
    </xf>
    <xf numFmtId="0" fontId="21" fillId="0" borderId="68" xfId="0" applyFont="1" applyBorder="1" applyAlignment="1" applyProtection="1">
      <alignment horizontal="center" vertical="center"/>
    </xf>
    <xf numFmtId="186" fontId="17" fillId="8" borderId="92" xfId="0" applyNumberFormat="1" applyFont="1" applyFill="1" applyBorder="1" applyAlignment="1" applyProtection="1">
      <alignment vertical="center" shrinkToFit="1"/>
    </xf>
    <xf numFmtId="0" fontId="21" fillId="0" borderId="94" xfId="0" applyFont="1" applyBorder="1" applyAlignment="1" applyProtection="1">
      <alignment horizontal="center" vertical="center"/>
    </xf>
    <xf numFmtId="0" fontId="21" fillId="0" borderId="74" xfId="0" applyFont="1" applyBorder="1" applyProtection="1">
      <alignment vertical="center"/>
    </xf>
    <xf numFmtId="0" fontId="21" fillId="0" borderId="8" xfId="0" applyFont="1" applyBorder="1" applyAlignment="1" applyProtection="1">
      <alignment vertical="top" wrapText="1"/>
    </xf>
    <xf numFmtId="0" fontId="21" fillId="0" borderId="97" xfId="0" applyFont="1" applyBorder="1" applyAlignment="1" applyProtection="1">
      <alignment horizontal="center" vertical="center"/>
    </xf>
    <xf numFmtId="186" fontId="17" fillId="8" borderId="98" xfId="0" applyNumberFormat="1" applyFont="1" applyFill="1" applyBorder="1" applyAlignment="1" applyProtection="1">
      <alignment vertical="center" shrinkToFit="1"/>
    </xf>
    <xf numFmtId="0" fontId="21" fillId="0" borderId="86" xfId="0" applyFont="1" applyBorder="1" applyProtection="1">
      <alignment vertical="center"/>
    </xf>
    <xf numFmtId="186" fontId="21" fillId="0" borderId="105" xfId="0" applyNumberFormat="1" applyFont="1" applyFill="1" applyBorder="1" applyAlignment="1" applyProtection="1">
      <alignment vertical="center" shrinkToFit="1"/>
    </xf>
    <xf numFmtId="186" fontId="21" fillId="0" borderId="101" xfId="0" applyNumberFormat="1" applyFont="1" applyBorder="1" applyAlignment="1" applyProtection="1">
      <alignment vertical="center" shrinkToFit="1"/>
    </xf>
    <xf numFmtId="186" fontId="21" fillId="0" borderId="83" xfId="0" applyNumberFormat="1" applyFont="1" applyBorder="1" applyAlignment="1" applyProtection="1">
      <alignment vertical="center" shrinkToFit="1"/>
    </xf>
    <xf numFmtId="186" fontId="21" fillId="0" borderId="107" xfId="0" applyNumberFormat="1" applyFont="1" applyBorder="1" applyAlignment="1" applyProtection="1">
      <alignment vertical="center" shrinkToFit="1"/>
    </xf>
    <xf numFmtId="188" fontId="21" fillId="0" borderId="101" xfId="0" applyNumberFormat="1" applyFont="1" applyBorder="1" applyAlignment="1" applyProtection="1">
      <alignment vertical="center" shrinkToFit="1"/>
    </xf>
    <xf numFmtId="188" fontId="21" fillId="0" borderId="85" xfId="0" applyNumberFormat="1" applyFont="1" applyBorder="1" applyAlignment="1" applyProtection="1">
      <alignment vertical="center" shrinkToFit="1"/>
    </xf>
    <xf numFmtId="188" fontId="21" fillId="0" borderId="86" xfId="0" applyNumberFormat="1" applyFont="1" applyBorder="1" applyAlignment="1" applyProtection="1">
      <alignment vertical="center" shrinkToFit="1"/>
    </xf>
    <xf numFmtId="186" fontId="17" fillId="8" borderId="102" xfId="0" applyNumberFormat="1" applyFont="1" applyFill="1" applyBorder="1" applyAlignment="1" applyProtection="1">
      <alignment vertical="center" shrinkToFit="1"/>
    </xf>
    <xf numFmtId="0" fontId="21" fillId="0" borderId="50" xfId="0" applyFont="1" applyBorder="1" applyProtection="1">
      <alignment vertical="center"/>
    </xf>
    <xf numFmtId="0" fontId="21" fillId="0" borderId="19" xfId="0" applyFont="1" applyBorder="1" applyAlignment="1" applyProtection="1">
      <alignment horizontal="center" vertical="center"/>
    </xf>
    <xf numFmtId="186" fontId="13" fillId="0" borderId="103" xfId="0" applyNumberFormat="1" applyFont="1" applyFill="1" applyBorder="1" applyAlignment="1" applyProtection="1">
      <alignment vertical="center" shrinkToFit="1"/>
    </xf>
    <xf numFmtId="186" fontId="13" fillId="0" borderId="8" xfId="0" applyNumberFormat="1" applyFont="1" applyFill="1" applyBorder="1" applyAlignment="1" applyProtection="1">
      <alignment vertical="center" shrinkToFit="1"/>
    </xf>
    <xf numFmtId="186" fontId="13" fillId="0" borderId="94" xfId="0" applyNumberFormat="1" applyFont="1" applyFill="1" applyBorder="1" applyAlignment="1" applyProtection="1">
      <alignment vertical="center" shrinkToFit="1"/>
    </xf>
    <xf numFmtId="186" fontId="13" fillId="0" borderId="6" xfId="0" applyNumberFormat="1" applyFont="1" applyFill="1" applyBorder="1" applyAlignment="1" applyProtection="1">
      <alignment vertical="center" shrinkToFit="1"/>
    </xf>
    <xf numFmtId="0" fontId="21" fillId="0" borderId="99" xfId="0" applyFont="1" applyBorder="1" applyAlignment="1" applyProtection="1">
      <alignment horizontal="center" vertical="center"/>
    </xf>
    <xf numFmtId="186" fontId="13" fillId="0" borderId="104" xfId="0" applyNumberFormat="1" applyFont="1" applyFill="1" applyBorder="1" applyAlignment="1" applyProtection="1">
      <alignment vertical="center" shrinkToFit="1"/>
    </xf>
    <xf numFmtId="186" fontId="13" fillId="0" borderId="96" xfId="0" applyNumberFormat="1" applyFont="1" applyFill="1" applyBorder="1" applyAlignment="1" applyProtection="1">
      <alignment vertical="center" shrinkToFit="1"/>
    </xf>
    <xf numFmtId="186" fontId="13" fillId="0" borderId="97" xfId="0" applyNumberFormat="1" applyFont="1" applyFill="1" applyBorder="1" applyAlignment="1" applyProtection="1">
      <alignment vertical="center" shrinkToFit="1"/>
    </xf>
    <xf numFmtId="0" fontId="21" fillId="0" borderId="83" xfId="0" applyFont="1" applyBorder="1" applyProtection="1">
      <alignment vertical="center"/>
    </xf>
    <xf numFmtId="186" fontId="21" fillId="0" borderId="106" xfId="0" applyNumberFormat="1" applyFont="1" applyBorder="1" applyAlignment="1" applyProtection="1">
      <alignment vertical="center" shrinkToFit="1"/>
    </xf>
    <xf numFmtId="186" fontId="21" fillId="0" borderId="105" xfId="0" applyNumberFormat="1" applyFont="1" applyBorder="1" applyAlignment="1" applyProtection="1">
      <alignment vertical="center" shrinkToFit="1"/>
    </xf>
    <xf numFmtId="186" fontId="21" fillId="0" borderId="0" xfId="0" applyNumberFormat="1" applyFont="1" applyProtection="1">
      <alignment vertical="center"/>
    </xf>
    <xf numFmtId="0" fontId="24" fillId="0" borderId="50" xfId="0" applyFont="1" applyBorder="1" applyProtection="1">
      <alignment vertical="center"/>
    </xf>
    <xf numFmtId="0" fontId="24" fillId="0" borderId="0" xfId="0" applyFont="1" applyProtection="1">
      <alignment vertical="center"/>
    </xf>
    <xf numFmtId="179" fontId="0" fillId="0" borderId="31" xfId="0" applyNumberFormat="1" applyFill="1" applyBorder="1" applyAlignment="1">
      <alignment horizontal="center" vertical="center"/>
    </xf>
    <xf numFmtId="0" fontId="0" fillId="0" borderId="0" xfId="0" applyFill="1">
      <alignment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178" fontId="0" fillId="0" borderId="5" xfId="0" applyNumberFormat="1" applyFill="1" applyBorder="1" applyAlignment="1">
      <alignment horizontal="center" vertical="center"/>
    </xf>
    <xf numFmtId="186" fontId="13" fillId="0" borderId="99" xfId="0" applyNumberFormat="1" applyFont="1" applyFill="1" applyBorder="1" applyAlignment="1" applyProtection="1">
      <alignment vertical="center" shrinkToFit="1"/>
    </xf>
    <xf numFmtId="186" fontId="17" fillId="0" borderId="8" xfId="0" applyNumberFormat="1" applyFont="1" applyFill="1" applyBorder="1" applyAlignment="1" applyProtection="1">
      <alignment vertical="center" shrinkToFit="1"/>
    </xf>
    <xf numFmtId="186" fontId="17" fillId="0" borderId="94" xfId="0" applyNumberFormat="1" applyFont="1" applyFill="1" applyBorder="1" applyAlignment="1" applyProtection="1">
      <alignment vertical="center" shrinkToFit="1"/>
    </xf>
    <xf numFmtId="186" fontId="17" fillId="0" borderId="99" xfId="0" applyNumberFormat="1" applyFont="1" applyFill="1" applyBorder="1" applyAlignment="1" applyProtection="1">
      <alignment vertical="center" shrinkToFit="1"/>
    </xf>
    <xf numFmtId="186" fontId="17" fillId="0" borderId="97" xfId="0" applyNumberFormat="1" applyFont="1" applyFill="1" applyBorder="1" applyAlignment="1" applyProtection="1">
      <alignment vertical="center" shrinkToFit="1"/>
    </xf>
    <xf numFmtId="38" fontId="44" fillId="8" borderId="31" xfId="1" applyFont="1" applyFill="1" applyBorder="1" applyAlignment="1" applyProtection="1">
      <alignment vertical="center"/>
    </xf>
    <xf numFmtId="38" fontId="44" fillId="8" borderId="91" xfId="1" applyFont="1" applyFill="1" applyBorder="1" applyAlignment="1" applyProtection="1">
      <alignment vertical="center"/>
    </xf>
    <xf numFmtId="38" fontId="45" fillId="8" borderId="142" xfId="1" applyFont="1" applyFill="1" applyBorder="1" applyProtection="1">
      <alignment vertical="center"/>
    </xf>
    <xf numFmtId="0" fontId="31" fillId="2" borderId="114" xfId="0" applyFont="1" applyFill="1" applyBorder="1" applyAlignment="1" applyProtection="1">
      <alignment horizontal="right" vertical="center"/>
      <protection locked="0"/>
    </xf>
    <xf numFmtId="0" fontId="31" fillId="2" borderId="115" xfId="0" applyFont="1" applyFill="1" applyBorder="1" applyAlignment="1" applyProtection="1">
      <alignment horizontal="right" vertical="center"/>
      <protection locked="0"/>
    </xf>
    <xf numFmtId="0" fontId="33" fillId="2" borderId="115" xfId="0" applyFont="1" applyFill="1" applyBorder="1" applyAlignment="1" applyProtection="1">
      <alignment horizontal="right" vertical="center"/>
      <protection locked="0"/>
    </xf>
    <xf numFmtId="0" fontId="33" fillId="2" borderId="116" xfId="0" applyFont="1" applyFill="1" applyBorder="1" applyAlignment="1" applyProtection="1">
      <alignment horizontal="right" vertical="center"/>
      <protection locked="0"/>
    </xf>
    <xf numFmtId="0" fontId="31" fillId="2" borderId="119" xfId="0" applyFont="1" applyFill="1" applyBorder="1" applyAlignment="1" applyProtection="1">
      <alignment horizontal="right" vertical="center"/>
      <protection locked="0"/>
    </xf>
    <xf numFmtId="194" fontId="31" fillId="2" borderId="31" xfId="0" applyNumberFormat="1" applyFont="1" applyFill="1" applyBorder="1" applyAlignment="1" applyProtection="1">
      <alignment horizontal="right" vertical="center"/>
      <protection locked="0"/>
    </xf>
    <xf numFmtId="0" fontId="31" fillId="2" borderId="63" xfId="0" applyFont="1" applyFill="1" applyBorder="1" applyAlignment="1" applyProtection="1">
      <alignment horizontal="center" vertical="center"/>
      <protection locked="0"/>
    </xf>
    <xf numFmtId="0" fontId="27" fillId="0" borderId="0" xfId="0" applyFont="1" applyProtection="1">
      <alignment vertical="center"/>
    </xf>
    <xf numFmtId="0" fontId="28" fillId="0" borderId="0" xfId="0" applyFont="1" applyProtection="1">
      <alignment vertical="center"/>
    </xf>
    <xf numFmtId="189" fontId="28" fillId="0" borderId="0" xfId="0" applyNumberFormat="1" applyFont="1" applyProtection="1">
      <alignment vertical="center"/>
    </xf>
    <xf numFmtId="0" fontId="10" fillId="0" borderId="0" xfId="0" applyFont="1" applyProtection="1">
      <alignment vertical="center"/>
    </xf>
    <xf numFmtId="0" fontId="29" fillId="0" borderId="0" xfId="0" applyFont="1" applyProtection="1">
      <alignment vertical="center"/>
    </xf>
    <xf numFmtId="0" fontId="0" fillId="0" borderId="0" xfId="0" applyProtection="1">
      <alignment vertical="center"/>
    </xf>
    <xf numFmtId="0" fontId="30" fillId="0" borderId="0" xfId="0" applyFont="1" applyProtection="1">
      <alignment vertical="center"/>
    </xf>
    <xf numFmtId="0" fontId="31" fillId="0" borderId="0" xfId="0" applyFont="1" applyProtection="1">
      <alignment vertical="center"/>
    </xf>
    <xf numFmtId="0" fontId="31" fillId="0" borderId="0" xfId="0" applyFont="1" applyAlignment="1" applyProtection="1">
      <alignment horizontal="center" vertical="center"/>
    </xf>
    <xf numFmtId="189" fontId="31" fillId="0" borderId="0" xfId="0" applyNumberFormat="1" applyFont="1" applyProtection="1">
      <alignment vertical="center"/>
    </xf>
    <xf numFmtId="0" fontId="32" fillId="0" borderId="0" xfId="0" applyFont="1" applyProtection="1">
      <alignment vertical="center"/>
    </xf>
    <xf numFmtId="0" fontId="31" fillId="0" borderId="5" xfId="0" applyFont="1" applyBorder="1" applyAlignment="1" applyProtection="1">
      <alignment horizontal="center" vertical="center" wrapText="1"/>
    </xf>
    <xf numFmtId="0" fontId="31" fillId="0" borderId="31" xfId="0" applyFont="1" applyBorder="1" applyAlignment="1" applyProtection="1">
      <alignment horizontal="center" vertical="center" wrapText="1"/>
    </xf>
    <xf numFmtId="0" fontId="0" fillId="0" borderId="0" xfId="0" applyFill="1" applyProtection="1">
      <alignment vertical="center"/>
    </xf>
    <xf numFmtId="0" fontId="31" fillId="0" borderId="94" xfId="0" applyFont="1" applyFill="1" applyBorder="1" applyAlignment="1" applyProtection="1">
      <alignment horizontal="center" vertical="center"/>
    </xf>
    <xf numFmtId="0" fontId="31" fillId="0" borderId="91" xfId="0" applyFont="1" applyBorder="1" applyAlignment="1" applyProtection="1">
      <alignment horizontal="center" vertical="center" wrapText="1"/>
    </xf>
    <xf numFmtId="0" fontId="0" fillId="0" borderId="5" xfId="0" applyFill="1" applyBorder="1" applyAlignment="1" applyProtection="1">
      <alignment horizontal="left" vertical="center"/>
    </xf>
    <xf numFmtId="0" fontId="0" fillId="0" borderId="6" xfId="0" applyFill="1" applyBorder="1" applyAlignment="1" applyProtection="1">
      <alignment horizontal="left" vertical="center"/>
    </xf>
    <xf numFmtId="0" fontId="0" fillId="0" borderId="1" xfId="0" applyFill="1" applyBorder="1" applyAlignment="1" applyProtection="1">
      <alignment horizontal="center" vertical="center"/>
    </xf>
    <xf numFmtId="0" fontId="0" fillId="0" borderId="8" xfId="0" applyFill="1" applyBorder="1" applyAlignment="1" applyProtection="1">
      <alignment horizontal="left" vertical="center"/>
    </xf>
    <xf numFmtId="189" fontId="31" fillId="6" borderId="111" xfId="0" applyNumberFormat="1" applyFont="1" applyFill="1" applyBorder="1" applyAlignment="1" applyProtection="1">
      <alignment horizontal="right" vertical="center"/>
    </xf>
    <xf numFmtId="178" fontId="0" fillId="0" borderId="11" xfId="0" applyNumberFormat="1" applyFill="1" applyBorder="1" applyAlignment="1" applyProtection="1">
      <alignment horizontal="left" vertical="center"/>
    </xf>
    <xf numFmtId="178" fontId="0" fillId="0" borderId="64" xfId="0" applyNumberFormat="1" applyFill="1" applyBorder="1" applyAlignment="1" applyProtection="1">
      <alignment horizontal="left" vertical="center"/>
    </xf>
    <xf numFmtId="179" fontId="0" fillId="0" borderId="31" xfId="0" applyNumberFormat="1" applyFill="1" applyBorder="1" applyAlignment="1" applyProtection="1">
      <alignment horizontal="center" vertical="center"/>
    </xf>
    <xf numFmtId="178" fontId="0" fillId="0" borderId="5" xfId="0" applyNumberFormat="1" applyFill="1" applyBorder="1" applyAlignment="1" applyProtection="1">
      <alignment horizontal="left" vertical="center"/>
    </xf>
    <xf numFmtId="178" fontId="0" fillId="0" borderId="65" xfId="0" applyNumberFormat="1" applyFill="1" applyBorder="1" applyAlignment="1" applyProtection="1">
      <alignment horizontal="left" vertical="center"/>
    </xf>
    <xf numFmtId="0" fontId="31" fillId="0" borderId="3" xfId="0" applyFont="1" applyBorder="1" applyAlignment="1" applyProtection="1">
      <alignment horizontal="left" vertical="center"/>
    </xf>
    <xf numFmtId="189" fontId="31" fillId="0" borderId="31" xfId="0" applyNumberFormat="1" applyFont="1" applyFill="1" applyBorder="1" applyAlignment="1" applyProtection="1">
      <alignment horizontal="right" vertical="center"/>
    </xf>
    <xf numFmtId="0" fontId="31" fillId="6" borderId="111" xfId="0" applyFont="1" applyFill="1" applyBorder="1" applyAlignment="1" applyProtection="1">
      <alignment horizontal="right" vertical="center"/>
    </xf>
    <xf numFmtId="0" fontId="31" fillId="0" borderId="13" xfId="0" applyFont="1" applyBorder="1" applyAlignment="1" applyProtection="1">
      <alignment horizontal="left" vertical="center"/>
    </xf>
    <xf numFmtId="0" fontId="31" fillId="0" borderId="23" xfId="0" applyFont="1" applyBorder="1" applyProtection="1">
      <alignment vertical="center"/>
    </xf>
    <xf numFmtId="178" fontId="0" fillId="0" borderId="0" xfId="0" applyNumberFormat="1" applyFill="1" applyBorder="1" applyAlignment="1" applyProtection="1">
      <alignment horizontal="left" vertical="center"/>
    </xf>
    <xf numFmtId="0" fontId="31" fillId="0" borderId="113" xfId="0" applyFont="1" applyBorder="1" applyAlignment="1" applyProtection="1">
      <alignment horizontal="left" vertical="center"/>
    </xf>
    <xf numFmtId="0" fontId="31" fillId="0" borderId="23" xfId="0" applyFont="1" applyBorder="1" applyAlignment="1" applyProtection="1">
      <alignment horizontal="left" vertical="center"/>
    </xf>
    <xf numFmtId="0" fontId="34" fillId="0" borderId="0" xfId="0" applyFont="1" applyAlignment="1" applyProtection="1">
      <alignment horizontal="center" vertical="center"/>
    </xf>
    <xf numFmtId="0" fontId="31" fillId="0" borderId="29" xfId="0" applyFont="1" applyBorder="1" applyProtection="1">
      <alignment vertical="center"/>
    </xf>
    <xf numFmtId="0" fontId="31" fillId="0" borderId="11" xfId="0" applyFont="1" applyBorder="1" applyProtection="1">
      <alignment vertical="center"/>
    </xf>
    <xf numFmtId="0" fontId="31" fillId="0" borderId="27" xfId="0" applyFont="1" applyBorder="1" applyProtection="1">
      <alignment vertical="center"/>
    </xf>
    <xf numFmtId="0" fontId="31" fillId="0" borderId="0" xfId="0" applyFont="1" applyAlignment="1" applyProtection="1">
      <alignment vertical="top" wrapText="1"/>
    </xf>
    <xf numFmtId="0" fontId="31" fillId="0" borderId="0" xfId="0" applyFont="1" applyAlignment="1" applyProtection="1">
      <alignment vertical="center" wrapText="1"/>
    </xf>
    <xf numFmtId="0" fontId="31" fillId="0" borderId="0" xfId="0" applyFont="1" applyAlignment="1" applyProtection="1">
      <alignment vertical="top"/>
    </xf>
    <xf numFmtId="0" fontId="31" fillId="0" borderId="5" xfId="0" applyFont="1" applyBorder="1" applyProtection="1">
      <alignment vertical="center"/>
    </xf>
    <xf numFmtId="0" fontId="31" fillId="0" borderId="7" xfId="0" applyFont="1" applyBorder="1" applyProtection="1">
      <alignment vertical="center"/>
    </xf>
    <xf numFmtId="0" fontId="31" fillId="0" borderId="74" xfId="0" applyFont="1" applyBorder="1" applyAlignment="1" applyProtection="1">
      <alignment horizontal="center" vertical="center" wrapText="1"/>
    </xf>
    <xf numFmtId="189" fontId="31" fillId="0" borderId="65" xfId="0" applyNumberFormat="1"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3" xfId="0" applyFont="1" applyBorder="1" applyAlignment="1" applyProtection="1">
      <alignment horizontal="right" vertical="center"/>
    </xf>
    <xf numFmtId="0" fontId="31" fillId="0" borderId="2" xfId="0" applyFont="1" applyBorder="1" applyProtection="1">
      <alignment vertical="center"/>
    </xf>
    <xf numFmtId="0" fontId="31" fillId="0" borderId="120" xfId="0" applyFont="1" applyBorder="1" applyProtection="1">
      <alignment vertical="center"/>
    </xf>
    <xf numFmtId="189" fontId="31" fillId="0" borderId="121" xfId="0" applyNumberFormat="1" applyFont="1" applyBorder="1" applyProtection="1">
      <alignment vertical="center"/>
    </xf>
    <xf numFmtId="189" fontId="31" fillId="0" borderId="66" xfId="0" applyNumberFormat="1" applyFont="1" applyBorder="1" applyProtection="1">
      <alignment vertical="center"/>
    </xf>
    <xf numFmtId="190" fontId="36" fillId="0" borderId="121" xfId="0" applyNumberFormat="1" applyFont="1" applyBorder="1" applyProtection="1">
      <alignment vertical="center"/>
    </xf>
    <xf numFmtId="0" fontId="31" fillId="0" borderId="1" xfId="0" applyFont="1" applyBorder="1" applyProtection="1">
      <alignment vertical="center"/>
    </xf>
    <xf numFmtId="0" fontId="31" fillId="0" borderId="14" xfId="0" applyFont="1" applyBorder="1" applyAlignment="1" applyProtection="1">
      <alignment horizontal="right" vertical="center"/>
    </xf>
    <xf numFmtId="0" fontId="31" fillId="0" borderId="16" xfId="0" applyFont="1" applyBorder="1" applyProtection="1">
      <alignment vertical="center"/>
    </xf>
    <xf numFmtId="0" fontId="31" fillId="0" borderId="28" xfId="0" applyFont="1" applyBorder="1" applyProtection="1">
      <alignment vertical="center"/>
    </xf>
    <xf numFmtId="0" fontId="31" fillId="0" borderId="122" xfId="0" applyFont="1" applyBorder="1" applyProtection="1">
      <alignment vertical="center"/>
    </xf>
    <xf numFmtId="189" fontId="37" fillId="6" borderId="68" xfId="0" applyNumberFormat="1" applyFont="1" applyFill="1" applyBorder="1" applyAlignment="1" applyProtection="1">
      <alignment horizontal="right" vertical="center"/>
    </xf>
    <xf numFmtId="191" fontId="38" fillId="6" borderId="122" xfId="0" applyNumberFormat="1" applyFont="1" applyFill="1" applyBorder="1" applyProtection="1">
      <alignment vertical="center"/>
    </xf>
    <xf numFmtId="190" fontId="39" fillId="0" borderId="69" xfId="0" applyNumberFormat="1" applyFont="1" applyFill="1" applyBorder="1" applyProtection="1">
      <alignment vertical="center"/>
    </xf>
    <xf numFmtId="0" fontId="31" fillId="0" borderId="20" xfId="0" applyFont="1" applyBorder="1" applyProtection="1">
      <alignment vertical="center"/>
    </xf>
    <xf numFmtId="0" fontId="31" fillId="0" borderId="123" xfId="0" applyFont="1" applyFill="1" applyBorder="1" applyAlignment="1" applyProtection="1">
      <alignment horizontal="center" vertical="center"/>
    </xf>
    <xf numFmtId="189" fontId="37" fillId="0" borderId="124" xfId="0" applyNumberFormat="1" applyFont="1" applyBorder="1" applyAlignment="1" applyProtection="1">
      <alignment horizontal="right" vertical="center"/>
    </xf>
    <xf numFmtId="191" fontId="38" fillId="0" borderId="123" xfId="0" applyNumberFormat="1" applyFont="1" applyBorder="1" applyProtection="1">
      <alignment vertical="center"/>
    </xf>
    <xf numFmtId="190" fontId="39" fillId="0" borderId="125" xfId="0" applyNumberFormat="1" applyFont="1" applyFill="1" applyBorder="1" applyProtection="1">
      <alignment vertical="center"/>
    </xf>
    <xf numFmtId="0" fontId="31" fillId="6" borderId="21" xfId="0" applyFont="1" applyFill="1" applyBorder="1" applyAlignment="1" applyProtection="1">
      <alignment horizontal="center" vertical="center"/>
    </xf>
    <xf numFmtId="0" fontId="31" fillId="0" borderId="21" xfId="0" applyFont="1" applyBorder="1" applyProtection="1">
      <alignment vertical="center"/>
    </xf>
    <xf numFmtId="189" fontId="31" fillId="0" borderId="123" xfId="0" applyNumberFormat="1" applyFont="1" applyBorder="1" applyProtection="1">
      <alignment vertical="center"/>
    </xf>
    <xf numFmtId="189" fontId="37" fillId="6" borderId="124" xfId="0" applyNumberFormat="1" applyFont="1" applyFill="1" applyBorder="1" applyAlignment="1" applyProtection="1">
      <alignment horizontal="right" vertical="center"/>
    </xf>
    <xf numFmtId="191" fontId="38" fillId="6" borderId="123" xfId="0" applyNumberFormat="1" applyFont="1" applyFill="1" applyBorder="1" applyProtection="1">
      <alignment vertical="center"/>
    </xf>
    <xf numFmtId="189" fontId="31" fillId="0" borderId="23" xfId="0" applyNumberFormat="1" applyFont="1" applyBorder="1" applyProtection="1">
      <alignment vertical="center"/>
    </xf>
    <xf numFmtId="189" fontId="37" fillId="6" borderId="126" xfId="0" applyNumberFormat="1" applyFont="1" applyFill="1" applyBorder="1" applyAlignment="1" applyProtection="1">
      <alignment horizontal="right" vertical="center"/>
    </xf>
    <xf numFmtId="0" fontId="31" fillId="0" borderId="49" xfId="0" applyFont="1" applyBorder="1" applyProtection="1">
      <alignment vertical="center"/>
    </xf>
    <xf numFmtId="0" fontId="31" fillId="0" borderId="18" xfId="0" applyFont="1" applyBorder="1" applyProtection="1">
      <alignment vertical="center"/>
    </xf>
    <xf numFmtId="0" fontId="31" fillId="0" borderId="127" xfId="0" applyFont="1" applyBorder="1" applyProtection="1">
      <alignment vertical="center"/>
    </xf>
    <xf numFmtId="191" fontId="38" fillId="6" borderId="127" xfId="0" applyNumberFormat="1" applyFont="1" applyFill="1" applyBorder="1" applyProtection="1">
      <alignment vertical="center"/>
    </xf>
    <xf numFmtId="190" fontId="39" fillId="0" borderId="128" xfId="0" applyNumberFormat="1" applyFont="1" applyFill="1" applyBorder="1" applyProtection="1">
      <alignment vertical="center"/>
    </xf>
    <xf numFmtId="191" fontId="38" fillId="6" borderId="127" xfId="0" applyNumberFormat="1" applyFont="1" applyFill="1" applyBorder="1" applyAlignment="1" applyProtection="1">
      <alignment horizontal="right" vertical="center"/>
    </xf>
    <xf numFmtId="0" fontId="33" fillId="0" borderId="20" xfId="0" applyFont="1" applyBorder="1" applyProtection="1">
      <alignment vertical="center"/>
    </xf>
    <xf numFmtId="0" fontId="33" fillId="0" borderId="123" xfId="0" applyFont="1" applyFill="1" applyBorder="1" applyAlignment="1" applyProtection="1">
      <alignment horizontal="center" vertical="center"/>
    </xf>
    <xf numFmtId="189" fontId="37" fillId="0" borderId="129" xfId="0" applyNumberFormat="1" applyFont="1" applyBorder="1" applyAlignment="1" applyProtection="1">
      <alignment horizontal="right" vertical="center"/>
    </xf>
    <xf numFmtId="191" fontId="38" fillId="0" borderId="72" xfId="0" applyNumberFormat="1" applyFont="1" applyBorder="1" applyProtection="1">
      <alignment vertical="center"/>
    </xf>
    <xf numFmtId="190" fontId="39" fillId="0" borderId="110" xfId="0" applyNumberFormat="1" applyFont="1" applyFill="1" applyBorder="1" applyProtection="1">
      <alignment vertical="center"/>
    </xf>
    <xf numFmtId="0" fontId="33" fillId="6" borderId="21" xfId="0" applyFont="1" applyFill="1" applyBorder="1" applyAlignment="1" applyProtection="1">
      <alignment horizontal="center" vertical="center"/>
    </xf>
    <xf numFmtId="0" fontId="31" fillId="0" borderId="77" xfId="0" applyFont="1" applyBorder="1" applyProtection="1">
      <alignment vertical="center"/>
    </xf>
    <xf numFmtId="0" fontId="31" fillId="0" borderId="130" xfId="0" applyFont="1" applyBorder="1" applyProtection="1">
      <alignment vertical="center"/>
    </xf>
    <xf numFmtId="0" fontId="31" fillId="0" borderId="131" xfId="0" applyFont="1" applyBorder="1" applyProtection="1">
      <alignment vertical="center"/>
    </xf>
    <xf numFmtId="189" fontId="37" fillId="6" borderId="79" xfId="0" applyNumberFormat="1" applyFont="1" applyFill="1" applyBorder="1" applyAlignment="1" applyProtection="1">
      <alignment horizontal="right" vertical="center"/>
    </xf>
    <xf numFmtId="191" fontId="38" fillId="6" borderId="131" xfId="0" applyNumberFormat="1" applyFont="1" applyFill="1" applyBorder="1" applyProtection="1">
      <alignment vertical="center"/>
    </xf>
    <xf numFmtId="190" fontId="39" fillId="0" borderId="80" xfId="0" applyNumberFormat="1" applyFont="1" applyFill="1" applyBorder="1" applyProtection="1">
      <alignment vertical="center"/>
    </xf>
    <xf numFmtId="189" fontId="37" fillId="6" borderId="132" xfId="0" applyNumberFormat="1" applyFont="1" applyFill="1" applyBorder="1" applyAlignment="1" applyProtection="1">
      <alignment horizontal="right" vertical="center"/>
    </xf>
    <xf numFmtId="0" fontId="31" fillId="0" borderId="13" xfId="0" applyFont="1" applyBorder="1" applyAlignment="1" applyProtection="1">
      <alignment horizontal="right" vertical="center"/>
    </xf>
    <xf numFmtId="0" fontId="31" fillId="0" borderId="10" xfId="0" applyFont="1" applyBorder="1" applyProtection="1">
      <alignment vertical="center"/>
    </xf>
    <xf numFmtId="189" fontId="31" fillId="0" borderId="133" xfId="0" applyNumberFormat="1" applyFont="1" applyBorder="1" applyAlignment="1" applyProtection="1">
      <alignment horizontal="right" vertical="center"/>
    </xf>
    <xf numFmtId="189" fontId="31" fillId="0" borderId="65" xfId="0" applyNumberFormat="1" applyFont="1" applyBorder="1" applyAlignment="1" applyProtection="1">
      <alignment horizontal="right" vertical="center"/>
    </xf>
    <xf numFmtId="192" fontId="38" fillId="0" borderId="62" xfId="0" applyNumberFormat="1" applyFont="1" applyBorder="1" applyProtection="1">
      <alignment vertical="center"/>
    </xf>
    <xf numFmtId="190" fontId="33" fillId="0" borderId="65" xfId="0" applyNumberFormat="1" applyFont="1" applyFill="1" applyBorder="1" applyProtection="1">
      <alignment vertical="center"/>
    </xf>
    <xf numFmtId="189" fontId="31" fillId="0" borderId="9" xfId="0" applyNumberFormat="1" applyFont="1" applyBorder="1" applyAlignment="1" applyProtection="1">
      <alignment horizontal="right" vertical="center"/>
    </xf>
    <xf numFmtId="0" fontId="31" fillId="0" borderId="5" xfId="0" applyFont="1" applyBorder="1" applyAlignment="1" applyProtection="1">
      <alignment horizontal="center" vertical="center"/>
    </xf>
    <xf numFmtId="0" fontId="31" fillId="0" borderId="7" xfId="0" applyFont="1" applyBorder="1" applyAlignment="1" applyProtection="1">
      <alignment horizontal="left" vertical="center"/>
    </xf>
    <xf numFmtId="189" fontId="40" fillId="0" borderId="103" xfId="0" applyNumberFormat="1" applyFont="1" applyBorder="1" applyProtection="1">
      <alignment vertical="center"/>
    </xf>
    <xf numFmtId="189" fontId="40" fillId="0" borderId="64" xfId="0" applyNumberFormat="1" applyFont="1" applyBorder="1" applyProtection="1">
      <alignment vertical="center"/>
    </xf>
    <xf numFmtId="189" fontId="38" fillId="0" borderId="63" xfId="0" applyNumberFormat="1" applyFont="1" applyBorder="1" applyProtection="1">
      <alignment vertical="center"/>
    </xf>
    <xf numFmtId="190" fontId="31" fillId="0" borderId="64" xfId="0" applyNumberFormat="1" applyFont="1" applyFill="1" applyBorder="1" applyProtection="1">
      <alignment vertical="center"/>
    </xf>
    <xf numFmtId="189" fontId="40" fillId="0" borderId="8" xfId="0" applyNumberFormat="1" applyFont="1" applyBorder="1" applyProtection="1">
      <alignment vertical="center"/>
    </xf>
    <xf numFmtId="0" fontId="31" fillId="0" borderId="103" xfId="0" applyFont="1" applyFill="1" applyBorder="1" applyAlignment="1" applyProtection="1">
      <alignment horizontal="center" vertical="center"/>
    </xf>
    <xf numFmtId="0" fontId="31" fillId="0" borderId="63" xfId="0" applyFont="1" applyFill="1" applyBorder="1" applyAlignment="1" applyProtection="1">
      <alignment horizontal="center" vertical="center"/>
    </xf>
    <xf numFmtId="0" fontId="31" fillId="0" borderId="94" xfId="0" applyFont="1" applyBorder="1" applyProtection="1">
      <alignment vertical="center"/>
    </xf>
    <xf numFmtId="0" fontId="31" fillId="0" borderId="120" xfId="0" applyFont="1" applyFill="1" applyBorder="1" applyAlignment="1" applyProtection="1">
      <alignment horizontal="center" vertical="center"/>
    </xf>
    <xf numFmtId="189" fontId="40" fillId="0" borderId="121" xfId="0" applyNumberFormat="1" applyFont="1" applyBorder="1" applyProtection="1">
      <alignment vertical="center"/>
    </xf>
    <xf numFmtId="189" fontId="40" fillId="0" borderId="110" xfId="0" applyNumberFormat="1" applyFont="1" applyBorder="1" applyProtection="1">
      <alignment vertical="center"/>
    </xf>
    <xf numFmtId="0" fontId="31" fillId="0" borderId="62" xfId="0" applyFont="1" applyFill="1" applyBorder="1" applyAlignment="1" applyProtection="1">
      <alignment horizontal="center" vertical="center"/>
    </xf>
    <xf numFmtId="189" fontId="40" fillId="0" borderId="65" xfId="0" applyNumberFormat="1" applyFont="1" applyBorder="1" applyProtection="1">
      <alignment vertical="center"/>
    </xf>
    <xf numFmtId="0" fontId="31" fillId="0" borderId="3" xfId="0" applyFont="1" applyBorder="1" applyAlignment="1" applyProtection="1">
      <alignment horizontal="center" vertical="center"/>
    </xf>
    <xf numFmtId="0" fontId="31" fillId="0" borderId="28" xfId="0" applyFont="1" applyBorder="1" applyAlignment="1" applyProtection="1">
      <alignment horizontal="left" vertical="center"/>
    </xf>
    <xf numFmtId="0" fontId="31" fillId="0" borderId="69" xfId="0" applyFont="1" applyBorder="1" applyAlignment="1" applyProtection="1">
      <alignment horizontal="left" vertical="center"/>
    </xf>
    <xf numFmtId="0" fontId="31" fillId="0" borderId="134" xfId="0" applyFont="1" applyFill="1" applyBorder="1" applyAlignment="1" applyProtection="1">
      <alignment horizontal="center" vertical="center"/>
    </xf>
    <xf numFmtId="189" fontId="40" fillId="0" borderId="69" xfId="0" applyNumberFormat="1" applyFont="1" applyBorder="1" applyProtection="1">
      <alignment vertical="center"/>
    </xf>
    <xf numFmtId="189" fontId="38" fillId="0" borderId="122" xfId="0" applyNumberFormat="1" applyFont="1" applyBorder="1" applyProtection="1">
      <alignment vertical="center"/>
    </xf>
    <xf numFmtId="190" fontId="31" fillId="0" borderId="125" xfId="0" applyNumberFormat="1" applyFont="1" applyFill="1" applyBorder="1" applyProtection="1">
      <alignment vertical="center"/>
    </xf>
    <xf numFmtId="190" fontId="31" fillId="0" borderId="69" xfId="0" applyNumberFormat="1" applyFont="1" applyFill="1" applyBorder="1" applyProtection="1">
      <alignment vertical="center"/>
    </xf>
    <xf numFmtId="0" fontId="31" fillId="0" borderId="62" xfId="0" applyFont="1" applyBorder="1" applyAlignment="1" applyProtection="1">
      <alignment horizontal="center" vertical="center" wrapText="1"/>
    </xf>
    <xf numFmtId="0" fontId="31" fillId="0" borderId="65" xfId="0" applyFont="1" applyBorder="1" applyAlignment="1" applyProtection="1">
      <alignment horizontal="center" vertical="center" wrapText="1"/>
    </xf>
    <xf numFmtId="0" fontId="33" fillId="0" borderId="7" xfId="0" applyFont="1" applyBorder="1" applyAlignment="1" applyProtection="1">
      <alignment horizontal="left" vertical="center"/>
    </xf>
    <xf numFmtId="193" fontId="31" fillId="0" borderId="64" xfId="0" applyNumberFormat="1" applyFont="1" applyFill="1" applyBorder="1" applyProtection="1">
      <alignment vertical="center"/>
    </xf>
    <xf numFmtId="189" fontId="31" fillId="0" borderId="63" xfId="0" applyNumberFormat="1" applyFont="1" applyBorder="1" applyProtection="1">
      <alignment vertical="center"/>
    </xf>
    <xf numFmtId="0" fontId="31" fillId="0" borderId="135" xfId="0" applyFont="1" applyBorder="1" applyAlignment="1" applyProtection="1">
      <alignment horizontal="left" vertical="center"/>
    </xf>
    <xf numFmtId="0" fontId="31" fillId="0" borderId="136" xfId="0" applyFont="1" applyBorder="1" applyAlignment="1" applyProtection="1">
      <alignment horizontal="left" vertical="center"/>
    </xf>
    <xf numFmtId="0" fontId="31" fillId="0" borderId="95" xfId="0" applyFont="1" applyBorder="1" applyAlignment="1" applyProtection="1">
      <alignment horizontal="center" vertical="center"/>
    </xf>
    <xf numFmtId="189" fontId="40" fillId="0" borderId="137" xfId="0" applyNumberFormat="1" applyFont="1" applyBorder="1" applyProtection="1">
      <alignment vertical="center"/>
    </xf>
    <xf numFmtId="189" fontId="37" fillId="6" borderId="95" xfId="0" applyNumberFormat="1" applyFont="1" applyFill="1" applyBorder="1" applyAlignment="1" applyProtection="1">
      <alignment horizontal="right" vertical="center"/>
    </xf>
    <xf numFmtId="190" fontId="31" fillId="0" borderId="138" xfId="0" applyNumberFormat="1" applyFont="1" applyFill="1" applyBorder="1" applyProtection="1">
      <alignment vertical="center"/>
    </xf>
    <xf numFmtId="0" fontId="31" fillId="0" borderId="136" xfId="0" applyFont="1" applyBorder="1" applyAlignment="1" applyProtection="1">
      <alignment horizontal="center" vertical="center"/>
    </xf>
    <xf numFmtId="0" fontId="33" fillId="0" borderId="13" xfId="0" applyFont="1" applyBorder="1" applyProtection="1">
      <alignment vertical="center"/>
    </xf>
    <xf numFmtId="0" fontId="31" fillId="0" borderId="72" xfId="0" applyFont="1" applyBorder="1" applyProtection="1">
      <alignment vertical="center"/>
    </xf>
    <xf numFmtId="189" fontId="31" fillId="0" borderId="110" xfId="0" applyNumberFormat="1" applyFont="1" applyBorder="1" applyProtection="1">
      <alignment vertical="center"/>
    </xf>
    <xf numFmtId="189" fontId="38" fillId="0" borderId="72" xfId="0" applyNumberFormat="1" applyFont="1" applyBorder="1" applyProtection="1">
      <alignment vertical="center"/>
    </xf>
    <xf numFmtId="190" fontId="33" fillId="0" borderId="110" xfId="0" applyNumberFormat="1" applyFont="1" applyFill="1" applyBorder="1" applyProtection="1">
      <alignment vertical="center"/>
    </xf>
    <xf numFmtId="0" fontId="41" fillId="0" borderId="54" xfId="0" applyFont="1" applyBorder="1" applyProtection="1">
      <alignment vertical="center"/>
    </xf>
    <xf numFmtId="0" fontId="42" fillId="0" borderId="55" xfId="0" applyFont="1" applyBorder="1" applyProtection="1">
      <alignment vertical="center"/>
    </xf>
    <xf numFmtId="0" fontId="42" fillId="0" borderId="54" xfId="0" applyFont="1" applyBorder="1" applyProtection="1">
      <alignment vertical="center"/>
    </xf>
    <xf numFmtId="189" fontId="42" fillId="0" borderId="56" xfId="0" applyNumberFormat="1" applyFont="1" applyBorder="1" applyProtection="1">
      <alignment vertical="center"/>
    </xf>
    <xf numFmtId="189" fontId="43" fillId="0" borderId="54" xfId="0" applyNumberFormat="1" applyFont="1" applyBorder="1" applyProtection="1">
      <alignment vertical="center"/>
    </xf>
    <xf numFmtId="189" fontId="32" fillId="8" borderId="56" xfId="0" applyNumberFormat="1" applyFont="1" applyFill="1" applyBorder="1" applyProtection="1">
      <alignment vertical="center"/>
    </xf>
    <xf numFmtId="190" fontId="31" fillId="0" borderId="0" xfId="0" applyNumberFormat="1" applyFont="1" applyProtection="1">
      <alignment vertical="center"/>
    </xf>
    <xf numFmtId="0" fontId="41" fillId="0" borderId="0" xfId="0" applyFont="1" applyProtection="1">
      <alignment vertical="center"/>
    </xf>
    <xf numFmtId="189" fontId="40" fillId="0" borderId="0" xfId="0" applyNumberFormat="1" applyFont="1" applyProtection="1">
      <alignment vertical="center"/>
    </xf>
    <xf numFmtId="189" fontId="44" fillId="0" borderId="0" xfId="0" applyNumberFormat="1" applyFont="1" applyAlignment="1" applyProtection="1">
      <alignment horizontal="center" vertical="center"/>
    </xf>
    <xf numFmtId="190" fontId="44" fillId="0" borderId="0" xfId="0" applyNumberFormat="1" applyFont="1" applyAlignment="1" applyProtection="1">
      <alignment horizontal="center" vertical="center"/>
    </xf>
    <xf numFmtId="0" fontId="32" fillId="0" borderId="54" xfId="0" applyFont="1" applyBorder="1" applyProtection="1">
      <alignment vertical="center"/>
    </xf>
    <xf numFmtId="0" fontId="32" fillId="0" borderId="55" xfId="0" applyFont="1" applyBorder="1" applyProtection="1">
      <alignment vertical="center"/>
    </xf>
    <xf numFmtId="189" fontId="31" fillId="0" borderId="55" xfId="0" applyNumberFormat="1" applyFont="1" applyBorder="1" applyProtection="1">
      <alignment vertical="center"/>
    </xf>
    <xf numFmtId="191" fontId="38" fillId="6" borderId="31" xfId="0" applyNumberFormat="1" applyFont="1" applyFill="1" applyBorder="1" applyProtection="1">
      <alignment vertical="center"/>
    </xf>
    <xf numFmtId="189" fontId="41" fillId="8" borderId="31" xfId="0" applyNumberFormat="1" applyFont="1" applyFill="1" applyBorder="1" applyProtection="1">
      <alignment vertical="center"/>
    </xf>
    <xf numFmtId="0" fontId="32" fillId="0" borderId="100" xfId="0" applyFont="1" applyBorder="1" applyProtection="1">
      <alignment vertical="center"/>
    </xf>
    <xf numFmtId="0" fontId="32" fillId="0" borderId="139" xfId="0" applyFont="1" applyBorder="1" applyProtection="1">
      <alignment vertical="center"/>
    </xf>
    <xf numFmtId="0" fontId="42" fillId="0" borderId="139" xfId="0" applyFont="1" applyBorder="1" applyProtection="1">
      <alignment vertical="center"/>
    </xf>
    <xf numFmtId="189" fontId="31" fillId="0" borderId="139" xfId="0" applyNumberFormat="1" applyFont="1" applyBorder="1" applyProtection="1">
      <alignment vertical="center"/>
    </xf>
    <xf numFmtId="191" fontId="38" fillId="6" borderId="102" xfId="0" applyNumberFormat="1" applyFont="1" applyFill="1" applyBorder="1" applyProtection="1">
      <alignment vertical="center"/>
    </xf>
    <xf numFmtId="189" fontId="41" fillId="8" borderId="102" xfId="0" applyNumberFormat="1" applyFont="1" applyFill="1" applyBorder="1" applyProtection="1">
      <alignment vertical="center"/>
    </xf>
    <xf numFmtId="38" fontId="32" fillId="0" borderId="54" xfId="1" applyFont="1" applyBorder="1" applyProtection="1">
      <alignment vertical="center"/>
    </xf>
    <xf numFmtId="38" fontId="41" fillId="0" borderId="55" xfId="1" applyFont="1" applyBorder="1" applyProtection="1">
      <alignment vertical="center"/>
    </xf>
    <xf numFmtId="38" fontId="32" fillId="0" borderId="55" xfId="1" applyFont="1" applyBorder="1" applyProtection="1">
      <alignment vertical="center"/>
    </xf>
    <xf numFmtId="38" fontId="32" fillId="0" borderId="55" xfId="1" applyFont="1" applyFill="1" applyBorder="1" applyProtection="1">
      <alignment vertical="center"/>
    </xf>
    <xf numFmtId="38" fontId="45" fillId="0" borderId="55" xfId="1" applyFont="1" applyBorder="1" applyProtection="1">
      <alignment vertical="center"/>
    </xf>
    <xf numFmtId="38" fontId="32" fillId="0" borderId="140" xfId="1" applyFont="1" applyBorder="1" applyProtection="1">
      <alignment vertical="center"/>
    </xf>
    <xf numFmtId="38" fontId="32" fillId="0" borderId="141" xfId="1" applyFont="1" applyBorder="1" applyProtection="1">
      <alignment vertical="center"/>
    </xf>
    <xf numFmtId="38" fontId="32" fillId="0" borderId="141" xfId="1" applyFont="1" applyFill="1" applyBorder="1" applyProtection="1">
      <alignment vertical="center"/>
    </xf>
    <xf numFmtId="38" fontId="45" fillId="0" borderId="141" xfId="1" applyFont="1" applyBorder="1" applyProtection="1">
      <alignment vertical="center"/>
    </xf>
    <xf numFmtId="38" fontId="45" fillId="0" borderId="100" xfId="1" applyFont="1" applyBorder="1" applyProtection="1">
      <alignment vertical="center"/>
    </xf>
    <xf numFmtId="38" fontId="32" fillId="0" borderId="139" xfId="1" applyFont="1" applyBorder="1" applyAlignment="1" applyProtection="1">
      <alignment horizontal="center" vertical="center"/>
    </xf>
    <xf numFmtId="38" fontId="45" fillId="0" borderId="139" xfId="1" applyFont="1" applyBorder="1" applyProtection="1">
      <alignment vertical="center"/>
    </xf>
    <xf numFmtId="189" fontId="32" fillId="2" borderId="31" xfId="0" applyNumberFormat="1" applyFont="1" applyFill="1" applyBorder="1" applyProtection="1">
      <alignment vertical="center"/>
      <protection locked="0"/>
    </xf>
    <xf numFmtId="0" fontId="0" fillId="2" borderId="31" xfId="0" applyFill="1" applyBorder="1" applyAlignment="1" applyProtection="1">
      <alignment horizontal="center" vertical="center"/>
      <protection locked="0"/>
    </xf>
    <xf numFmtId="179" fontId="0" fillId="7" borderId="31" xfId="0" applyNumberFormat="1" applyFill="1" applyBorder="1" applyAlignment="1" applyProtection="1">
      <alignment horizontal="center" vertical="center"/>
      <protection locked="0"/>
    </xf>
    <xf numFmtId="179" fontId="0" fillId="2" borderId="31" xfId="0" applyNumberFormat="1" applyFill="1" applyBorder="1" applyAlignment="1" applyProtection="1">
      <alignment horizontal="center" vertical="center"/>
      <protection locked="0"/>
    </xf>
    <xf numFmtId="0" fontId="0" fillId="2" borderId="31" xfId="0" applyFill="1" applyBorder="1" applyProtection="1">
      <alignment vertical="center"/>
      <protection locked="0"/>
    </xf>
    <xf numFmtId="0" fontId="0" fillId="7" borderId="31" xfId="0" applyFill="1" applyBorder="1" applyAlignment="1" applyProtection="1">
      <alignment horizontal="center" vertical="center"/>
      <protection locked="0"/>
    </xf>
    <xf numFmtId="184" fontId="0" fillId="7" borderId="31" xfId="0" applyNumberFormat="1" applyFill="1" applyBorder="1" applyAlignment="1" applyProtection="1">
      <alignment horizontal="center" vertical="center"/>
      <protection locked="0"/>
    </xf>
    <xf numFmtId="181" fontId="0" fillId="2" borderId="31" xfId="0" applyNumberFormat="1" applyFill="1" applyBorder="1" applyProtection="1">
      <alignment vertical="center"/>
      <protection locked="0"/>
    </xf>
    <xf numFmtId="0" fontId="49" fillId="0" borderId="0" xfId="0" applyFont="1">
      <alignment vertical="center"/>
    </xf>
    <xf numFmtId="0" fontId="50" fillId="0" borderId="0" xfId="0" applyFont="1">
      <alignment vertical="center"/>
    </xf>
    <xf numFmtId="0" fontId="50" fillId="0" borderId="8" xfId="0" applyFont="1" applyBorder="1">
      <alignment vertical="center"/>
    </xf>
    <xf numFmtId="180" fontId="50" fillId="0" borderId="8" xfId="0" applyNumberFormat="1" applyFont="1" applyBorder="1">
      <alignment vertical="center"/>
    </xf>
    <xf numFmtId="182" fontId="50" fillId="0" borderId="8" xfId="1" applyNumberFormat="1" applyFont="1" applyBorder="1">
      <alignment vertical="center"/>
    </xf>
    <xf numFmtId="179" fontId="50" fillId="0" borderId="8" xfId="0" applyNumberFormat="1" applyFont="1" applyBorder="1">
      <alignment vertical="center"/>
    </xf>
    <xf numFmtId="0" fontId="51" fillId="0" borderId="0" xfId="0" applyFont="1">
      <alignment vertical="center"/>
    </xf>
    <xf numFmtId="186" fontId="16" fillId="2" borderId="103" xfId="0" applyNumberFormat="1" applyFont="1" applyFill="1" applyBorder="1" applyAlignment="1" applyProtection="1">
      <alignment vertical="center" shrinkToFit="1"/>
      <protection locked="0"/>
    </xf>
    <xf numFmtId="186" fontId="16" fillId="2" borderId="104" xfId="0" applyNumberFormat="1" applyFont="1" applyFill="1" applyBorder="1" applyAlignment="1" applyProtection="1">
      <alignment vertical="center" shrinkToFit="1"/>
      <protection locked="0"/>
    </xf>
    <xf numFmtId="0" fontId="52" fillId="0" borderId="0" xfId="0" applyFont="1">
      <alignment vertical="center"/>
    </xf>
    <xf numFmtId="0" fontId="53" fillId="0" borderId="0" xfId="0" applyFont="1">
      <alignment vertical="center"/>
    </xf>
    <xf numFmtId="0" fontId="53" fillId="0" borderId="5" xfId="0" applyFont="1" applyBorder="1" applyAlignment="1">
      <alignment horizontal="centerContinuous" vertical="center"/>
    </xf>
    <xf numFmtId="0" fontId="53" fillId="0" borderId="7" xfId="0" applyFont="1" applyBorder="1" applyAlignment="1">
      <alignment horizontal="centerContinuous" vertical="center"/>
    </xf>
    <xf numFmtId="0" fontId="54" fillId="0" borderId="0" xfId="0" applyFont="1">
      <alignment vertical="center"/>
    </xf>
    <xf numFmtId="0" fontId="56" fillId="0" borderId="0" xfId="0" applyFont="1">
      <alignment vertical="center"/>
    </xf>
    <xf numFmtId="0" fontId="24" fillId="9" borderId="54" xfId="0" applyFont="1" applyFill="1" applyBorder="1">
      <alignment vertical="center"/>
    </xf>
    <xf numFmtId="0" fontId="21" fillId="9" borderId="55" xfId="0" applyFont="1" applyFill="1" applyBorder="1">
      <alignment vertical="center"/>
    </xf>
    <xf numFmtId="0" fontId="0" fillId="9" borderId="55" xfId="0" applyFill="1" applyBorder="1">
      <alignment vertical="center"/>
    </xf>
    <xf numFmtId="0" fontId="0" fillId="9" borderId="56" xfId="0" applyFill="1" applyBorder="1">
      <alignment vertical="center"/>
    </xf>
    <xf numFmtId="0" fontId="23" fillId="0" borderId="31" xfId="0" applyFont="1" applyBorder="1" applyAlignment="1">
      <alignment horizontal="center" vertical="center"/>
    </xf>
    <xf numFmtId="0" fontId="53" fillId="0" borderId="0" xfId="0" applyFont="1" applyAlignment="1">
      <alignment vertical="center" wrapText="1"/>
    </xf>
    <xf numFmtId="0" fontId="10" fillId="0" borderId="0" xfId="0" applyFont="1">
      <alignment vertical="center"/>
    </xf>
    <xf numFmtId="0" fontId="57" fillId="0" borderId="0" xfId="2" applyFont="1">
      <alignment vertical="center"/>
    </xf>
    <xf numFmtId="0" fontId="58" fillId="0" borderId="0" xfId="2" applyFont="1">
      <alignment vertical="center"/>
    </xf>
    <xf numFmtId="0" fontId="62" fillId="0" borderId="0" xfId="2" applyFont="1" applyAlignment="1">
      <alignment horizontal="left" vertical="center"/>
    </xf>
    <xf numFmtId="0" fontId="57" fillId="0" borderId="0" xfId="2" applyFont="1" applyAlignment="1">
      <alignment horizontal="distributed" vertical="center"/>
    </xf>
    <xf numFmtId="0" fontId="57" fillId="0" borderId="0" xfId="2" applyFont="1" applyAlignment="1">
      <alignment horizontal="right" vertical="center"/>
    </xf>
    <xf numFmtId="58" fontId="57" fillId="0" borderId="139" xfId="2" applyNumberFormat="1" applyFont="1" applyBorder="1">
      <alignment vertical="center"/>
    </xf>
    <xf numFmtId="0" fontId="63" fillId="0" borderId="0" xfId="2" applyFont="1" applyAlignment="1">
      <alignment horizontal="center" vertical="center"/>
    </xf>
    <xf numFmtId="0" fontId="66" fillId="0" borderId="0" xfId="2" applyFont="1">
      <alignment vertical="center"/>
    </xf>
    <xf numFmtId="0" fontId="59" fillId="0" borderId="8" xfId="2" applyFont="1" applyBorder="1" applyAlignment="1">
      <alignment horizontal="center" vertical="center" wrapText="1"/>
    </xf>
    <xf numFmtId="0" fontId="59" fillId="0" borderId="12" xfId="2" applyFont="1" applyBorder="1" applyAlignment="1">
      <alignment horizontal="center" vertical="center" wrapText="1"/>
    </xf>
    <xf numFmtId="0" fontId="58" fillId="0" borderId="139" xfId="2" applyFont="1" applyBorder="1">
      <alignment vertical="center"/>
    </xf>
    <xf numFmtId="0" fontId="62" fillId="0" borderId="139" xfId="2" applyFont="1" applyBorder="1">
      <alignment vertical="center"/>
    </xf>
    <xf numFmtId="0" fontId="58" fillId="0" borderId="2" xfId="2" applyFont="1" applyBorder="1">
      <alignment vertical="center"/>
    </xf>
    <xf numFmtId="0" fontId="62" fillId="0" borderId="66" xfId="2" applyFont="1" applyBorder="1" applyAlignment="1">
      <alignment horizontal="left" vertical="center"/>
    </xf>
    <xf numFmtId="0" fontId="58" fillId="0" borderId="58" xfId="2" applyFont="1" applyBorder="1">
      <alignment vertical="center"/>
    </xf>
    <xf numFmtId="195" fontId="57" fillId="0" borderId="8" xfId="2" applyNumberFormat="1" applyFont="1" applyBorder="1" applyProtection="1">
      <alignment vertical="center"/>
      <protection locked="0"/>
    </xf>
    <xf numFmtId="0" fontId="76" fillId="0" borderId="0" xfId="4" applyFont="1"/>
    <xf numFmtId="0" fontId="76" fillId="0" borderId="0" xfId="4" applyFont="1" applyAlignment="1">
      <alignment vertical="center"/>
    </xf>
    <xf numFmtId="0" fontId="77" fillId="0" borderId="0" xfId="4" applyFont="1"/>
    <xf numFmtId="0" fontId="70" fillId="0" borderId="8" xfId="4" applyFont="1" applyBorder="1" applyAlignment="1">
      <alignment horizontal="center"/>
    </xf>
    <xf numFmtId="0" fontId="55" fillId="0" borderId="0" xfId="4" applyFont="1"/>
    <xf numFmtId="0" fontId="78" fillId="0" borderId="0" xfId="4" applyFont="1"/>
    <xf numFmtId="0" fontId="64" fillId="0" borderId="0" xfId="2" applyFont="1" applyAlignment="1">
      <alignment horizontal="left" vertical="center"/>
    </xf>
    <xf numFmtId="0" fontId="16" fillId="0" borderId="0" xfId="4" applyFont="1"/>
    <xf numFmtId="0" fontId="16" fillId="0" borderId="0" xfId="4" applyFont="1" applyAlignment="1">
      <alignment vertical="top"/>
    </xf>
    <xf numFmtId="0" fontId="79" fillId="0" borderId="0" xfId="4" applyFont="1"/>
    <xf numFmtId="0" fontId="80" fillId="0" borderId="0" xfId="4" applyFont="1"/>
    <xf numFmtId="0" fontId="81" fillId="0" borderId="0" xfId="4" applyFont="1" applyAlignment="1">
      <alignment vertical="top"/>
    </xf>
    <xf numFmtId="0" fontId="81" fillId="0" borderId="0" xfId="5" applyFont="1" applyAlignment="1">
      <alignment vertical="top"/>
    </xf>
    <xf numFmtId="0" fontId="81" fillId="0" borderId="0" xfId="4" applyFont="1"/>
    <xf numFmtId="0" fontId="81" fillId="0" borderId="0" xfId="4" applyFont="1" applyAlignment="1">
      <alignment horizontal="left" vertical="top"/>
    </xf>
    <xf numFmtId="0" fontId="81" fillId="0" borderId="0" xfId="4" applyFont="1" applyAlignment="1">
      <alignment vertical="top" wrapText="1"/>
    </xf>
    <xf numFmtId="0" fontId="81" fillId="0" borderId="0" xfId="4" applyFont="1" applyAlignment="1">
      <alignment horizontal="left" vertical="top" wrapText="1"/>
    </xf>
    <xf numFmtId="176" fontId="81" fillId="0" borderId="0" xfId="6" applyNumberFormat="1" applyFont="1" applyAlignment="1">
      <alignment vertical="top" shrinkToFit="1"/>
    </xf>
    <xf numFmtId="176" fontId="81" fillId="9" borderId="0" xfId="6" applyNumberFormat="1" applyFont="1" applyFill="1" applyAlignment="1">
      <alignment vertical="center" wrapText="1" shrinkToFit="1"/>
    </xf>
    <xf numFmtId="0" fontId="81" fillId="0" borderId="0" xfId="6" applyFont="1" applyAlignment="1">
      <alignment vertical="top" shrinkToFit="1"/>
    </xf>
    <xf numFmtId="0" fontId="81" fillId="0" borderId="0" xfId="6" applyFont="1" applyAlignment="1">
      <alignment horizontal="left" vertical="top" shrinkToFit="1"/>
    </xf>
    <xf numFmtId="0" fontId="81" fillId="0" borderId="0" xfId="6" applyFont="1" applyAlignment="1">
      <alignment horizontal="left" vertical="top" wrapText="1" shrinkToFit="1"/>
    </xf>
    <xf numFmtId="0" fontId="81" fillId="0" borderId="0" xfId="6" applyFont="1" applyAlignment="1">
      <alignment vertical="top" wrapText="1" shrinkToFit="1"/>
    </xf>
    <xf numFmtId="0" fontId="83" fillId="0" borderId="0" xfId="4" applyFont="1"/>
    <xf numFmtId="0" fontId="84" fillId="0" borderId="0" xfId="4" applyFont="1" applyAlignment="1">
      <alignment horizontal="left" vertical="top"/>
    </xf>
    <xf numFmtId="196" fontId="81" fillId="0" borderId="0" xfId="4" applyNumberFormat="1" applyFont="1" applyAlignment="1">
      <alignment vertical="top"/>
    </xf>
    <xf numFmtId="0" fontId="84" fillId="0" borderId="0" xfId="4" applyFont="1" applyAlignment="1">
      <alignment vertical="top"/>
    </xf>
    <xf numFmtId="0" fontId="84" fillId="0" borderId="0" xfId="4" applyFont="1" applyAlignment="1">
      <alignment horizontal="center" vertical="top"/>
    </xf>
    <xf numFmtId="0" fontId="85" fillId="10" borderId="56" xfId="2" applyFont="1" applyFill="1" applyBorder="1" applyAlignment="1">
      <alignment horizontal="center" vertical="center"/>
    </xf>
    <xf numFmtId="0" fontId="85" fillId="10" borderId="31" xfId="2" applyFont="1" applyFill="1" applyBorder="1" applyAlignment="1">
      <alignment horizontal="center" vertical="center"/>
    </xf>
    <xf numFmtId="197" fontId="86" fillId="8" borderId="8" xfId="4" applyNumberFormat="1" applyFont="1" applyFill="1" applyBorder="1" applyAlignment="1">
      <alignment horizontal="center" vertical="center"/>
    </xf>
    <xf numFmtId="0" fontId="87" fillId="0" borderId="0" xfId="4" applyFont="1"/>
    <xf numFmtId="176" fontId="79" fillId="0" borderId="0" xfId="6" applyNumberFormat="1" applyFont="1" applyAlignment="1">
      <alignment vertical="center" shrinkToFit="1"/>
    </xf>
    <xf numFmtId="38" fontId="81" fillId="8" borderId="143" xfId="6" applyNumberFormat="1" applyFont="1" applyFill="1" applyBorder="1" applyAlignment="1">
      <alignment vertical="center" shrinkToFit="1"/>
    </xf>
    <xf numFmtId="38" fontId="81" fillId="8" borderId="145" xfId="6" applyNumberFormat="1" applyFont="1" applyFill="1" applyBorder="1" applyAlignment="1">
      <alignment vertical="center" shrinkToFit="1"/>
    </xf>
    <xf numFmtId="38" fontId="81" fillId="8" borderId="151" xfId="6" applyNumberFormat="1" applyFont="1" applyFill="1" applyBorder="1" applyAlignment="1">
      <alignment vertical="center" shrinkToFit="1"/>
    </xf>
    <xf numFmtId="38" fontId="81" fillId="0" borderId="192" xfId="6" applyNumberFormat="1" applyFont="1" applyBorder="1" applyAlignment="1">
      <alignment vertical="center" shrinkToFit="1"/>
    </xf>
    <xf numFmtId="38" fontId="81" fillId="8" borderId="150" xfId="6" applyNumberFormat="1" applyFont="1" applyFill="1" applyBorder="1" applyAlignment="1">
      <alignment vertical="center" shrinkToFit="1"/>
    </xf>
    <xf numFmtId="0" fontId="81" fillId="0" borderId="5" xfId="6" applyFont="1" applyBorder="1" applyAlignment="1">
      <alignment vertical="center" shrinkToFit="1"/>
    </xf>
    <xf numFmtId="38" fontId="81" fillId="0" borderId="13" xfId="6" applyNumberFormat="1" applyFont="1" applyBorder="1" applyAlignment="1" applyProtection="1">
      <alignment vertical="center" shrinkToFit="1"/>
      <protection locked="0"/>
    </xf>
    <xf numFmtId="38" fontId="81" fillId="0" borderId="0" xfId="6" applyNumberFormat="1" applyFont="1" applyAlignment="1" applyProtection="1">
      <alignment vertical="center" shrinkToFit="1"/>
      <protection locked="0"/>
    </xf>
    <xf numFmtId="38" fontId="81" fillId="0" borderId="1" xfId="6" applyNumberFormat="1" applyFont="1" applyBorder="1" applyAlignment="1" applyProtection="1">
      <alignment vertical="center" shrinkToFit="1"/>
      <protection locked="0"/>
    </xf>
    <xf numFmtId="38" fontId="81" fillId="0" borderId="8" xfId="6" applyNumberFormat="1" applyFont="1" applyBorder="1" applyAlignment="1" applyProtection="1">
      <alignment vertical="center" shrinkToFit="1"/>
      <protection locked="0"/>
    </xf>
    <xf numFmtId="38" fontId="81" fillId="8" borderId="8" xfId="6" applyNumberFormat="1" applyFont="1" applyFill="1" applyBorder="1" applyAlignment="1">
      <alignment vertical="center" shrinkToFit="1"/>
    </xf>
    <xf numFmtId="38" fontId="81" fillId="0" borderId="72" xfId="6" applyNumberFormat="1" applyFont="1" applyBorder="1" applyAlignment="1" applyProtection="1">
      <alignment vertical="center" shrinkToFit="1"/>
      <protection locked="0"/>
    </xf>
    <xf numFmtId="38" fontId="81" fillId="0" borderId="103" xfId="6" applyNumberFormat="1" applyFont="1" applyBorder="1" applyAlignment="1" applyProtection="1">
      <alignment vertical="center" shrinkToFit="1"/>
      <protection locked="0"/>
    </xf>
    <xf numFmtId="0" fontId="81" fillId="0" borderId="120" xfId="6" applyFont="1" applyBorder="1" applyAlignment="1">
      <alignment vertical="center" shrinkToFit="1"/>
    </xf>
    <xf numFmtId="38" fontId="81" fillId="0" borderId="5" xfId="6" applyNumberFormat="1" applyFont="1" applyBorder="1" applyAlignment="1" applyProtection="1">
      <alignment vertical="center" shrinkToFit="1"/>
      <protection locked="0"/>
    </xf>
    <xf numFmtId="38" fontId="81" fillId="0" borderId="7" xfId="6" applyNumberFormat="1" applyFont="1" applyBorder="1" applyAlignment="1" applyProtection="1">
      <alignment vertical="center" shrinkToFit="1"/>
      <protection locked="0"/>
    </xf>
    <xf numFmtId="38" fontId="81" fillId="0" borderId="63" xfId="6" applyNumberFormat="1" applyFont="1" applyBorder="1" applyAlignment="1" applyProtection="1">
      <alignment vertical="center" shrinkToFit="1"/>
      <protection locked="0"/>
    </xf>
    <xf numFmtId="0" fontId="81" fillId="0" borderId="103" xfId="6" applyFont="1" applyBorder="1" applyAlignment="1">
      <alignment vertical="center" shrinkToFit="1"/>
    </xf>
    <xf numFmtId="0" fontId="81" fillId="0" borderId="8" xfId="6" applyFont="1" applyBorder="1" applyAlignment="1" applyProtection="1">
      <alignment horizontal="center" vertical="center" shrinkToFit="1"/>
      <protection locked="0"/>
    </xf>
    <xf numFmtId="38" fontId="81" fillId="0" borderId="9" xfId="6" applyNumberFormat="1" applyFont="1" applyBorder="1" applyAlignment="1" applyProtection="1">
      <alignment vertical="center" shrinkToFit="1"/>
      <protection locked="0"/>
    </xf>
    <xf numFmtId="38" fontId="81" fillId="0" borderId="10" xfId="6" applyNumberFormat="1" applyFont="1" applyBorder="1" applyAlignment="1" applyProtection="1">
      <alignment vertical="center" shrinkToFit="1"/>
      <protection locked="0"/>
    </xf>
    <xf numFmtId="38" fontId="81" fillId="0" borderId="62" xfId="6" applyNumberFormat="1" applyFont="1" applyBorder="1" applyAlignment="1" applyProtection="1">
      <alignment vertical="center" shrinkToFit="1"/>
      <protection locked="0"/>
    </xf>
    <xf numFmtId="0" fontId="81" fillId="0" borderId="9" xfId="6" applyFont="1" applyBorder="1" applyAlignment="1" applyProtection="1">
      <alignment horizontal="center" vertical="center" shrinkToFit="1"/>
      <protection locked="0"/>
    </xf>
    <xf numFmtId="0" fontId="81" fillId="0" borderId="74" xfId="6" applyFont="1" applyBorder="1" applyAlignment="1">
      <alignment vertical="center" shrinkToFit="1"/>
    </xf>
    <xf numFmtId="0" fontId="0" fillId="0" borderId="0" xfId="7" applyFont="1" applyAlignment="1">
      <alignment horizontal="center" vertical="center" wrapText="1" shrinkToFit="1"/>
    </xf>
    <xf numFmtId="199" fontId="89" fillId="9" borderId="1" xfId="6" applyNumberFormat="1" applyFont="1" applyFill="1" applyBorder="1" applyAlignment="1">
      <alignment horizontal="center" vertical="center" wrapText="1" shrinkToFit="1"/>
    </xf>
    <xf numFmtId="0" fontId="86" fillId="9"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91" fillId="9" borderId="94" xfId="4" applyFont="1" applyFill="1" applyBorder="1" applyAlignment="1">
      <alignment horizontal="center" vertical="center" wrapText="1"/>
    </xf>
    <xf numFmtId="0" fontId="91" fillId="9" borderId="5" xfId="4" applyFont="1" applyFill="1" applyBorder="1" applyAlignment="1">
      <alignment horizontal="center" vertical="center"/>
    </xf>
    <xf numFmtId="0" fontId="91" fillId="9" borderId="8" xfId="4" applyFont="1" applyFill="1" applyBorder="1" applyAlignment="1">
      <alignment horizontal="center" vertical="center"/>
    </xf>
    <xf numFmtId="0" fontId="91" fillId="9" borderId="63" xfId="4" applyFont="1" applyFill="1" applyBorder="1" applyAlignment="1">
      <alignment horizontal="center" vertical="center"/>
    </xf>
    <xf numFmtId="0" fontId="91" fillId="9" borderId="8" xfId="6" applyFont="1" applyFill="1" applyBorder="1" applyAlignment="1">
      <alignment horizontal="center" vertical="center"/>
    </xf>
    <xf numFmtId="0" fontId="91" fillId="9" borderId="5" xfId="6" applyFont="1" applyFill="1" applyBorder="1" applyAlignment="1">
      <alignment horizontal="center" vertical="center"/>
    </xf>
    <xf numFmtId="0" fontId="91" fillId="9" borderId="103" xfId="6" applyFont="1" applyFill="1" applyBorder="1" applyAlignment="1">
      <alignment horizontal="center" vertical="center"/>
    </xf>
    <xf numFmtId="0" fontId="92" fillId="0" borderId="0" xfId="4" applyFont="1"/>
    <xf numFmtId="0" fontId="91" fillId="0" borderId="0" xfId="6" applyFont="1" applyAlignment="1">
      <alignment horizontal="left" vertical="center"/>
    </xf>
    <xf numFmtId="0" fontId="92" fillId="0" borderId="110" xfId="4" applyFont="1" applyBorder="1" applyAlignment="1">
      <alignment horizontal="center" vertical="center"/>
    </xf>
    <xf numFmtId="0" fontId="92" fillId="0" borderId="0" xfId="4" applyFont="1" applyAlignment="1">
      <alignment horizontal="center" vertical="center"/>
    </xf>
    <xf numFmtId="0" fontId="93" fillId="0" borderId="110" xfId="4" applyFont="1" applyBorder="1" applyAlignment="1">
      <alignment horizontal="center" vertical="center"/>
    </xf>
    <xf numFmtId="0" fontId="93" fillId="0" borderId="0" xfId="4" applyFont="1" applyAlignment="1">
      <alignment horizontal="center" vertical="center"/>
    </xf>
    <xf numFmtId="0" fontId="76" fillId="0" borderId="0" xfId="4" applyFont="1" applyAlignment="1">
      <alignment horizontal="center" vertical="center"/>
    </xf>
    <xf numFmtId="0" fontId="95" fillId="0" borderId="0" xfId="4" applyFont="1" applyAlignment="1">
      <alignment vertical="top"/>
    </xf>
    <xf numFmtId="0" fontId="96" fillId="0" borderId="0" xfId="2" applyFont="1">
      <alignment vertical="center"/>
    </xf>
    <xf numFmtId="0" fontId="57" fillId="0" borderId="0" xfId="2" applyFont="1" applyAlignment="1">
      <alignment vertical="top"/>
    </xf>
    <xf numFmtId="0" fontId="57" fillId="0" borderId="0" xfId="2" applyFont="1" applyAlignment="1">
      <alignment vertical="top" wrapText="1"/>
    </xf>
    <xf numFmtId="38" fontId="57" fillId="8" borderId="149" xfId="3" applyFont="1" applyFill="1" applyBorder="1" applyAlignment="1" applyProtection="1">
      <alignment horizontal="right" vertical="center"/>
    </xf>
    <xf numFmtId="38" fontId="57" fillId="8" borderId="151" xfId="3" applyFont="1" applyFill="1" applyBorder="1" applyAlignment="1" applyProtection="1">
      <alignment horizontal="right" vertical="center"/>
    </xf>
    <xf numFmtId="38" fontId="57" fillId="0" borderId="65" xfId="3" applyFont="1" applyBorder="1" applyAlignment="1" applyProtection="1">
      <alignment horizontal="right" vertical="center"/>
    </xf>
    <xf numFmtId="38" fontId="57" fillId="0" borderId="9" xfId="3" applyFont="1" applyBorder="1" applyAlignment="1" applyProtection="1">
      <alignment horizontal="right" vertical="center"/>
    </xf>
    <xf numFmtId="0" fontId="57" fillId="0" borderId="9" xfId="2" applyFont="1" applyBorder="1" applyAlignment="1">
      <alignment horizontal="center" vertical="center"/>
    </xf>
    <xf numFmtId="0" fontId="57" fillId="0" borderId="74" xfId="2" applyFont="1" applyBorder="1" applyAlignment="1">
      <alignment horizontal="center" vertical="center"/>
    </xf>
    <xf numFmtId="0" fontId="57" fillId="0" borderId="54" xfId="2" applyFont="1" applyBorder="1" applyAlignment="1">
      <alignment horizontal="center" vertical="center"/>
    </xf>
    <xf numFmtId="0" fontId="57" fillId="2" borderId="103" xfId="2" applyFont="1" applyFill="1" applyBorder="1" applyAlignment="1" applyProtection="1">
      <alignment horizontal="center" vertical="center" shrinkToFit="1"/>
      <protection locked="0"/>
    </xf>
    <xf numFmtId="0" fontId="57" fillId="2" borderId="8" xfId="2" applyFont="1" applyFill="1" applyBorder="1" applyAlignment="1" applyProtection="1">
      <alignment horizontal="center" vertical="center" shrinkToFit="1"/>
      <protection locked="0"/>
    </xf>
    <xf numFmtId="38" fontId="57" fillId="2" borderId="8" xfId="3" applyFont="1" applyFill="1" applyBorder="1" applyAlignment="1" applyProtection="1">
      <alignment horizontal="right" vertical="center" shrinkToFit="1"/>
      <protection locked="0"/>
    </xf>
    <xf numFmtId="38" fontId="57" fillId="2" borderId="64" xfId="3" applyFont="1" applyFill="1" applyBorder="1" applyAlignment="1" applyProtection="1">
      <alignment horizontal="right" vertical="center" shrinkToFit="1"/>
      <protection locked="0"/>
    </xf>
    <xf numFmtId="0" fontId="57" fillId="2" borderId="120" xfId="2" applyFont="1" applyFill="1" applyBorder="1" applyAlignment="1" applyProtection="1">
      <alignment horizontal="center" vertical="center" shrinkToFit="1"/>
      <protection locked="0"/>
    </xf>
    <xf numFmtId="0" fontId="57" fillId="2" borderId="1" xfId="2" applyFont="1" applyFill="1" applyBorder="1" applyAlignment="1" applyProtection="1">
      <alignment horizontal="center" vertical="center" shrinkToFit="1"/>
      <protection locked="0"/>
    </xf>
    <xf numFmtId="38" fontId="57" fillId="2" borderId="1" xfId="3" applyFont="1" applyFill="1" applyBorder="1" applyAlignment="1" applyProtection="1">
      <alignment horizontal="right" vertical="center" shrinkToFit="1"/>
      <protection locked="0"/>
    </xf>
    <xf numFmtId="38" fontId="57" fillId="2" borderId="121" xfId="3" applyFont="1" applyFill="1" applyBorder="1" applyAlignment="1" applyProtection="1">
      <alignment horizontal="right" vertical="center" shrinkToFit="1"/>
      <protection locked="0"/>
    </xf>
    <xf numFmtId="0" fontId="53" fillId="2" borderId="31"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shrinkToFit="1"/>
      <protection locked="0"/>
    </xf>
    <xf numFmtId="0" fontId="53" fillId="2" borderId="31" xfId="0" applyFont="1" applyFill="1" applyBorder="1" applyProtection="1">
      <alignment vertical="center"/>
      <protection locked="0"/>
    </xf>
    <xf numFmtId="0" fontId="55" fillId="2" borderId="31" xfId="0" applyFont="1" applyFill="1" applyBorder="1" applyProtection="1">
      <alignment vertical="center"/>
      <protection locked="0"/>
    </xf>
    <xf numFmtId="0" fontId="66" fillId="0" borderId="0" xfId="2" applyFont="1" applyProtection="1">
      <alignment vertical="center"/>
    </xf>
    <xf numFmtId="0" fontId="57" fillId="0" borderId="0" xfId="2" applyFont="1" applyProtection="1">
      <alignment vertical="center"/>
    </xf>
    <xf numFmtId="0" fontId="57" fillId="0" borderId="0" xfId="2" applyFont="1" applyAlignment="1" applyProtection="1">
      <alignment horizontal="left" vertical="center"/>
    </xf>
    <xf numFmtId="0" fontId="64" fillId="0" borderId="0" xfId="2" applyFont="1" applyProtection="1">
      <alignment vertical="center"/>
    </xf>
    <xf numFmtId="49" fontId="64" fillId="0" borderId="0" xfId="2" applyNumberFormat="1" applyFont="1" applyProtection="1">
      <alignment vertical="center"/>
    </xf>
    <xf numFmtId="0" fontId="63" fillId="0" borderId="0" xfId="2" applyFont="1" applyAlignment="1" applyProtection="1">
      <alignment horizontal="center" vertical="center"/>
    </xf>
    <xf numFmtId="0" fontId="63" fillId="0" borderId="0" xfId="2" applyFont="1" applyAlignment="1" applyProtection="1">
      <alignment horizontal="left" vertical="center"/>
    </xf>
    <xf numFmtId="0" fontId="57" fillId="0" borderId="0" xfId="2" applyFont="1" applyAlignment="1" applyProtection="1">
      <alignment horizontal="right" vertical="center"/>
    </xf>
    <xf numFmtId="58" fontId="57" fillId="0" borderId="139" xfId="2" applyNumberFormat="1" applyFont="1" applyBorder="1" applyProtection="1">
      <alignment vertical="center"/>
    </xf>
    <xf numFmtId="0" fontId="57" fillId="0" borderId="0" xfId="2" applyFont="1" applyAlignment="1" applyProtection="1">
      <alignment horizontal="distributed" vertical="center"/>
    </xf>
    <xf numFmtId="0" fontId="57" fillId="0" borderId="58" xfId="2" applyFont="1" applyBorder="1" applyAlignment="1" applyProtection="1">
      <alignment horizontal="distributed" vertical="center"/>
    </xf>
    <xf numFmtId="0" fontId="60" fillId="0" borderId="0" xfId="2" applyFont="1" applyProtection="1">
      <alignment vertical="center"/>
    </xf>
    <xf numFmtId="0" fontId="62" fillId="0" borderId="0" xfId="2" applyFont="1" applyProtection="1">
      <alignment vertical="center"/>
    </xf>
    <xf numFmtId="0" fontId="62" fillId="0" borderId="0" xfId="2" applyFont="1" applyAlignment="1" applyProtection="1">
      <alignment horizontal="left" vertical="center"/>
    </xf>
    <xf numFmtId="0" fontId="57" fillId="0" borderId="149" xfId="2" applyFont="1" applyBorder="1" applyAlignment="1" applyProtection="1">
      <alignment horizontal="right" vertical="center"/>
    </xf>
    <xf numFmtId="0" fontId="59" fillId="0" borderId="0" xfId="2" applyFont="1" applyAlignment="1" applyProtection="1">
      <alignment horizontal="center" vertical="center"/>
    </xf>
    <xf numFmtId="0" fontId="59" fillId="0" borderId="0" xfId="2" applyFont="1" applyProtection="1">
      <alignment vertical="center"/>
    </xf>
    <xf numFmtId="0" fontId="58" fillId="0" borderId="0" xfId="2" applyFont="1" applyProtection="1">
      <alignment vertical="center"/>
    </xf>
    <xf numFmtId="0" fontId="58" fillId="0" borderId="0" xfId="2" applyFont="1" applyAlignment="1" applyProtection="1">
      <alignment horizontal="left" vertical="center"/>
    </xf>
    <xf numFmtId="0" fontId="58" fillId="0" borderId="0" xfId="2" applyFont="1" applyAlignment="1" applyProtection="1">
      <alignment horizontal="right" vertical="center" wrapText="1"/>
    </xf>
    <xf numFmtId="0" fontId="58" fillId="0" borderId="0" xfId="2" applyFont="1" applyAlignment="1" applyProtection="1">
      <alignment horizontal="center" vertical="center" wrapText="1"/>
    </xf>
    <xf numFmtId="0" fontId="58" fillId="0" borderId="0" xfId="2" applyFont="1" applyAlignment="1" applyProtection="1">
      <alignment vertical="center" wrapText="1"/>
    </xf>
    <xf numFmtId="0" fontId="58" fillId="0" borderId="0" xfId="2" applyFont="1" applyAlignment="1" applyProtection="1">
      <alignment horizontal="center" vertical="center"/>
    </xf>
    <xf numFmtId="49" fontId="58" fillId="0" borderId="0" xfId="2" applyNumberFormat="1" applyFont="1" applyAlignment="1" applyProtection="1">
      <alignment vertical="center" shrinkToFit="1"/>
    </xf>
    <xf numFmtId="0" fontId="57" fillId="0" borderId="0" xfId="2" applyFont="1" applyAlignment="1" applyProtection="1">
      <alignment vertical="center" wrapText="1"/>
    </xf>
    <xf numFmtId="0" fontId="59" fillId="0" borderId="0" xfId="2" applyFont="1" applyAlignment="1" applyProtection="1">
      <alignment horizontal="left" vertical="top"/>
    </xf>
    <xf numFmtId="0" fontId="59" fillId="0" borderId="0" xfId="2" applyFont="1" applyAlignment="1" applyProtection="1">
      <alignment vertical="top" wrapText="1"/>
    </xf>
    <xf numFmtId="0" fontId="59" fillId="0" borderId="0" xfId="2" applyFont="1" applyAlignment="1" applyProtection="1">
      <alignment vertical="top"/>
    </xf>
    <xf numFmtId="0" fontId="57" fillId="0" borderId="0" xfId="2" applyFont="1" applyAlignment="1" applyProtection="1">
      <alignment horizontal="left" vertical="center" wrapText="1"/>
    </xf>
    <xf numFmtId="0" fontId="58" fillId="0" borderId="0" xfId="2" applyFont="1" applyAlignment="1" applyProtection="1">
      <alignment horizontal="right" vertical="center"/>
    </xf>
    <xf numFmtId="0" fontId="57" fillId="9" borderId="0" xfId="2" applyFont="1" applyFill="1" applyAlignment="1" applyProtection="1">
      <alignment horizontal="right" vertical="center"/>
    </xf>
    <xf numFmtId="0" fontId="59" fillId="0" borderId="0" xfId="2" applyFont="1" applyAlignment="1" applyProtection="1">
      <alignment horizontal="left" vertical="center"/>
    </xf>
    <xf numFmtId="0" fontId="73" fillId="0" borderId="0" xfId="2" applyFont="1" applyAlignment="1" applyProtection="1">
      <alignment horizontal="center" vertical="center"/>
    </xf>
    <xf numFmtId="0" fontId="57" fillId="0" borderId="0" xfId="2" applyFont="1" applyAlignment="1" applyProtection="1">
      <alignment vertical="center" shrinkToFit="1"/>
    </xf>
    <xf numFmtId="0" fontId="58" fillId="0" borderId="0" xfId="2" applyFont="1" applyAlignment="1" applyProtection="1">
      <alignment horizontal="distributed" vertical="center"/>
    </xf>
    <xf numFmtId="0" fontId="7" fillId="0" borderId="0" xfId="2" applyAlignment="1" applyProtection="1">
      <alignment vertical="center" wrapText="1"/>
    </xf>
    <xf numFmtId="0" fontId="58" fillId="0" borderId="55" xfId="2" applyFont="1" applyBorder="1" applyProtection="1">
      <alignment vertical="center"/>
    </xf>
    <xf numFmtId="0" fontId="58" fillId="0" borderId="56" xfId="2" applyFont="1" applyBorder="1" applyProtection="1">
      <alignment vertical="center"/>
    </xf>
    <xf numFmtId="0" fontId="71" fillId="10" borderId="56" xfId="2" applyFont="1" applyFill="1" applyBorder="1" applyProtection="1">
      <alignment vertical="center"/>
    </xf>
    <xf numFmtId="0" fontId="70" fillId="0" borderId="0" xfId="2" applyFont="1" applyProtection="1">
      <alignment vertical="center"/>
    </xf>
    <xf numFmtId="0" fontId="57" fillId="0" borderId="187" xfId="2" applyFont="1" applyBorder="1" applyProtection="1">
      <alignment vertical="center"/>
    </xf>
    <xf numFmtId="0" fontId="57" fillId="0" borderId="165" xfId="2" applyFont="1" applyBorder="1" applyProtection="1">
      <alignment vertical="center"/>
    </xf>
    <xf numFmtId="0" fontId="7" fillId="0" borderId="165" xfId="2" applyBorder="1" applyProtection="1">
      <alignment vertical="center"/>
    </xf>
    <xf numFmtId="0" fontId="58" fillId="0" borderId="164" xfId="2" applyFont="1" applyBorder="1" applyProtection="1">
      <alignment vertical="center"/>
    </xf>
    <xf numFmtId="0" fontId="59" fillId="0" borderId="0" xfId="2" applyFont="1" applyAlignment="1" applyProtection="1">
      <alignment vertical="center" wrapText="1"/>
    </xf>
    <xf numFmtId="0" fontId="7" fillId="0" borderId="0" xfId="2" applyProtection="1">
      <alignment vertical="center"/>
    </xf>
    <xf numFmtId="0" fontId="57" fillId="0" borderId="186" xfId="2" applyFont="1" applyBorder="1" applyProtection="1">
      <alignment vertical="center"/>
    </xf>
    <xf numFmtId="0" fontId="57" fillId="0" borderId="175" xfId="2" applyFont="1" applyBorder="1" applyProtection="1">
      <alignment vertical="center"/>
    </xf>
    <xf numFmtId="0" fontId="7" fillId="0" borderId="175" xfId="2" applyBorder="1" applyProtection="1">
      <alignment vertical="center"/>
    </xf>
    <xf numFmtId="0" fontId="58" fillId="0" borderId="170" xfId="2" applyFont="1" applyBorder="1" applyProtection="1">
      <alignment vertical="center"/>
    </xf>
    <xf numFmtId="0" fontId="58" fillId="0" borderId="87" xfId="2" applyFont="1" applyBorder="1" applyProtection="1">
      <alignment vertical="center"/>
    </xf>
    <xf numFmtId="0" fontId="57" fillId="0" borderId="0" xfId="2" applyFont="1" applyAlignment="1" applyProtection="1">
      <alignment horizontal="distributed" vertical="center" wrapText="1"/>
    </xf>
    <xf numFmtId="0" fontId="57" fillId="0" borderId="0" xfId="2" applyFont="1" applyAlignment="1" applyProtection="1">
      <alignment horizontal="center" vertical="center" wrapText="1"/>
    </xf>
    <xf numFmtId="0" fontId="58" fillId="0" borderId="61" xfId="2" applyFont="1" applyBorder="1" applyAlignment="1" applyProtection="1">
      <alignment horizontal="right" vertical="center"/>
    </xf>
    <xf numFmtId="0" fontId="69" fillId="0" borderId="0" xfId="2" applyFont="1" applyProtection="1">
      <alignment vertical="center"/>
    </xf>
    <xf numFmtId="0" fontId="68" fillId="0" borderId="0" xfId="2" applyFont="1" applyProtection="1">
      <alignment vertical="center"/>
    </xf>
    <xf numFmtId="0" fontId="58" fillId="0" borderId="6" xfId="2" applyFont="1" applyBorder="1" applyProtection="1">
      <alignment vertical="center"/>
    </xf>
    <xf numFmtId="0" fontId="68" fillId="0" borderId="14" xfId="2" applyFont="1" applyBorder="1" applyProtection="1">
      <alignment vertical="center"/>
    </xf>
    <xf numFmtId="0" fontId="68" fillId="0" borderId="85" xfId="2" applyFont="1" applyBorder="1" applyProtection="1">
      <alignment vertical="center"/>
    </xf>
    <xf numFmtId="0" fontId="58" fillId="0" borderId="101" xfId="2" applyFont="1" applyBorder="1" applyProtection="1">
      <alignment vertical="center"/>
    </xf>
    <xf numFmtId="0" fontId="57" fillId="0" borderId="182" xfId="2" applyFont="1" applyBorder="1" applyProtection="1">
      <alignment vertical="center"/>
    </xf>
    <xf numFmtId="0" fontId="57" fillId="0" borderId="182" xfId="2" applyFont="1" applyBorder="1" applyAlignment="1" applyProtection="1">
      <alignment horizontal="center" vertical="center" wrapText="1"/>
    </xf>
    <xf numFmtId="0" fontId="57" fillId="0" borderId="182" xfId="2" applyFont="1" applyBorder="1" applyAlignment="1" applyProtection="1">
      <alignment horizontal="distributed" vertical="center"/>
    </xf>
    <xf numFmtId="0" fontId="57" fillId="0" borderId="171" xfId="2" applyFont="1" applyBorder="1" applyProtection="1">
      <alignment vertical="center"/>
    </xf>
    <xf numFmtId="0" fontId="57" fillId="0" borderId="171" xfId="2" applyFont="1" applyBorder="1" applyAlignment="1" applyProtection="1">
      <alignment horizontal="center" vertical="center" wrapText="1"/>
    </xf>
    <xf numFmtId="0" fontId="57" fillId="0" borderId="171" xfId="2" applyFont="1" applyBorder="1" applyAlignment="1" applyProtection="1">
      <alignment horizontal="distributed" vertical="center"/>
    </xf>
    <xf numFmtId="0" fontId="57" fillId="0" borderId="172" xfId="2" applyFont="1" applyBorder="1" applyProtection="1">
      <alignment vertical="center"/>
    </xf>
    <xf numFmtId="0" fontId="57" fillId="0" borderId="172" xfId="2" applyFont="1" applyBorder="1" applyAlignment="1" applyProtection="1">
      <alignment horizontal="center" vertical="center" wrapText="1"/>
    </xf>
    <xf numFmtId="0" fontId="57" fillId="0" borderId="171" xfId="2" applyFont="1" applyBorder="1" applyAlignment="1" applyProtection="1">
      <alignment vertical="center" wrapText="1"/>
    </xf>
    <xf numFmtId="0" fontId="57" fillId="0" borderId="39" xfId="2" applyFont="1" applyBorder="1" applyProtection="1">
      <alignment vertical="center"/>
    </xf>
    <xf numFmtId="0" fontId="57" fillId="0" borderId="33" xfId="2" applyFont="1" applyBorder="1" applyAlignment="1" applyProtection="1">
      <alignment horizontal="center" vertical="center" wrapText="1"/>
    </xf>
    <xf numFmtId="0" fontId="57" fillId="0" borderId="175" xfId="2" applyFont="1" applyBorder="1" applyAlignment="1" applyProtection="1">
      <alignment horizontal="center" vertical="center" wrapText="1"/>
    </xf>
    <xf numFmtId="0" fontId="57" fillId="0" borderId="175" xfId="2" applyFont="1" applyBorder="1" applyAlignment="1" applyProtection="1">
      <alignment horizontal="distributed" vertical="center"/>
    </xf>
    <xf numFmtId="0" fontId="57" fillId="0" borderId="40" xfId="2" applyFont="1" applyBorder="1" applyProtection="1">
      <alignment vertical="center"/>
    </xf>
    <xf numFmtId="0" fontId="57" fillId="0" borderId="172" xfId="2" applyFont="1" applyBorder="1" applyAlignment="1" applyProtection="1">
      <alignment horizontal="distributed" vertical="center"/>
    </xf>
    <xf numFmtId="0" fontId="57" fillId="0" borderId="176" xfId="2" applyFont="1" applyBorder="1" applyProtection="1">
      <alignment vertical="center"/>
    </xf>
    <xf numFmtId="0" fontId="57" fillId="0" borderId="83" xfId="2" applyFont="1" applyBorder="1" applyProtection="1">
      <alignment vertical="center"/>
    </xf>
    <xf numFmtId="0" fontId="57" fillId="0" borderId="139" xfId="2" applyFont="1" applyBorder="1" applyProtection="1">
      <alignment vertical="center"/>
    </xf>
    <xf numFmtId="0" fontId="57" fillId="0" borderId="139" xfId="2" applyFont="1" applyBorder="1" applyAlignment="1" applyProtection="1">
      <alignment horizontal="center" vertical="center" wrapText="1"/>
    </xf>
    <xf numFmtId="0" fontId="57" fillId="0" borderId="139" xfId="2" applyFont="1" applyBorder="1" applyAlignment="1" applyProtection="1">
      <alignment horizontal="distributed" vertical="center"/>
    </xf>
    <xf numFmtId="0" fontId="57" fillId="0" borderId="166" xfId="2" applyFont="1" applyBorder="1" applyProtection="1">
      <alignment vertical="center"/>
    </xf>
    <xf numFmtId="0" fontId="57" fillId="0" borderId="165" xfId="2" applyFont="1" applyBorder="1" applyAlignment="1" applyProtection="1">
      <alignment horizontal="center" vertical="center" wrapText="1"/>
    </xf>
    <xf numFmtId="0" fontId="57" fillId="0" borderId="165" xfId="2" applyFont="1" applyBorder="1" applyAlignment="1" applyProtection="1">
      <alignment horizontal="distributed" vertical="center"/>
    </xf>
    <xf numFmtId="0" fontId="57" fillId="0" borderId="164" xfId="2" applyFont="1" applyBorder="1" applyAlignment="1" applyProtection="1">
      <alignment horizontal="center" vertical="center" wrapText="1"/>
    </xf>
    <xf numFmtId="0" fontId="57" fillId="0" borderId="174" xfId="2" applyFont="1" applyBorder="1" applyAlignment="1" applyProtection="1">
      <alignment horizontal="center" vertical="center" wrapText="1"/>
    </xf>
    <xf numFmtId="0" fontId="57" fillId="0" borderId="170" xfId="2" applyFont="1" applyBorder="1" applyAlignment="1" applyProtection="1">
      <alignment horizontal="center" vertical="center" wrapText="1"/>
    </xf>
    <xf numFmtId="0" fontId="57" fillId="0" borderId="173" xfId="2" applyFont="1" applyBorder="1" applyAlignment="1" applyProtection="1">
      <alignment horizontal="center" vertical="center" wrapText="1"/>
    </xf>
    <xf numFmtId="0" fontId="57" fillId="0" borderId="179" xfId="2" applyFont="1" applyBorder="1" applyProtection="1">
      <alignment vertical="center"/>
    </xf>
    <xf numFmtId="0" fontId="57" fillId="0" borderId="178" xfId="2" applyFont="1" applyBorder="1" applyProtection="1">
      <alignment vertical="center"/>
    </xf>
    <xf numFmtId="0" fontId="57" fillId="0" borderId="178" xfId="2" applyFont="1" applyBorder="1" applyAlignment="1" applyProtection="1">
      <alignment horizontal="center" vertical="center" wrapText="1"/>
    </xf>
    <xf numFmtId="0" fontId="57" fillId="0" borderId="178" xfId="2" applyFont="1" applyBorder="1" applyAlignment="1" applyProtection="1">
      <alignment horizontal="distributed" vertical="center"/>
    </xf>
    <xf numFmtId="0" fontId="57" fillId="0" borderId="177" xfId="2" applyFont="1" applyBorder="1" applyAlignment="1" applyProtection="1">
      <alignment horizontal="center" vertical="center" wrapText="1"/>
    </xf>
    <xf numFmtId="0" fontId="57" fillId="0" borderId="170" xfId="2" applyFont="1" applyBorder="1" applyAlignment="1" applyProtection="1">
      <alignment vertical="center" wrapText="1"/>
    </xf>
    <xf numFmtId="0" fontId="57" fillId="0" borderId="13" xfId="2" applyFont="1" applyBorder="1" applyProtection="1">
      <alignment vertical="center"/>
    </xf>
    <xf numFmtId="0" fontId="57" fillId="0" borderId="110" xfId="2" applyFont="1" applyBorder="1" applyAlignment="1" applyProtection="1">
      <alignment horizontal="center" vertical="center" wrapText="1"/>
    </xf>
    <xf numFmtId="0" fontId="57" fillId="0" borderId="181" xfId="2" applyFont="1" applyBorder="1" applyAlignment="1" applyProtection="1">
      <alignment horizontal="center" vertical="center" wrapText="1"/>
    </xf>
    <xf numFmtId="0" fontId="57" fillId="0" borderId="50" xfId="2" applyFont="1" applyBorder="1" applyAlignment="1" applyProtection="1">
      <alignment horizontal="center" vertical="center" wrapText="1"/>
    </xf>
    <xf numFmtId="0" fontId="57" fillId="0" borderId="34" xfId="2" applyFont="1" applyBorder="1" applyAlignment="1" applyProtection="1">
      <alignment horizontal="center" vertical="center" wrapText="1"/>
    </xf>
    <xf numFmtId="0" fontId="57" fillId="0" borderId="32" xfId="2" applyFont="1" applyBorder="1" applyAlignment="1" applyProtection="1">
      <alignment horizontal="center" vertical="center" wrapText="1"/>
    </xf>
    <xf numFmtId="0" fontId="58" fillId="0" borderId="110" xfId="2" applyFont="1" applyBorder="1" applyAlignment="1" applyProtection="1">
      <alignment horizontal="center" vertical="center"/>
    </xf>
    <xf numFmtId="0" fontId="58" fillId="0" borderId="149" xfId="2" applyFont="1" applyBorder="1" applyAlignment="1" applyProtection="1">
      <alignment horizontal="center" vertical="center"/>
    </xf>
    <xf numFmtId="0" fontId="57" fillId="0" borderId="54" xfId="2" applyFont="1" applyBorder="1" applyProtection="1">
      <alignment vertical="center"/>
    </xf>
    <xf numFmtId="0" fontId="57" fillId="0" borderId="55" xfId="2" applyFont="1" applyBorder="1" applyProtection="1">
      <alignment vertical="center"/>
    </xf>
    <xf numFmtId="0" fontId="57" fillId="0" borderId="55" xfId="2" applyFont="1" applyBorder="1" applyAlignment="1" applyProtection="1">
      <alignment horizontal="center" vertical="center" wrapText="1"/>
    </xf>
    <xf numFmtId="0" fontId="57" fillId="0" borderId="55" xfId="2" applyFont="1" applyBorder="1" applyAlignment="1" applyProtection="1">
      <alignment horizontal="distributed" vertical="center"/>
    </xf>
    <xf numFmtId="0" fontId="57" fillId="0" borderId="162" xfId="2" applyFont="1" applyBorder="1" applyProtection="1">
      <alignment vertical="center"/>
    </xf>
    <xf numFmtId="0" fontId="57" fillId="0" borderId="162" xfId="2" applyFont="1" applyBorder="1" applyAlignment="1" applyProtection="1">
      <alignment horizontal="distributed" vertical="center"/>
    </xf>
    <xf numFmtId="0" fontId="57" fillId="0" borderId="162" xfId="2" applyFont="1" applyBorder="1" applyAlignment="1" applyProtection="1">
      <alignment horizontal="center" vertical="center" wrapText="1"/>
    </xf>
    <xf numFmtId="0" fontId="58" fillId="0" borderId="161" xfId="2" applyFont="1" applyBorder="1" applyProtection="1">
      <alignment vertical="center"/>
    </xf>
    <xf numFmtId="0" fontId="58" fillId="0" borderId="10" xfId="2" applyFont="1" applyBorder="1" applyProtection="1">
      <alignment vertical="center"/>
    </xf>
    <xf numFmtId="0" fontId="57" fillId="0" borderId="10" xfId="2" applyFont="1" applyBorder="1" applyAlignment="1" applyProtection="1">
      <alignment vertical="center" shrinkToFit="1"/>
    </xf>
    <xf numFmtId="0" fontId="57" fillId="0" borderId="5" xfId="2" applyFont="1" applyBorder="1" applyProtection="1">
      <alignment vertical="center"/>
    </xf>
    <xf numFmtId="0" fontId="57" fillId="0" borderId="7" xfId="2" applyFont="1" applyBorder="1" applyProtection="1">
      <alignment vertical="center"/>
    </xf>
    <xf numFmtId="0" fontId="57" fillId="0" borderId="6" xfId="2" applyFont="1" applyBorder="1" applyProtection="1">
      <alignment vertical="center"/>
    </xf>
    <xf numFmtId="0" fontId="58" fillId="0" borderId="9" xfId="2" applyFont="1" applyBorder="1" applyAlignment="1" applyProtection="1">
      <alignment horizontal="center" vertical="center"/>
    </xf>
    <xf numFmtId="0" fontId="58" fillId="0" borderId="6" xfId="2" applyFont="1" applyBorder="1" applyAlignment="1" applyProtection="1">
      <alignment horizontal="right" vertical="center"/>
    </xf>
    <xf numFmtId="0" fontId="58" fillId="0" borderId="4" xfId="2" applyFont="1" applyBorder="1" applyAlignment="1" applyProtection="1">
      <alignment horizontal="right" vertical="center"/>
    </xf>
    <xf numFmtId="0" fontId="58" fillId="0" borderId="8" xfId="2" applyFont="1" applyBorder="1" applyAlignment="1" applyProtection="1">
      <alignment horizontal="center" vertical="center"/>
    </xf>
    <xf numFmtId="0" fontId="58" fillId="0" borderId="12" xfId="2" applyFont="1" applyBorder="1" applyAlignment="1" applyProtection="1">
      <alignment horizontal="right" vertical="center"/>
    </xf>
    <xf numFmtId="0" fontId="58" fillId="0" borderId="0" xfId="2" applyFont="1" applyAlignment="1" applyProtection="1">
      <alignment horizontal="left" vertical="center" wrapText="1"/>
    </xf>
    <xf numFmtId="38" fontId="73" fillId="9" borderId="0" xfId="3" applyFont="1" applyFill="1" applyBorder="1" applyAlignment="1" applyProtection="1">
      <alignment horizontal="center" vertical="center"/>
    </xf>
    <xf numFmtId="0" fontId="58" fillId="9" borderId="0" xfId="2" applyFont="1" applyFill="1" applyAlignment="1" applyProtection="1">
      <alignment horizontal="right" vertical="center"/>
    </xf>
    <xf numFmtId="0" fontId="58" fillId="0" borderId="3" xfId="2" applyFont="1" applyBorder="1" applyAlignment="1" applyProtection="1">
      <alignment horizontal="center" vertical="center"/>
    </xf>
    <xf numFmtId="0" fontId="71" fillId="10" borderId="31" xfId="2" applyFont="1" applyFill="1" applyBorder="1" applyProtection="1">
      <alignment vertical="center"/>
    </xf>
    <xf numFmtId="0" fontId="58" fillId="0" borderId="13" xfId="2" applyFont="1" applyBorder="1" applyAlignment="1" applyProtection="1">
      <alignment horizontal="center" vertical="center"/>
    </xf>
    <xf numFmtId="0" fontId="64" fillId="0" borderId="0" xfId="2" applyFont="1" applyAlignment="1" applyProtection="1">
      <alignment horizontal="right" vertical="center"/>
    </xf>
    <xf numFmtId="195" fontId="64" fillId="0" borderId="8" xfId="2" applyNumberFormat="1" applyFont="1" applyBorder="1" applyProtection="1">
      <alignment vertical="center"/>
    </xf>
    <xf numFmtId="0" fontId="57" fillId="0" borderId="0" xfId="2" applyFont="1" applyAlignment="1" applyProtection="1">
      <alignment horizontal="center" vertical="top"/>
    </xf>
    <xf numFmtId="0" fontId="58" fillId="0" borderId="14" xfId="2" applyFont="1" applyBorder="1" applyAlignment="1" applyProtection="1">
      <alignment horizontal="center" vertical="center"/>
    </xf>
    <xf numFmtId="38" fontId="73" fillId="9" borderId="0" xfId="2" applyNumberFormat="1" applyFont="1" applyFill="1" applyAlignment="1" applyProtection="1">
      <alignment horizontal="right"/>
    </xf>
    <xf numFmtId="0" fontId="58" fillId="0" borderId="1" xfId="2" applyFont="1" applyBorder="1" applyProtection="1">
      <alignment vertical="center"/>
    </xf>
    <xf numFmtId="0" fontId="58" fillId="0" borderId="8" xfId="2" applyFont="1" applyBorder="1" applyProtection="1">
      <alignment vertical="center"/>
    </xf>
    <xf numFmtId="0" fontId="62" fillId="0" borderId="0" xfId="2" applyFont="1" applyAlignment="1" applyProtection="1">
      <alignment horizontal="left" vertical="top"/>
    </xf>
    <xf numFmtId="0" fontId="81" fillId="0" borderId="190" xfId="6" applyFont="1" applyBorder="1" applyAlignment="1" applyProtection="1">
      <alignment horizontal="center" vertical="center" shrinkToFit="1"/>
    </xf>
    <xf numFmtId="198" fontId="81" fillId="0" borderId="52" xfId="6" applyNumberFormat="1" applyFont="1" applyBorder="1" applyAlignment="1" applyProtection="1">
      <alignment horizontal="center" vertical="center" shrinkToFit="1"/>
    </xf>
    <xf numFmtId="0" fontId="81" fillId="0" borderId="201" xfId="6" applyFont="1" applyBorder="1" applyAlignment="1" applyProtection="1">
      <alignment horizontal="center" vertical="center" shrinkToFit="1"/>
    </xf>
    <xf numFmtId="0" fontId="81" fillId="0" borderId="195" xfId="6" applyFont="1" applyBorder="1" applyAlignment="1" applyProtection="1">
      <alignment horizontal="center" vertical="center" shrinkToFit="1"/>
    </xf>
    <xf numFmtId="198" fontId="81" fillId="0" borderId="193" xfId="6" applyNumberFormat="1" applyFont="1" applyBorder="1" applyAlignment="1" applyProtection="1">
      <alignment horizontal="center" vertical="center" shrinkToFit="1"/>
    </xf>
    <xf numFmtId="0" fontId="81" fillId="0" borderId="190" xfId="6" applyFont="1" applyBorder="1" applyAlignment="1" applyProtection="1">
      <alignment vertical="center" shrinkToFit="1"/>
    </xf>
    <xf numFmtId="0" fontId="81" fillId="0" borderId="198" xfId="6" applyFont="1" applyBorder="1" applyAlignment="1" applyProtection="1">
      <alignment vertical="center" shrinkToFit="1"/>
    </xf>
    <xf numFmtId="0" fontId="81" fillId="0" borderId="192" xfId="6" applyFont="1" applyBorder="1" applyAlignment="1" applyProtection="1">
      <alignment horizontal="center" vertical="center" shrinkToFit="1"/>
    </xf>
    <xf numFmtId="198" fontId="81" fillId="0" borderId="197" xfId="6" applyNumberFormat="1" applyFont="1" applyBorder="1" applyAlignment="1" applyProtection="1">
      <alignment horizontal="center" vertical="center" shrinkToFit="1"/>
    </xf>
    <xf numFmtId="200" fontId="63" fillId="0" borderId="0" xfId="2" applyNumberFormat="1" applyFont="1" applyAlignment="1" applyProtection="1">
      <alignment horizontal="center" vertical="center"/>
    </xf>
    <xf numFmtId="0" fontId="57" fillId="0" borderId="110" xfId="2" applyFont="1" applyBorder="1" applyProtection="1">
      <alignment vertical="center"/>
    </xf>
    <xf numFmtId="0" fontId="67" fillId="0" borderId="0" xfId="2" applyFont="1" applyProtection="1">
      <alignment vertical="center"/>
    </xf>
    <xf numFmtId="0" fontId="57" fillId="9" borderId="0" xfId="2" applyFont="1" applyFill="1" applyProtection="1">
      <alignment vertical="center"/>
    </xf>
    <xf numFmtId="0" fontId="62" fillId="9" borderId="0" xfId="2" applyFont="1" applyFill="1" applyProtection="1">
      <alignment vertical="center"/>
    </xf>
    <xf numFmtId="0" fontId="57" fillId="9" borderId="0" xfId="2" applyFont="1" applyFill="1" applyAlignment="1" applyProtection="1">
      <alignment horizontal="distributed" vertical="center"/>
    </xf>
    <xf numFmtId="0" fontId="62" fillId="0" borderId="0" xfId="2" applyFont="1" applyAlignment="1" applyProtection="1">
      <alignment horizontal="left" vertical="top" shrinkToFit="1"/>
    </xf>
    <xf numFmtId="0" fontId="7" fillId="0" borderId="0" xfId="2" applyAlignment="1" applyProtection="1">
      <alignment horizontal="left" vertical="top" wrapText="1"/>
    </xf>
    <xf numFmtId="0" fontId="98" fillId="9" borderId="0" xfId="2" applyFont="1" applyFill="1" applyProtection="1">
      <alignment vertical="center"/>
    </xf>
    <xf numFmtId="0" fontId="104" fillId="9" borderId="0" xfId="2" applyFont="1" applyFill="1" applyProtection="1">
      <alignment vertical="center"/>
    </xf>
    <xf numFmtId="0" fontId="100" fillId="9" borderId="0" xfId="2" applyFont="1" applyFill="1" applyProtection="1">
      <alignment vertical="center"/>
    </xf>
    <xf numFmtId="0" fontId="103" fillId="9" borderId="0" xfId="2" applyFont="1" applyFill="1" applyProtection="1">
      <alignment vertical="center"/>
    </xf>
    <xf numFmtId="0" fontId="102" fillId="9" borderId="0" xfId="2" applyFont="1" applyFill="1" applyProtection="1">
      <alignment vertical="center"/>
    </xf>
    <xf numFmtId="0" fontId="102" fillId="9" borderId="0" xfId="2" applyFont="1" applyFill="1" applyAlignment="1" applyProtection="1">
      <alignment vertical="center" shrinkToFit="1"/>
    </xf>
    <xf numFmtId="0" fontId="101" fillId="9" borderId="0" xfId="2" applyFont="1" applyFill="1" applyAlignment="1" applyProtection="1">
      <alignment vertical="center" shrinkToFit="1"/>
    </xf>
    <xf numFmtId="58" fontId="57" fillId="0" borderId="0" xfId="2" applyNumberFormat="1" applyFont="1" applyProtection="1">
      <alignment vertical="center"/>
    </xf>
    <xf numFmtId="0" fontId="99" fillId="9" borderId="0" xfId="2" applyFont="1" applyFill="1" applyProtection="1">
      <alignment vertical="center"/>
    </xf>
    <xf numFmtId="0" fontId="58" fillId="9" borderId="0" xfId="2" applyFont="1" applyFill="1" applyProtection="1">
      <alignment vertical="center"/>
    </xf>
    <xf numFmtId="0" fontId="7" fillId="9" borderId="0" xfId="2" applyFill="1" applyProtection="1">
      <alignment vertical="center"/>
    </xf>
    <xf numFmtId="0" fontId="58" fillId="0" borderId="12" xfId="2" applyFont="1" applyBorder="1" applyAlignment="1">
      <alignment horizontal="right" vertical="center"/>
    </xf>
    <xf numFmtId="0" fontId="58" fillId="0" borderId="6" xfId="2" applyFont="1" applyBorder="1" applyAlignment="1">
      <alignment horizontal="right" vertical="center"/>
    </xf>
    <xf numFmtId="0" fontId="81" fillId="0" borderId="14" xfId="6" applyFont="1" applyBorder="1" applyAlignment="1" applyProtection="1">
      <alignment horizontal="center" vertical="center" shrinkToFit="1"/>
      <protection locked="0"/>
    </xf>
    <xf numFmtId="38" fontId="81" fillId="0" borderId="8" xfId="1" applyFont="1" applyBorder="1" applyAlignment="1" applyProtection="1">
      <alignment vertical="center" shrinkToFit="1"/>
      <protection locked="0"/>
    </xf>
    <xf numFmtId="0" fontId="105" fillId="0" borderId="0" xfId="0" applyFont="1" applyAlignment="1">
      <alignment vertical="top" textRotation="255" wrapText="1"/>
    </xf>
    <xf numFmtId="0" fontId="105" fillId="0" borderId="0" xfId="0" applyFont="1" applyAlignment="1">
      <alignment vertical="center" shrinkToFit="1"/>
    </xf>
    <xf numFmtId="0" fontId="89" fillId="0" borderId="0" xfId="4" applyFont="1"/>
    <xf numFmtId="0" fontId="106" fillId="0" borderId="0" xfId="4" applyFont="1"/>
    <xf numFmtId="0" fontId="93" fillId="0" borderId="8" xfId="4" applyFont="1" applyBorder="1" applyAlignment="1">
      <alignment horizontal="center"/>
    </xf>
    <xf numFmtId="0" fontId="93" fillId="0" borderId="8" xfId="4" applyFont="1" applyBorder="1"/>
    <xf numFmtId="0" fontId="93" fillId="0" borderId="8" xfId="4" applyFont="1" applyBorder="1" applyAlignment="1">
      <alignment shrinkToFit="1"/>
    </xf>
    <xf numFmtId="194" fontId="81" fillId="0" borderId="151" xfId="4" applyNumberFormat="1" applyFont="1" applyBorder="1" applyAlignment="1" applyProtection="1">
      <alignment vertical="center"/>
      <protection locked="0"/>
    </xf>
    <xf numFmtId="38" fontId="81" fillId="0" borderId="151" xfId="6" applyNumberFormat="1" applyFont="1" applyBorder="1" applyAlignment="1" applyProtection="1">
      <alignment vertical="center" shrinkToFit="1"/>
      <protection locked="0"/>
    </xf>
    <xf numFmtId="38" fontId="81" fillId="0" borderId="143" xfId="6" applyNumberFormat="1" applyFont="1" applyBorder="1" applyAlignment="1" applyProtection="1">
      <alignment vertical="center" shrinkToFit="1"/>
      <protection locked="0"/>
    </xf>
    <xf numFmtId="0" fontId="57" fillId="0" borderId="149" xfId="2" applyFont="1" applyFill="1" applyBorder="1" applyAlignment="1" applyProtection="1">
      <alignment vertical="center" wrapText="1"/>
    </xf>
    <xf numFmtId="0" fontId="57" fillId="0" borderId="159" xfId="2" applyFont="1" applyFill="1" applyBorder="1" applyAlignment="1" applyProtection="1">
      <alignment vertical="center" wrapText="1"/>
    </xf>
    <xf numFmtId="0" fontId="57" fillId="0" borderId="159" xfId="2" applyFont="1" applyBorder="1" applyAlignment="1" applyProtection="1">
      <alignment horizontal="right" vertical="center"/>
    </xf>
    <xf numFmtId="0" fontId="58" fillId="0" borderId="155" xfId="2" applyFont="1" applyBorder="1">
      <alignment vertical="center"/>
    </xf>
    <xf numFmtId="0" fontId="58" fillId="0" borderId="160" xfId="2" applyFont="1" applyBorder="1">
      <alignment vertical="center"/>
    </xf>
    <xf numFmtId="0" fontId="58" fillId="0" borderId="110" xfId="2" applyFont="1" applyBorder="1">
      <alignment vertical="center"/>
    </xf>
    <xf numFmtId="0" fontId="58" fillId="0" borderId="0" xfId="2" applyFont="1" applyBorder="1">
      <alignment vertical="center"/>
    </xf>
    <xf numFmtId="38" fontId="58" fillId="0" borderId="155" xfId="3" applyFont="1" applyFill="1" applyBorder="1" applyAlignment="1" applyProtection="1">
      <alignment vertical="center"/>
      <protection locked="0"/>
    </xf>
    <xf numFmtId="38" fontId="58" fillId="0" borderId="160" xfId="3" applyFont="1" applyFill="1" applyBorder="1" applyAlignment="1" applyProtection="1">
      <alignment vertical="center"/>
      <protection locked="0"/>
    </xf>
    <xf numFmtId="0" fontId="21" fillId="0" borderId="66" xfId="0" applyFont="1" applyBorder="1" applyAlignment="1" applyProtection="1">
      <alignment horizontal="left" vertical="center"/>
    </xf>
    <xf numFmtId="0" fontId="21" fillId="0" borderId="4" xfId="0" applyFont="1" applyBorder="1" applyAlignment="1" applyProtection="1">
      <alignment horizontal="left" vertical="center"/>
    </xf>
    <xf numFmtId="0" fontId="21" fillId="0" borderId="75" xfId="0" applyFont="1" applyBorder="1" applyAlignment="1" applyProtection="1">
      <alignment horizontal="left" vertical="center"/>
    </xf>
    <xf numFmtId="0" fontId="21" fillId="0" borderId="76"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62" xfId="0" applyFont="1" applyBorder="1" applyAlignment="1" applyProtection="1">
      <alignment horizontal="left" vertical="center"/>
    </xf>
    <xf numFmtId="0" fontId="21" fillId="0" borderId="10" xfId="0" applyFont="1" applyBorder="1" applyAlignment="1" applyProtection="1">
      <alignment horizontal="left" vertical="center"/>
    </xf>
    <xf numFmtId="0" fontId="21" fillId="0" borderId="12" xfId="0" applyFont="1" applyBorder="1" applyAlignment="1" applyProtection="1">
      <alignment horizontal="left" vertical="center"/>
    </xf>
    <xf numFmtId="0" fontId="20" fillId="0" borderId="0" xfId="0" applyFont="1" applyAlignment="1" applyProtection="1">
      <alignment horizontal="center" vertical="center"/>
    </xf>
    <xf numFmtId="0" fontId="22" fillId="0" borderId="54" xfId="0" applyFont="1" applyBorder="1" applyAlignment="1" applyProtection="1">
      <alignment horizontal="center" vertical="center"/>
    </xf>
    <xf numFmtId="0" fontId="22" fillId="0" borderId="55" xfId="0" applyFont="1" applyBorder="1" applyAlignment="1" applyProtection="1">
      <alignment horizontal="center" vertical="center"/>
    </xf>
    <xf numFmtId="0" fontId="22" fillId="0" borderId="56" xfId="0" applyFont="1" applyBorder="1" applyAlignment="1" applyProtection="1">
      <alignment horizontal="center" vertical="center"/>
    </xf>
    <xf numFmtId="0" fontId="22" fillId="0" borderId="54" xfId="0" applyFont="1" applyFill="1" applyBorder="1" applyAlignment="1" applyProtection="1">
      <alignment horizontal="center" vertical="center" shrinkToFit="1"/>
    </xf>
    <xf numFmtId="0" fontId="22" fillId="0" borderId="55" xfId="0" applyFont="1" applyFill="1" applyBorder="1" applyAlignment="1" applyProtection="1">
      <alignment horizontal="center" vertical="center" shrinkToFit="1"/>
    </xf>
    <xf numFmtId="0" fontId="22" fillId="0" borderId="56" xfId="0" applyFont="1" applyFill="1" applyBorder="1" applyAlignment="1" applyProtection="1">
      <alignment horizontal="center" vertical="center" shrinkToFit="1"/>
    </xf>
    <xf numFmtId="0" fontId="17" fillId="0" borderId="57" xfId="0" applyFont="1" applyBorder="1" applyAlignment="1" applyProtection="1">
      <alignment horizontal="center" vertical="center"/>
    </xf>
    <xf numFmtId="0" fontId="17" fillId="0" borderId="58" xfId="0" applyFont="1" applyBorder="1" applyAlignment="1" applyProtection="1">
      <alignment horizontal="center" vertical="center"/>
    </xf>
    <xf numFmtId="0" fontId="17" fillId="0" borderId="62" xfId="0" applyFont="1" applyBorder="1" applyAlignment="1" applyProtection="1">
      <alignment horizontal="center" vertical="center"/>
    </xf>
    <xf numFmtId="0" fontId="17" fillId="0" borderId="10" xfId="0" applyFont="1" applyBorder="1" applyAlignment="1" applyProtection="1">
      <alignment horizontal="center" vertical="center"/>
    </xf>
    <xf numFmtId="0" fontId="21" fillId="0" borderId="61" xfId="0" applyFont="1" applyBorder="1" applyAlignment="1" applyProtection="1">
      <alignment horizontal="center" vertical="center" wrapText="1"/>
    </xf>
    <xf numFmtId="0" fontId="21" fillId="0" borderId="65" xfId="0" applyFont="1" applyBorder="1" applyAlignment="1" applyProtection="1">
      <alignment horizontal="center" vertical="center" wrapText="1"/>
    </xf>
    <xf numFmtId="0" fontId="21" fillId="0" borderId="63"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64" xfId="0" applyFont="1" applyBorder="1" applyAlignment="1" applyProtection="1">
      <alignment horizontal="center" vertical="center"/>
    </xf>
    <xf numFmtId="0" fontId="21" fillId="0" borderId="72" xfId="0" applyFont="1" applyBorder="1" applyAlignment="1" applyProtection="1">
      <alignment horizontal="left" vertical="center"/>
    </xf>
    <xf numFmtId="0" fontId="21" fillId="0" borderId="0" xfId="0" applyFont="1" applyAlignment="1" applyProtection="1">
      <alignment horizontal="left" vertical="center"/>
    </xf>
    <xf numFmtId="0" fontId="21" fillId="0" borderId="73" xfId="0" applyFont="1" applyBorder="1" applyAlignment="1" applyProtection="1">
      <alignment horizontal="left" vertical="center"/>
    </xf>
    <xf numFmtId="0" fontId="21" fillId="0" borderId="74" xfId="0" applyFont="1" applyBorder="1" applyAlignment="1" applyProtection="1">
      <alignment horizontal="left" vertical="center"/>
    </xf>
    <xf numFmtId="0" fontId="21" fillId="0" borderId="3" xfId="0" applyFont="1" applyBorder="1" applyAlignment="1" applyProtection="1">
      <alignment horizontal="left" vertical="center" wrapText="1"/>
    </xf>
    <xf numFmtId="0" fontId="21" fillId="0" borderId="11" xfId="0" applyFont="1" applyBorder="1" applyAlignment="1" applyProtection="1">
      <alignment horizontal="left" vertical="center"/>
    </xf>
    <xf numFmtId="0" fontId="21" fillId="0" borderId="81" xfId="0" applyFont="1" applyBorder="1" applyAlignment="1" applyProtection="1">
      <alignment horizontal="left" vertical="center"/>
    </xf>
    <xf numFmtId="0" fontId="21" fillId="0" borderId="82" xfId="0" applyFont="1" applyBorder="1" applyAlignment="1" applyProtection="1">
      <alignment horizontal="left" vertical="center"/>
    </xf>
    <xf numFmtId="0" fontId="17" fillId="0" borderId="57"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61" xfId="0" applyFont="1" applyBorder="1" applyAlignment="1" applyProtection="1">
      <alignment horizontal="center" vertical="center" wrapText="1"/>
    </xf>
    <xf numFmtId="0" fontId="17" fillId="0" borderId="62"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65" xfId="0" applyFont="1" applyBorder="1" applyAlignment="1" applyProtection="1">
      <alignment horizontal="center" vertical="center" wrapText="1"/>
    </xf>
    <xf numFmtId="0" fontId="21" fillId="0" borderId="91" xfId="0" applyFont="1" applyBorder="1" applyAlignment="1" applyProtection="1">
      <alignment horizontal="center" vertical="center" wrapText="1"/>
    </xf>
    <xf numFmtId="0" fontId="21" fillId="0" borderId="93" xfId="0" applyFont="1" applyBorder="1" applyAlignment="1" applyProtection="1">
      <alignment horizontal="center" vertical="center" wrapText="1"/>
    </xf>
    <xf numFmtId="0" fontId="21" fillId="0" borderId="63" xfId="0" applyFont="1" applyBorder="1" applyAlignment="1" applyProtection="1">
      <alignment horizontal="left" vertical="center"/>
    </xf>
    <xf numFmtId="0" fontId="21" fillId="0" borderId="6"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9" borderId="63" xfId="0" applyFont="1" applyFill="1" applyBorder="1" applyAlignment="1" applyProtection="1">
      <alignment horizontal="center" vertical="center"/>
    </xf>
    <xf numFmtId="0" fontId="21" fillId="9" borderId="7" xfId="0" applyFont="1" applyFill="1" applyBorder="1" applyAlignment="1" applyProtection="1">
      <alignment horizontal="center" vertical="center"/>
    </xf>
    <xf numFmtId="0" fontId="21" fillId="9" borderId="64" xfId="0" applyFont="1" applyFill="1" applyBorder="1" applyAlignment="1" applyProtection="1">
      <alignment horizontal="center" vertical="center"/>
    </xf>
    <xf numFmtId="185" fontId="21" fillId="0" borderId="63" xfId="0" applyNumberFormat="1" applyFont="1" applyBorder="1" applyAlignment="1" applyProtection="1">
      <alignment horizontal="center" vertical="center"/>
    </xf>
    <xf numFmtId="185" fontId="21" fillId="0" borderId="7" xfId="0" applyNumberFormat="1" applyFont="1" applyBorder="1" applyAlignment="1" applyProtection="1">
      <alignment horizontal="center" vertical="center"/>
    </xf>
    <xf numFmtId="185" fontId="21" fillId="0" borderId="64" xfId="0" applyNumberFormat="1" applyFont="1" applyBorder="1" applyAlignment="1" applyProtection="1">
      <alignment horizontal="center" vertical="center"/>
    </xf>
    <xf numFmtId="0" fontId="21" fillId="2" borderId="54" xfId="0" applyFont="1" applyFill="1" applyBorder="1" applyAlignment="1" applyProtection="1">
      <alignment horizontal="left" vertical="top"/>
      <protection locked="0"/>
    </xf>
    <xf numFmtId="0" fontId="21" fillId="2" borderId="55" xfId="0" applyFont="1" applyFill="1" applyBorder="1" applyAlignment="1" applyProtection="1">
      <alignment horizontal="left" vertical="top"/>
      <protection locked="0"/>
    </xf>
    <xf numFmtId="0" fontId="21" fillId="2" borderId="56" xfId="0" applyFont="1" applyFill="1" applyBorder="1" applyAlignment="1" applyProtection="1">
      <alignment horizontal="left" vertical="top"/>
      <protection locked="0"/>
    </xf>
    <xf numFmtId="0" fontId="21" fillId="0" borderId="95" xfId="0" applyFont="1" applyBorder="1" applyAlignment="1" applyProtection="1">
      <alignment horizontal="left" vertical="center"/>
    </xf>
    <xf numFmtId="0" fontId="21" fillId="0" borderId="96" xfId="0" applyFont="1" applyBorder="1" applyAlignment="1" applyProtection="1">
      <alignment horizontal="left" vertical="center"/>
    </xf>
    <xf numFmtId="0" fontId="21" fillId="0" borderId="100" xfId="0" applyFont="1" applyBorder="1" applyAlignment="1" applyProtection="1">
      <alignment horizontal="left" vertical="center"/>
    </xf>
    <xf numFmtId="0" fontId="21" fillId="0" borderId="101" xfId="0" applyFont="1" applyBorder="1" applyAlignment="1" applyProtection="1">
      <alignment horizontal="left" vertical="center"/>
    </xf>
    <xf numFmtId="0" fontId="33" fillId="0" borderId="113" xfId="0" applyFont="1" applyBorder="1" applyAlignment="1" applyProtection="1">
      <alignment horizontal="left" vertical="center"/>
    </xf>
    <xf numFmtId="0" fontId="33" fillId="0" borderId="23" xfId="0" applyFont="1" applyBorder="1" applyAlignment="1" applyProtection="1">
      <alignment horizontal="left" vertical="center"/>
    </xf>
    <xf numFmtId="0" fontId="31" fillId="0" borderId="0" xfId="0" applyFont="1" applyAlignment="1" applyProtection="1">
      <alignment horizontal="center" vertical="center"/>
    </xf>
    <xf numFmtId="0" fontId="31" fillId="0" borderId="110" xfId="0" applyFont="1" applyBorder="1" applyAlignment="1" applyProtection="1">
      <alignment horizontal="center" vertical="center"/>
    </xf>
    <xf numFmtId="0" fontId="31" fillId="0" borderId="54" xfId="0" applyFont="1" applyBorder="1" applyAlignment="1" applyProtection="1">
      <alignment horizontal="center" vertical="center"/>
    </xf>
    <xf numFmtId="0" fontId="31" fillId="0" borderId="55" xfId="0" applyFont="1" applyBorder="1" applyAlignment="1" applyProtection="1">
      <alignment horizontal="center" vertical="center"/>
    </xf>
    <xf numFmtId="0" fontId="31" fillId="0" borderId="56" xfId="0" applyFont="1" applyBorder="1" applyAlignment="1" applyProtection="1">
      <alignment horizontal="center" vertical="center"/>
    </xf>
    <xf numFmtId="0" fontId="31" fillId="0" borderId="5" xfId="0" applyFont="1" applyBorder="1" applyAlignment="1" applyProtection="1">
      <alignment horizontal="center" vertical="center"/>
    </xf>
    <xf numFmtId="0" fontId="31" fillId="0" borderId="7" xfId="0" applyFont="1" applyBorder="1" applyAlignment="1" applyProtection="1">
      <alignment horizontal="center" vertical="center"/>
    </xf>
    <xf numFmtId="0" fontId="31" fillId="0" borderId="5" xfId="0" applyFont="1" applyBorder="1" applyAlignment="1" applyProtection="1">
      <alignment horizontal="left" vertical="center"/>
    </xf>
    <xf numFmtId="0" fontId="31" fillId="0" borderId="7"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2" xfId="0" applyFont="1" applyBorder="1" applyAlignment="1" applyProtection="1">
      <alignment horizontal="left" vertical="center"/>
    </xf>
    <xf numFmtId="0" fontId="31" fillId="0" borderId="112" xfId="0" applyFont="1" applyBorder="1" applyAlignment="1" applyProtection="1">
      <alignment horizontal="left" vertical="center"/>
    </xf>
    <xf numFmtId="0" fontId="31" fillId="0" borderId="113" xfId="0" applyFont="1" applyBorder="1" applyAlignment="1" applyProtection="1">
      <alignment horizontal="left" vertical="center"/>
    </xf>
    <xf numFmtId="0" fontId="31" fillId="0" borderId="62" xfId="0" applyFont="1" applyBorder="1" applyAlignment="1" applyProtection="1">
      <alignment horizontal="center" vertical="center" wrapText="1"/>
    </xf>
    <xf numFmtId="0" fontId="31" fillId="0" borderId="65" xfId="0" applyFont="1" applyBorder="1" applyAlignment="1" applyProtection="1">
      <alignment horizontal="center" vertical="center" wrapText="1"/>
    </xf>
    <xf numFmtId="0" fontId="31" fillId="0" borderId="117" xfId="0" applyFont="1" applyBorder="1" applyAlignment="1" applyProtection="1">
      <alignment horizontal="left" vertical="center"/>
    </xf>
    <xf numFmtId="0" fontId="31" fillId="0" borderId="118" xfId="0" applyFont="1" applyBorder="1" applyAlignment="1" applyProtection="1">
      <alignment horizontal="left" vertical="center"/>
    </xf>
    <xf numFmtId="0" fontId="31" fillId="0" borderId="0" xfId="0" applyFont="1" applyAlignment="1" applyProtection="1">
      <alignment horizontal="left" vertical="top" wrapText="1"/>
    </xf>
    <xf numFmtId="189" fontId="31" fillId="0" borderId="54" xfId="0" applyNumberFormat="1" applyFont="1" applyBorder="1" applyAlignment="1" applyProtection="1">
      <alignment horizontal="center" vertical="center"/>
    </xf>
    <xf numFmtId="189" fontId="31" fillId="0" borderId="55" xfId="0" applyNumberFormat="1" applyFont="1" applyBorder="1" applyAlignment="1" applyProtection="1">
      <alignment horizontal="center" vertical="center"/>
    </xf>
    <xf numFmtId="189" fontId="31" fillId="0" borderId="56" xfId="0" applyNumberFormat="1" applyFont="1" applyBorder="1" applyAlignment="1" applyProtection="1">
      <alignment horizontal="center" vertical="center"/>
    </xf>
    <xf numFmtId="0" fontId="31" fillId="0" borderId="54" xfId="0" applyFont="1" applyBorder="1" applyAlignment="1" applyProtection="1">
      <alignment horizontal="center" vertical="center" wrapText="1"/>
    </xf>
    <xf numFmtId="0" fontId="31" fillId="0" borderId="55" xfId="0" applyFont="1" applyBorder="1" applyAlignment="1" applyProtection="1">
      <alignment horizontal="center" vertical="center" wrapText="1"/>
    </xf>
    <xf numFmtId="0" fontId="31" fillId="0" borderId="56" xfId="0" applyFont="1" applyBorder="1" applyAlignment="1" applyProtection="1">
      <alignment horizontal="center" vertical="center" wrapText="1"/>
    </xf>
    <xf numFmtId="189" fontId="31" fillId="0" borderId="62" xfId="0" applyNumberFormat="1" applyFont="1" applyBorder="1" applyAlignment="1" applyProtection="1">
      <alignment horizontal="center" vertical="center" wrapText="1"/>
    </xf>
    <xf numFmtId="189" fontId="31" fillId="0" borderId="65" xfId="0" applyNumberFormat="1" applyFont="1" applyBorder="1" applyAlignment="1" applyProtection="1">
      <alignment horizontal="center" vertical="center"/>
    </xf>
    <xf numFmtId="0" fontId="31" fillId="0" borderId="66" xfId="0" applyFont="1" applyBorder="1" applyAlignment="1" applyProtection="1">
      <alignment horizontal="center" vertical="center" wrapText="1"/>
    </xf>
    <xf numFmtId="0" fontId="31" fillId="0" borderId="121" xfId="0" applyFont="1" applyBorder="1" applyAlignment="1" applyProtection="1">
      <alignment horizontal="center" vertical="center" wrapText="1"/>
    </xf>
    <xf numFmtId="0" fontId="31" fillId="0" borderId="64" xfId="0" applyFont="1" applyBorder="1" applyAlignment="1" applyProtection="1">
      <alignment horizontal="left" vertical="center"/>
    </xf>
    <xf numFmtId="0" fontId="33" fillId="0" borderId="7" xfId="0" applyFont="1" applyBorder="1" applyAlignment="1" applyProtection="1">
      <alignment horizontal="left" vertical="center" wrapText="1"/>
    </xf>
    <xf numFmtId="0" fontId="57" fillId="0" borderId="146" xfId="2" applyFont="1" applyFill="1" applyBorder="1" applyAlignment="1" applyProtection="1">
      <alignment horizontal="center" vertical="center" wrapText="1"/>
    </xf>
    <xf numFmtId="0" fontId="57" fillId="0" borderId="144" xfId="2" applyFont="1" applyFill="1" applyBorder="1" applyAlignment="1" applyProtection="1">
      <alignment horizontal="center" vertical="center"/>
    </xf>
    <xf numFmtId="0" fontId="58" fillId="0" borderId="103" xfId="2" applyFont="1" applyBorder="1" applyAlignment="1" applyProtection="1">
      <alignment horizontal="distributed" vertical="center"/>
    </xf>
    <xf numFmtId="0" fontId="57" fillId="0" borderId="5" xfId="2" applyFont="1" applyFill="1" applyBorder="1" applyAlignment="1" applyProtection="1">
      <alignment horizontal="center" vertical="center" shrinkToFit="1"/>
    </xf>
    <xf numFmtId="0" fontId="57" fillId="0" borderId="94" xfId="2" applyFont="1" applyFill="1" applyBorder="1" applyAlignment="1" applyProtection="1">
      <alignment horizontal="center" vertical="center" shrinkToFit="1"/>
    </xf>
    <xf numFmtId="0" fontId="58" fillId="0" borderId="150" xfId="2" applyFont="1" applyBorder="1" applyAlignment="1" applyProtection="1">
      <alignment horizontal="distributed" vertical="center"/>
    </xf>
    <xf numFmtId="0" fontId="57" fillId="0" borderId="57" xfId="2" applyFont="1" applyBorder="1" applyAlignment="1" applyProtection="1">
      <alignment horizontal="center" vertical="center" wrapText="1"/>
    </xf>
    <xf numFmtId="0" fontId="57" fillId="0" borderId="91" xfId="2" applyFont="1" applyBorder="1" applyAlignment="1" applyProtection="1">
      <alignment horizontal="center" vertical="center" wrapText="1"/>
    </xf>
    <xf numFmtId="0" fontId="57" fillId="0" borderId="58" xfId="2" applyFont="1" applyBorder="1" applyAlignment="1" applyProtection="1">
      <alignment horizontal="center" vertical="center" wrapText="1"/>
    </xf>
    <xf numFmtId="0" fontId="57" fillId="0" borderId="61" xfId="2" applyFont="1" applyBorder="1" applyAlignment="1" applyProtection="1">
      <alignment horizontal="center" vertical="center" wrapText="1"/>
    </xf>
    <xf numFmtId="0" fontId="57" fillId="0" borderId="62" xfId="2" applyFont="1" applyBorder="1" applyAlignment="1" applyProtection="1">
      <alignment horizontal="center" vertical="center" wrapText="1"/>
    </xf>
    <xf numFmtId="0" fontId="57" fillId="0" borderId="10" xfId="2" applyFont="1" applyBorder="1" applyAlignment="1" applyProtection="1">
      <alignment horizontal="center" vertical="center" wrapText="1"/>
    </xf>
    <xf numFmtId="0" fontId="57" fillId="0" borderId="65" xfId="2" applyFont="1" applyBorder="1" applyAlignment="1" applyProtection="1">
      <alignment horizontal="center" vertical="center" wrapText="1"/>
    </xf>
    <xf numFmtId="0" fontId="65" fillId="0" borderId="0" xfId="2" applyFont="1" applyAlignment="1" applyProtection="1">
      <alignment horizontal="center" vertical="center"/>
    </xf>
    <xf numFmtId="0" fontId="57" fillId="0" borderId="10" xfId="2" applyFont="1" applyBorder="1" applyAlignment="1" applyProtection="1">
      <alignment horizontal="center" vertical="center" shrinkToFit="1"/>
    </xf>
    <xf numFmtId="0" fontId="58" fillId="0" borderId="59" xfId="2" applyFont="1" applyBorder="1" applyAlignment="1" applyProtection="1">
      <alignment horizontal="distributed" vertical="center"/>
    </xf>
    <xf numFmtId="0" fontId="57" fillId="0" borderId="90" xfId="2" applyFont="1" applyBorder="1" applyAlignment="1" applyProtection="1">
      <alignment horizontal="center" vertical="center" shrinkToFit="1"/>
    </xf>
    <xf numFmtId="0" fontId="57" fillId="0" borderId="60" xfId="2" applyFont="1" applyBorder="1" applyAlignment="1" applyProtection="1">
      <alignment horizontal="center" vertical="center" shrinkToFit="1"/>
    </xf>
    <xf numFmtId="0" fontId="57" fillId="0" borderId="144" xfId="2" applyFont="1" applyFill="1" applyBorder="1" applyAlignment="1" applyProtection="1">
      <alignment horizontal="center" vertical="center" shrinkToFit="1"/>
    </xf>
    <xf numFmtId="0" fontId="57" fillId="0" borderId="143" xfId="2" applyFont="1" applyFill="1" applyBorder="1" applyAlignment="1" applyProtection="1">
      <alignment horizontal="center" vertical="center" shrinkToFit="1"/>
    </xf>
    <xf numFmtId="0" fontId="57" fillId="0" borderId="0" xfId="2" applyFont="1" applyAlignment="1">
      <alignment horizontal="center" vertical="center"/>
    </xf>
    <xf numFmtId="0" fontId="7" fillId="0" borderId="0" xfId="2" applyAlignment="1">
      <alignment horizontal="center" vertical="center"/>
    </xf>
    <xf numFmtId="0" fontId="65" fillId="0" borderId="0" xfId="2" applyFont="1" applyAlignment="1">
      <alignment horizontal="center" vertical="center"/>
    </xf>
    <xf numFmtId="0" fontId="59" fillId="0" borderId="9" xfId="2" applyFont="1" applyBorder="1" applyAlignment="1">
      <alignment vertical="center" wrapText="1"/>
    </xf>
    <xf numFmtId="0" fontId="58" fillId="0" borderId="158" xfId="2" applyFont="1" applyBorder="1" applyAlignment="1">
      <alignment horizontal="center" vertical="top"/>
    </xf>
    <xf numFmtId="0" fontId="58" fillId="0" borderId="92" xfId="2" applyFont="1" applyBorder="1" applyAlignment="1">
      <alignment horizontal="center" vertical="top"/>
    </xf>
    <xf numFmtId="0" fontId="58" fillId="0" borderId="157" xfId="2" applyFont="1" applyBorder="1" applyAlignment="1">
      <alignment horizontal="center" vertical="top"/>
    </xf>
    <xf numFmtId="0" fontId="58" fillId="0" borderId="91" xfId="2" applyFont="1" applyBorder="1" applyAlignment="1">
      <alignment horizontal="center" vertical="top"/>
    </xf>
    <xf numFmtId="0" fontId="58" fillId="0" borderId="88" xfId="2" applyFont="1" applyBorder="1" applyAlignment="1">
      <alignment horizontal="center" vertical="top"/>
    </xf>
    <xf numFmtId="0" fontId="58" fillId="0" borderId="102" xfId="2" applyFont="1" applyBorder="1" applyAlignment="1">
      <alignment horizontal="center" vertical="top"/>
    </xf>
    <xf numFmtId="0" fontId="59" fillId="0" borderId="8" xfId="2" applyFont="1" applyBorder="1" applyAlignment="1">
      <alignment horizontal="left" vertical="center" wrapText="1"/>
    </xf>
    <xf numFmtId="0" fontId="59" fillId="0" borderId="94" xfId="2" applyFont="1" applyBorder="1" applyAlignment="1">
      <alignment horizontal="left" vertical="center" wrapText="1"/>
    </xf>
    <xf numFmtId="0" fontId="59" fillId="2" borderId="85" xfId="2" applyFont="1" applyFill="1" applyBorder="1" applyAlignment="1" applyProtection="1">
      <alignment horizontal="left" vertical="center" wrapText="1"/>
      <protection locked="0"/>
    </xf>
    <xf numFmtId="0" fontId="59" fillId="2" borderId="86" xfId="2" applyFont="1" applyFill="1" applyBorder="1" applyAlignment="1" applyProtection="1">
      <alignment horizontal="left" vertical="center" wrapText="1"/>
      <protection locked="0"/>
    </xf>
    <xf numFmtId="0" fontId="59" fillId="0" borderId="8" xfId="2" applyFont="1" applyBorder="1" applyAlignment="1">
      <alignment vertical="center" wrapText="1"/>
    </xf>
    <xf numFmtId="0" fontId="59" fillId="0" borderId="151" xfId="2" applyFont="1" applyBorder="1" applyAlignment="1">
      <alignment vertical="center" wrapText="1"/>
    </xf>
    <xf numFmtId="0" fontId="59" fillId="0" borderId="6" xfId="2" applyFont="1" applyBorder="1" applyAlignment="1">
      <alignment horizontal="center" vertical="center" wrapText="1"/>
    </xf>
    <xf numFmtId="0" fontId="59" fillId="0" borderId="145" xfId="2" applyFont="1" applyBorder="1" applyAlignment="1">
      <alignment horizontal="center" vertical="center" wrapText="1"/>
    </xf>
    <xf numFmtId="0" fontId="58" fillId="0" borderId="156" xfId="2" applyFont="1" applyBorder="1" applyAlignment="1">
      <alignment vertical="center" wrapText="1"/>
    </xf>
    <xf numFmtId="0" fontId="58" fillId="0" borderId="155" xfId="2" applyFont="1" applyBorder="1" applyAlignment="1">
      <alignment vertical="center" wrapText="1"/>
    </xf>
    <xf numFmtId="0" fontId="57" fillId="0" borderId="10" xfId="2" applyFont="1" applyBorder="1" applyAlignment="1">
      <alignment horizontal="center" vertical="center" shrinkToFit="1"/>
    </xf>
    <xf numFmtId="0" fontId="59" fillId="0" borderId="1" xfId="2" applyFont="1" applyBorder="1" applyAlignment="1">
      <alignment horizontal="center" vertical="center" wrapText="1"/>
    </xf>
    <xf numFmtId="0" fontId="59" fillId="0" borderId="85" xfId="2" applyFont="1" applyBorder="1" applyAlignment="1">
      <alignment horizontal="center" vertical="center" wrapText="1"/>
    </xf>
    <xf numFmtId="0" fontId="58" fillId="0" borderId="59" xfId="2" applyFont="1" applyBorder="1" applyAlignment="1">
      <alignment horizontal="distributed" vertical="center"/>
    </xf>
    <xf numFmtId="0" fontId="58" fillId="0" borderId="53" xfId="2" applyFont="1" applyBorder="1" applyAlignment="1">
      <alignment horizontal="distributed" vertical="center"/>
    </xf>
    <xf numFmtId="0" fontId="57" fillId="0" borderId="90" xfId="2" applyFont="1" applyBorder="1" applyAlignment="1">
      <alignment vertical="center" shrinkToFit="1"/>
    </xf>
    <xf numFmtId="0" fontId="57" fillId="0" borderId="155" xfId="2" applyFont="1" applyBorder="1" applyAlignment="1">
      <alignment vertical="center" shrinkToFit="1"/>
    </xf>
    <xf numFmtId="0" fontId="57" fillId="0" borderId="160" xfId="2" applyFont="1" applyBorder="1" applyAlignment="1">
      <alignment vertical="center" shrinkToFit="1"/>
    </xf>
    <xf numFmtId="0" fontId="57" fillId="0" borderId="7" xfId="2" applyFont="1" applyBorder="1" applyAlignment="1">
      <alignment horizontal="distributed" vertical="center"/>
    </xf>
    <xf numFmtId="0" fontId="57" fillId="2" borderId="7" xfId="2" applyFont="1" applyFill="1" applyBorder="1" applyAlignment="1" applyProtection="1">
      <alignment horizontal="center" vertical="center" shrinkToFit="1"/>
      <protection locked="0"/>
    </xf>
    <xf numFmtId="0" fontId="59" fillId="0" borderId="154" xfId="2" applyFont="1" applyBorder="1" applyAlignment="1">
      <alignment horizontal="left" vertical="center" wrapText="1"/>
    </xf>
    <xf numFmtId="0" fontId="59" fillId="0" borderId="153" xfId="2" applyFont="1" applyBorder="1" applyAlignment="1">
      <alignment horizontal="left" vertical="center" wrapText="1"/>
    </xf>
    <xf numFmtId="0" fontId="59" fillId="0" borderId="152" xfId="2" applyFont="1" applyBorder="1" applyAlignment="1">
      <alignment horizontal="left" vertical="center" wrapText="1"/>
    </xf>
    <xf numFmtId="58" fontId="57" fillId="0" borderId="0" xfId="2" applyNumberFormat="1" applyFont="1" applyAlignment="1">
      <alignment horizontal="center" vertical="center"/>
    </xf>
    <xf numFmtId="0" fontId="58" fillId="0" borderId="103" xfId="2" applyFont="1" applyBorder="1" applyAlignment="1">
      <alignment horizontal="distributed" vertical="center"/>
    </xf>
    <xf numFmtId="0" fontId="58" fillId="0" borderId="8" xfId="2" applyFont="1" applyBorder="1" applyAlignment="1">
      <alignment horizontal="distributed" vertical="center"/>
    </xf>
    <xf numFmtId="0" fontId="57" fillId="0" borderId="10" xfId="2" applyFont="1" applyBorder="1" applyAlignment="1">
      <alignment horizontal="distributed" vertical="center"/>
    </xf>
    <xf numFmtId="0" fontId="57" fillId="2" borderId="10" xfId="2" applyFont="1" applyFill="1" applyBorder="1" applyAlignment="1" applyProtection="1">
      <alignment horizontal="center" vertical="center" shrinkToFit="1"/>
      <protection locked="0"/>
    </xf>
    <xf numFmtId="0" fontId="57" fillId="0" borderId="144" xfId="2" applyFont="1" applyBorder="1" applyAlignment="1">
      <alignment horizontal="center" vertical="center"/>
    </xf>
    <xf numFmtId="0" fontId="57" fillId="0" borderId="159" xfId="2" applyFont="1" applyBorder="1" applyAlignment="1">
      <alignment horizontal="center" vertical="center"/>
    </xf>
    <xf numFmtId="0" fontId="57" fillId="0" borderId="149" xfId="2" applyFont="1" applyBorder="1" applyAlignment="1">
      <alignment horizontal="center" vertical="center"/>
    </xf>
    <xf numFmtId="0" fontId="57" fillId="0" borderId="5" xfId="2" applyFont="1" applyBorder="1" applyAlignment="1">
      <alignment vertical="center" shrinkToFit="1"/>
    </xf>
    <xf numFmtId="0" fontId="57" fillId="0" borderId="7" xfId="2" applyFont="1" applyBorder="1" applyAlignment="1">
      <alignment vertical="center" shrinkToFit="1"/>
    </xf>
    <xf numFmtId="0" fontId="57" fillId="0" borderId="64" xfId="2" applyFont="1" applyBorder="1" applyAlignment="1">
      <alignment vertical="center" shrinkToFit="1"/>
    </xf>
    <xf numFmtId="0" fontId="58" fillId="0" borderId="150" xfId="2" applyFont="1" applyBorder="1" applyAlignment="1">
      <alignment horizontal="distributed" vertical="center"/>
    </xf>
    <xf numFmtId="0" fontId="58" fillId="0" borderId="151" xfId="2" applyFont="1" applyBorder="1" applyAlignment="1">
      <alignment horizontal="distributed" vertical="center"/>
    </xf>
    <xf numFmtId="0" fontId="57" fillId="2" borderId="0" xfId="2" applyFont="1" applyFill="1" applyAlignment="1" applyProtection="1">
      <alignment horizontal="center" vertical="center" shrinkToFit="1"/>
      <protection locked="0"/>
    </xf>
    <xf numFmtId="0" fontId="58" fillId="2" borderId="11" xfId="2" applyFont="1" applyFill="1" applyBorder="1" applyAlignment="1" applyProtection="1">
      <alignment horizontal="left" vertical="center" wrapText="1"/>
      <protection locked="0"/>
    </xf>
    <xf numFmtId="0" fontId="58" fillId="2" borderId="10" xfId="2" applyFont="1" applyFill="1" applyBorder="1" applyAlignment="1" applyProtection="1">
      <alignment horizontal="left" vertical="center" wrapText="1"/>
      <protection locked="0"/>
    </xf>
    <xf numFmtId="0" fontId="58" fillId="2" borderId="65" xfId="2" applyFont="1" applyFill="1" applyBorder="1" applyAlignment="1" applyProtection="1">
      <alignment horizontal="left" vertical="center" wrapText="1"/>
      <protection locked="0"/>
    </xf>
    <xf numFmtId="0" fontId="57" fillId="0" borderId="72" xfId="2" applyFont="1" applyBorder="1" applyAlignment="1" applyProtection="1">
      <alignment horizontal="center" vertical="center" wrapText="1"/>
    </xf>
    <xf numFmtId="0" fontId="57" fillId="0" borderId="0" xfId="2" applyFont="1" applyAlignment="1" applyProtection="1">
      <alignment horizontal="center" vertical="center" wrapText="1"/>
    </xf>
    <xf numFmtId="0" fontId="57" fillId="0" borderId="110" xfId="2" applyFont="1" applyBorder="1" applyAlignment="1" applyProtection="1">
      <alignment horizontal="center" vertical="center" wrapText="1"/>
    </xf>
    <xf numFmtId="0" fontId="57" fillId="0" borderId="100" xfId="2" applyFont="1" applyBorder="1" applyAlignment="1" applyProtection="1">
      <alignment horizontal="center" vertical="center" wrapText="1"/>
    </xf>
    <xf numFmtId="0" fontId="57" fillId="0" borderId="139" xfId="2" applyFont="1" applyBorder="1" applyAlignment="1" applyProtection="1">
      <alignment horizontal="center" vertical="center" wrapText="1"/>
    </xf>
    <xf numFmtId="0" fontId="57" fillId="0" borderId="87" xfId="2" applyFont="1" applyBorder="1" applyAlignment="1" applyProtection="1">
      <alignment horizontal="center" vertical="center" wrapText="1"/>
    </xf>
    <xf numFmtId="0" fontId="57" fillId="0" borderId="178" xfId="2" applyFont="1" applyFill="1" applyBorder="1" applyAlignment="1" applyProtection="1">
      <alignment horizontal="center" vertical="center"/>
    </xf>
    <xf numFmtId="0" fontId="57" fillId="0" borderId="177" xfId="2" applyFont="1" applyFill="1" applyBorder="1" applyAlignment="1" applyProtection="1">
      <alignment horizontal="center" vertical="center"/>
    </xf>
    <xf numFmtId="0" fontId="57" fillId="0" borderId="171" xfId="2" applyFont="1" applyFill="1" applyBorder="1" applyAlignment="1" applyProtection="1">
      <alignment horizontal="center" vertical="center"/>
    </xf>
    <xf numFmtId="0" fontId="57" fillId="0" borderId="170" xfId="2" applyFont="1" applyFill="1" applyBorder="1" applyAlignment="1" applyProtection="1">
      <alignment horizontal="center" vertical="center"/>
    </xf>
    <xf numFmtId="0" fontId="57" fillId="0" borderId="57" xfId="2" applyFont="1" applyBorder="1" applyAlignment="1" applyProtection="1">
      <alignment horizontal="center" vertical="center" textRotation="255" shrinkToFit="1"/>
    </xf>
    <xf numFmtId="0" fontId="57" fillId="0" borderId="168" xfId="2" applyFont="1" applyBorder="1" applyAlignment="1" applyProtection="1">
      <alignment horizontal="center" vertical="center" textRotation="255" shrinkToFit="1"/>
    </xf>
    <xf numFmtId="0" fontId="57" fillId="0" borderId="72" xfId="2" applyFont="1" applyBorder="1" applyAlignment="1" applyProtection="1">
      <alignment horizontal="center" vertical="center" textRotation="255" shrinkToFit="1"/>
    </xf>
    <xf numFmtId="0" fontId="57" fillId="0" borderId="50" xfId="2" applyFont="1" applyBorder="1" applyAlignment="1" applyProtection="1">
      <alignment horizontal="center" vertical="center" textRotation="255" shrinkToFit="1"/>
    </xf>
    <xf numFmtId="0" fontId="57" fillId="0" borderId="62" xfId="2" applyFont="1" applyBorder="1" applyAlignment="1" applyProtection="1">
      <alignment horizontal="center" vertical="center" textRotation="255" shrinkToFit="1"/>
    </xf>
    <xf numFmtId="0" fontId="57" fillId="0" borderId="12" xfId="2" applyFont="1" applyBorder="1" applyAlignment="1" applyProtection="1">
      <alignment horizontal="center" vertical="center" textRotation="255" shrinkToFit="1"/>
    </xf>
    <xf numFmtId="0" fontId="57" fillId="0" borderId="57" xfId="2" applyFont="1" applyBorder="1" applyAlignment="1" applyProtection="1">
      <alignment vertical="center" wrapText="1"/>
    </xf>
    <xf numFmtId="0" fontId="7" fillId="0" borderId="58" xfId="2" applyBorder="1" applyAlignment="1" applyProtection="1">
      <alignment vertical="center" wrapText="1"/>
    </xf>
    <xf numFmtId="0" fontId="7" fillId="0" borderId="61" xfId="2" applyBorder="1" applyAlignment="1" applyProtection="1">
      <alignment vertical="center" wrapText="1"/>
    </xf>
    <xf numFmtId="0" fontId="7" fillId="0" borderId="100" xfId="2" applyBorder="1" applyAlignment="1" applyProtection="1">
      <alignment vertical="center" wrapText="1"/>
    </xf>
    <xf numFmtId="0" fontId="7" fillId="0" borderId="139" xfId="2" applyBorder="1" applyAlignment="1" applyProtection="1">
      <alignment vertical="center" wrapText="1"/>
    </xf>
    <xf numFmtId="0" fontId="7" fillId="0" borderId="87" xfId="2" applyBorder="1" applyAlignment="1" applyProtection="1">
      <alignment vertical="center" wrapText="1"/>
    </xf>
    <xf numFmtId="0" fontId="57" fillId="0" borderId="57" xfId="2" applyFont="1" applyBorder="1" applyProtection="1">
      <alignment vertical="center"/>
    </xf>
    <xf numFmtId="0" fontId="7" fillId="0" borderId="58" xfId="2" applyBorder="1" applyProtection="1">
      <alignment vertical="center"/>
    </xf>
    <xf numFmtId="0" fontId="7" fillId="0" borderId="168" xfId="2" applyBorder="1" applyProtection="1">
      <alignment vertical="center"/>
    </xf>
    <xf numFmtId="0" fontId="57" fillId="0" borderId="146" xfId="2" applyFont="1" applyBorder="1" applyProtection="1">
      <alignment vertical="center"/>
    </xf>
    <xf numFmtId="0" fontId="7" fillId="0" borderId="159" xfId="2" applyBorder="1" applyProtection="1">
      <alignment vertical="center"/>
    </xf>
    <xf numFmtId="0" fontId="7" fillId="0" borderId="145" xfId="2" applyBorder="1" applyProtection="1">
      <alignment vertical="center"/>
    </xf>
    <xf numFmtId="0" fontId="58" fillId="0" borderId="148" xfId="2" applyFont="1" applyBorder="1" applyAlignment="1" applyProtection="1">
      <alignment horizontal="center" vertical="center" wrapText="1"/>
    </xf>
    <xf numFmtId="0" fontId="7" fillId="0" borderId="58" xfId="2" applyBorder="1" applyAlignment="1" applyProtection="1">
      <alignment horizontal="center" vertical="center"/>
    </xf>
    <xf numFmtId="0" fontId="58" fillId="0" borderId="144" xfId="2" applyFont="1" applyBorder="1" applyAlignment="1" applyProtection="1">
      <alignment horizontal="center" vertical="center" wrapText="1"/>
    </xf>
    <xf numFmtId="0" fontId="7" fillId="0" borderId="159" xfId="2" applyBorder="1" applyAlignment="1" applyProtection="1">
      <alignment horizontal="center" vertical="center"/>
    </xf>
    <xf numFmtId="0" fontId="57" fillId="0" borderId="66" xfId="2" applyFont="1" applyBorder="1" applyAlignment="1" applyProtection="1">
      <alignment horizontal="center" vertical="center" textRotation="255" shrinkToFit="1"/>
    </xf>
    <xf numFmtId="0" fontId="57" fillId="0" borderId="4" xfId="2" applyFont="1" applyBorder="1" applyAlignment="1" applyProtection="1">
      <alignment horizontal="center" vertical="center" textRotation="255" shrinkToFit="1"/>
    </xf>
    <xf numFmtId="0" fontId="57" fillId="0" borderId="100" xfId="2" applyFont="1" applyBorder="1" applyAlignment="1" applyProtection="1">
      <alignment horizontal="center" vertical="center" textRotation="255" shrinkToFit="1"/>
    </xf>
    <xf numFmtId="0" fontId="57" fillId="0" borderId="101" xfId="2" applyFont="1" applyBorder="1" applyAlignment="1" applyProtection="1">
      <alignment horizontal="center" vertical="center" textRotation="255" shrinkToFit="1"/>
    </xf>
    <xf numFmtId="0" fontId="57" fillId="0" borderId="226" xfId="2" applyFont="1" applyFill="1" applyBorder="1" applyAlignment="1" applyProtection="1">
      <alignment horizontal="center" vertical="center"/>
    </xf>
    <xf numFmtId="0" fontId="57" fillId="0" borderId="211" xfId="2" applyFont="1" applyFill="1" applyBorder="1" applyAlignment="1" applyProtection="1">
      <alignment horizontal="center" vertical="center"/>
    </xf>
    <xf numFmtId="0" fontId="57" fillId="0" borderId="212" xfId="2" applyFont="1" applyFill="1" applyBorder="1" applyAlignment="1" applyProtection="1">
      <alignment horizontal="center" vertical="center"/>
    </xf>
    <xf numFmtId="0" fontId="57" fillId="0" borderId="213" xfId="2" applyFont="1" applyFill="1" applyBorder="1" applyAlignment="1" applyProtection="1">
      <alignment horizontal="center" vertical="center"/>
    </xf>
    <xf numFmtId="0" fontId="57" fillId="0" borderId="214" xfId="2" applyFont="1" applyFill="1" applyBorder="1" applyAlignment="1" applyProtection="1">
      <alignment horizontal="center" vertical="center"/>
    </xf>
    <xf numFmtId="0" fontId="57" fillId="0" borderId="215" xfId="2" applyFont="1" applyFill="1" applyBorder="1" applyAlignment="1" applyProtection="1">
      <alignment horizontal="center" vertical="center"/>
    </xf>
    <xf numFmtId="0" fontId="57" fillId="0" borderId="172" xfId="2" applyFont="1" applyFill="1" applyBorder="1" applyAlignment="1" applyProtection="1">
      <alignment horizontal="center" vertical="center"/>
    </xf>
    <xf numFmtId="0" fontId="57" fillId="0" borderId="173" xfId="2" applyFont="1" applyFill="1" applyBorder="1" applyAlignment="1" applyProtection="1">
      <alignment horizontal="center" vertical="center"/>
    </xf>
    <xf numFmtId="0" fontId="57" fillId="0" borderId="210" xfId="2" applyFont="1" applyFill="1" applyBorder="1" applyAlignment="1" applyProtection="1">
      <alignment horizontal="center" vertical="center"/>
    </xf>
    <xf numFmtId="0" fontId="57" fillId="0" borderId="57" xfId="2" applyFont="1" applyBorder="1" applyAlignment="1" applyProtection="1">
      <alignment horizontal="center" vertical="center" textRotation="255" wrapText="1" shrinkToFit="1"/>
    </xf>
    <xf numFmtId="0" fontId="57" fillId="0" borderId="168" xfId="2" applyFont="1" applyBorder="1" applyAlignment="1" applyProtection="1">
      <alignment horizontal="center" vertical="center" textRotation="255" wrapText="1" shrinkToFit="1"/>
    </xf>
    <xf numFmtId="0" fontId="57" fillId="0" borderId="72" xfId="2" applyFont="1" applyBorder="1" applyAlignment="1" applyProtection="1">
      <alignment horizontal="center" vertical="center" textRotation="255" wrapText="1" shrinkToFit="1"/>
    </xf>
    <xf numFmtId="0" fontId="57" fillId="0" borderId="50" xfId="2" applyFont="1" applyBorder="1" applyAlignment="1" applyProtection="1">
      <alignment horizontal="center" vertical="center" textRotation="255" wrapText="1" shrinkToFit="1"/>
    </xf>
    <xf numFmtId="0" fontId="57" fillId="0" borderId="62" xfId="2" applyFont="1" applyBorder="1" applyAlignment="1" applyProtection="1">
      <alignment horizontal="center" vertical="center" textRotation="255" wrapText="1" shrinkToFit="1"/>
    </xf>
    <xf numFmtId="0" fontId="57" fillId="0" borderId="12" xfId="2" applyFont="1" applyBorder="1" applyAlignment="1" applyProtection="1">
      <alignment horizontal="center" vertical="center" textRotation="255" wrapText="1" shrinkToFit="1"/>
    </xf>
    <xf numFmtId="0" fontId="57" fillId="0" borderId="225" xfId="2" applyFont="1" applyFill="1" applyBorder="1" applyAlignment="1" applyProtection="1">
      <alignment horizontal="center" vertical="center"/>
    </xf>
    <xf numFmtId="0" fontId="57" fillId="0" borderId="217" xfId="2" applyFont="1" applyFill="1" applyBorder="1" applyAlignment="1" applyProtection="1">
      <alignment horizontal="center" vertical="center"/>
    </xf>
    <xf numFmtId="0" fontId="57" fillId="0" borderId="218" xfId="2" applyFont="1" applyFill="1" applyBorder="1" applyAlignment="1" applyProtection="1">
      <alignment horizontal="center" vertical="center"/>
    </xf>
    <xf numFmtId="0" fontId="57" fillId="0" borderId="232" xfId="2" applyFont="1" applyFill="1" applyBorder="1" applyAlignment="1" applyProtection="1">
      <alignment horizontal="center" vertical="center"/>
    </xf>
    <xf numFmtId="0" fontId="57" fillId="0" borderId="223" xfId="2" applyFont="1" applyFill="1" applyBorder="1" applyAlignment="1" applyProtection="1">
      <alignment horizontal="center" vertical="center"/>
    </xf>
    <xf numFmtId="0" fontId="57" fillId="0" borderId="224" xfId="2" applyFont="1" applyFill="1" applyBorder="1" applyAlignment="1" applyProtection="1">
      <alignment horizontal="center" vertical="center"/>
    </xf>
    <xf numFmtId="0" fontId="67" fillId="0" borderId="179" xfId="2" applyFont="1" applyBorder="1" applyAlignment="1" applyProtection="1">
      <alignment horizontal="left" vertical="center" shrinkToFit="1"/>
    </xf>
    <xf numFmtId="0" fontId="57" fillId="0" borderId="178" xfId="2" applyFont="1" applyBorder="1" applyAlignment="1" applyProtection="1">
      <alignment horizontal="left" vertical="center" shrinkToFit="1"/>
    </xf>
    <xf numFmtId="0" fontId="57" fillId="0" borderId="180" xfId="2" applyFont="1" applyBorder="1" applyAlignment="1" applyProtection="1">
      <alignment horizontal="left" vertical="center" shrinkToFit="1"/>
    </xf>
    <xf numFmtId="0" fontId="57" fillId="0" borderId="233" xfId="2" applyFont="1" applyFill="1" applyBorder="1" applyAlignment="1" applyProtection="1">
      <alignment horizontal="center" vertical="center"/>
    </xf>
    <xf numFmtId="0" fontId="57" fillId="0" borderId="234" xfId="2" applyFont="1" applyFill="1" applyBorder="1" applyAlignment="1" applyProtection="1">
      <alignment horizontal="center" vertical="center"/>
    </xf>
    <xf numFmtId="0" fontId="57" fillId="0" borderId="235" xfId="2" applyFont="1" applyFill="1" applyBorder="1" applyAlignment="1" applyProtection="1">
      <alignment horizontal="center" vertical="center"/>
    </xf>
    <xf numFmtId="0" fontId="57" fillId="0" borderId="231" xfId="2" applyFont="1" applyFill="1" applyBorder="1" applyAlignment="1" applyProtection="1">
      <alignment horizontal="center" vertical="center"/>
    </xf>
    <xf numFmtId="0" fontId="58" fillId="0" borderId="4" xfId="2" applyFont="1" applyBorder="1" applyAlignment="1" applyProtection="1">
      <alignment horizontal="center" vertical="center"/>
    </xf>
    <xf numFmtId="0" fontId="58" fillId="0" borderId="50" xfId="2" applyFont="1" applyBorder="1" applyAlignment="1" applyProtection="1">
      <alignment horizontal="center" vertical="center"/>
    </xf>
    <xf numFmtId="0" fontId="58" fillId="0" borderId="101" xfId="2" applyFont="1" applyBorder="1" applyAlignment="1" applyProtection="1">
      <alignment horizontal="center" vertical="center"/>
    </xf>
    <xf numFmtId="38" fontId="57" fillId="0" borderId="3" xfId="3" applyFont="1" applyFill="1" applyBorder="1" applyAlignment="1" applyProtection="1">
      <alignment horizontal="right" vertical="center"/>
    </xf>
    <xf numFmtId="38" fontId="57" fillId="0" borderId="2" xfId="3" applyFont="1" applyFill="1" applyBorder="1" applyAlignment="1" applyProtection="1">
      <alignment horizontal="right" vertical="center"/>
    </xf>
    <xf numFmtId="38" fontId="57" fillId="0" borderId="13" xfId="3" applyFont="1" applyFill="1" applyBorder="1" applyAlignment="1" applyProtection="1">
      <alignment horizontal="right" vertical="center"/>
    </xf>
    <xf numFmtId="38" fontId="57" fillId="0" borderId="0" xfId="3" applyFont="1" applyFill="1" applyBorder="1" applyAlignment="1" applyProtection="1">
      <alignment horizontal="right" vertical="center"/>
    </xf>
    <xf numFmtId="38" fontId="57" fillId="0" borderId="83" xfId="3" applyFont="1" applyFill="1" applyBorder="1" applyAlignment="1" applyProtection="1">
      <alignment horizontal="right" vertical="center"/>
    </xf>
    <xf numFmtId="38" fontId="57" fillId="0" borderId="139" xfId="3" applyFont="1" applyFill="1" applyBorder="1" applyAlignment="1" applyProtection="1">
      <alignment horizontal="right" vertical="center"/>
    </xf>
    <xf numFmtId="0" fontId="58" fillId="0" borderId="121" xfId="2" applyFont="1" applyBorder="1" applyAlignment="1" applyProtection="1">
      <alignment horizontal="center" vertical="center"/>
    </xf>
    <xf numFmtId="0" fontId="58" fillId="0" borderId="110" xfId="2" applyFont="1" applyBorder="1" applyAlignment="1" applyProtection="1">
      <alignment horizontal="center" vertical="center"/>
    </xf>
    <xf numFmtId="0" fontId="58" fillId="0" borderId="87" xfId="2" applyFont="1" applyBorder="1" applyAlignment="1" applyProtection="1">
      <alignment horizontal="center" vertical="center"/>
    </xf>
    <xf numFmtId="0" fontId="58" fillId="0" borderId="58" xfId="2" applyFont="1" applyBorder="1" applyAlignment="1" applyProtection="1">
      <alignment vertical="center" wrapText="1"/>
    </xf>
    <xf numFmtId="0" fontId="58" fillId="0" borderId="61" xfId="2" applyFont="1" applyBorder="1" applyAlignment="1" applyProtection="1">
      <alignment vertical="center" wrapText="1"/>
    </xf>
    <xf numFmtId="0" fontId="58" fillId="0" borderId="100" xfId="2" applyFont="1" applyBorder="1" applyAlignment="1" applyProtection="1">
      <alignment vertical="center" wrapText="1"/>
    </xf>
    <xf numFmtId="0" fontId="58" fillId="0" borderId="139" xfId="2" applyFont="1" applyBorder="1" applyAlignment="1" applyProtection="1">
      <alignment vertical="center" wrapText="1"/>
    </xf>
    <xf numFmtId="0" fontId="58" fillId="0" borderId="87" xfId="2" applyFont="1" applyBorder="1" applyAlignment="1" applyProtection="1">
      <alignment vertical="center" wrapText="1"/>
    </xf>
    <xf numFmtId="0" fontId="57" fillId="0" borderId="59" xfId="2" applyFont="1" applyBorder="1" applyAlignment="1" applyProtection="1">
      <alignment horizontal="left" vertical="center" wrapText="1"/>
    </xf>
    <xf numFmtId="0" fontId="58" fillId="0" borderId="53" xfId="2" applyFont="1" applyBorder="1" applyAlignment="1" applyProtection="1">
      <alignment horizontal="left" vertical="center" wrapText="1"/>
    </xf>
    <xf numFmtId="0" fontId="58" fillId="0" borderId="60" xfId="2" applyFont="1" applyBorder="1" applyAlignment="1" applyProtection="1">
      <alignment horizontal="left" vertical="center" wrapText="1"/>
    </xf>
    <xf numFmtId="0" fontId="57" fillId="0" borderId="73" xfId="2" applyFont="1" applyBorder="1" applyAlignment="1" applyProtection="1">
      <alignment horizontal="left" vertical="center" wrapText="1"/>
    </xf>
    <xf numFmtId="0" fontId="58" fillId="0" borderId="14" xfId="2" applyFont="1" applyBorder="1" applyAlignment="1" applyProtection="1">
      <alignment horizontal="left" vertical="center" wrapText="1"/>
    </xf>
    <xf numFmtId="0" fontId="58" fillId="0" borderId="129" xfId="2" applyFont="1" applyBorder="1" applyAlignment="1" applyProtection="1">
      <alignment horizontal="left" vertical="center" wrapText="1"/>
    </xf>
    <xf numFmtId="0" fontId="58" fillId="0" borderId="150" xfId="2" applyFont="1" applyBorder="1" applyAlignment="1" applyProtection="1">
      <alignment horizontal="left" vertical="center" wrapText="1"/>
    </xf>
    <xf numFmtId="0" fontId="58" fillId="0" borderId="151" xfId="2" applyFont="1" applyBorder="1" applyAlignment="1" applyProtection="1">
      <alignment horizontal="left" vertical="center" wrapText="1"/>
    </xf>
    <xf numFmtId="0" fontId="58" fillId="0" borderId="143" xfId="2" applyFont="1" applyBorder="1" applyAlignment="1" applyProtection="1">
      <alignment horizontal="left" vertical="center" wrapText="1"/>
    </xf>
    <xf numFmtId="0" fontId="57" fillId="0" borderId="227" xfId="2" applyFont="1" applyFill="1" applyBorder="1" applyAlignment="1" applyProtection="1">
      <alignment horizontal="center" vertical="center"/>
    </xf>
    <xf numFmtId="0" fontId="57" fillId="0" borderId="220" xfId="2" applyFont="1" applyFill="1" applyBorder="1" applyAlignment="1" applyProtection="1">
      <alignment horizontal="center" vertical="center"/>
    </xf>
    <xf numFmtId="0" fontId="57" fillId="0" borderId="221" xfId="2" applyFont="1" applyFill="1" applyBorder="1" applyAlignment="1" applyProtection="1">
      <alignment horizontal="center" vertical="center"/>
    </xf>
    <xf numFmtId="0" fontId="57" fillId="0" borderId="100" xfId="2" applyFont="1" applyBorder="1" applyAlignment="1" applyProtection="1">
      <alignment horizontal="center" vertical="center" textRotation="255" wrapText="1" shrinkToFit="1"/>
    </xf>
    <xf numFmtId="0" fontId="57" fillId="0" borderId="101" xfId="2" applyFont="1" applyBorder="1" applyAlignment="1" applyProtection="1">
      <alignment horizontal="center" vertical="center" textRotation="255" wrapText="1" shrinkToFit="1"/>
    </xf>
    <xf numFmtId="0" fontId="57" fillId="0" borderId="228" xfId="2" applyFont="1" applyFill="1" applyBorder="1" applyAlignment="1" applyProtection="1">
      <alignment horizontal="center" vertical="center"/>
    </xf>
    <xf numFmtId="0" fontId="57" fillId="0" borderId="229" xfId="2" applyFont="1" applyFill="1" applyBorder="1" applyAlignment="1" applyProtection="1">
      <alignment horizontal="center" vertical="center"/>
    </xf>
    <xf numFmtId="0" fontId="57" fillId="0" borderId="230" xfId="2" applyFont="1" applyFill="1" applyBorder="1" applyAlignment="1" applyProtection="1">
      <alignment horizontal="center" vertical="center"/>
    </xf>
    <xf numFmtId="0" fontId="67" fillId="0" borderId="163" xfId="2" applyFont="1" applyBorder="1" applyAlignment="1" applyProtection="1">
      <alignment horizontal="left" vertical="center" shrinkToFit="1"/>
    </xf>
    <xf numFmtId="0" fontId="57" fillId="0" borderId="162" xfId="2" applyFont="1" applyBorder="1" applyAlignment="1" applyProtection="1">
      <alignment horizontal="left" vertical="center" shrinkToFit="1"/>
    </xf>
    <xf numFmtId="0" fontId="57" fillId="0" borderId="169" xfId="2" applyFont="1" applyBorder="1" applyAlignment="1" applyProtection="1">
      <alignment horizontal="left" vertical="center" shrinkToFit="1"/>
    </xf>
    <xf numFmtId="0" fontId="57" fillId="0" borderId="207" xfId="2" applyFont="1" applyFill="1" applyBorder="1" applyAlignment="1" applyProtection="1">
      <alignment horizontal="center" vertical="center"/>
    </xf>
    <xf numFmtId="0" fontId="58" fillId="0" borderId="208" xfId="2" applyFont="1" applyFill="1" applyBorder="1" applyAlignment="1" applyProtection="1">
      <alignment horizontal="center" vertical="center"/>
    </xf>
    <xf numFmtId="0" fontId="58" fillId="0" borderId="209" xfId="2" applyFont="1" applyFill="1" applyBorder="1" applyAlignment="1" applyProtection="1">
      <alignment horizontal="center" vertical="center"/>
    </xf>
    <xf numFmtId="0" fontId="57" fillId="0" borderId="216" xfId="2" applyFont="1" applyFill="1" applyBorder="1" applyAlignment="1" applyProtection="1">
      <alignment horizontal="center" vertical="center"/>
    </xf>
    <xf numFmtId="0" fontId="57" fillId="0" borderId="163" xfId="2" applyFont="1" applyFill="1" applyBorder="1" applyAlignment="1" applyProtection="1">
      <alignment horizontal="right" vertical="center"/>
    </xf>
    <xf numFmtId="0" fontId="58" fillId="0" borderId="162" xfId="2" applyFont="1" applyFill="1" applyBorder="1" applyAlignment="1" applyProtection="1">
      <alignment horizontal="right" vertical="center"/>
    </xf>
    <xf numFmtId="0" fontId="57" fillId="0" borderId="166" xfId="2" applyFont="1" applyFill="1" applyBorder="1" applyAlignment="1" applyProtection="1">
      <alignment horizontal="right" vertical="center"/>
    </xf>
    <xf numFmtId="0" fontId="57" fillId="0" borderId="165" xfId="2" applyFont="1" applyFill="1" applyBorder="1" applyAlignment="1" applyProtection="1">
      <alignment horizontal="right" vertical="center"/>
    </xf>
    <xf numFmtId="0" fontId="67" fillId="0" borderId="176" xfId="2" applyFont="1" applyBorder="1" applyAlignment="1" applyProtection="1">
      <alignment horizontal="left" vertical="center" wrapText="1"/>
    </xf>
    <xf numFmtId="0" fontId="67" fillId="0" borderId="175" xfId="2" applyFont="1" applyBorder="1" applyAlignment="1" applyProtection="1">
      <alignment horizontal="left" vertical="center" wrapText="1"/>
    </xf>
    <xf numFmtId="0" fontId="67" fillId="0" borderId="174" xfId="2" applyFont="1" applyBorder="1" applyAlignment="1" applyProtection="1">
      <alignment horizontal="left" vertical="center" wrapText="1"/>
    </xf>
    <xf numFmtId="0" fontId="57" fillId="0" borderId="236" xfId="2" applyFont="1" applyFill="1" applyBorder="1" applyAlignment="1" applyProtection="1">
      <alignment horizontal="center" vertical="center"/>
    </xf>
    <xf numFmtId="0" fontId="7" fillId="0" borderId="236" xfId="2" applyFill="1" applyBorder="1" applyAlignment="1" applyProtection="1">
      <alignment horizontal="center" vertical="center"/>
    </xf>
    <xf numFmtId="0" fontId="57" fillId="0" borderId="237" xfId="2" applyFont="1" applyFill="1" applyBorder="1" applyAlignment="1" applyProtection="1">
      <alignment horizontal="center" vertical="center"/>
    </xf>
    <xf numFmtId="0" fontId="7" fillId="0" borderId="237" xfId="2" applyFill="1" applyBorder="1" applyAlignment="1" applyProtection="1">
      <alignment horizontal="center" vertical="center"/>
    </xf>
    <xf numFmtId="0" fontId="57" fillId="0" borderId="161" xfId="2" applyFont="1" applyBorder="1" applyAlignment="1" applyProtection="1">
      <alignment horizontal="left" vertical="center" shrinkToFit="1"/>
    </xf>
    <xf numFmtId="0" fontId="57" fillId="0" borderId="219" xfId="2" applyFont="1" applyFill="1" applyBorder="1" applyAlignment="1" applyProtection="1">
      <alignment horizontal="center" vertical="center"/>
    </xf>
    <xf numFmtId="0" fontId="57" fillId="0" borderId="167" xfId="2" applyFont="1" applyFill="1" applyBorder="1" applyAlignment="1" applyProtection="1">
      <alignment horizontal="center" vertical="center"/>
    </xf>
    <xf numFmtId="0" fontId="57" fillId="0" borderId="55" xfId="2" applyFont="1" applyFill="1" applyBorder="1" applyAlignment="1" applyProtection="1">
      <alignment horizontal="center" vertical="center"/>
    </xf>
    <xf numFmtId="0" fontId="57" fillId="0" borderId="165" xfId="2" applyFont="1" applyFill="1" applyBorder="1" applyAlignment="1" applyProtection="1">
      <alignment horizontal="center" vertical="center"/>
    </xf>
    <xf numFmtId="0" fontId="57" fillId="0" borderId="164" xfId="2" applyFont="1" applyFill="1" applyBorder="1" applyAlignment="1" applyProtection="1">
      <alignment horizontal="center" vertical="center"/>
    </xf>
    <xf numFmtId="0" fontId="57" fillId="0" borderId="222" xfId="2" applyFont="1" applyFill="1" applyBorder="1" applyAlignment="1" applyProtection="1">
      <alignment horizontal="center" vertical="center"/>
    </xf>
    <xf numFmtId="0" fontId="57" fillId="0" borderId="175" xfId="2" applyFont="1" applyFill="1" applyBorder="1" applyAlignment="1" applyProtection="1">
      <alignment horizontal="center" vertical="center"/>
    </xf>
    <xf numFmtId="0" fontId="57" fillId="0" borderId="174" xfId="2" applyFont="1" applyFill="1" applyBorder="1" applyAlignment="1" applyProtection="1">
      <alignment horizontal="center" vertical="center"/>
    </xf>
    <xf numFmtId="0" fontId="7" fillId="0" borderId="61" xfId="2" applyBorder="1" applyProtection="1">
      <alignment vertical="center"/>
    </xf>
    <xf numFmtId="0" fontId="7" fillId="0" borderId="88" xfId="2" applyBorder="1" applyProtection="1">
      <alignment vertical="center"/>
    </xf>
    <xf numFmtId="0" fontId="7" fillId="0" borderId="102" xfId="2" applyBorder="1" applyProtection="1">
      <alignment vertical="center"/>
    </xf>
    <xf numFmtId="0" fontId="57" fillId="0" borderId="53" xfId="2" applyFont="1" applyBorder="1" applyAlignment="1" applyProtection="1">
      <alignment horizontal="center" vertical="center" wrapText="1"/>
    </xf>
    <xf numFmtId="0" fontId="58" fillId="0" borderId="53" xfId="2" applyFont="1" applyBorder="1" applyProtection="1">
      <alignment vertical="center"/>
    </xf>
    <xf numFmtId="38" fontId="57" fillId="0" borderId="66" xfId="3" applyFont="1" applyFill="1" applyBorder="1" applyAlignment="1" applyProtection="1">
      <alignment horizontal="right" vertical="center"/>
    </xf>
    <xf numFmtId="38" fontId="57" fillId="0" borderId="72" xfId="3" applyFont="1" applyFill="1" applyBorder="1" applyAlignment="1" applyProtection="1">
      <alignment horizontal="right" vertical="center"/>
    </xf>
    <xf numFmtId="38" fontId="57" fillId="0" borderId="100" xfId="3" applyFont="1" applyFill="1" applyBorder="1" applyAlignment="1" applyProtection="1">
      <alignment horizontal="right" vertical="center"/>
    </xf>
    <xf numFmtId="0" fontId="61" fillId="0" borderId="139" xfId="2" applyFont="1" applyFill="1" applyBorder="1" applyAlignment="1" applyProtection="1">
      <alignment horizontal="center" vertical="center"/>
    </xf>
    <xf numFmtId="0" fontId="57" fillId="0" borderId="5" xfId="2" applyFont="1" applyBorder="1" applyAlignment="1" applyProtection="1">
      <alignment horizontal="center" vertical="center" wrapText="1"/>
    </xf>
    <xf numFmtId="0" fontId="57" fillId="0" borderId="7" xfId="2" applyFont="1" applyBorder="1" applyAlignment="1" applyProtection="1">
      <alignment horizontal="center" vertical="center" wrapText="1"/>
    </xf>
    <xf numFmtId="0" fontId="57" fillId="0" borderId="6" xfId="2" applyFont="1" applyBorder="1" applyAlignment="1" applyProtection="1">
      <alignment horizontal="center" vertical="center" wrapText="1"/>
    </xf>
    <xf numFmtId="0" fontId="57" fillId="0" borderId="167" xfId="2" applyFont="1" applyFill="1" applyBorder="1" applyAlignment="1" applyProtection="1">
      <alignment horizontal="right" vertical="center"/>
    </xf>
    <xf numFmtId="0" fontId="7" fillId="0" borderId="55" xfId="2" applyFill="1" applyBorder="1" applyAlignment="1" applyProtection="1">
      <alignment horizontal="right" vertical="center"/>
    </xf>
    <xf numFmtId="0" fontId="57" fillId="0" borderId="89" xfId="2" applyFont="1" applyBorder="1" applyAlignment="1" applyProtection="1">
      <alignment horizontal="center" vertical="center" wrapText="1"/>
    </xf>
    <xf numFmtId="38" fontId="57" fillId="0" borderId="7" xfId="3" applyFont="1" applyFill="1" applyBorder="1" applyAlignment="1" applyProtection="1">
      <alignment horizontal="right" vertical="center"/>
    </xf>
    <xf numFmtId="0" fontId="62" fillId="0" borderId="58" xfId="2" applyFont="1" applyBorder="1" applyAlignment="1" applyProtection="1">
      <alignment vertical="center" wrapText="1"/>
    </xf>
    <xf numFmtId="0" fontId="58" fillId="2" borderId="57" xfId="2" applyFont="1" applyFill="1" applyBorder="1" applyAlignment="1" applyProtection="1">
      <alignment horizontal="center" vertical="center"/>
      <protection locked="0"/>
    </xf>
    <xf numFmtId="0" fontId="58" fillId="2" borderId="58" xfId="2" applyFont="1" applyFill="1" applyBorder="1" applyAlignment="1" applyProtection="1">
      <alignment horizontal="center" vertical="center"/>
      <protection locked="0"/>
    </xf>
    <xf numFmtId="0" fontId="58" fillId="2" borderId="61" xfId="2" applyFont="1" applyFill="1" applyBorder="1" applyAlignment="1" applyProtection="1">
      <alignment horizontal="center" vertical="center"/>
      <protection locked="0"/>
    </xf>
    <xf numFmtId="0" fontId="58" fillId="2" borderId="100" xfId="2" applyFont="1" applyFill="1" applyBorder="1" applyAlignment="1" applyProtection="1">
      <alignment horizontal="center" vertical="center"/>
      <protection locked="0"/>
    </xf>
    <xf numFmtId="0" fontId="58" fillId="2" borderId="139" xfId="2" applyFont="1" applyFill="1" applyBorder="1" applyAlignment="1" applyProtection="1">
      <alignment horizontal="center" vertical="center"/>
      <protection locked="0"/>
    </xf>
    <xf numFmtId="0" fontId="58" fillId="2" borderId="87" xfId="2" applyFont="1" applyFill="1" applyBorder="1" applyAlignment="1" applyProtection="1">
      <alignment horizontal="center" vertical="center"/>
      <protection locked="0"/>
    </xf>
    <xf numFmtId="0" fontId="58" fillId="0" borderId="60" xfId="2" applyFont="1" applyBorder="1" applyProtection="1">
      <alignment vertical="center"/>
    </xf>
    <xf numFmtId="0" fontId="72" fillId="0" borderId="0" xfId="2" applyFont="1" applyAlignment="1" applyProtection="1">
      <alignment horizontal="center" vertical="center"/>
    </xf>
    <xf numFmtId="0" fontId="58" fillId="0" borderId="53" xfId="2" applyFont="1" applyBorder="1" applyAlignment="1" applyProtection="1">
      <alignment horizontal="distributed" vertical="center"/>
    </xf>
    <xf numFmtId="0" fontId="57" fillId="0" borderId="53" xfId="2" applyFont="1" applyBorder="1" applyAlignment="1" applyProtection="1">
      <alignment vertical="center" shrinkToFit="1"/>
    </xf>
    <xf numFmtId="0" fontId="57" fillId="0" borderId="60" xfId="2" applyFont="1" applyBorder="1" applyAlignment="1" applyProtection="1">
      <alignment vertical="center" shrinkToFit="1"/>
    </xf>
    <xf numFmtId="0" fontId="58" fillId="0" borderId="8" xfId="2" applyFont="1" applyBorder="1" applyAlignment="1" applyProtection="1">
      <alignment horizontal="distributed" vertical="center"/>
    </xf>
    <xf numFmtId="0" fontId="57" fillId="0" borderId="8" xfId="2" applyFont="1" applyBorder="1" applyAlignment="1" applyProtection="1">
      <alignment vertical="center" shrinkToFit="1"/>
    </xf>
    <xf numFmtId="0" fontId="57" fillId="0" borderId="94" xfId="2" applyFont="1" applyBorder="1" applyAlignment="1" applyProtection="1">
      <alignment vertical="center" shrinkToFit="1"/>
    </xf>
    <xf numFmtId="0" fontId="57" fillId="0" borderId="184" xfId="2" applyFont="1" applyBorder="1" applyAlignment="1" applyProtection="1">
      <alignment vertical="center" wrapText="1"/>
    </xf>
    <xf numFmtId="0" fontId="58" fillId="0" borderId="183" xfId="2" applyFont="1" applyBorder="1" applyAlignment="1" applyProtection="1">
      <alignment vertical="center" wrapText="1"/>
    </xf>
    <xf numFmtId="0" fontId="58" fillId="0" borderId="183" xfId="2" applyFont="1" applyBorder="1" applyProtection="1">
      <alignment vertical="center"/>
    </xf>
    <xf numFmtId="0" fontId="59" fillId="0" borderId="54" xfId="2" applyFont="1" applyBorder="1" applyAlignment="1" applyProtection="1">
      <alignment horizontal="center" vertical="center" wrapText="1"/>
    </xf>
    <xf numFmtId="0" fontId="59" fillId="0" borderId="55" xfId="2" applyFont="1" applyBorder="1" applyAlignment="1" applyProtection="1">
      <alignment horizontal="center" vertical="center" wrapText="1"/>
    </xf>
    <xf numFmtId="0" fontId="59" fillId="0" borderId="56" xfId="2" applyFont="1" applyBorder="1" applyAlignment="1" applyProtection="1">
      <alignment horizontal="center" vertical="center" wrapText="1"/>
    </xf>
    <xf numFmtId="0" fontId="57" fillId="0" borderId="54" xfId="2" applyFont="1" applyBorder="1" applyAlignment="1" applyProtection="1">
      <alignment horizontal="center" vertical="center"/>
    </xf>
    <xf numFmtId="0" fontId="57" fillId="0" borderId="55" xfId="2" applyFont="1" applyBorder="1" applyAlignment="1" applyProtection="1">
      <alignment horizontal="center" vertical="center"/>
    </xf>
    <xf numFmtId="0" fontId="57" fillId="8" borderId="55" xfId="2" applyFont="1" applyFill="1" applyBorder="1" applyAlignment="1" applyProtection="1">
      <alignment horizontal="center" vertical="center"/>
    </xf>
    <xf numFmtId="0" fontId="57" fillId="0" borderId="56" xfId="2" applyFont="1" applyBorder="1" applyAlignment="1" applyProtection="1">
      <alignment horizontal="center" vertical="center"/>
    </xf>
    <xf numFmtId="0" fontId="57" fillId="2" borderId="166" xfId="2" applyFont="1" applyFill="1" applyBorder="1" applyAlignment="1" applyProtection="1">
      <alignment horizontal="right" vertical="center"/>
      <protection locked="0"/>
    </xf>
    <xf numFmtId="0" fontId="57" fillId="2" borderId="165" xfId="2" applyFont="1" applyFill="1" applyBorder="1" applyAlignment="1" applyProtection="1">
      <alignment horizontal="right" vertical="center"/>
      <protection locked="0"/>
    </xf>
    <xf numFmtId="0" fontId="58" fillId="0" borderId="151" xfId="2" applyFont="1" applyBorder="1" applyAlignment="1" applyProtection="1">
      <alignment horizontal="distributed" vertical="center"/>
    </xf>
    <xf numFmtId="0" fontId="58" fillId="0" borderId="144" xfId="2" applyFont="1" applyBorder="1" applyAlignment="1" applyProtection="1">
      <alignment horizontal="center" vertical="center"/>
    </xf>
    <xf numFmtId="0" fontId="58" fillId="0" borderId="159" xfId="2" applyFont="1" applyBorder="1" applyAlignment="1" applyProtection="1">
      <alignment horizontal="center" vertical="center"/>
    </xf>
    <xf numFmtId="0" fontId="58" fillId="0" borderId="149" xfId="2" applyFont="1" applyBorder="1" applyAlignment="1" applyProtection="1">
      <alignment horizontal="center" vertical="center"/>
    </xf>
    <xf numFmtId="0" fontId="57" fillId="2" borderId="39" xfId="2" applyFont="1" applyFill="1" applyBorder="1" applyAlignment="1" applyProtection="1">
      <alignment horizontal="right" vertical="center"/>
      <protection locked="0"/>
    </xf>
    <xf numFmtId="0" fontId="58" fillId="2" borderId="171" xfId="2" applyFont="1" applyFill="1" applyBorder="1" applyAlignment="1" applyProtection="1">
      <alignment horizontal="right" vertical="center"/>
      <protection locked="0"/>
    </xf>
    <xf numFmtId="0" fontId="57" fillId="0" borderId="185" xfId="2" applyFont="1" applyBorder="1" applyAlignment="1" applyProtection="1">
      <alignment horizontal="left" vertical="center" wrapText="1"/>
    </xf>
    <xf numFmtId="0" fontId="57" fillId="0" borderId="162" xfId="2" applyFont="1" applyBorder="1" applyAlignment="1" applyProtection="1">
      <alignment horizontal="left" vertical="center" wrapText="1"/>
    </xf>
    <xf numFmtId="0" fontId="57" fillId="0" borderId="169" xfId="2" applyFont="1" applyBorder="1" applyAlignment="1" applyProtection="1">
      <alignment horizontal="left" vertical="center" wrapText="1"/>
    </xf>
    <xf numFmtId="0" fontId="57" fillId="2" borderId="83" xfId="2" applyFont="1" applyFill="1" applyBorder="1" applyAlignment="1" applyProtection="1">
      <alignment horizontal="right" vertical="center"/>
      <protection locked="0"/>
    </xf>
    <xf numFmtId="0" fontId="58" fillId="2" borderId="139" xfId="2" applyFont="1" applyFill="1" applyBorder="1" applyAlignment="1" applyProtection="1">
      <alignment horizontal="right" vertical="center"/>
      <protection locked="0"/>
    </xf>
    <xf numFmtId="0" fontId="57" fillId="0" borderId="11" xfId="2" applyFont="1" applyBorder="1" applyAlignment="1" applyProtection="1">
      <alignment vertical="center" shrinkToFit="1"/>
    </xf>
    <xf numFmtId="0" fontId="57" fillId="0" borderId="10" xfId="2" applyFont="1" applyBorder="1" applyAlignment="1" applyProtection="1">
      <alignment vertical="center" shrinkToFit="1"/>
    </xf>
    <xf numFmtId="0" fontId="57" fillId="0" borderId="65" xfId="2" applyFont="1" applyBorder="1" applyAlignment="1" applyProtection="1">
      <alignment vertical="center" shrinkToFit="1"/>
    </xf>
    <xf numFmtId="0" fontId="57" fillId="0" borderId="90" xfId="2" applyFont="1" applyBorder="1" applyAlignment="1" applyProtection="1">
      <alignment vertical="center" shrinkToFit="1"/>
    </xf>
    <xf numFmtId="0" fontId="57" fillId="0" borderId="155" xfId="2" applyFont="1" applyBorder="1" applyAlignment="1" applyProtection="1">
      <alignment vertical="center" shrinkToFit="1"/>
    </xf>
    <xf numFmtId="0" fontId="57" fillId="0" borderId="160" xfId="2" applyFont="1" applyBorder="1" applyAlignment="1" applyProtection="1">
      <alignment vertical="center" shrinkToFit="1"/>
    </xf>
    <xf numFmtId="0" fontId="57" fillId="0" borderId="5" xfId="2" applyFont="1" applyBorder="1" applyAlignment="1" applyProtection="1">
      <alignment horizontal="center" vertical="center"/>
    </xf>
    <xf numFmtId="0" fontId="57" fillId="0" borderId="7" xfId="2" applyFont="1" applyBorder="1" applyAlignment="1" applyProtection="1">
      <alignment horizontal="center" vertical="center"/>
    </xf>
    <xf numFmtId="0" fontId="57" fillId="0" borderId="6" xfId="2" applyFont="1" applyBorder="1" applyAlignment="1" applyProtection="1">
      <alignment horizontal="center" vertical="center"/>
    </xf>
    <xf numFmtId="0" fontId="58" fillId="0" borderId="5" xfId="2" applyFont="1" applyBorder="1" applyAlignment="1" applyProtection="1">
      <alignment horizontal="left" vertical="center" wrapText="1"/>
    </xf>
    <xf numFmtId="0" fontId="58" fillId="0" borderId="7" xfId="2" applyFont="1" applyBorder="1" applyAlignment="1" applyProtection="1">
      <alignment horizontal="left" vertical="center" wrapText="1"/>
    </xf>
    <xf numFmtId="0" fontId="58" fillId="0" borderId="6" xfId="2" applyFont="1" applyBorder="1" applyAlignment="1" applyProtection="1">
      <alignment horizontal="left" vertical="center" wrapText="1"/>
    </xf>
    <xf numFmtId="195" fontId="73" fillId="8" borderId="7" xfId="2" applyNumberFormat="1" applyFont="1" applyFill="1" applyBorder="1" applyAlignment="1">
      <alignment horizontal="right" vertical="center"/>
    </xf>
    <xf numFmtId="0" fontId="57" fillId="0" borderId="144" xfId="2" applyFont="1" applyBorder="1" applyAlignment="1" applyProtection="1">
      <alignment horizontal="center" vertical="center"/>
    </xf>
    <xf numFmtId="0" fontId="57" fillId="0" borderId="159" xfId="2" applyFont="1" applyBorder="1" applyAlignment="1" applyProtection="1">
      <alignment horizontal="center" vertical="center"/>
    </xf>
    <xf numFmtId="0" fontId="57" fillId="0" borderId="149" xfId="2" applyFont="1" applyBorder="1" applyAlignment="1" applyProtection="1">
      <alignment horizontal="center" vertical="center"/>
    </xf>
    <xf numFmtId="0" fontId="57" fillId="0" borderId="189" xfId="2" applyFont="1" applyBorder="1" applyAlignment="1" applyProtection="1">
      <alignment horizontal="left" vertical="center"/>
    </xf>
    <xf numFmtId="0" fontId="57" fillId="0" borderId="111" xfId="2" applyFont="1" applyBorder="1" applyAlignment="1" applyProtection="1">
      <alignment horizontal="left" vertical="center"/>
    </xf>
    <xf numFmtId="0" fontId="57" fillId="0" borderId="188" xfId="2" applyFont="1" applyBorder="1" applyAlignment="1" applyProtection="1">
      <alignment horizontal="left" vertical="center"/>
    </xf>
    <xf numFmtId="0" fontId="58" fillId="0" borderId="8" xfId="2" applyFont="1" applyBorder="1" applyAlignment="1" applyProtection="1">
      <alignment horizontal="left" vertical="center" wrapText="1"/>
    </xf>
    <xf numFmtId="195" fontId="73" fillId="0" borderId="7" xfId="2" applyNumberFormat="1" applyFont="1" applyFill="1" applyBorder="1" applyAlignment="1" applyProtection="1">
      <alignment horizontal="right" vertical="center"/>
    </xf>
    <xf numFmtId="0" fontId="57" fillId="0" borderId="84" xfId="2" applyFont="1" applyBorder="1" applyAlignment="1" applyProtection="1">
      <alignment horizontal="left" vertical="center"/>
    </xf>
    <xf numFmtId="0" fontId="57" fillId="0" borderId="85" xfId="2" applyFont="1" applyBorder="1" applyAlignment="1" applyProtection="1">
      <alignment horizontal="left" vertical="center"/>
    </xf>
    <xf numFmtId="0" fontId="57" fillId="0" borderId="86" xfId="2" applyFont="1" applyBorder="1" applyAlignment="1" applyProtection="1">
      <alignment horizontal="left" vertical="center"/>
    </xf>
    <xf numFmtId="195" fontId="73" fillId="8" borderId="7" xfId="2" applyNumberFormat="1" applyFont="1" applyFill="1" applyBorder="1" applyAlignment="1" applyProtection="1">
      <alignment horizontal="right" vertical="center"/>
    </xf>
    <xf numFmtId="38" fontId="73" fillId="8" borderId="5" xfId="2" applyNumberFormat="1" applyFont="1" applyFill="1" applyBorder="1" applyAlignment="1" applyProtection="1">
      <alignment horizontal="right"/>
    </xf>
    <xf numFmtId="38" fontId="73" fillId="8" borderId="7" xfId="2" applyNumberFormat="1" applyFont="1" applyFill="1" applyBorder="1" applyAlignment="1" applyProtection="1">
      <alignment horizontal="right"/>
    </xf>
    <xf numFmtId="38" fontId="73" fillId="8" borderId="6" xfId="2" applyNumberFormat="1" applyFont="1" applyFill="1" applyBorder="1" applyAlignment="1" applyProtection="1">
      <alignment horizontal="right"/>
    </xf>
    <xf numFmtId="0" fontId="74" fillId="9" borderId="7" xfId="2" applyFont="1" applyFill="1" applyBorder="1" applyAlignment="1" applyProtection="1">
      <alignment horizontal="left" vertical="center" wrapText="1"/>
    </xf>
    <xf numFmtId="0" fontId="74" fillId="9" borderId="6" xfId="2" applyFont="1" applyFill="1" applyBorder="1" applyAlignment="1" applyProtection="1">
      <alignment horizontal="left" vertical="center" wrapText="1"/>
    </xf>
    <xf numFmtId="195" fontId="73" fillId="2" borderId="7" xfId="2" applyNumberFormat="1" applyFont="1" applyFill="1" applyBorder="1" applyAlignment="1" applyProtection="1">
      <alignment horizontal="right" vertical="center"/>
      <protection locked="0"/>
    </xf>
    <xf numFmtId="0" fontId="58" fillId="2" borderId="5" xfId="2" applyFont="1" applyFill="1" applyBorder="1" applyAlignment="1" applyProtection="1">
      <alignment horizontal="center" vertical="center" wrapText="1"/>
      <protection locked="0"/>
    </xf>
    <xf numFmtId="0" fontId="58" fillId="2" borderId="7" xfId="2" applyFont="1" applyFill="1" applyBorder="1" applyAlignment="1" applyProtection="1">
      <alignment horizontal="center" vertical="center" wrapText="1"/>
      <protection locked="0"/>
    </xf>
    <xf numFmtId="0" fontId="58" fillId="2" borderId="6" xfId="2" applyFont="1" applyFill="1" applyBorder="1" applyAlignment="1" applyProtection="1">
      <alignment horizontal="center" vertical="center" wrapText="1"/>
      <protection locked="0"/>
    </xf>
    <xf numFmtId="0" fontId="58" fillId="0" borderId="0" xfId="2" applyFont="1" applyAlignment="1" applyProtection="1">
      <alignment horizontal="center" vertical="center"/>
    </xf>
    <xf numFmtId="0" fontId="58" fillId="0" borderId="3" xfId="2" applyFont="1" applyBorder="1" applyAlignment="1" applyProtection="1">
      <alignment horizontal="left" vertical="center" wrapText="1"/>
    </xf>
    <xf numFmtId="0" fontId="58" fillId="0" borderId="2" xfId="2" applyFont="1" applyBorder="1" applyAlignment="1" applyProtection="1">
      <alignment horizontal="left" vertical="center" wrapText="1"/>
    </xf>
    <xf numFmtId="0" fontId="58" fillId="0" borderId="4" xfId="2" applyFont="1" applyBorder="1" applyAlignment="1" applyProtection="1">
      <alignment horizontal="left" vertical="center" wrapText="1"/>
    </xf>
    <xf numFmtId="0" fontId="57" fillId="0" borderId="7" xfId="2" applyFont="1" applyBorder="1" applyAlignment="1" applyProtection="1">
      <alignment horizontal="distributed"/>
    </xf>
    <xf numFmtId="0" fontId="62" fillId="0" borderId="0" xfId="2" applyFont="1" applyAlignment="1" applyProtection="1">
      <alignment horizontal="left" vertical="top" wrapText="1"/>
    </xf>
    <xf numFmtId="0" fontId="7" fillId="0" borderId="0" xfId="2" applyAlignment="1" applyProtection="1">
      <alignment horizontal="left" vertical="top" wrapText="1"/>
    </xf>
    <xf numFmtId="0" fontId="57" fillId="2" borderId="0" xfId="2" applyFont="1" applyFill="1" applyAlignment="1" applyProtection="1">
      <alignment horizontal="left" shrinkToFit="1"/>
      <protection locked="0"/>
    </xf>
    <xf numFmtId="0" fontId="57" fillId="0" borderId="0" xfId="2" applyFont="1" applyAlignment="1" applyProtection="1">
      <alignment horizontal="center" vertical="center"/>
    </xf>
    <xf numFmtId="0" fontId="57" fillId="0" borderId="10" xfId="2" applyFont="1" applyBorder="1" applyAlignment="1" applyProtection="1">
      <alignment horizontal="distributed"/>
    </xf>
    <xf numFmtId="195" fontId="73" fillId="0" borderId="7" xfId="2" applyNumberFormat="1" applyFont="1" applyBorder="1" applyAlignment="1" applyProtection="1">
      <alignment horizontal="right" vertical="center"/>
    </xf>
    <xf numFmtId="0" fontId="94" fillId="0" borderId="91" xfId="6" applyFont="1" applyBorder="1" applyAlignment="1">
      <alignment horizontal="center" vertical="center"/>
    </xf>
    <xf numFmtId="0" fontId="94" fillId="0" borderId="88" xfId="6" applyFont="1" applyBorder="1" applyAlignment="1">
      <alignment horizontal="center" vertical="center"/>
    </xf>
    <xf numFmtId="0" fontId="94" fillId="0" borderId="102" xfId="6" applyFont="1" applyBorder="1" applyAlignment="1">
      <alignment horizontal="center" vertical="center"/>
    </xf>
    <xf numFmtId="0" fontId="93" fillId="0" borderId="58" xfId="4" applyFont="1" applyBorder="1" applyAlignment="1">
      <alignment horizontal="center" vertical="center" wrapText="1"/>
    </xf>
    <xf numFmtId="0" fontId="93" fillId="0" borderId="61" xfId="4" applyFont="1" applyBorder="1" applyAlignment="1">
      <alignment horizontal="center" vertical="center" wrapText="1"/>
    </xf>
    <xf numFmtId="0" fontId="93" fillId="0" borderId="0" xfId="4" applyFont="1" applyAlignment="1">
      <alignment horizontal="center" vertical="center" wrapText="1"/>
    </xf>
    <xf numFmtId="0" fontId="93" fillId="0" borderId="110" xfId="4" applyFont="1" applyBorder="1" applyAlignment="1">
      <alignment horizontal="center" vertical="center" wrapText="1"/>
    </xf>
    <xf numFmtId="0" fontId="93" fillId="0" borderId="139" xfId="4" applyFont="1" applyBorder="1" applyAlignment="1">
      <alignment horizontal="center" vertical="center" wrapText="1"/>
    </xf>
    <xf numFmtId="0" fontId="93" fillId="0" borderId="87" xfId="4" applyFont="1" applyBorder="1" applyAlignment="1">
      <alignment horizontal="center" vertical="center" wrapText="1"/>
    </xf>
    <xf numFmtId="0" fontId="91" fillId="0" borderId="0" xfId="6" applyFont="1" applyAlignment="1">
      <alignment horizontal="left" vertical="center"/>
    </xf>
    <xf numFmtId="0" fontId="81" fillId="0" borderId="8" xfId="6" applyFont="1" applyBorder="1" applyAlignment="1">
      <alignment horizontal="center" vertical="center"/>
    </xf>
    <xf numFmtId="0" fontId="81" fillId="0" borderId="8" xfId="6" applyFont="1" applyBorder="1" applyAlignment="1">
      <alignment horizontal="center" vertical="center" wrapText="1"/>
    </xf>
    <xf numFmtId="0" fontId="81" fillId="0" borderId="6" xfId="6" applyFont="1" applyBorder="1" applyAlignment="1">
      <alignment horizontal="center" vertical="center" wrapText="1" shrinkToFit="1"/>
    </xf>
    <xf numFmtId="0" fontId="81" fillId="0" borderId="8" xfId="6" applyFont="1" applyBorder="1" applyAlignment="1">
      <alignment horizontal="center" vertical="center" wrapText="1" shrinkToFit="1"/>
    </xf>
    <xf numFmtId="0" fontId="90" fillId="9" borderId="121" xfId="6" applyFont="1" applyFill="1" applyBorder="1" applyAlignment="1">
      <alignment horizontal="center" vertical="center"/>
    </xf>
    <xf numFmtId="0" fontId="90" fillId="9" borderId="65" xfId="6" applyFont="1" applyFill="1" applyBorder="1" applyAlignment="1">
      <alignment horizontal="center" vertical="center"/>
    </xf>
    <xf numFmtId="0" fontId="90" fillId="9" borderId="5" xfId="4" applyFont="1" applyFill="1" applyBorder="1" applyAlignment="1">
      <alignment horizontal="center" vertical="center"/>
    </xf>
    <xf numFmtId="0" fontId="90" fillId="9" borderId="7" xfId="4" applyFont="1" applyFill="1" applyBorder="1" applyAlignment="1">
      <alignment horizontal="center" vertical="center"/>
    </xf>
    <xf numFmtId="0" fontId="90" fillId="9" borderId="6" xfId="4" applyFont="1" applyFill="1" applyBorder="1" applyAlignment="1">
      <alignment horizontal="center" vertical="center"/>
    </xf>
    <xf numFmtId="0" fontId="86" fillId="9" borderId="103" xfId="7" applyFont="1" applyFill="1" applyBorder="1" applyAlignment="1">
      <alignment horizontal="center" vertical="center" wrapText="1" shrinkToFit="1"/>
    </xf>
    <xf numFmtId="0" fontId="86" fillId="9" borderId="8" xfId="7" applyFont="1" applyFill="1" applyBorder="1" applyAlignment="1">
      <alignment horizontal="center" vertical="center" wrapText="1" shrinkToFit="1"/>
    </xf>
    <xf numFmtId="0" fontId="86" fillId="9" borderId="3" xfId="7" applyFont="1" applyFill="1" applyBorder="1" applyAlignment="1">
      <alignment horizontal="center" vertical="center" wrapText="1" shrinkToFit="1"/>
    </xf>
    <xf numFmtId="0" fontId="86" fillId="9" borderId="13" xfId="7" applyFont="1" applyFill="1" applyBorder="1" applyAlignment="1">
      <alignment horizontal="center" vertical="center" wrapText="1" shrinkToFit="1"/>
    </xf>
    <xf numFmtId="0" fontId="86" fillId="9" borderId="11" xfId="7" applyFont="1" applyFill="1" applyBorder="1" applyAlignment="1">
      <alignment horizontal="center" vertical="center" wrapText="1" shrinkToFit="1"/>
    </xf>
    <xf numFmtId="0" fontId="86" fillId="11" borderId="8" xfId="7" applyFont="1" applyFill="1" applyBorder="1" applyAlignment="1">
      <alignment horizontal="center" vertical="center" wrapText="1" shrinkToFit="1"/>
    </xf>
    <xf numFmtId="0" fontId="91" fillId="9" borderId="59" xfId="6" applyFont="1" applyFill="1" applyBorder="1" applyAlignment="1">
      <alignment horizontal="center" vertical="center"/>
    </xf>
    <xf numFmtId="0" fontId="91" fillId="9" borderId="53" xfId="6" applyFont="1" applyFill="1" applyBorder="1" applyAlignment="1">
      <alignment horizontal="center" vertical="center"/>
    </xf>
    <xf numFmtId="0" fontId="91" fillId="9" borderId="90" xfId="6" applyFont="1" applyFill="1" applyBorder="1" applyAlignment="1">
      <alignment horizontal="center" vertical="center"/>
    </xf>
    <xf numFmtId="0" fontId="91" fillId="9" borderId="60" xfId="6" applyFont="1" applyFill="1" applyBorder="1" applyAlignment="1">
      <alignment horizontal="center" vertical="center"/>
    </xf>
    <xf numFmtId="0" fontId="91" fillId="9" borderId="156" xfId="4" applyFont="1" applyFill="1" applyBorder="1" applyAlignment="1">
      <alignment horizontal="center" vertical="center"/>
    </xf>
    <xf numFmtId="0" fontId="91" fillId="9" borderId="58" xfId="4" applyFont="1" applyFill="1" applyBorder="1" applyAlignment="1">
      <alignment horizontal="center" vertical="center"/>
    </xf>
    <xf numFmtId="0" fontId="91" fillId="9" borderId="155" xfId="4" applyFont="1" applyFill="1" applyBorder="1" applyAlignment="1">
      <alignment horizontal="center" vertical="center"/>
    </xf>
    <xf numFmtId="0" fontId="91" fillId="9" borderId="160" xfId="4" applyFont="1" applyFill="1" applyBorder="1" applyAlignment="1">
      <alignment horizontal="center" vertical="center"/>
    </xf>
    <xf numFmtId="0" fontId="86" fillId="9" borderId="7" xfId="6" applyFont="1" applyFill="1" applyBorder="1" applyAlignment="1">
      <alignment horizontal="center" vertical="center" wrapText="1"/>
    </xf>
    <xf numFmtId="0" fontId="86" fillId="9" borderId="6" xfId="6" applyFont="1" applyFill="1" applyBorder="1" applyAlignment="1">
      <alignment horizontal="center" vertical="center" wrapText="1"/>
    </xf>
    <xf numFmtId="0" fontId="86" fillId="9" borderId="6" xfId="7" applyFont="1" applyFill="1" applyBorder="1" applyAlignment="1">
      <alignment horizontal="center" vertical="center" wrapText="1" shrinkToFit="1"/>
    </xf>
    <xf numFmtId="0" fontId="86" fillId="11" borderId="94" xfId="7" applyFont="1" applyFill="1" applyBorder="1" applyAlignment="1">
      <alignment horizontal="center" vertical="center" wrapText="1" shrinkToFit="1"/>
    </xf>
    <xf numFmtId="0" fontId="88" fillId="9" borderId="6" xfId="6" applyNumberFormat="1" applyFont="1" applyFill="1" applyBorder="1" applyAlignment="1" applyProtection="1">
      <alignment horizontal="left" vertical="center" shrinkToFit="1"/>
      <protection locked="0"/>
    </xf>
    <xf numFmtId="0" fontId="88" fillId="9" borderId="8" xfId="6" applyNumberFormat="1" applyFont="1" applyFill="1" applyBorder="1" applyAlignment="1" applyProtection="1">
      <alignment horizontal="left" vertical="center" shrinkToFit="1"/>
      <protection locked="0"/>
    </xf>
    <xf numFmtId="0" fontId="86" fillId="9" borderId="147" xfId="7" applyFont="1" applyFill="1" applyBorder="1" applyAlignment="1">
      <alignment horizontal="center" vertical="center" wrapText="1" shrinkToFit="1"/>
    </xf>
    <xf numFmtId="0" fontId="86" fillId="9" borderId="129" xfId="7" applyFont="1" applyFill="1" applyBorder="1" applyAlignment="1">
      <alignment horizontal="center" vertical="center" wrapText="1" shrinkToFit="1"/>
    </xf>
    <xf numFmtId="0" fontId="86" fillId="9" borderId="5" xfId="7" applyFont="1" applyFill="1" applyBorder="1" applyAlignment="1">
      <alignment horizontal="center" vertical="center" shrinkToFit="1"/>
    </xf>
    <xf numFmtId="0" fontId="86" fillId="9" borderId="7" xfId="7" applyFont="1" applyFill="1" applyBorder="1" applyAlignment="1">
      <alignment horizontal="center" vertical="center" shrinkToFit="1"/>
    </xf>
    <xf numFmtId="0" fontId="86" fillId="9" borderId="1" xfId="6" applyFont="1" applyFill="1" applyBorder="1" applyAlignment="1">
      <alignment horizontal="center" vertical="center" wrapText="1"/>
    </xf>
    <xf numFmtId="0" fontId="86" fillId="9" borderId="9" xfId="6" applyFont="1" applyFill="1" applyBorder="1" applyAlignment="1">
      <alignment horizontal="center" vertical="center" wrapText="1"/>
    </xf>
    <xf numFmtId="0" fontId="88" fillId="0" borderId="6" xfId="6" applyNumberFormat="1" applyFont="1" applyBorder="1" applyAlignment="1" applyProtection="1">
      <alignment horizontal="left" vertical="center" shrinkToFit="1"/>
      <protection locked="0"/>
    </xf>
    <xf numFmtId="0" fontId="88" fillId="0" borderId="8" xfId="6" applyNumberFormat="1" applyFont="1" applyBorder="1" applyAlignment="1" applyProtection="1">
      <alignment horizontal="left" vertical="center" shrinkToFit="1"/>
      <protection locked="0"/>
    </xf>
    <xf numFmtId="38" fontId="81" fillId="0" borderId="52" xfId="6" applyNumberFormat="1" applyFont="1" applyBorder="1" applyAlignment="1">
      <alignment horizontal="center" vertical="center" shrinkToFit="1"/>
    </xf>
    <xf numFmtId="0" fontId="86" fillId="9" borderId="63" xfId="7" applyFont="1" applyFill="1" applyBorder="1" applyAlignment="1">
      <alignment horizontal="center" vertical="center" wrapText="1" shrinkToFit="1"/>
    </xf>
    <xf numFmtId="0" fontId="86" fillId="9" borderId="5" xfId="6" applyFont="1" applyFill="1" applyBorder="1" applyAlignment="1">
      <alignment horizontal="center" vertical="center" wrapText="1"/>
    </xf>
    <xf numFmtId="38" fontId="81" fillId="0" borderId="202" xfId="6" applyNumberFormat="1" applyFont="1" applyBorder="1" applyAlignment="1">
      <alignment horizontal="center" vertical="center" shrinkToFit="1"/>
    </xf>
    <xf numFmtId="38" fontId="81" fillId="0" borderId="199" xfId="6" applyNumberFormat="1" applyFont="1" applyBorder="1" applyAlignment="1">
      <alignment horizontal="center" vertical="center" shrinkToFit="1"/>
    </xf>
    <xf numFmtId="38" fontId="81" fillId="0" borderId="193" xfId="6" applyNumberFormat="1" applyFont="1" applyBorder="1" applyAlignment="1">
      <alignment horizontal="center" vertical="center" shrinkToFit="1"/>
    </xf>
    <xf numFmtId="0" fontId="81" fillId="0" borderId="6" xfId="6" applyNumberFormat="1" applyFont="1" applyBorder="1" applyAlignment="1" applyProtection="1">
      <alignment horizontal="left" vertical="center" shrinkToFit="1"/>
      <protection locked="0"/>
    </xf>
    <xf numFmtId="0" fontId="81" fillId="0" borderId="8" xfId="6" applyNumberFormat="1" applyFont="1" applyBorder="1" applyAlignment="1" applyProtection="1">
      <alignment horizontal="left" vertical="center" shrinkToFit="1"/>
      <protection locked="0"/>
    </xf>
    <xf numFmtId="0" fontId="81" fillId="0" borderId="9" xfId="6" applyFont="1" applyBorder="1" applyAlignment="1" applyProtection="1">
      <alignment horizontal="left" vertical="center" shrinkToFit="1"/>
      <protection locked="0"/>
    </xf>
    <xf numFmtId="38" fontId="81" fillId="9" borderId="204" xfId="6" applyNumberFormat="1" applyFont="1" applyFill="1" applyBorder="1" applyAlignment="1">
      <alignment horizontal="center" vertical="center" shrinkToFit="1"/>
    </xf>
    <xf numFmtId="38" fontId="81" fillId="9" borderId="196" xfId="6" applyNumberFormat="1" applyFont="1" applyFill="1" applyBorder="1" applyAlignment="1">
      <alignment horizontal="center" vertical="center" shrinkToFit="1"/>
    </xf>
    <xf numFmtId="0" fontId="81" fillId="9" borderId="204" xfId="6" applyFont="1" applyFill="1" applyBorder="1" applyAlignment="1">
      <alignment horizontal="center" vertical="center" shrinkToFit="1"/>
    </xf>
    <xf numFmtId="0" fontId="81" fillId="9" borderId="196" xfId="6" applyFont="1" applyFill="1" applyBorder="1" applyAlignment="1">
      <alignment horizontal="center" vertical="center" shrinkToFit="1"/>
    </xf>
    <xf numFmtId="0" fontId="81" fillId="9" borderId="195" xfId="6" applyFont="1" applyFill="1" applyBorder="1" applyAlignment="1">
      <alignment horizontal="center" vertical="center" shrinkToFit="1"/>
    </xf>
    <xf numFmtId="38" fontId="81" fillId="0" borderId="203" xfId="6" applyNumberFormat="1" applyFont="1" applyBorder="1" applyAlignment="1">
      <alignment horizontal="center" vertical="center" shrinkToFit="1"/>
    </xf>
    <xf numFmtId="38" fontId="81" fillId="0" borderId="200" xfId="6" applyNumberFormat="1" applyFont="1" applyBorder="1" applyAlignment="1">
      <alignment horizontal="center" vertical="center" shrinkToFit="1"/>
    </xf>
    <xf numFmtId="38" fontId="81" fillId="0" borderId="194" xfId="6" applyNumberFormat="1" applyFont="1" applyBorder="1" applyAlignment="1">
      <alignment horizontal="center" vertical="center" shrinkToFit="1"/>
    </xf>
    <xf numFmtId="0" fontId="81" fillId="0" borderId="8" xfId="6" applyFont="1" applyBorder="1" applyAlignment="1" applyProtection="1">
      <alignment horizontal="left" vertical="center" shrinkToFit="1"/>
      <protection locked="0"/>
    </xf>
    <xf numFmtId="0" fontId="81" fillId="0" borderId="5" xfId="6" applyFont="1" applyBorder="1" applyAlignment="1" applyProtection="1">
      <alignment horizontal="left" vertical="center" shrinkToFit="1"/>
      <protection locked="0"/>
    </xf>
    <xf numFmtId="0" fontId="81" fillId="0" borderId="7" xfId="6" applyFont="1" applyBorder="1" applyAlignment="1" applyProtection="1">
      <alignment horizontal="left" vertical="center" shrinkToFit="1"/>
      <protection locked="0"/>
    </xf>
    <xf numFmtId="0" fontId="81" fillId="0" borderId="6" xfId="6" applyFont="1" applyBorder="1" applyAlignment="1" applyProtection="1">
      <alignment horizontal="left" vertical="center" shrinkToFit="1"/>
      <protection locked="0"/>
    </xf>
    <xf numFmtId="0" fontId="88" fillId="9" borderId="6" xfId="6" applyNumberFormat="1" applyFont="1" applyFill="1" applyBorder="1" applyAlignment="1" applyProtection="1">
      <alignment horizontal="left" vertical="center" wrapText="1" shrinkToFit="1"/>
      <protection locked="0"/>
    </xf>
    <xf numFmtId="0" fontId="81" fillId="0" borderId="0" xfId="4" applyFont="1" applyAlignment="1">
      <alignment horizontal="left" vertical="top" wrapText="1"/>
    </xf>
    <xf numFmtId="0" fontId="81" fillId="0" borderId="0" xfId="4" applyFont="1" applyAlignment="1">
      <alignment horizontal="left" vertical="top"/>
    </xf>
    <xf numFmtId="0" fontId="81" fillId="0" borderId="0" xfId="6" applyFont="1" applyAlignment="1">
      <alignment horizontal="left" vertical="top" wrapText="1" shrinkToFit="1"/>
    </xf>
    <xf numFmtId="0" fontId="81" fillId="0" borderId="0" xfId="6" applyFont="1" applyAlignment="1">
      <alignment horizontal="left" vertical="top" shrinkToFit="1"/>
    </xf>
    <xf numFmtId="0" fontId="81" fillId="9" borderId="191" xfId="6" applyNumberFormat="1" applyFont="1" applyFill="1" applyBorder="1" applyAlignment="1">
      <alignment horizontal="left" vertical="center" shrinkToFit="1"/>
    </xf>
    <xf numFmtId="0" fontId="81" fillId="9" borderId="190" xfId="6" applyNumberFormat="1" applyFont="1" applyFill="1" applyBorder="1" applyAlignment="1">
      <alignment horizontal="left" vertical="center" shrinkToFit="1"/>
    </xf>
    <xf numFmtId="0" fontId="86" fillId="0" borderId="5" xfId="4" applyFont="1" applyBorder="1" applyAlignment="1">
      <alignment horizontal="left" vertical="center" wrapText="1"/>
    </xf>
    <xf numFmtId="0" fontId="86" fillId="0" borderId="7" xfId="4" applyFont="1" applyBorder="1" applyAlignment="1">
      <alignment horizontal="left" vertical="center" wrapText="1"/>
    </xf>
    <xf numFmtId="0" fontId="86" fillId="0" borderId="6" xfId="4" applyFont="1" applyBorder="1" applyAlignment="1">
      <alignment horizontal="left" vertical="center" wrapText="1"/>
    </xf>
    <xf numFmtId="0" fontId="81" fillId="0" borderId="14" xfId="6" applyFont="1" applyBorder="1" applyAlignment="1" applyProtection="1">
      <alignment horizontal="left" vertical="center" shrinkToFit="1"/>
      <protection locked="0"/>
    </xf>
    <xf numFmtId="0" fontId="81" fillId="0" borderId="54" xfId="6" applyFont="1" applyBorder="1" applyAlignment="1">
      <alignment horizontal="center" vertical="center" shrinkToFit="1"/>
    </xf>
    <xf numFmtId="0" fontId="81" fillId="0" borderId="55" xfId="6" applyFont="1" applyBorder="1" applyAlignment="1">
      <alignment horizontal="center" vertical="center" shrinkToFit="1"/>
    </xf>
    <xf numFmtId="0" fontId="57" fillId="0" borderId="205" xfId="2" applyFont="1" applyBorder="1" applyAlignment="1">
      <alignment horizontal="center" vertical="center" wrapText="1"/>
    </xf>
    <xf numFmtId="0" fontId="57" fillId="0" borderId="86" xfId="2" applyFont="1" applyBorder="1" applyAlignment="1">
      <alignment horizontal="center" vertical="center" wrapText="1"/>
    </xf>
    <xf numFmtId="0" fontId="57" fillId="0" borderId="146" xfId="2" applyFont="1" applyBorder="1" applyAlignment="1">
      <alignment horizontal="center" vertical="center"/>
    </xf>
    <xf numFmtId="0" fontId="57" fillId="0" borderId="145" xfId="2" applyFont="1" applyBorder="1" applyAlignment="1">
      <alignment horizontal="center" vertical="center"/>
    </xf>
    <xf numFmtId="0" fontId="57" fillId="0" borderId="0" xfId="2" applyFont="1" applyAlignment="1">
      <alignment vertical="top" wrapText="1"/>
    </xf>
    <xf numFmtId="0" fontId="57" fillId="0" borderId="0" xfId="2" applyFont="1" applyAlignment="1">
      <alignment vertical="top"/>
    </xf>
    <xf numFmtId="0" fontId="57" fillId="0" borderId="54" xfId="2" applyFont="1" applyBorder="1" applyAlignment="1">
      <alignment horizontal="center" vertical="center"/>
    </xf>
    <xf numFmtId="0" fontId="57" fillId="0" borderId="56" xfId="2" applyFont="1" applyBorder="1" applyAlignment="1">
      <alignment horizontal="center" vertical="center"/>
    </xf>
    <xf numFmtId="0" fontId="57" fillId="0" borderId="184" xfId="2" applyFont="1" applyBorder="1" applyAlignment="1">
      <alignment horizontal="center" vertical="center"/>
    </xf>
    <xf numFmtId="0" fontId="57" fillId="0" borderId="84" xfId="2" applyFont="1" applyBorder="1" applyAlignment="1">
      <alignment horizontal="center" vertical="center"/>
    </xf>
    <xf numFmtId="0" fontId="57" fillId="0" borderId="183" xfId="2" applyFont="1" applyBorder="1" applyAlignment="1">
      <alignment horizontal="center" vertical="center"/>
    </xf>
    <xf numFmtId="0" fontId="57" fillId="0" borderId="85" xfId="2" applyFont="1" applyBorder="1" applyAlignment="1">
      <alignment horizontal="center" vertical="center"/>
    </xf>
    <xf numFmtId="0" fontId="57" fillId="0" borderId="183" xfId="2" applyFont="1" applyBorder="1" applyAlignment="1">
      <alignment horizontal="center" vertical="center" wrapText="1"/>
    </xf>
    <xf numFmtId="0" fontId="57" fillId="0" borderId="85" xfId="2" applyFont="1" applyBorder="1" applyAlignment="1">
      <alignment horizontal="center" vertical="center" wrapText="1"/>
    </xf>
    <xf numFmtId="0" fontId="57" fillId="0" borderId="7" xfId="2" applyFont="1" applyBorder="1" applyAlignment="1" applyProtection="1">
      <alignment horizontal="distributed" vertical="center"/>
    </xf>
    <xf numFmtId="0" fontId="57" fillId="2" borderId="0" xfId="2" applyFont="1" applyFill="1" applyAlignment="1" applyProtection="1">
      <alignment horizontal="left" vertical="center" shrinkToFit="1"/>
      <protection locked="0"/>
    </xf>
    <xf numFmtId="0" fontId="57" fillId="0" borderId="0" xfId="2" applyFont="1" applyAlignment="1" applyProtection="1">
      <alignment horizontal="left" vertical="center" wrapText="1"/>
    </xf>
    <xf numFmtId="0" fontId="62" fillId="0" borderId="0" xfId="2" applyFont="1" applyAlignment="1" applyProtection="1">
      <alignment horizontal="left" vertical="center" wrapText="1"/>
    </xf>
    <xf numFmtId="0" fontId="58" fillId="2" borderId="8" xfId="2" applyFont="1" applyFill="1" applyBorder="1" applyAlignment="1" applyProtection="1">
      <alignment horizontal="center" vertical="center"/>
      <protection locked="0"/>
    </xf>
    <xf numFmtId="0" fontId="62" fillId="0" borderId="8" xfId="2" applyFont="1" applyBorder="1" applyAlignment="1" applyProtection="1">
      <alignment horizontal="left" vertical="center" wrapText="1"/>
    </xf>
    <xf numFmtId="0" fontId="59" fillId="0" borderId="0" xfId="2" applyFont="1" applyAlignment="1" applyProtection="1">
      <alignment horizontal="left" vertical="top" wrapText="1"/>
    </xf>
    <xf numFmtId="0" fontId="57" fillId="0" borderId="10" xfId="2" applyFont="1" applyBorder="1" applyAlignment="1" applyProtection="1">
      <alignment horizontal="distributed" vertical="center"/>
    </xf>
    <xf numFmtId="0" fontId="58" fillId="0" borderId="5" xfId="2" applyFont="1" applyBorder="1" applyAlignment="1" applyProtection="1">
      <alignment horizontal="center" vertical="center" wrapText="1"/>
    </xf>
    <xf numFmtId="0" fontId="58" fillId="0" borderId="7" xfId="2" applyFont="1" applyBorder="1" applyAlignment="1" applyProtection="1">
      <alignment horizontal="center" vertical="center" wrapText="1"/>
    </xf>
    <xf numFmtId="0" fontId="58" fillId="0" borderId="6" xfId="2" applyFont="1" applyBorder="1" applyAlignment="1" applyProtection="1">
      <alignment horizontal="center" vertical="center" wrapText="1"/>
    </xf>
    <xf numFmtId="0" fontId="102" fillId="9" borderId="0" xfId="2" applyFont="1" applyFill="1" applyAlignment="1" applyProtection="1">
      <alignment horizontal="right" vertical="center" shrinkToFit="1"/>
    </xf>
    <xf numFmtId="0" fontId="102" fillId="9" borderId="0" xfId="2" applyFont="1" applyFill="1" applyAlignment="1" applyProtection="1">
      <alignment horizontal="center" vertical="center"/>
    </xf>
    <xf numFmtId="0" fontId="99" fillId="9" borderId="16" xfId="2" applyFont="1" applyFill="1" applyBorder="1" applyAlignment="1" applyProtection="1">
      <alignment horizontal="left" vertical="center" wrapText="1"/>
    </xf>
    <xf numFmtId="0" fontId="99" fillId="9" borderId="28" xfId="2" applyFont="1" applyFill="1" applyBorder="1" applyAlignment="1" applyProtection="1">
      <alignment horizontal="left" vertical="center" wrapText="1"/>
    </xf>
    <xf numFmtId="0" fontId="99" fillId="9" borderId="17" xfId="2" applyFont="1" applyFill="1" applyBorder="1" applyAlignment="1" applyProtection="1">
      <alignment horizontal="left" vertical="center" wrapText="1"/>
    </xf>
    <xf numFmtId="0" fontId="99" fillId="2" borderId="11" xfId="2" applyFont="1" applyFill="1" applyBorder="1" applyProtection="1">
      <alignment vertical="center"/>
      <protection locked="0"/>
    </xf>
    <xf numFmtId="0" fontId="99" fillId="2" borderId="10" xfId="2" applyFont="1" applyFill="1" applyBorder="1" applyProtection="1">
      <alignment vertical="center"/>
      <protection locked="0"/>
    </xf>
    <xf numFmtId="0" fontId="99" fillId="2" borderId="12" xfId="2" applyFont="1" applyFill="1" applyBorder="1" applyProtection="1">
      <alignment vertical="center"/>
      <protection locked="0"/>
    </xf>
    <xf numFmtId="0" fontId="58" fillId="9" borderId="59" xfId="2" applyFont="1" applyFill="1" applyBorder="1" applyAlignment="1" applyProtection="1">
      <alignment horizontal="center" vertical="center"/>
    </xf>
    <xf numFmtId="0" fontId="58" fillId="9" borderId="53" xfId="2" applyFont="1" applyFill="1" applyBorder="1" applyAlignment="1" applyProtection="1">
      <alignment horizontal="center" vertical="center"/>
    </xf>
    <xf numFmtId="0" fontId="58" fillId="9" borderId="103" xfId="2" applyFont="1" applyFill="1" applyBorder="1" applyAlignment="1" applyProtection="1">
      <alignment horizontal="center" vertical="center"/>
    </xf>
    <xf numFmtId="0" fontId="58" fillId="9" borderId="8" xfId="2" applyFont="1" applyFill="1" applyBorder="1" applyAlignment="1" applyProtection="1">
      <alignment horizontal="center" vertical="center"/>
    </xf>
    <xf numFmtId="0" fontId="57" fillId="2" borderId="101" xfId="2" applyFont="1" applyFill="1" applyBorder="1" applyAlignment="1" applyProtection="1">
      <alignment vertical="center" shrinkToFit="1"/>
      <protection locked="0"/>
    </xf>
    <xf numFmtId="0" fontId="57" fillId="2" borderId="85" xfId="2" applyFont="1" applyFill="1" applyBorder="1" applyAlignment="1" applyProtection="1">
      <alignment vertical="center" shrinkToFit="1"/>
      <protection locked="0"/>
    </xf>
    <xf numFmtId="0" fontId="57" fillId="2" borderId="86" xfId="2" applyFont="1" applyFill="1" applyBorder="1" applyAlignment="1" applyProtection="1">
      <alignment vertical="center" shrinkToFit="1"/>
      <protection locked="0"/>
    </xf>
    <xf numFmtId="0" fontId="57" fillId="0" borderId="64" xfId="2" applyFont="1" applyBorder="1" applyAlignment="1" applyProtection="1">
      <alignment horizontal="center" vertical="center"/>
    </xf>
    <xf numFmtId="0" fontId="99" fillId="2" borderId="5" xfId="2" applyFont="1" applyFill="1" applyBorder="1" applyProtection="1">
      <alignment vertical="center"/>
      <protection locked="0"/>
    </xf>
    <xf numFmtId="0" fontId="99" fillId="2" borderId="7" xfId="2" applyFont="1" applyFill="1" applyBorder="1" applyProtection="1">
      <alignment vertical="center"/>
      <protection locked="0"/>
    </xf>
    <xf numFmtId="0" fontId="99" fillId="2" borderId="6" xfId="2" applyFont="1" applyFill="1" applyBorder="1" applyProtection="1">
      <alignment vertical="center"/>
      <protection locked="0"/>
    </xf>
    <xf numFmtId="0" fontId="99" fillId="9" borderId="3" xfId="2" applyFont="1" applyFill="1" applyBorder="1" applyAlignment="1" applyProtection="1">
      <alignment horizontal="left" vertical="center" wrapText="1"/>
    </xf>
    <xf numFmtId="0" fontId="99" fillId="9" borderId="2" xfId="2" applyFont="1" applyFill="1" applyBorder="1" applyAlignment="1" applyProtection="1">
      <alignment horizontal="left" vertical="center" wrapText="1"/>
    </xf>
    <xf numFmtId="0" fontId="99" fillId="9" borderId="4" xfId="2" applyFont="1" applyFill="1" applyBorder="1" applyAlignment="1" applyProtection="1">
      <alignment horizontal="left" vertical="center" wrapText="1"/>
    </xf>
    <xf numFmtId="0" fontId="57" fillId="2" borderId="12" xfId="2" applyFont="1" applyFill="1" applyBorder="1" applyAlignment="1" applyProtection="1">
      <alignment vertical="center" shrinkToFit="1"/>
      <protection locked="0"/>
    </xf>
    <xf numFmtId="0" fontId="57" fillId="2" borderId="9" xfId="2" applyFont="1" applyFill="1" applyBorder="1" applyAlignment="1" applyProtection="1">
      <alignment vertical="center" shrinkToFit="1"/>
      <protection locked="0"/>
    </xf>
    <xf numFmtId="0" fontId="57" fillId="2" borderId="206" xfId="2" applyFont="1" applyFill="1" applyBorder="1" applyAlignment="1" applyProtection="1">
      <alignment vertical="center" shrinkToFit="1"/>
      <protection locked="0"/>
    </xf>
    <xf numFmtId="0" fontId="58" fillId="9" borderId="84" xfId="2" applyFont="1" applyFill="1" applyBorder="1" applyAlignment="1" applyProtection="1">
      <alignment horizontal="center" vertical="center"/>
    </xf>
    <xf numFmtId="0" fontId="58" fillId="9" borderId="85" xfId="2" applyFont="1" applyFill="1" applyBorder="1" applyAlignment="1" applyProtection="1">
      <alignment horizontal="center" vertical="center"/>
    </xf>
  </cellXfs>
  <cellStyles count="8">
    <cellStyle name="桁区切り" xfId="1" builtinId="6"/>
    <cellStyle name="桁区切り 2" xfId="3" xr:uid="{4924D458-1817-438F-BF4F-C1191B02641B}"/>
    <cellStyle name="標準" xfId="0" builtinId="0"/>
    <cellStyle name="標準 2 3" xfId="7" xr:uid="{38A649D8-DA90-4BE9-8E24-84562AB3E339}"/>
    <cellStyle name="標準 3" xfId="4" xr:uid="{12EB8871-29D3-4C99-8573-0218F318A8DB}"/>
    <cellStyle name="標準 3 2" xfId="5" xr:uid="{82F704A3-A234-4C35-89C8-94D2B2AC632F}"/>
    <cellStyle name="標準 4 2" xfId="2" xr:uid="{779A6857-3F95-450B-AFA7-21CBB90FE4C2}"/>
    <cellStyle name="標準_賃金改善内訳表" xfId="6" xr:uid="{3E1F6E74-97CC-42BB-AEDE-D60F3FD1CB0C}"/>
  </cellStyles>
  <dxfs count="9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border diagonalUp="0" diagonalDown="0">
        <left/>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96A79575-36AF-4E3E-9120-2C714E99FCCA}"/>
            </a:ext>
          </a:extLst>
        </xdr:cNvPr>
        <xdr:cNvSpPr txBox="1"/>
      </xdr:nvSpPr>
      <xdr:spPr>
        <a:xfrm>
          <a:off x="9579910" y="136543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23</xdr:row>
      <xdr:rowOff>2036</xdr:rowOff>
    </xdr:from>
    <xdr:ext cx="4762499" cy="2925416"/>
    <xdr:sp macro="" textlink="">
      <xdr:nvSpPr>
        <xdr:cNvPr id="3" name="テキスト ボックス 2">
          <a:extLst>
            <a:ext uri="{FF2B5EF4-FFF2-40B4-BE49-F238E27FC236}">
              <a16:creationId xmlns:a16="http://schemas.microsoft.com/office/drawing/2014/main" id="{8BD03840-5A29-4755-A997-CA9B20B51C4D}"/>
            </a:ext>
          </a:extLst>
        </xdr:cNvPr>
        <xdr:cNvSpPr txBox="1"/>
      </xdr:nvSpPr>
      <xdr:spPr>
        <a:xfrm>
          <a:off x="9579909" y="544081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DC20C810-EECD-4BDC-9F15-AE995DAFC654}"/>
            </a:ext>
          </a:extLst>
        </xdr:cNvPr>
        <xdr:cNvSpPr txBox="1"/>
      </xdr:nvSpPr>
      <xdr:spPr>
        <a:xfrm>
          <a:off x="64674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9</xdr:row>
      <xdr:rowOff>104775</xdr:rowOff>
    </xdr:from>
    <xdr:to>
      <xdr:col>9</xdr:col>
      <xdr:colOff>257175</xdr:colOff>
      <xdr:row>9</xdr:row>
      <xdr:rowOff>104775</xdr:rowOff>
    </xdr:to>
    <xdr:cxnSp macro="">
      <xdr:nvCxnSpPr>
        <xdr:cNvPr id="5" name="直線矢印コネクタ 4">
          <a:extLst>
            <a:ext uri="{FF2B5EF4-FFF2-40B4-BE49-F238E27FC236}">
              <a16:creationId xmlns:a16="http://schemas.microsoft.com/office/drawing/2014/main" id="{E11300F0-2593-493A-9018-BAFC8FF36574}"/>
            </a:ext>
          </a:extLst>
        </xdr:cNvPr>
        <xdr:cNvCxnSpPr/>
      </xdr:nvCxnSpPr>
      <xdr:spPr>
        <a:xfrm flipH="1">
          <a:off x="6753225" y="2486025"/>
          <a:ext cx="28194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26</xdr:row>
      <xdr:rowOff>104775</xdr:rowOff>
    </xdr:from>
    <xdr:to>
      <xdr:col>9</xdr:col>
      <xdr:colOff>257175</xdr:colOff>
      <xdr:row>26</xdr:row>
      <xdr:rowOff>104775</xdr:rowOff>
    </xdr:to>
    <xdr:cxnSp macro="">
      <xdr:nvCxnSpPr>
        <xdr:cNvPr id="6" name="直線矢印コネクタ 5">
          <a:extLst>
            <a:ext uri="{FF2B5EF4-FFF2-40B4-BE49-F238E27FC236}">
              <a16:creationId xmlns:a16="http://schemas.microsoft.com/office/drawing/2014/main" id="{F4DA1A1A-AA35-49A6-BA64-4057341CD82C}"/>
            </a:ext>
          </a:extLst>
        </xdr:cNvPr>
        <xdr:cNvCxnSpPr/>
      </xdr:nvCxnSpPr>
      <xdr:spPr>
        <a:xfrm flipH="1">
          <a:off x="6753225" y="6191250"/>
          <a:ext cx="28194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26</xdr:row>
      <xdr:rowOff>42585</xdr:rowOff>
    </xdr:from>
    <xdr:to>
      <xdr:col>10</xdr:col>
      <xdr:colOff>206565</xdr:colOff>
      <xdr:row>27</xdr:row>
      <xdr:rowOff>190500</xdr:rowOff>
    </xdr:to>
    <xdr:sp macro="" textlink="">
      <xdr:nvSpPr>
        <xdr:cNvPr id="2" name="下矢印 1">
          <a:extLst>
            <a:ext uri="{FF2B5EF4-FFF2-40B4-BE49-F238E27FC236}">
              <a16:creationId xmlns:a16="http://schemas.microsoft.com/office/drawing/2014/main" id="{EFE70879-57E6-48E7-A221-845227B35F64}"/>
            </a:ext>
          </a:extLst>
        </xdr:cNvPr>
        <xdr:cNvSpPr/>
      </xdr:nvSpPr>
      <xdr:spPr>
        <a:xfrm>
          <a:off x="4707990" y="52337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42</xdr:row>
      <xdr:rowOff>161924</xdr:rowOff>
    </xdr:from>
    <xdr:to>
      <xdr:col>10</xdr:col>
      <xdr:colOff>245305</xdr:colOff>
      <xdr:row>43</xdr:row>
      <xdr:rowOff>180094</xdr:rowOff>
    </xdr:to>
    <xdr:sp macro="" textlink="">
      <xdr:nvSpPr>
        <xdr:cNvPr id="3" name="下矢印 2">
          <a:extLst>
            <a:ext uri="{FF2B5EF4-FFF2-40B4-BE49-F238E27FC236}">
              <a16:creationId xmlns:a16="http://schemas.microsoft.com/office/drawing/2014/main" id="{0DB0DACB-FB25-4428-83CF-ACA75A6FAF4C}"/>
            </a:ext>
          </a:extLst>
        </xdr:cNvPr>
        <xdr:cNvSpPr/>
      </xdr:nvSpPr>
      <xdr:spPr>
        <a:xfrm>
          <a:off x="4727680" y="8524874"/>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40</xdr:row>
      <xdr:rowOff>65312</xdr:rowOff>
    </xdr:from>
    <xdr:to>
      <xdr:col>15</xdr:col>
      <xdr:colOff>304799</xdr:colOff>
      <xdr:row>43</xdr:row>
      <xdr:rowOff>0</xdr:rowOff>
    </xdr:to>
    <xdr:sp macro="" textlink="">
      <xdr:nvSpPr>
        <xdr:cNvPr id="4" name="テキスト ボックス 3">
          <a:extLst>
            <a:ext uri="{FF2B5EF4-FFF2-40B4-BE49-F238E27FC236}">
              <a16:creationId xmlns:a16="http://schemas.microsoft.com/office/drawing/2014/main" id="{090FA117-FD68-4CA1-BBB6-FFC9D7BDB174}"/>
            </a:ext>
          </a:extLst>
        </xdr:cNvPr>
        <xdr:cNvSpPr txBox="1"/>
      </xdr:nvSpPr>
      <xdr:spPr>
        <a:xfrm>
          <a:off x="2062843" y="9290955"/>
          <a:ext cx="5685063" cy="5878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66675</xdr:colOff>
      <xdr:row>0</xdr:row>
      <xdr:rowOff>57150</xdr:rowOff>
    </xdr:from>
    <xdr:ext cx="2300630" cy="800604"/>
    <xdr:sp macro="" textlink="">
      <xdr:nvSpPr>
        <xdr:cNvPr id="5" name="テキスト ボックス 4">
          <a:extLst>
            <a:ext uri="{FF2B5EF4-FFF2-40B4-BE49-F238E27FC236}">
              <a16:creationId xmlns:a16="http://schemas.microsoft.com/office/drawing/2014/main" id="{05896885-AFBF-1A0E-913C-83A436D23025}"/>
            </a:ext>
          </a:extLst>
        </xdr:cNvPr>
        <xdr:cNvSpPr txBox="1"/>
      </xdr:nvSpPr>
      <xdr:spPr>
        <a:xfrm>
          <a:off x="8601075" y="57150"/>
          <a:ext cx="2300630"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分園を設置している場合、本園分</a:t>
          </a:r>
          <a:endParaRPr kumimoji="1" lang="en-US" altLang="ja-JP" sz="1100"/>
        </a:p>
        <a:p>
          <a:r>
            <a:rPr kumimoji="1" lang="ja-JP" altLang="en-US" sz="1100"/>
            <a:t>のみ入力してください。</a:t>
          </a:r>
          <a:endParaRPr kumimoji="1" lang="en-US" altLang="ja-JP" sz="1100"/>
        </a:p>
        <a:p>
          <a:r>
            <a:rPr kumimoji="1" lang="ja-JP" altLang="en-US" sz="1100"/>
            <a:t>（分園は次のシートで入力）</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278865</xdr:colOff>
      <xdr:row>26</xdr:row>
      <xdr:rowOff>42585</xdr:rowOff>
    </xdr:from>
    <xdr:to>
      <xdr:col>10</xdr:col>
      <xdr:colOff>206565</xdr:colOff>
      <xdr:row>27</xdr:row>
      <xdr:rowOff>190500</xdr:rowOff>
    </xdr:to>
    <xdr:sp macro="" textlink="">
      <xdr:nvSpPr>
        <xdr:cNvPr id="2" name="下矢印 1">
          <a:extLst>
            <a:ext uri="{FF2B5EF4-FFF2-40B4-BE49-F238E27FC236}">
              <a16:creationId xmlns:a16="http://schemas.microsoft.com/office/drawing/2014/main" id="{51B51067-ACF8-4F33-8820-B81C70083AA8}"/>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42</xdr:row>
      <xdr:rowOff>161924</xdr:rowOff>
    </xdr:from>
    <xdr:to>
      <xdr:col>10</xdr:col>
      <xdr:colOff>245305</xdr:colOff>
      <xdr:row>43</xdr:row>
      <xdr:rowOff>180094</xdr:rowOff>
    </xdr:to>
    <xdr:sp macro="" textlink="">
      <xdr:nvSpPr>
        <xdr:cNvPr id="3" name="下矢印 2">
          <a:extLst>
            <a:ext uri="{FF2B5EF4-FFF2-40B4-BE49-F238E27FC236}">
              <a16:creationId xmlns:a16="http://schemas.microsoft.com/office/drawing/2014/main" id="{2654114A-B488-4EBD-8E68-E12578510701}"/>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40</xdr:row>
      <xdr:rowOff>65312</xdr:rowOff>
    </xdr:from>
    <xdr:to>
      <xdr:col>15</xdr:col>
      <xdr:colOff>304799</xdr:colOff>
      <xdr:row>43</xdr:row>
      <xdr:rowOff>0</xdr:rowOff>
    </xdr:to>
    <xdr:sp macro="" textlink="">
      <xdr:nvSpPr>
        <xdr:cNvPr id="4" name="テキスト ボックス 3">
          <a:extLst>
            <a:ext uri="{FF2B5EF4-FFF2-40B4-BE49-F238E27FC236}">
              <a16:creationId xmlns:a16="http://schemas.microsoft.com/office/drawing/2014/main" id="{077CB3BA-1B89-44ED-88FA-C3ABC227A18A}"/>
            </a:ext>
          </a:extLst>
        </xdr:cNvPr>
        <xdr:cNvSpPr txBox="1"/>
      </xdr:nvSpPr>
      <xdr:spPr>
        <a:xfrm>
          <a:off x="2062843" y="9290955"/>
          <a:ext cx="5685063" cy="5878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76200</xdr:colOff>
      <xdr:row>0</xdr:row>
      <xdr:rowOff>66675</xdr:rowOff>
    </xdr:from>
    <xdr:ext cx="2441694" cy="800604"/>
    <xdr:sp macro="" textlink="">
      <xdr:nvSpPr>
        <xdr:cNvPr id="5" name="テキスト ボックス 4">
          <a:extLst>
            <a:ext uri="{FF2B5EF4-FFF2-40B4-BE49-F238E27FC236}">
              <a16:creationId xmlns:a16="http://schemas.microsoft.com/office/drawing/2014/main" id="{9C06602E-0DBA-4BF2-8349-7F6D6EDB50DF}"/>
            </a:ext>
          </a:extLst>
        </xdr:cNvPr>
        <xdr:cNvSpPr txBox="1"/>
      </xdr:nvSpPr>
      <xdr:spPr>
        <a:xfrm>
          <a:off x="8610600" y="66675"/>
          <a:ext cx="2441694"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分園がない場合は記入は不要です。</a:t>
          </a:r>
          <a:endParaRPr kumimoji="1" lang="en-US" altLang="ja-JP" sz="1100"/>
        </a:p>
        <a:p>
          <a:r>
            <a:rPr kumimoji="1" lang="ja-JP" altLang="en-US" sz="1100"/>
            <a:t>（分園がある場合、分園の情報のみ</a:t>
          </a:r>
          <a:endParaRPr kumimoji="1" lang="en-US" altLang="ja-JP" sz="1100"/>
        </a:p>
        <a:p>
          <a:r>
            <a:rPr kumimoji="1" lang="ja-JP" altLang="en-US" sz="1100"/>
            <a:t>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224117</xdr:colOff>
      <xdr:row>0</xdr:row>
      <xdr:rowOff>403412</xdr:rowOff>
    </xdr:from>
    <xdr:ext cx="5020236" cy="1567417"/>
    <xdr:sp macro="" textlink="">
      <xdr:nvSpPr>
        <xdr:cNvPr id="2" name="テキスト ボックス 1">
          <a:extLst>
            <a:ext uri="{FF2B5EF4-FFF2-40B4-BE49-F238E27FC236}">
              <a16:creationId xmlns:a16="http://schemas.microsoft.com/office/drawing/2014/main" id="{C429D2E6-92FD-4C2E-A5C8-977F8599F9EE}"/>
            </a:ext>
          </a:extLst>
        </xdr:cNvPr>
        <xdr:cNvSpPr txBox="1"/>
      </xdr:nvSpPr>
      <xdr:spPr>
        <a:xfrm>
          <a:off x="9592235" y="403412"/>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「児童数計算表」シートでは、教育・保育の別や標準時間・短時間など認定内容の違いは考慮していませんのでご注意ください。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181695</xdr:colOff>
      <xdr:row>0</xdr:row>
      <xdr:rowOff>350584</xdr:rowOff>
    </xdr:from>
    <xdr:ext cx="5020236" cy="864660"/>
    <xdr:sp macro="" textlink="">
      <xdr:nvSpPr>
        <xdr:cNvPr id="2" name="テキスト ボックス 1">
          <a:extLst>
            <a:ext uri="{FF2B5EF4-FFF2-40B4-BE49-F238E27FC236}">
              <a16:creationId xmlns:a16="http://schemas.microsoft.com/office/drawing/2014/main" id="{E8CD9616-7B0F-4B28-94D7-74304B6B3560}"/>
            </a:ext>
          </a:extLst>
        </xdr:cNvPr>
        <xdr:cNvSpPr txBox="1"/>
      </xdr:nvSpPr>
      <xdr:spPr>
        <a:xfrm>
          <a:off x="10704019" y="350584"/>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40</xdr:col>
      <xdr:colOff>190500</xdr:colOff>
      <xdr:row>15</xdr:row>
      <xdr:rowOff>19050</xdr:rowOff>
    </xdr:from>
    <xdr:ext cx="5372100" cy="857249"/>
    <xdr:sp macro="" textlink="">
      <xdr:nvSpPr>
        <xdr:cNvPr id="2" name="テキスト ボックス 1">
          <a:extLst>
            <a:ext uri="{FF2B5EF4-FFF2-40B4-BE49-F238E27FC236}">
              <a16:creationId xmlns:a16="http://schemas.microsoft.com/office/drawing/2014/main" id="{30ED8F7F-E8F3-42BA-92AE-2990B247467B}"/>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7759E869-B972-4C8E-9DB8-ABF11BC4A132}"/>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4</xdr:row>
      <xdr:rowOff>176893</xdr:rowOff>
    </xdr:from>
    <xdr:ext cx="4762499" cy="3215067"/>
    <xdr:sp macro="" textlink="">
      <xdr:nvSpPr>
        <xdr:cNvPr id="3" name="テキスト ボックス 2">
          <a:extLst>
            <a:ext uri="{FF2B5EF4-FFF2-40B4-BE49-F238E27FC236}">
              <a16:creationId xmlns:a16="http://schemas.microsoft.com/office/drawing/2014/main" id="{C9C90096-4534-493B-B7D1-A7A2821E1360}"/>
            </a:ext>
          </a:extLst>
        </xdr:cNvPr>
        <xdr:cNvSpPr txBox="1"/>
      </xdr:nvSpPr>
      <xdr:spPr>
        <a:xfrm>
          <a:off x="9744226" y="1551214"/>
          <a:ext cx="4762499" cy="32150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京都市注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14</xdr:row>
      <xdr:rowOff>190500</xdr:rowOff>
    </xdr:from>
    <xdr:to>
      <xdr:col>42</xdr:col>
      <xdr:colOff>137583</xdr:colOff>
      <xdr:row>14</xdr:row>
      <xdr:rowOff>201083</xdr:rowOff>
    </xdr:to>
    <xdr:cxnSp macro="">
      <xdr:nvCxnSpPr>
        <xdr:cNvPr id="4" name="直線矢印コネクタ 3">
          <a:extLst>
            <a:ext uri="{FF2B5EF4-FFF2-40B4-BE49-F238E27FC236}">
              <a16:creationId xmlns:a16="http://schemas.microsoft.com/office/drawing/2014/main" id="{A03855AE-5B7E-4026-9D36-9E982A151508}"/>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15045891-7F02-4CAB-95CF-4B831F5877E3}"/>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C33D3981-635B-41E6-8AC4-359495107B65}"/>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0F4EE3B7-6134-4887-9063-24C8E7B06D86}"/>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9CEEDC61-6C50-4FCA-BC05-2C2ED914FD56}"/>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30</xdr:col>
      <xdr:colOff>132954</xdr:colOff>
      <xdr:row>10</xdr:row>
      <xdr:rowOff>277813</xdr:rowOff>
    </xdr:from>
    <xdr:ext cx="4762499" cy="1061640"/>
    <xdr:sp macro="" textlink="">
      <xdr:nvSpPr>
        <xdr:cNvPr id="2" name="テキスト ボックス 1">
          <a:extLst>
            <a:ext uri="{FF2B5EF4-FFF2-40B4-BE49-F238E27FC236}">
              <a16:creationId xmlns:a16="http://schemas.microsoft.com/office/drawing/2014/main" id="{DC3AFF2A-ADAC-4553-A94A-2E619562338A}"/>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10</xdr:row>
      <xdr:rowOff>337343</xdr:rowOff>
    </xdr:from>
    <xdr:to>
      <xdr:col>30</xdr:col>
      <xdr:colOff>138906</xdr:colOff>
      <xdr:row>12</xdr:row>
      <xdr:rowOff>228203</xdr:rowOff>
    </xdr:to>
    <xdr:cxnSp macro="">
      <xdr:nvCxnSpPr>
        <xdr:cNvPr id="3" name="直線矢印コネクタ 2">
          <a:extLst>
            <a:ext uri="{FF2B5EF4-FFF2-40B4-BE49-F238E27FC236}">
              <a16:creationId xmlns:a16="http://schemas.microsoft.com/office/drawing/2014/main" id="{A1168A8E-0572-446E-AEAA-48766AD5F6E8}"/>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B0F312-3C5A-4012-883F-2C0D5DC4B1FD}" name="単価1号" displayName="単価1号" ref="F2:AF53" totalsRowShown="0" headerRowDxfId="91" dataDxfId="90" tableBorderDxfId="89" dataCellStyle="標準 4 2">
  <autoFilter ref="F2:AF53" xr:uid="{77B0F312-3C5A-4012-883F-2C0D5DC4B1FD}"/>
  <tableColumns count="27">
    <tableColumn id="1" xr3:uid="{17EA91EC-7C54-4F57-9442-5EF60DBCA51D}" name="列1" dataDxfId="88">
      <calculatedColumnFormula>D3&amp;E3</calculatedColumnFormula>
    </tableColumn>
    <tableColumn id="2" xr3:uid="{7674D71F-E3B2-43FD-A522-B7A9D3096AE3}" name="列2" dataDxfId="87" dataCellStyle="標準 4 2"/>
    <tableColumn id="3" xr3:uid="{09B58245-F6C4-4B05-B369-114EAB4F9842}" name="列3" dataDxfId="86" dataCellStyle="標準 4 2"/>
    <tableColumn id="4" xr3:uid="{FA80A460-D57D-46CF-A169-C3D4BB9FCE31}" name="列4" dataDxfId="85" dataCellStyle="標準 4 2"/>
    <tableColumn id="5" xr3:uid="{00316EE6-76BA-4E86-8E66-1FC81964BF02}" name="列5" dataDxfId="84" dataCellStyle="標準 4 2"/>
    <tableColumn id="6" xr3:uid="{AF367BD2-EF12-4DA7-B1D7-779659ACD879}" name="列6" dataDxfId="83" dataCellStyle="標準 4 2"/>
    <tableColumn id="7" xr3:uid="{6F811563-85D9-499B-A107-71E3DEB068E7}" name="列7" dataDxfId="82" dataCellStyle="標準 4 2"/>
    <tableColumn id="8" xr3:uid="{E1BCD9C4-396F-468E-B041-CA12CF21B216}" name="列8" dataDxfId="81" dataCellStyle="標準 4 2"/>
    <tableColumn id="9" xr3:uid="{8FF1E527-7971-47EC-9C6B-E2C2AB38297C}" name="列9" dataDxfId="80" dataCellStyle="標準 4 2"/>
    <tableColumn id="10" xr3:uid="{2669A261-3BF5-4258-A4F4-7DAF3F596642}" name="列10" dataDxfId="79" dataCellStyle="標準 4 2"/>
    <tableColumn id="11" xr3:uid="{492172E7-4EA7-4496-9845-7D32AF488360}" name="列11" dataDxfId="78" dataCellStyle="標準 4 2"/>
    <tableColumn id="12" xr3:uid="{783EE621-AD67-473D-9CD6-0205AE13C270}" name="列12" dataDxfId="77" dataCellStyle="標準 4 2"/>
    <tableColumn id="13" xr3:uid="{C0E1E90B-1D67-40CB-80C5-1A6211152B3E}" name="列13" dataDxfId="76" dataCellStyle="標準 4 2"/>
    <tableColumn id="14" xr3:uid="{044AE1F2-52F6-4C48-A41F-AAE54F541193}" name="列14" dataDxfId="75" dataCellStyle="標準 4 2"/>
    <tableColumn id="15" xr3:uid="{0DC29B44-467D-4D69-848E-8892E81D583A}" name="列15" dataDxfId="74" dataCellStyle="標準 4 2"/>
    <tableColumn id="16" xr3:uid="{75483E5E-06A1-4F70-9148-13542E1A7A15}" name="列16" dataDxfId="73" dataCellStyle="標準 4 2"/>
    <tableColumn id="17" xr3:uid="{F5F20FC6-A979-4CE2-A430-DBABB0CF0468}" name="列17" dataDxfId="72" dataCellStyle="標準 4 2"/>
    <tableColumn id="18" xr3:uid="{31867CCC-DE42-412B-8BC8-99B6AB2DA07B}" name="列18" dataDxfId="71" dataCellStyle="標準 4 2"/>
    <tableColumn id="19" xr3:uid="{236A2449-9123-4205-A540-19A8AAC40744}" name="列19" dataDxfId="70" dataCellStyle="標準 4 2"/>
    <tableColumn id="20" xr3:uid="{62570C38-8E94-4CB8-9BE5-47D661860F8E}" name="列20" dataDxfId="69" dataCellStyle="標準 4 2"/>
    <tableColumn id="21" xr3:uid="{A1F7C631-B847-4D56-ABF9-68D031D05E11}" name="列21" dataDxfId="68" dataCellStyle="標準 4 2"/>
    <tableColumn id="22" xr3:uid="{6E546E16-0685-4719-8CAF-8524F674EB30}" name="列22" dataDxfId="67" dataCellStyle="標準 4 2"/>
    <tableColumn id="23" xr3:uid="{938F2F9C-7F3D-4C7F-859C-5479B553317A}" name="列23" dataDxfId="66" dataCellStyle="標準 4 2"/>
    <tableColumn id="24" xr3:uid="{ED729F2E-FB9C-4CD8-A4F4-0D1493579EF5}" name="列24" dataDxfId="65" dataCellStyle="標準 4 2"/>
    <tableColumn id="25" xr3:uid="{98CAB1CE-AB83-4400-94A4-B8EFD734E13E}" name="列25" dataDxfId="64" dataCellStyle="標準 4 2"/>
    <tableColumn id="26" xr3:uid="{A0042D2F-097F-4818-84B6-604A6BDCAC9B}" name="列26" dataDxfId="63" dataCellStyle="標準 4 2"/>
    <tableColumn id="27" xr3:uid="{4D5DFF16-9B8A-4DE0-A78F-6A9273DA9CC9}" name="列27" dataDxfId="62"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9E308E-950E-4544-A384-62574199E6FB}" name="療育支援1号" displayName="療育支援1号" ref="AI2:AK10" totalsRowShown="0" headerRowDxfId="61" tableBorderDxfId="60">
  <autoFilter ref="AI2:AK10" xr:uid="{0F9E308E-950E-4544-A384-62574199E6FB}"/>
  <tableColumns count="3">
    <tableColumn id="2" xr3:uid="{FB035673-69BC-4DB5-BA41-A3E758815BC0}" name="列2" dataDxfId="59" dataCellStyle="標準 4 2"/>
    <tableColumn id="3" xr3:uid="{A299DF72-008A-4095-88DD-58AA3270C5DA}" name="列3"/>
    <tableColumn id="4" xr3:uid="{08799A5F-3F13-4F2D-A5E9-F0B335909ED7}" name="列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8A2D2F-7C4B-49A0-B824-E9434F1C1FE3}" name="単価23号" displayName="単価23号" ref="F2:X100" totalsRowShown="0" headerRowDxfId="58" dataDxfId="57" dataCellStyle="標準 4 2">
  <autoFilter ref="F2:X100" xr:uid="{3C8A2D2F-7C4B-49A0-B824-E9434F1C1FE3}"/>
  <tableColumns count="19">
    <tableColumn id="1" xr3:uid="{3F37DFD1-C87D-4292-B5FA-D43601537944}" name="列1" dataDxfId="56"/>
    <tableColumn id="2" xr3:uid="{95D27329-3D87-4143-8CD2-65894EFCCE78}" name="列2" dataDxfId="55" dataCellStyle="標準 4 2"/>
    <tableColumn id="3" xr3:uid="{D64D92D7-3B8B-4B40-9E2B-470468091D75}" name="列3" dataDxfId="54" dataCellStyle="標準 4 2"/>
    <tableColumn id="4" xr3:uid="{6AF66492-AB67-4CFB-B93B-01FD6ACD70D6}" name="列4" dataDxfId="53" dataCellStyle="標準 4 2"/>
    <tableColumn id="5" xr3:uid="{3090944F-41E0-4DB5-ABA5-122ED53A730F}" name="列5" dataDxfId="52" dataCellStyle="標準 4 2"/>
    <tableColumn id="6" xr3:uid="{B3A7CA91-04D7-47CB-98C9-E93497A71E20}" name="列6" dataDxfId="51" dataCellStyle="標準 4 2"/>
    <tableColumn id="7" xr3:uid="{6388D352-AF22-45C8-BFAA-6B272C8AEB8E}" name="列7" dataDxfId="50" dataCellStyle="標準 4 2"/>
    <tableColumn id="8" xr3:uid="{54260016-575A-4C5D-9EAB-587FBD867A9E}" name="列8" dataDxfId="49" dataCellStyle="標準 4 2"/>
    <tableColumn id="9" xr3:uid="{8BDE4088-D961-4BAA-BD4A-2B1FBC3FE53C}" name="列9" dataDxfId="48" dataCellStyle="標準 4 2"/>
    <tableColumn id="10" xr3:uid="{B4F13D0A-FCC0-4D3B-BA53-8D471CAAB60E}" name="列10" dataDxfId="47" dataCellStyle="標準 4 2"/>
    <tableColumn id="11" xr3:uid="{A524905E-A53E-4DB1-B291-BFB62B281AD3}" name="列11" dataDxfId="46" dataCellStyle="標準 4 2"/>
    <tableColumn id="12" xr3:uid="{F4BBF5DF-FABC-4729-AE08-67117B9F5529}" name="列12" dataDxfId="45" dataCellStyle="標準 4 2"/>
    <tableColumn id="13" xr3:uid="{94C0B7D0-6414-41F0-B10E-AC2F6E12869B}" name="列13" dataDxfId="44" dataCellStyle="標準 4 2"/>
    <tableColumn id="18" xr3:uid="{572C8CDE-4777-4D3C-AABC-D888A1528862}" name="列18" dataDxfId="43" dataCellStyle="標準 4 2"/>
    <tableColumn id="19" xr3:uid="{EDA6D605-3B81-4E03-8FCC-27F8E5E41D4E}" name="列19" dataDxfId="42" dataCellStyle="標準 4 2"/>
    <tableColumn id="20" xr3:uid="{AFE9FC46-ACB7-4CBF-BB5C-642BC88AFFE4}" name="列20" dataDxfId="41" dataCellStyle="標準 4 2"/>
    <tableColumn id="21" xr3:uid="{9D15D714-FFD5-4497-9151-FD0DC3F91758}" name="列21" dataDxfId="40" dataCellStyle="標準 4 2"/>
    <tableColumn id="22" xr3:uid="{37A3530C-16B7-417A-865C-42131C944FE4}" name="列22" dataDxfId="39" dataCellStyle="標準 4 2"/>
    <tableColumn id="23" xr3:uid="{7139C945-D31F-4C39-8090-8EDBD216D538}" name="列23" dataDxfId="38" dataCellStyle="標準 4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E84861-E1F5-47C8-AE34-AB414F4FC631}" name="休日保育23号" displayName="休日保育23号" ref="Z2:AC22" totalsRowShown="0" headerRowDxfId="37" tableBorderDxfId="36">
  <autoFilter ref="Z2:AC22" xr:uid="{46E84861-E1F5-47C8-AE34-AB414F4FC631}"/>
  <tableColumns count="4">
    <tableColumn id="1" xr3:uid="{27A86986-8705-4F77-A121-1E339394E4A5}" name="列1" dataDxfId="35" dataCellStyle="標準 4 2"/>
    <tableColumn id="2" xr3:uid="{6A3F9082-6699-4605-91B0-93BDE0C7C8FC}" name="列2" dataDxfId="34" dataCellStyle="標準 4 2"/>
    <tableColumn id="3" xr3:uid="{74987C1C-99BE-474E-AFE6-F72D8C9A8C79}" name="列3" dataDxfId="33" dataCellStyle="標準 4 2"/>
    <tableColumn id="4" xr3:uid="{7C6B9CF2-8D1F-4558-B073-D2899F4E123F}" name="列4" dataDxfId="32" dataCellStyle="標準 4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7C02E5C-8AF8-4175-A1FB-C91621A4784C}" name="チーム保育加配" displayName="チーム保育加配" ref="AF2:AH30" totalsRowShown="0" headerRowDxfId="31" tableBorderDxfId="30">
  <autoFilter ref="AF2:AH30" xr:uid="{27C02E5C-8AF8-4175-A1FB-C91621A4784C}"/>
  <tableColumns count="3">
    <tableColumn id="1" xr3:uid="{7D11CC03-ED8B-4A44-B2D7-ECF5FA32F252}" name="列1" dataDxfId="29" dataCellStyle="標準 4 2"/>
    <tableColumn id="2" xr3:uid="{6DBC54EA-E151-40E2-9A7F-4BE739152ACA}" name="列2" dataDxfId="28" dataCellStyle="標準 4 2"/>
    <tableColumn id="3" xr3:uid="{E4B0CDCB-7760-4C73-8116-25ADDACEC412}" name="列3" dataDxfId="27" dataCellStyle="標準 4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D335AB-47CB-4B27-9CA5-6BD9BE645868}" name="療育支援23号" displayName="療育支援23号" ref="AK2:AN10" totalsRowShown="0" headerRowDxfId="26" tableBorderDxfId="25">
  <autoFilter ref="AK2:AN10" xr:uid="{B2D335AB-47CB-4B27-9CA5-6BD9BE645868}"/>
  <tableColumns count="4">
    <tableColumn id="1" xr3:uid="{2836CA0B-268B-4658-8666-D1D6E35EB9B2}" name="列1" dataDxfId="24" dataCellStyle="標準 4 2"/>
    <tableColumn id="2" xr3:uid="{351ABE64-926E-4707-8EEA-0B2F0C78E02E}" name="列2"/>
    <tableColumn id="3" xr3:uid="{37ACCEEB-9CA1-42B5-907D-CB33B4D59F0A}" name="列3"/>
    <tableColumn id="4" xr3:uid="{66F63A51-D363-49F0-9A91-352E69B4065D}" name="列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29B3F9E-61FA-4FF5-A1AB-9415021D3923}" name="栄養管理23号" displayName="栄養管理23号" ref="AQ2:AS11" totalsRowShown="0" headerRowDxfId="23" tableBorderDxfId="22">
  <autoFilter ref="AQ2:AS11" xr:uid="{629B3F9E-61FA-4FF5-A1AB-9415021D3923}"/>
  <tableColumns count="3">
    <tableColumn id="1" xr3:uid="{FB00362F-6C97-4928-8656-995E4C7619F1}" name="列1" dataDxfId="21" dataCellStyle="標準 4 2"/>
    <tableColumn id="2" xr3:uid="{015CC239-3328-4DDF-A528-830300212B36}" name="列2" dataDxfId="20" dataCellStyle="標準 4 2"/>
    <tableColumn id="3" xr3:uid="{CBB67A50-2511-4AF0-8516-9BAFFB8AB0E1}" name="列3" dataDxfId="19"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18.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FA9A-FD3B-4DB1-830E-3FF6ABBF91FF}">
  <sheetPr>
    <pageSetUpPr fitToPage="1"/>
  </sheetPr>
  <dimension ref="A1:I45"/>
  <sheetViews>
    <sheetView view="pageBreakPreview" zoomScale="85" zoomScaleNormal="85" zoomScaleSheetLayoutView="85" workbookViewId="0"/>
  </sheetViews>
  <sheetFormatPr defaultRowHeight="16.5"/>
  <cols>
    <col min="1" max="1" width="3.5" style="452" customWidth="1"/>
    <col min="2" max="2" width="3.25" style="452" customWidth="1"/>
    <col min="3" max="3" width="10.25" style="452" customWidth="1"/>
    <col min="4" max="4" width="39.5" style="452" customWidth="1"/>
    <col min="5" max="7" width="9" style="452"/>
    <col min="8" max="8" width="17.375" style="452" customWidth="1"/>
    <col min="9" max="9" width="21.375" style="452" bestFit="1" customWidth="1"/>
    <col min="10" max="16384" width="9" style="452"/>
  </cols>
  <sheetData>
    <row r="1" spans="1:5">
      <c r="A1" s="452" t="s">
        <v>463</v>
      </c>
    </row>
    <row r="2" spans="1:5" ht="17.25" thickBot="1">
      <c r="B2" s="452" t="s">
        <v>464</v>
      </c>
    </row>
    <row r="3" spans="1:5" ht="17.25" thickBot="1">
      <c r="B3" s="453" t="s">
        <v>465</v>
      </c>
      <c r="C3" s="454"/>
      <c r="D3" s="575"/>
    </row>
    <row r="4" spans="1:5" ht="17.25" thickBot="1">
      <c r="B4" s="453" t="s">
        <v>466</v>
      </c>
      <c r="C4" s="454"/>
      <c r="D4" s="576"/>
    </row>
    <row r="5" spans="1:5" ht="17.25" thickBot="1">
      <c r="B5" s="453" t="s">
        <v>467</v>
      </c>
      <c r="C5" s="454"/>
      <c r="D5" s="575"/>
    </row>
    <row r="7" spans="1:5">
      <c r="B7" s="452" t="s">
        <v>469</v>
      </c>
    </row>
    <row r="8" spans="1:5" ht="17.25" thickBot="1">
      <c r="C8" s="452" t="s">
        <v>470</v>
      </c>
    </row>
    <row r="9" spans="1:5" ht="17.25" thickBot="1">
      <c r="D9" s="575"/>
    </row>
    <row r="10" spans="1:5" ht="17.25" thickBot="1">
      <c r="C10" s="452" t="s">
        <v>884</v>
      </c>
    </row>
    <row r="11" spans="1:5" ht="17.25" thickBot="1">
      <c r="D11" s="575"/>
    </row>
    <row r="12" spans="1:5" ht="17.25" thickBot="1">
      <c r="C12" s="452" t="s">
        <v>864</v>
      </c>
    </row>
    <row r="13" spans="1:5" ht="17.25" thickBot="1">
      <c r="D13" s="575"/>
    </row>
    <row r="14" spans="1:5" ht="17.25" thickBot="1">
      <c r="C14" s="452" t="s">
        <v>882</v>
      </c>
    </row>
    <row r="15" spans="1:5" ht="17.25" thickBot="1">
      <c r="D15" s="575"/>
      <c r="E15" s="452" t="str">
        <f>IF(D13='【リスト】 (2)'!$B$3,"←記入は不要です","")</f>
        <v/>
      </c>
    </row>
    <row r="16" spans="1:5" ht="17.25" thickBot="1">
      <c r="C16" s="452" t="s">
        <v>865</v>
      </c>
    </row>
    <row r="17" spans="2:5" ht="17.25" thickBot="1">
      <c r="D17" s="575"/>
    </row>
    <row r="18" spans="2:5" ht="17.25" thickBot="1">
      <c r="C18" s="452" t="s">
        <v>883</v>
      </c>
    </row>
    <row r="19" spans="2:5" ht="17.25" thickBot="1">
      <c r="D19" s="575"/>
      <c r="E19" s="452" t="str">
        <f>IF(D17='【リスト】 (2)'!$B$3,"←記入は不要です","")</f>
        <v/>
      </c>
    </row>
    <row r="21" spans="2:5" ht="17.25" thickBot="1">
      <c r="B21" s="452" t="s">
        <v>471</v>
      </c>
    </row>
    <row r="22" spans="2:5" ht="17.25" thickBot="1">
      <c r="B22" s="453" t="s">
        <v>118</v>
      </c>
      <c r="C22" s="454"/>
      <c r="D22" s="575"/>
    </row>
    <row r="23" spans="2:5" ht="17.25" thickBot="1">
      <c r="B23" s="453" t="s">
        <v>119</v>
      </c>
      <c r="C23" s="454"/>
      <c r="D23" s="575"/>
    </row>
    <row r="24" spans="2:5" ht="17.25" thickBot="1">
      <c r="B24" s="453" t="s">
        <v>473</v>
      </c>
      <c r="C24" s="454"/>
      <c r="D24" s="575"/>
    </row>
    <row r="26" spans="2:5" ht="17.25" thickBot="1">
      <c r="B26" s="452" t="s">
        <v>474</v>
      </c>
    </row>
    <row r="27" spans="2:5" ht="17.25" thickBot="1">
      <c r="D27" s="577"/>
    </row>
    <row r="28" spans="2:5">
      <c r="D28" s="455" t="str">
        <f>IF(D27='【リスト】 (2)'!$D$3,"「該当する」は例外的な取扱いです。本当に該当するか再度ご確認ください","")</f>
        <v/>
      </c>
    </row>
    <row r="29" spans="2:5">
      <c r="B29" s="452" t="s">
        <v>476</v>
      </c>
      <c r="D29" s="455"/>
    </row>
    <row r="30" spans="2:5" ht="17.25" thickBot="1">
      <c r="C30" s="452" t="s">
        <v>477</v>
      </c>
    </row>
    <row r="31" spans="2:5" ht="17.25" thickBot="1">
      <c r="D31" s="578"/>
      <c r="E31" s="452" t="str">
        <f>IF(D23='【リスト】 (2)'!$C$3,"←記入は不要です","")</f>
        <v/>
      </c>
    </row>
    <row r="33" spans="2:9" ht="20.25" thickBot="1">
      <c r="B33" s="456" t="str">
        <f>IF(AND(D3&lt;&gt;"",D4&lt;&gt;"",D5&lt;&gt;"",D9&lt;&gt;"",D11&lt;&gt;"",OR(AND(D13='【リスト】 (2)'!$B$2,D15&lt;&gt;""),D13='【リスト】 (2)'!$B$3),OR(AND(D17='【リスト】 (2)'!$B$2,D19&lt;&gt;""),D17='【リスト】 (2)'!$B$3),D22&lt;&gt;"",D23&lt;&gt;"",D24&lt;&gt;"",D27&lt;&gt;"",OR(AND(D23='【リスト】 (2)'!$C$2,D31&lt;&gt;""),D23='【リスト】 (2)'!$C$3)),'【リスト】 (2)'!$F$2,'【リスト】 (2)'!$F$3)</f>
        <v>未入力事項があります。</v>
      </c>
    </row>
    <row r="34" spans="2:9" customFormat="1" ht="36" customHeight="1" thickBot="1">
      <c r="C34" s="457" t="s">
        <v>479</v>
      </c>
      <c r="D34" s="458"/>
      <c r="E34" s="458"/>
      <c r="F34" s="459"/>
      <c r="G34" s="460"/>
      <c r="H34" s="461" t="str">
        <f>IF($B$33='【リスト】 (2)'!$F$3,"-",IF(OR(D23='【リスト】 (2)'!$C$2,D24='【リスト】 (2)'!$C$2),"●",""))</f>
        <v>-</v>
      </c>
      <c r="I34" s="462"/>
    </row>
    <row r="35" spans="2:9" customFormat="1" ht="36" customHeight="1" thickBot="1">
      <c r="C35" s="457" t="s">
        <v>480</v>
      </c>
      <c r="D35" s="458"/>
      <c r="E35" s="458"/>
      <c r="F35" s="459"/>
      <c r="G35" s="460"/>
      <c r="H35" s="461" t="str">
        <f>IF($B$33='【リスト】 (2)'!$F$3,"-",IF(OR(D22='【リスト】 (2)'!$C$2,D23='【リスト】 (2)'!$C$2),"●",""))</f>
        <v>-</v>
      </c>
      <c r="I35" s="462"/>
    </row>
    <row r="36" spans="2:9" customFormat="1" ht="36" customHeight="1" thickBot="1">
      <c r="C36" s="457" t="s">
        <v>481</v>
      </c>
      <c r="D36" s="458"/>
      <c r="E36" s="458"/>
      <c r="F36" s="459"/>
      <c r="G36" s="460"/>
      <c r="H36" s="461" t="str">
        <f>IF($B$33='【リスト】 (2)'!$F$3,"-",IF(D24='【リスト】 (2)'!$C$2,"●",""))</f>
        <v>-</v>
      </c>
      <c r="I36" s="462"/>
    </row>
    <row r="37" spans="2:9" customFormat="1" ht="36" customHeight="1" thickBot="1">
      <c r="C37" s="457" t="s">
        <v>482</v>
      </c>
      <c r="D37" s="458"/>
      <c r="E37" s="458"/>
      <c r="F37" s="459"/>
      <c r="G37" s="460"/>
      <c r="H37" s="461" t="str">
        <f>IF($B$33='【リスト】 (2)'!$F$3,"-",IF(OR(D22='【リスト】 (2)'!$C$2,D23='【リスト】 (2)'!$C$2,D24='【リスト】 (2)'!$C$2),"●",""))</f>
        <v>-</v>
      </c>
    </row>
    <row r="38" spans="2:9" customFormat="1" ht="36" customHeight="1" thickBot="1">
      <c r="C38" s="457" t="s">
        <v>483</v>
      </c>
      <c r="D38" s="458"/>
      <c r="E38" s="458"/>
      <c r="F38" s="459"/>
      <c r="G38" s="460"/>
      <c r="H38" s="461" t="str">
        <f>IF($B$33='【リスト】 (2)'!$F$3,"-",IF(OR(D22='【リスト】 (2)'!$C$3,D24='【リスト】 (2)'!$C$2),"",IF(D11&lt;&gt;'【リスト】 (2)'!$B$2,"●","")))</f>
        <v>-</v>
      </c>
    </row>
    <row r="39" spans="2:9" customFormat="1" ht="36" customHeight="1" thickBot="1">
      <c r="C39" s="457" t="s">
        <v>860</v>
      </c>
      <c r="D39" s="458"/>
      <c r="E39" s="458"/>
      <c r="F39" s="459"/>
      <c r="G39" s="460"/>
      <c r="H39" s="461" t="str">
        <f>IF($B$33='【リスト】 (2)'!$F$3,"-",IF(H38="●","●",""))</f>
        <v>-</v>
      </c>
    </row>
    <row r="40" spans="2:9" customFormat="1" ht="36" customHeight="1" thickBot="1">
      <c r="C40" s="457" t="s">
        <v>484</v>
      </c>
      <c r="D40" s="458"/>
      <c r="E40" s="458"/>
      <c r="F40" s="459"/>
      <c r="G40" s="460"/>
      <c r="H40" s="461" t="str">
        <f>IF($B$33='【リスト】 (2)'!$F$3,"-",IF(D24='【リスト】 (2)'!$C$3,"","●"))</f>
        <v>-</v>
      </c>
    </row>
    <row r="41" spans="2:9" customFormat="1" ht="36" customHeight="1" thickBot="1">
      <c r="C41" s="457" t="s">
        <v>485</v>
      </c>
      <c r="D41" s="458"/>
      <c r="E41" s="458"/>
      <c r="F41" s="459"/>
      <c r="G41" s="460"/>
      <c r="H41" s="461" t="str">
        <f>IF($B$33='【リスト】 (2)'!$F$3,"-",IF(AND(D23='【リスト】 (2)'!$C$3,D24='【リスト】 (2)'!$C$3),"",
IF(AND(D23='【リスト】 (2)'!$C$2,OR(D13&lt;&gt;'【リスト】 (2)'!$B$2,D15&lt;&gt;'【リスト】 (2)'!$B$2)),"●",
IF(AND(D24='【リスト】 (2)'!$C$2,OR(D17&lt;&gt;'【リスト】 (2)'!$B$2,D19&lt;&gt;'【リスト】 (2)'!$B$2)),"●",""))))</f>
        <v>-</v>
      </c>
    </row>
    <row r="42" spans="2:9" customFormat="1" ht="36" customHeight="1" thickBot="1">
      <c r="C42" s="457" t="s">
        <v>486</v>
      </c>
      <c r="D42" s="458"/>
      <c r="E42" s="458"/>
      <c r="F42" s="459"/>
      <c r="G42" s="460"/>
      <c r="H42" s="461" t="str">
        <f>IF($B$33='【リスト】 (2)'!$F$3,"-",IF(H41="●","●",""))</f>
        <v>-</v>
      </c>
    </row>
    <row r="43" spans="2:9" customFormat="1" ht="36" customHeight="1" thickBot="1">
      <c r="C43" s="457" t="s">
        <v>487</v>
      </c>
      <c r="D43" s="458"/>
      <c r="E43" s="458"/>
      <c r="F43" s="459"/>
      <c r="G43" s="460"/>
      <c r="H43" s="461" t="str">
        <f>IF($B$33='【リスト】 (2)'!$F$3,"-",IF(AND(D31='【リスト】 (2)'!$E$3,H42="●"),"●",""))</f>
        <v>-</v>
      </c>
    </row>
    <row r="44" spans="2:9" customFormat="1" ht="36" customHeight="1" thickBot="1">
      <c r="C44" s="457" t="s">
        <v>488</v>
      </c>
      <c r="D44" s="458"/>
      <c r="E44" s="458"/>
      <c r="F44" s="459"/>
      <c r="G44" s="460"/>
      <c r="H44" s="461" t="str">
        <f>IF($B$33='【リスト】 (2)'!$F$3,"-",IF(AND(OR(D23='【リスト】 (2)'!$C$2,D24='【リスト】 (2)'!$C$2),H41="",H42="",H43=""),"●",""))</f>
        <v>-</v>
      </c>
    </row>
    <row r="45" spans="2:9" customFormat="1" ht="36" customHeight="1" thickBot="1">
      <c r="C45" s="457" t="s">
        <v>489</v>
      </c>
      <c r="D45" s="458"/>
      <c r="E45" s="458"/>
      <c r="F45" s="459"/>
      <c r="G45" s="460"/>
      <c r="H45" s="461" t="str">
        <f>IF($B$33='【リスト】 (2)'!$F$3,"-",IF(D27='【リスト】 (2)'!$D$3,"●",""))</f>
        <v>-</v>
      </c>
    </row>
  </sheetData>
  <sheetProtection algorithmName="SHA-512" hashValue="ovh0jPc//HP3ErBlLQEImnjzw8l/cL86VQYW7q29igXfMGKGNm6hRybi50JMjcPWyor1SVyPVmJHaB2HYuBFrA==" saltValue="HlG+RKt+z4h4FNHdbIkvtQ==" spinCount="100000" sheet="1" objects="1" scenarios="1"/>
  <phoneticPr fontId="4"/>
  <conditionalFormatting sqref="D11">
    <cfRule type="expression" dxfId="18" priority="4">
      <formula>E11&lt;&gt;""</formula>
    </cfRule>
  </conditionalFormatting>
  <conditionalFormatting sqref="D15">
    <cfRule type="expression" dxfId="17" priority="3">
      <formula>E15&lt;&gt;""</formula>
    </cfRule>
  </conditionalFormatting>
  <conditionalFormatting sqref="D19">
    <cfRule type="expression" dxfId="16" priority="2">
      <formula>E19&lt;&gt;""</formula>
    </cfRule>
  </conditionalFormatting>
  <conditionalFormatting sqref="D31">
    <cfRule type="expression" dxfId="15" priority="1">
      <formula>E31&lt;&gt;""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BBBECF9-7AAF-40EB-B15D-468E9D2ECCA5}">
          <x14:formula1>
            <xm:f>'【リスト】 (2)'!$A$2:$A$11</xm:f>
          </x14:formula1>
          <xm:sqref>D5</xm:sqref>
        </x14:dataValidation>
        <x14:dataValidation type="list" allowBlank="1" showInputMessage="1" showErrorMessage="1" xr:uid="{8AF4E71D-6D6C-4746-9EC1-CC882B5CC010}">
          <x14:formula1>
            <xm:f>'【リスト】 (2)'!$B$2:$B$3</xm:f>
          </x14:formula1>
          <xm:sqref>D9 D11 D13 D15 D17 D19</xm:sqref>
        </x14:dataValidation>
        <x14:dataValidation type="list" allowBlank="1" showInputMessage="1" showErrorMessage="1" xr:uid="{54CB8C74-7226-431E-AED0-46B101AEC5AF}">
          <x14:formula1>
            <xm:f>'【リスト】 (2)'!$C$2:$C$3</xm:f>
          </x14:formula1>
          <xm:sqref>D22:D24</xm:sqref>
        </x14:dataValidation>
        <x14:dataValidation type="list" allowBlank="1" showInputMessage="1" showErrorMessage="1" xr:uid="{21B02D28-C75E-42CA-BCF5-49E4509712BE}">
          <x14:formula1>
            <xm:f>'【リスト】 (2)'!$D$2:$D$3</xm:f>
          </x14:formula1>
          <xm:sqref>D27</xm:sqref>
        </x14:dataValidation>
        <x14:dataValidation type="list" allowBlank="1" showInputMessage="1" showErrorMessage="1" xr:uid="{3D534D8B-41BB-4CC3-99FC-F909A7C29970}">
          <x14:formula1>
            <xm:f>'【リスト】 (2)'!$E$2:$E$3</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B318-08EF-4382-A19E-760E3921C453}">
  <sheetPr>
    <pageSetUpPr fitToPage="1"/>
  </sheetPr>
  <dimension ref="B1:BA45"/>
  <sheetViews>
    <sheetView showGridLines="0" view="pageBreakPreview" zoomScale="85" zoomScaleNormal="100" zoomScaleSheetLayoutView="85" workbookViewId="0">
      <selection activeCell="B2" sqref="B2:AJ2"/>
    </sheetView>
  </sheetViews>
  <sheetFormatPr defaultColWidth="9" defaultRowHeight="18" customHeight="1"/>
  <cols>
    <col min="1" max="1" width="2.5" style="580" customWidth="1"/>
    <col min="2" max="34" width="3.375" style="580" customWidth="1"/>
    <col min="35" max="35" width="2.5" style="580" customWidth="1"/>
    <col min="36" max="36" width="3" style="580" customWidth="1"/>
    <col min="37" max="40" width="3" style="580" hidden="1" customWidth="1"/>
    <col min="41" max="47" width="3" style="580" customWidth="1"/>
    <col min="48" max="51" width="9" style="580"/>
    <col min="52" max="53" width="21.375" style="580" customWidth="1"/>
    <col min="54" max="16384" width="9" style="580"/>
  </cols>
  <sheetData>
    <row r="1" spans="2:40" ht="18" customHeight="1">
      <c r="B1" s="579" t="s">
        <v>664</v>
      </c>
      <c r="AM1" s="580" t="s">
        <v>663</v>
      </c>
      <c r="AN1" s="580" t="s">
        <v>662</v>
      </c>
    </row>
    <row r="2" spans="2:40" ht="42.75" customHeight="1">
      <c r="B2" s="1070" t="str">
        <f>様式1!$AQ$1&amp;様式1!$AQ$2&amp;"年度賃金改善計画書（処遇改善等加算）"</f>
        <v>令和８年度賃金改善計画書（処遇改善等加算）</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row>
    <row r="3" spans="2:40" ht="26.25" customHeight="1" thickBot="1">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row>
    <row r="4" spans="2:40" ht="20.25" customHeight="1">
      <c r="D4" s="586"/>
      <c r="E4" s="586"/>
      <c r="F4" s="586"/>
      <c r="G4" s="586"/>
      <c r="H4" s="586"/>
      <c r="I4" s="586"/>
      <c r="J4" s="586"/>
      <c r="K4" s="586"/>
      <c r="L4" s="586"/>
      <c r="M4" s="586"/>
      <c r="N4" s="586"/>
      <c r="O4" s="586"/>
      <c r="P4" s="586"/>
      <c r="R4" s="866" t="s">
        <v>526</v>
      </c>
      <c r="S4" s="1071"/>
      <c r="T4" s="1071"/>
      <c r="U4" s="1071"/>
      <c r="V4" s="1071"/>
      <c r="W4" s="1071"/>
      <c r="X4" s="1103" t="str">
        <f>様式1!U7</f>
        <v>京都市</v>
      </c>
      <c r="Y4" s="1104"/>
      <c r="Z4" s="1104"/>
      <c r="AA4" s="1104"/>
      <c r="AB4" s="1104"/>
      <c r="AC4" s="1104"/>
      <c r="AD4" s="1104"/>
      <c r="AE4" s="1104"/>
      <c r="AF4" s="1104"/>
      <c r="AG4" s="1104"/>
      <c r="AH4" s="1104"/>
      <c r="AI4" s="1104"/>
      <c r="AJ4" s="1105"/>
    </row>
    <row r="5" spans="2:40" ht="20.25" customHeight="1">
      <c r="D5" s="586"/>
      <c r="E5" s="586"/>
      <c r="F5" s="586"/>
      <c r="G5" s="586"/>
      <c r="H5" s="586"/>
      <c r="I5" s="586"/>
      <c r="J5" s="586"/>
      <c r="K5" s="586"/>
      <c r="L5" s="586"/>
      <c r="M5" s="586"/>
      <c r="N5" s="586"/>
      <c r="O5" s="586"/>
      <c r="P5" s="586"/>
      <c r="R5" s="853" t="s">
        <v>524</v>
      </c>
      <c r="S5" s="1074"/>
      <c r="T5" s="1074"/>
      <c r="U5" s="1074"/>
      <c r="V5" s="1074"/>
      <c r="W5" s="1074"/>
      <c r="X5" s="1100">
        <f>様式1!U8</f>
        <v>0</v>
      </c>
      <c r="Y5" s="1101"/>
      <c r="Z5" s="1101"/>
      <c r="AA5" s="1101"/>
      <c r="AB5" s="1101"/>
      <c r="AC5" s="1101"/>
      <c r="AD5" s="1101"/>
      <c r="AE5" s="1101"/>
      <c r="AF5" s="1101"/>
      <c r="AG5" s="1101"/>
      <c r="AH5" s="1101"/>
      <c r="AI5" s="1101"/>
      <c r="AJ5" s="1102"/>
    </row>
    <row r="6" spans="2:40" ht="20.25" customHeight="1">
      <c r="D6" s="586"/>
      <c r="E6" s="586"/>
      <c r="F6" s="586"/>
      <c r="G6" s="586"/>
      <c r="H6" s="586"/>
      <c r="I6" s="586"/>
      <c r="J6" s="586"/>
      <c r="K6" s="586"/>
      <c r="L6" s="586"/>
      <c r="M6" s="586"/>
      <c r="N6" s="586"/>
      <c r="O6" s="586"/>
      <c r="P6" s="586"/>
      <c r="R6" s="853" t="s">
        <v>523</v>
      </c>
      <c r="S6" s="1074"/>
      <c r="T6" s="1074"/>
      <c r="U6" s="1074"/>
      <c r="V6" s="1074"/>
      <c r="W6" s="1074"/>
      <c r="X6" s="1100">
        <f>様式1!U9</f>
        <v>0</v>
      </c>
      <c r="Y6" s="1101"/>
      <c r="Z6" s="1101"/>
      <c r="AA6" s="1101"/>
      <c r="AB6" s="1101"/>
      <c r="AC6" s="1101"/>
      <c r="AD6" s="1101"/>
      <c r="AE6" s="1101"/>
      <c r="AF6" s="1101"/>
      <c r="AG6" s="1101"/>
      <c r="AH6" s="1101"/>
      <c r="AI6" s="1101"/>
      <c r="AJ6" s="1102"/>
    </row>
    <row r="7" spans="2:40" ht="20.25" customHeight="1" thickBot="1">
      <c r="D7" s="586"/>
      <c r="E7" s="586"/>
      <c r="F7" s="586"/>
      <c r="G7" s="586"/>
      <c r="H7" s="586"/>
      <c r="I7" s="586"/>
      <c r="J7" s="586"/>
      <c r="K7" s="586"/>
      <c r="L7" s="586"/>
      <c r="M7" s="586"/>
      <c r="N7" s="586"/>
      <c r="O7" s="586"/>
      <c r="P7" s="586"/>
      <c r="Q7" s="586"/>
      <c r="R7" s="856" t="s">
        <v>552</v>
      </c>
      <c r="S7" s="1089"/>
      <c r="T7" s="1089"/>
      <c r="U7" s="1089"/>
      <c r="V7" s="1089"/>
      <c r="W7" s="1089"/>
      <c r="X7" s="1113">
        <f>様式1!U10</f>
        <v>0</v>
      </c>
      <c r="Y7" s="1114"/>
      <c r="Z7" s="1114"/>
      <c r="AA7" s="1114"/>
      <c r="AB7" s="1114"/>
      <c r="AC7" s="1114"/>
      <c r="AD7" s="1114"/>
      <c r="AE7" s="1114"/>
      <c r="AF7" s="1114"/>
      <c r="AG7" s="1114"/>
      <c r="AH7" s="1114"/>
      <c r="AI7" s="1114"/>
      <c r="AJ7" s="1115"/>
    </row>
    <row r="8" spans="2:40" ht="9" customHeight="1">
      <c r="R8" s="588"/>
      <c r="S8" s="588"/>
      <c r="T8" s="588"/>
      <c r="U8" s="588"/>
      <c r="V8" s="588"/>
      <c r="W8" s="588"/>
      <c r="X8" s="588"/>
      <c r="Y8" s="588"/>
    </row>
    <row r="9" spans="2:40" ht="9" customHeight="1">
      <c r="R9" s="588"/>
      <c r="S9" s="588"/>
      <c r="T9" s="588"/>
      <c r="U9" s="588"/>
      <c r="V9" s="588"/>
      <c r="W9" s="588"/>
      <c r="X9" s="588"/>
      <c r="Y9" s="588"/>
    </row>
    <row r="10" spans="2:40" ht="18" customHeight="1" thickBot="1">
      <c r="B10" s="580" t="s">
        <v>661</v>
      </c>
    </row>
    <row r="11" spans="2:40" ht="29.25" customHeight="1" thickBot="1">
      <c r="C11" s="690"/>
      <c r="D11" s="691"/>
      <c r="E11" s="691"/>
      <c r="F11" s="691"/>
      <c r="G11" s="691"/>
      <c r="H11" s="691"/>
      <c r="I11" s="691"/>
      <c r="J11" s="691"/>
      <c r="K11" s="691"/>
      <c r="L11" s="691"/>
      <c r="M11" s="692"/>
      <c r="N11" s="1056" t="s">
        <v>631</v>
      </c>
      <c r="O11" s="1056"/>
      <c r="P11" s="1056"/>
      <c r="Q11" s="1056"/>
      <c r="R11" s="1056"/>
      <c r="S11" s="1056"/>
      <c r="T11" s="1056"/>
      <c r="U11" s="1056"/>
      <c r="V11" s="1057"/>
      <c r="W11" s="1106" t="s">
        <v>660</v>
      </c>
      <c r="X11" s="1107"/>
      <c r="Y11" s="1107"/>
      <c r="Z11" s="1107"/>
      <c r="AA11" s="1107"/>
      <c r="AB11" s="1107"/>
      <c r="AC11" s="1107"/>
      <c r="AD11" s="1107"/>
      <c r="AE11" s="1108"/>
      <c r="AG11" s="1116" t="s">
        <v>659</v>
      </c>
      <c r="AH11" s="1117"/>
      <c r="AI11" s="1118"/>
      <c r="AJ11" s="617" t="str">
        <f>IFERROR(IF(N13&gt;=N12,"○","×"),"")</f>
        <v/>
      </c>
    </row>
    <row r="12" spans="2:40" ht="27.75" customHeight="1" thickBot="1">
      <c r="C12" s="693" t="s">
        <v>550</v>
      </c>
      <c r="D12" s="1119" t="s">
        <v>658</v>
      </c>
      <c r="E12" s="1119"/>
      <c r="F12" s="1119"/>
      <c r="G12" s="1119"/>
      <c r="H12" s="1119"/>
      <c r="I12" s="1119"/>
      <c r="J12" s="1119"/>
      <c r="K12" s="1119"/>
      <c r="L12" s="1119"/>
      <c r="M12" s="1119"/>
      <c r="N12" s="1120" t="e">
        <f>【参考】計算結果!$D$14-N38+N39</f>
        <v>#N/A</v>
      </c>
      <c r="O12" s="1120"/>
      <c r="P12" s="1120"/>
      <c r="Q12" s="1120"/>
      <c r="R12" s="1120"/>
      <c r="S12" s="1120"/>
      <c r="T12" s="1120"/>
      <c r="U12" s="1120"/>
      <c r="V12" s="694" t="s">
        <v>628</v>
      </c>
      <c r="W12" s="1120">
        <f>【参考】計算結果!$D$20</f>
        <v>0</v>
      </c>
      <c r="X12" s="1120"/>
      <c r="Y12" s="1120"/>
      <c r="Z12" s="1120"/>
      <c r="AA12" s="1120"/>
      <c r="AB12" s="1120"/>
      <c r="AC12" s="1120"/>
      <c r="AD12" s="1120"/>
      <c r="AE12" s="695" t="s">
        <v>628</v>
      </c>
      <c r="AF12" s="608"/>
      <c r="AG12" s="1121" t="s">
        <v>657</v>
      </c>
      <c r="AH12" s="1122"/>
      <c r="AI12" s="1123"/>
      <c r="AJ12" s="617" t="str">
        <f>IFERROR(IF(W13&gt;=W12,"○","×"),"")</f>
        <v>○</v>
      </c>
    </row>
    <row r="13" spans="2:40" ht="27.75" customHeight="1">
      <c r="C13" s="696" t="s">
        <v>543</v>
      </c>
      <c r="D13" s="1109" t="s">
        <v>656</v>
      </c>
      <c r="E13" s="1110"/>
      <c r="F13" s="1110"/>
      <c r="G13" s="1110"/>
      <c r="H13" s="1110"/>
      <c r="I13" s="1110"/>
      <c r="J13" s="1110"/>
      <c r="K13" s="1110"/>
      <c r="L13" s="1110"/>
      <c r="M13" s="1111"/>
      <c r="N13" s="1112">
        <f>ROUNDDOWN(N14+N15,-3)</f>
        <v>0</v>
      </c>
      <c r="O13" s="1112"/>
      <c r="P13" s="1112"/>
      <c r="Q13" s="1112"/>
      <c r="R13" s="1112"/>
      <c r="S13" s="1112"/>
      <c r="T13" s="1112"/>
      <c r="U13" s="1112"/>
      <c r="V13" s="740" t="s">
        <v>628</v>
      </c>
      <c r="W13" s="1112">
        <f>ROUNDDOWN(W14+W15,-3)</f>
        <v>0</v>
      </c>
      <c r="X13" s="1112"/>
      <c r="Y13" s="1112"/>
      <c r="Z13" s="1112"/>
      <c r="AA13" s="1112"/>
      <c r="AB13" s="1112"/>
      <c r="AC13" s="1112"/>
      <c r="AD13" s="1112"/>
      <c r="AE13" s="741" t="s">
        <v>628</v>
      </c>
      <c r="AF13" s="608"/>
      <c r="AG13" s="608"/>
    </row>
    <row r="14" spans="2:40" ht="27.75" customHeight="1">
      <c r="C14" s="696"/>
      <c r="D14" s="1109" t="s">
        <v>655</v>
      </c>
      <c r="E14" s="1110"/>
      <c r="F14" s="1110"/>
      <c r="G14" s="1110"/>
      <c r="H14" s="1110"/>
      <c r="I14" s="1110"/>
      <c r="J14" s="1110"/>
      <c r="K14" s="1110"/>
      <c r="L14" s="1110"/>
      <c r="M14" s="1111"/>
      <c r="N14" s="1124">
        <f>様式4別添1!T61</f>
        <v>0</v>
      </c>
      <c r="O14" s="1124"/>
      <c r="P14" s="1124"/>
      <c r="Q14" s="1124"/>
      <c r="R14" s="1124"/>
      <c r="S14" s="1124"/>
      <c r="T14" s="1124"/>
      <c r="U14" s="1124"/>
      <c r="V14" s="697" t="s">
        <v>628</v>
      </c>
      <c r="W14" s="1124">
        <f>様式4別添1!X61</f>
        <v>0</v>
      </c>
      <c r="X14" s="1124"/>
      <c r="Y14" s="1124"/>
      <c r="Z14" s="1124"/>
      <c r="AA14" s="1124"/>
      <c r="AB14" s="1124"/>
      <c r="AC14" s="1124"/>
      <c r="AD14" s="1124"/>
      <c r="AE14" s="697" t="s">
        <v>628</v>
      </c>
      <c r="AF14" s="608"/>
      <c r="AG14" s="608"/>
    </row>
    <row r="15" spans="2:40" ht="27.75" customHeight="1">
      <c r="C15" s="696"/>
      <c r="D15" s="1109" t="s">
        <v>654</v>
      </c>
      <c r="E15" s="1110"/>
      <c r="F15" s="1110"/>
      <c r="G15" s="1110"/>
      <c r="H15" s="1110"/>
      <c r="I15" s="1110"/>
      <c r="J15" s="1110"/>
      <c r="K15" s="1110"/>
      <c r="L15" s="1110"/>
      <c r="M15" s="1111"/>
      <c r="N15" s="1130"/>
      <c r="O15" s="1130"/>
      <c r="P15" s="1130"/>
      <c r="Q15" s="1130"/>
      <c r="R15" s="1130"/>
      <c r="S15" s="1130"/>
      <c r="T15" s="1130"/>
      <c r="U15" s="1130"/>
      <c r="V15" s="697" t="s">
        <v>628</v>
      </c>
      <c r="W15" s="1130"/>
      <c r="X15" s="1130"/>
      <c r="Y15" s="1130"/>
      <c r="Z15" s="1130"/>
      <c r="AA15" s="1130"/>
      <c r="AB15" s="1130"/>
      <c r="AC15" s="1130"/>
      <c r="AD15" s="1130"/>
      <c r="AE15" s="694" t="s">
        <v>628</v>
      </c>
      <c r="AF15" s="608"/>
      <c r="AG15" s="608"/>
    </row>
    <row r="16" spans="2:40" ht="27.75" customHeight="1">
      <c r="C16" s="601"/>
      <c r="D16" s="698"/>
      <c r="E16" s="698"/>
      <c r="F16" s="698"/>
      <c r="G16" s="698"/>
      <c r="H16" s="698"/>
      <c r="I16" s="698"/>
      <c r="J16" s="698"/>
      <c r="K16" s="698"/>
      <c r="L16" s="698"/>
      <c r="M16" s="698"/>
      <c r="O16" s="699"/>
      <c r="P16" s="699"/>
      <c r="Q16" s="699"/>
      <c r="R16" s="699"/>
      <c r="S16" s="699"/>
      <c r="T16" s="699"/>
      <c r="U16" s="699"/>
      <c r="V16" s="699"/>
      <c r="W16" s="699"/>
      <c r="X16" s="700"/>
      <c r="Y16" s="699"/>
      <c r="Z16" s="699"/>
      <c r="AA16" s="699"/>
      <c r="AB16" s="699"/>
      <c r="AC16" s="699"/>
      <c r="AD16" s="699"/>
      <c r="AE16" s="699"/>
      <c r="AF16" s="699"/>
      <c r="AG16" s="699"/>
      <c r="AH16" s="608"/>
    </row>
    <row r="17" spans="2:53" ht="18" customHeight="1" thickBot="1">
      <c r="B17" s="580" t="s">
        <v>653</v>
      </c>
      <c r="AY17" s="586"/>
    </row>
    <row r="18" spans="2:53" ht="30.75" customHeight="1" thickBot="1">
      <c r="C18" s="701" t="s">
        <v>550</v>
      </c>
      <c r="D18" s="1128" t="s">
        <v>863</v>
      </c>
      <c r="E18" s="1128"/>
      <c r="F18" s="1128"/>
      <c r="G18" s="1128"/>
      <c r="H18" s="1128"/>
      <c r="I18" s="1128"/>
      <c r="J18" s="1128"/>
      <c r="K18" s="1128"/>
      <c r="L18" s="1128"/>
      <c r="M18" s="1128"/>
      <c r="N18" s="1128"/>
      <c r="O18" s="1128"/>
      <c r="P18" s="1128"/>
      <c r="Q18" s="1128"/>
      <c r="R18" s="1128"/>
      <c r="S18" s="1128"/>
      <c r="T18" s="1128"/>
      <c r="U18" s="1128"/>
      <c r="V18" s="1128"/>
      <c r="W18" s="1128"/>
      <c r="X18" s="1129"/>
      <c r="Y18" s="1125">
        <f>Y19-Y20-Y21-Y22-Y23</f>
        <v>0</v>
      </c>
      <c r="Z18" s="1126"/>
      <c r="AA18" s="1126"/>
      <c r="AB18" s="1126"/>
      <c r="AC18" s="1126"/>
      <c r="AD18" s="1126"/>
      <c r="AE18" s="1126"/>
      <c r="AF18" s="1126"/>
      <c r="AG18" s="1127"/>
      <c r="AH18" s="695" t="s">
        <v>628</v>
      </c>
      <c r="AJ18" s="702" t="str">
        <f>IFERROR(IF(Y18&gt;=Y24,"○","×"),"")</f>
        <v>○</v>
      </c>
      <c r="AY18" s="586" t="s">
        <v>652</v>
      </c>
      <c r="AZ18" s="479"/>
    </row>
    <row r="19" spans="2:53" ht="27.75" customHeight="1">
      <c r="C19" s="703"/>
      <c r="D19" s="1109" t="s">
        <v>651</v>
      </c>
      <c r="E19" s="1110"/>
      <c r="F19" s="1110"/>
      <c r="G19" s="1110"/>
      <c r="H19" s="1110"/>
      <c r="I19" s="1110"/>
      <c r="J19" s="1110"/>
      <c r="K19" s="1110"/>
      <c r="L19" s="1110"/>
      <c r="M19" s="1110"/>
      <c r="N19" s="1110"/>
      <c r="O19" s="1110"/>
      <c r="P19" s="1110"/>
      <c r="Q19" s="1110"/>
      <c r="R19" s="1110"/>
      <c r="S19" s="1110"/>
      <c r="T19" s="1110"/>
      <c r="U19" s="1110"/>
      <c r="V19" s="1110"/>
      <c r="W19" s="1110"/>
      <c r="X19" s="1111"/>
      <c r="Y19" s="1125">
        <f>様式4別添1!S61</f>
        <v>0</v>
      </c>
      <c r="Z19" s="1126"/>
      <c r="AA19" s="1126"/>
      <c r="AB19" s="1126"/>
      <c r="AC19" s="1126"/>
      <c r="AD19" s="1126"/>
      <c r="AE19" s="1126"/>
      <c r="AF19" s="1126"/>
      <c r="AG19" s="1127"/>
      <c r="AH19" s="695" t="s">
        <v>628</v>
      </c>
      <c r="AY19" s="586" t="s">
        <v>650</v>
      </c>
      <c r="AZ19" s="479"/>
    </row>
    <row r="20" spans="2:53" ht="27.75" customHeight="1">
      <c r="C20" s="703"/>
      <c r="D20" s="1109" t="s">
        <v>649</v>
      </c>
      <c r="E20" s="1110"/>
      <c r="F20" s="1110"/>
      <c r="G20" s="1110"/>
      <c r="H20" s="1110"/>
      <c r="I20" s="1110"/>
      <c r="J20" s="1110"/>
      <c r="K20" s="1110"/>
      <c r="L20" s="1110"/>
      <c r="M20" s="1110"/>
      <c r="N20" s="1110"/>
      <c r="O20" s="1110"/>
      <c r="P20" s="1110"/>
      <c r="Q20" s="1110"/>
      <c r="R20" s="1110"/>
      <c r="S20" s="1110"/>
      <c r="T20" s="1110"/>
      <c r="U20" s="1110"/>
      <c r="V20" s="1110"/>
      <c r="W20" s="1110"/>
      <c r="X20" s="1111"/>
      <c r="Y20" s="1125">
        <f>N14+W14</f>
        <v>0</v>
      </c>
      <c r="Z20" s="1126"/>
      <c r="AA20" s="1126"/>
      <c r="AB20" s="1126"/>
      <c r="AC20" s="1126"/>
      <c r="AD20" s="1126"/>
      <c r="AE20" s="1126"/>
      <c r="AF20" s="1126"/>
      <c r="AG20" s="1127"/>
      <c r="AH20" s="695" t="s">
        <v>628</v>
      </c>
      <c r="AX20" s="582"/>
      <c r="AY20" s="704" t="s">
        <v>648</v>
      </c>
      <c r="AZ20" s="705" t="e">
        <f>$AZ$18/$AZ$19*$N$14</f>
        <v>#DIV/0!</v>
      </c>
      <c r="BA20" s="705" t="e">
        <f>$AZ$18/$AZ$19*$W$14</f>
        <v>#DIV/0!</v>
      </c>
    </row>
    <row r="21" spans="2:53" ht="27.75" customHeight="1">
      <c r="C21" s="703"/>
      <c r="D21" s="1109" t="s">
        <v>647</v>
      </c>
      <c r="E21" s="1110"/>
      <c r="F21" s="1110"/>
      <c r="G21" s="1110"/>
      <c r="H21" s="1110"/>
      <c r="I21" s="1110"/>
      <c r="J21" s="1110"/>
      <c r="K21" s="1110"/>
      <c r="L21" s="1110"/>
      <c r="M21" s="1110"/>
      <c r="N21" s="1110"/>
      <c r="O21" s="1110"/>
      <c r="P21" s="1110"/>
      <c r="Q21" s="1110"/>
      <c r="R21" s="1110"/>
      <c r="S21" s="1110"/>
      <c r="T21" s="1110"/>
      <c r="U21" s="1110"/>
      <c r="V21" s="1110"/>
      <c r="W21" s="1110"/>
      <c r="X21" s="1111"/>
      <c r="Y21" s="1125">
        <f>様式4別添1!AA61</f>
        <v>0</v>
      </c>
      <c r="Z21" s="1126"/>
      <c r="AA21" s="1126"/>
      <c r="AB21" s="1126"/>
      <c r="AC21" s="1126"/>
      <c r="AD21" s="1126"/>
      <c r="AE21" s="1126"/>
      <c r="AF21" s="1126"/>
      <c r="AG21" s="1127"/>
      <c r="AH21" s="694" t="s">
        <v>628</v>
      </c>
      <c r="AZ21" s="706" t="s">
        <v>646</v>
      </c>
      <c r="BA21" s="706" t="s">
        <v>645</v>
      </c>
    </row>
    <row r="22" spans="2:53" ht="27.75" customHeight="1">
      <c r="C22" s="703"/>
      <c r="D22" s="1109" t="s">
        <v>644</v>
      </c>
      <c r="E22" s="1110"/>
      <c r="F22" s="1110"/>
      <c r="G22" s="1110"/>
      <c r="H22" s="1110"/>
      <c r="I22" s="1110"/>
      <c r="J22" s="1110"/>
      <c r="K22" s="1110"/>
      <c r="L22" s="1110"/>
      <c r="M22" s="1110"/>
      <c r="N22" s="1110"/>
      <c r="O22" s="1110"/>
      <c r="P22" s="1110"/>
      <c r="Q22" s="1110"/>
      <c r="R22" s="1110"/>
      <c r="S22" s="1110"/>
      <c r="T22" s="1110"/>
      <c r="U22" s="1110"/>
      <c r="V22" s="1110"/>
      <c r="W22" s="1110"/>
      <c r="X22" s="1111"/>
      <c r="Y22" s="1125">
        <f>様式4別添1!AB61</f>
        <v>0</v>
      </c>
      <c r="Z22" s="1126"/>
      <c r="AA22" s="1126"/>
      <c r="AB22" s="1126"/>
      <c r="AC22" s="1126"/>
      <c r="AD22" s="1126"/>
      <c r="AE22" s="1126"/>
      <c r="AF22" s="1126"/>
      <c r="AG22" s="1127"/>
      <c r="AH22" s="694" t="s">
        <v>628</v>
      </c>
    </row>
    <row r="23" spans="2:53" ht="27.75" customHeight="1">
      <c r="C23" s="703"/>
      <c r="D23" s="1109" t="s">
        <v>643</v>
      </c>
      <c r="E23" s="1110"/>
      <c r="F23" s="1110"/>
      <c r="G23" s="1110"/>
      <c r="H23" s="1110"/>
      <c r="I23" s="1110"/>
      <c r="J23" s="1110"/>
      <c r="K23" s="1110"/>
      <c r="L23" s="1110"/>
      <c r="M23" s="1110"/>
      <c r="N23" s="1110"/>
      <c r="O23" s="1110"/>
      <c r="P23" s="1110"/>
      <c r="Q23" s="1110"/>
      <c r="R23" s="1110"/>
      <c r="S23" s="1110"/>
      <c r="T23" s="1110"/>
      <c r="U23" s="1110"/>
      <c r="V23" s="1110"/>
      <c r="W23" s="1110"/>
      <c r="X23" s="1111"/>
      <c r="Y23" s="1125">
        <f>様式4別添1!AC61</f>
        <v>0</v>
      </c>
      <c r="Z23" s="1126"/>
      <c r="AA23" s="1126"/>
      <c r="AB23" s="1126"/>
      <c r="AC23" s="1126"/>
      <c r="AD23" s="1126"/>
      <c r="AE23" s="1126"/>
      <c r="AF23" s="1126"/>
      <c r="AG23" s="1127"/>
      <c r="AH23" s="694" t="s">
        <v>628</v>
      </c>
    </row>
    <row r="24" spans="2:53" ht="27.75" customHeight="1">
      <c r="C24" s="701" t="s">
        <v>543</v>
      </c>
      <c r="D24" s="1110" t="s">
        <v>642</v>
      </c>
      <c r="E24" s="1110"/>
      <c r="F24" s="1110"/>
      <c r="G24" s="1110"/>
      <c r="H24" s="1110"/>
      <c r="I24" s="1110"/>
      <c r="J24" s="1110"/>
      <c r="K24" s="1110"/>
      <c r="L24" s="1110"/>
      <c r="M24" s="1110"/>
      <c r="N24" s="1110"/>
      <c r="O24" s="1110"/>
      <c r="P24" s="1110"/>
      <c r="Q24" s="1110"/>
      <c r="R24" s="1110"/>
      <c r="S24" s="1110"/>
      <c r="T24" s="1110"/>
      <c r="U24" s="1110"/>
      <c r="V24" s="1110"/>
      <c r="W24" s="1110"/>
      <c r="X24" s="1111"/>
      <c r="Y24" s="1125">
        <f>Y25-(Y26-Y27)-Y28-Y29+Y30</f>
        <v>0</v>
      </c>
      <c r="Z24" s="1126"/>
      <c r="AA24" s="1126"/>
      <c r="AB24" s="1126"/>
      <c r="AC24" s="1126"/>
      <c r="AD24" s="1126"/>
      <c r="AE24" s="1126"/>
      <c r="AF24" s="1126"/>
      <c r="AG24" s="1127"/>
      <c r="AH24" s="695" t="s">
        <v>628</v>
      </c>
    </row>
    <row r="25" spans="2:53" ht="27.75" customHeight="1">
      <c r="C25" s="703"/>
      <c r="D25" s="1109" t="s">
        <v>641</v>
      </c>
      <c r="E25" s="1110"/>
      <c r="F25" s="1110"/>
      <c r="G25" s="1110"/>
      <c r="H25" s="1110"/>
      <c r="I25" s="1110"/>
      <c r="J25" s="1110"/>
      <c r="K25" s="1110"/>
      <c r="L25" s="1110"/>
      <c r="M25" s="1110"/>
      <c r="N25" s="1110"/>
      <c r="O25" s="1110"/>
      <c r="P25" s="1110"/>
      <c r="Q25" s="1110"/>
      <c r="R25" s="1110"/>
      <c r="S25" s="1110"/>
      <c r="T25" s="1110"/>
      <c r="U25" s="1110"/>
      <c r="V25" s="1110"/>
      <c r="W25" s="1110"/>
      <c r="X25" s="1111"/>
      <c r="Y25" s="1125">
        <f>様式4別添1!K61</f>
        <v>0</v>
      </c>
      <c r="Z25" s="1126"/>
      <c r="AA25" s="1126"/>
      <c r="AB25" s="1126"/>
      <c r="AC25" s="1126"/>
      <c r="AD25" s="1126"/>
      <c r="AE25" s="1126"/>
      <c r="AF25" s="1126"/>
      <c r="AG25" s="1127"/>
      <c r="AH25" s="695" t="s">
        <v>628</v>
      </c>
    </row>
    <row r="26" spans="2:53" ht="27.75" customHeight="1">
      <c r="C26" s="703"/>
      <c r="D26" s="1109" t="s">
        <v>640</v>
      </c>
      <c r="E26" s="1110"/>
      <c r="F26" s="1110"/>
      <c r="G26" s="1110"/>
      <c r="H26" s="1110"/>
      <c r="I26" s="1110"/>
      <c r="J26" s="1110"/>
      <c r="K26" s="1110"/>
      <c r="L26" s="1110"/>
      <c r="M26" s="1110"/>
      <c r="N26" s="1110"/>
      <c r="O26" s="1110"/>
      <c r="P26" s="1110"/>
      <c r="Q26" s="1110"/>
      <c r="R26" s="1110"/>
      <c r="S26" s="1110"/>
      <c r="T26" s="1110"/>
      <c r="U26" s="1110"/>
      <c r="V26" s="1110"/>
      <c r="W26" s="1110"/>
      <c r="X26" s="1111"/>
      <c r="Y26" s="1125">
        <f>様式4別添1!L61</f>
        <v>0</v>
      </c>
      <c r="Z26" s="1126"/>
      <c r="AA26" s="1126"/>
      <c r="AB26" s="1126"/>
      <c r="AC26" s="1126"/>
      <c r="AD26" s="1126"/>
      <c r="AE26" s="1126"/>
      <c r="AF26" s="1126"/>
      <c r="AG26" s="1127"/>
      <c r="AH26" s="695" t="s">
        <v>628</v>
      </c>
    </row>
    <row r="27" spans="2:53" ht="27.75" customHeight="1">
      <c r="C27" s="703"/>
      <c r="D27" s="1109" t="s">
        <v>639</v>
      </c>
      <c r="E27" s="1110"/>
      <c r="F27" s="1110"/>
      <c r="G27" s="1110"/>
      <c r="H27" s="1110"/>
      <c r="I27" s="1110"/>
      <c r="J27" s="1110"/>
      <c r="K27" s="1110"/>
      <c r="L27" s="1110"/>
      <c r="M27" s="1110"/>
      <c r="N27" s="1110"/>
      <c r="O27" s="1110"/>
      <c r="P27" s="1110"/>
      <c r="Q27" s="1110"/>
      <c r="R27" s="1110"/>
      <c r="S27" s="1110"/>
      <c r="T27" s="1110"/>
      <c r="U27" s="1110"/>
      <c r="V27" s="1110"/>
      <c r="W27" s="1110"/>
      <c r="X27" s="1111"/>
      <c r="Y27" s="1125">
        <f>様式4別添1!M61</f>
        <v>0</v>
      </c>
      <c r="Z27" s="1126"/>
      <c r="AA27" s="1126"/>
      <c r="AB27" s="1126"/>
      <c r="AC27" s="1126"/>
      <c r="AD27" s="1126"/>
      <c r="AE27" s="1126"/>
      <c r="AF27" s="1126"/>
      <c r="AG27" s="1127"/>
      <c r="AH27" s="695" t="s">
        <v>628</v>
      </c>
    </row>
    <row r="28" spans="2:53" ht="27.75" customHeight="1">
      <c r="C28" s="703"/>
      <c r="D28" s="1109" t="s">
        <v>638</v>
      </c>
      <c r="E28" s="1110"/>
      <c r="F28" s="1110"/>
      <c r="G28" s="1110"/>
      <c r="H28" s="1110"/>
      <c r="I28" s="1110"/>
      <c r="J28" s="1110"/>
      <c r="K28" s="1110"/>
      <c r="L28" s="1110"/>
      <c r="M28" s="1110"/>
      <c r="N28" s="1110"/>
      <c r="O28" s="1110"/>
      <c r="P28" s="1110"/>
      <c r="Q28" s="1110"/>
      <c r="R28" s="1110"/>
      <c r="S28" s="1110"/>
      <c r="T28" s="1110"/>
      <c r="U28" s="1110"/>
      <c r="V28" s="1110"/>
      <c r="W28" s="1110"/>
      <c r="X28" s="1111"/>
      <c r="Y28" s="1125">
        <f>様式4別添1!N61</f>
        <v>0</v>
      </c>
      <c r="Z28" s="1126"/>
      <c r="AA28" s="1126"/>
      <c r="AB28" s="1126"/>
      <c r="AC28" s="1126"/>
      <c r="AD28" s="1126"/>
      <c r="AE28" s="1126"/>
      <c r="AF28" s="1126"/>
      <c r="AG28" s="1127"/>
      <c r="AH28" s="695" t="s">
        <v>628</v>
      </c>
    </row>
    <row r="29" spans="2:53" ht="27.75" customHeight="1">
      <c r="C29" s="707"/>
      <c r="D29" s="1110" t="s">
        <v>637</v>
      </c>
      <c r="E29" s="1110"/>
      <c r="F29" s="1110"/>
      <c r="G29" s="1110"/>
      <c r="H29" s="1110"/>
      <c r="I29" s="1110"/>
      <c r="J29" s="1110"/>
      <c r="K29" s="1110"/>
      <c r="L29" s="1110"/>
      <c r="M29" s="1110"/>
      <c r="N29" s="1110"/>
      <c r="O29" s="1110"/>
      <c r="P29" s="1110"/>
      <c r="Q29" s="1110"/>
      <c r="R29" s="1110"/>
      <c r="S29" s="1110"/>
      <c r="T29" s="1110"/>
      <c r="U29" s="1110"/>
      <c r="V29" s="1110"/>
      <c r="W29" s="1110"/>
      <c r="X29" s="1111"/>
      <c r="Y29" s="1125">
        <f>様式4別添1!O61</f>
        <v>0</v>
      </c>
      <c r="Z29" s="1126"/>
      <c r="AA29" s="1126"/>
      <c r="AB29" s="1126"/>
      <c r="AC29" s="1126"/>
      <c r="AD29" s="1126"/>
      <c r="AE29" s="1126"/>
      <c r="AF29" s="1126"/>
      <c r="AG29" s="1127"/>
      <c r="AH29" s="694" t="s">
        <v>628</v>
      </c>
    </row>
    <row r="30" spans="2:53" ht="27.75" customHeight="1">
      <c r="C30" s="693"/>
      <c r="D30" s="1109" t="s">
        <v>636</v>
      </c>
      <c r="E30" s="1110"/>
      <c r="F30" s="1110"/>
      <c r="G30" s="1110"/>
      <c r="H30" s="1110"/>
      <c r="I30" s="1110"/>
      <c r="J30" s="1110"/>
      <c r="K30" s="1110"/>
      <c r="L30" s="1110"/>
      <c r="M30" s="1110"/>
      <c r="N30" s="1110"/>
      <c r="O30" s="1110"/>
      <c r="P30" s="1110"/>
      <c r="Q30" s="1110"/>
      <c r="R30" s="1110"/>
      <c r="S30" s="1110"/>
      <c r="T30" s="1110"/>
      <c r="U30" s="1110"/>
      <c r="V30" s="1110"/>
      <c r="W30" s="1110"/>
      <c r="X30" s="1111"/>
      <c r="Y30" s="1125">
        <f>様式4別添1!P61</f>
        <v>0</v>
      </c>
      <c r="Z30" s="1126"/>
      <c r="AA30" s="1126"/>
      <c r="AB30" s="1126"/>
      <c r="AC30" s="1126"/>
      <c r="AD30" s="1126"/>
      <c r="AE30" s="1126"/>
      <c r="AF30" s="1126"/>
      <c r="AG30" s="1127"/>
      <c r="AH30" s="694" t="s">
        <v>628</v>
      </c>
    </row>
    <row r="31" spans="2:53" ht="9" customHeight="1">
      <c r="C31" s="601"/>
      <c r="D31" s="698"/>
      <c r="E31" s="698"/>
      <c r="F31" s="698"/>
      <c r="G31" s="698"/>
      <c r="H31" s="698"/>
      <c r="I31" s="698"/>
      <c r="J31" s="698"/>
      <c r="K31" s="698"/>
      <c r="L31" s="698"/>
      <c r="M31" s="698"/>
      <c r="N31" s="698"/>
      <c r="O31" s="698"/>
      <c r="P31" s="698"/>
      <c r="Q31" s="698"/>
      <c r="R31" s="698"/>
      <c r="S31" s="698"/>
      <c r="T31" s="698"/>
      <c r="U31" s="698"/>
      <c r="V31" s="698"/>
      <c r="W31" s="698"/>
      <c r="X31" s="698"/>
      <c r="Y31" s="708"/>
      <c r="Z31" s="708"/>
      <c r="AA31" s="708"/>
      <c r="AB31" s="708"/>
      <c r="AC31" s="708"/>
      <c r="AD31" s="708"/>
      <c r="AE31" s="708"/>
      <c r="AF31" s="708"/>
      <c r="AG31" s="708"/>
      <c r="AH31" s="608"/>
    </row>
    <row r="32" spans="2:53" ht="21" customHeight="1">
      <c r="B32" s="580" t="s">
        <v>635</v>
      </c>
    </row>
    <row r="33" spans="2:34" ht="29.25" customHeight="1">
      <c r="C33" s="1109" t="s">
        <v>634</v>
      </c>
      <c r="D33" s="1110"/>
      <c r="E33" s="1110"/>
      <c r="F33" s="1110"/>
      <c r="G33" s="1110"/>
      <c r="H33" s="1110"/>
      <c r="I33" s="1111"/>
      <c r="J33" s="1131"/>
      <c r="K33" s="1132"/>
      <c r="L33" s="1132"/>
      <c r="M33" s="1132"/>
      <c r="N33" s="1132"/>
      <c r="O33" s="1132"/>
      <c r="P33" s="1132"/>
      <c r="Q33" s="1132"/>
      <c r="R33" s="1132"/>
      <c r="S33" s="1132"/>
      <c r="T33" s="1132"/>
      <c r="U33" s="1132"/>
      <c r="V33" s="1132"/>
      <c r="W33" s="1132"/>
      <c r="X33" s="1132"/>
      <c r="Y33" s="1132"/>
      <c r="Z33" s="1132"/>
      <c r="AA33" s="1132"/>
      <c r="AB33" s="1132"/>
      <c r="AC33" s="1132"/>
      <c r="AD33" s="1132"/>
      <c r="AE33" s="1132"/>
      <c r="AF33" s="1132"/>
      <c r="AG33" s="1132"/>
      <c r="AH33" s="1133"/>
    </row>
    <row r="34" spans="2:34" ht="29.25" customHeight="1">
      <c r="C34" s="1109" t="s">
        <v>633</v>
      </c>
      <c r="D34" s="1110"/>
      <c r="E34" s="1110"/>
      <c r="F34" s="1110"/>
      <c r="G34" s="1110"/>
      <c r="H34" s="1110"/>
      <c r="I34" s="1111"/>
      <c r="J34" s="1131"/>
      <c r="K34" s="1132"/>
      <c r="L34" s="1132"/>
      <c r="M34" s="1132"/>
      <c r="N34" s="1132"/>
      <c r="O34" s="1132"/>
      <c r="P34" s="1132"/>
      <c r="Q34" s="1132"/>
      <c r="R34" s="1132"/>
      <c r="S34" s="1132"/>
      <c r="T34" s="1132"/>
      <c r="U34" s="1132"/>
      <c r="V34" s="1132"/>
      <c r="W34" s="1132"/>
      <c r="X34" s="1132"/>
      <c r="Y34" s="1132"/>
      <c r="Z34" s="1132"/>
      <c r="AA34" s="1132"/>
      <c r="AB34" s="1132"/>
      <c r="AC34" s="1132"/>
      <c r="AD34" s="1132"/>
      <c r="AE34" s="1132"/>
      <c r="AF34" s="1132"/>
      <c r="AG34" s="1132"/>
      <c r="AH34" s="1133"/>
    </row>
    <row r="36" spans="2:34" ht="27" customHeight="1">
      <c r="B36" s="580" t="s">
        <v>632</v>
      </c>
    </row>
    <row r="37" spans="2:34" ht="29.25" customHeight="1">
      <c r="C37" s="1055"/>
      <c r="D37" s="1056"/>
      <c r="E37" s="1056"/>
      <c r="F37" s="1056"/>
      <c r="G37" s="1056"/>
      <c r="H37" s="1056"/>
      <c r="I37" s="1056"/>
      <c r="J37" s="1056"/>
      <c r="K37" s="1056"/>
      <c r="L37" s="1056"/>
      <c r="M37" s="1057"/>
      <c r="N37" s="1056" t="s">
        <v>631</v>
      </c>
      <c r="O37" s="1056"/>
      <c r="P37" s="1056"/>
      <c r="Q37" s="1056"/>
      <c r="R37" s="1056"/>
      <c r="S37" s="1056"/>
      <c r="T37" s="1056"/>
      <c r="U37" s="1056"/>
      <c r="V37" s="1057"/>
      <c r="W37" s="1134"/>
      <c r="X37" s="1134"/>
      <c r="Y37" s="1134"/>
    </row>
    <row r="38" spans="2:34" ht="24" customHeight="1">
      <c r="C38" s="709" t="s">
        <v>550</v>
      </c>
      <c r="D38" s="1135" t="s">
        <v>630</v>
      </c>
      <c r="E38" s="1136"/>
      <c r="F38" s="1136"/>
      <c r="G38" s="1136"/>
      <c r="H38" s="1136"/>
      <c r="I38" s="1136"/>
      <c r="J38" s="1136"/>
      <c r="K38" s="1136"/>
      <c r="L38" s="1136"/>
      <c r="M38" s="1137"/>
      <c r="N38" s="1144">
        <f>様式4別添2!E18</f>
        <v>0</v>
      </c>
      <c r="O38" s="1144"/>
      <c r="P38" s="1144"/>
      <c r="Q38" s="1144"/>
      <c r="R38" s="1144"/>
      <c r="S38" s="1144"/>
      <c r="T38" s="1144"/>
      <c r="U38" s="1144"/>
      <c r="V38" s="694" t="s">
        <v>628</v>
      </c>
      <c r="W38" s="1134"/>
      <c r="X38" s="1134"/>
      <c r="Y38" s="1134"/>
    </row>
    <row r="39" spans="2:34" ht="24" customHeight="1">
      <c r="C39" s="710" t="s">
        <v>543</v>
      </c>
      <c r="D39" s="1109" t="s">
        <v>629</v>
      </c>
      <c r="E39" s="1110"/>
      <c r="F39" s="1110"/>
      <c r="G39" s="1110"/>
      <c r="H39" s="1110"/>
      <c r="I39" s="1110"/>
      <c r="J39" s="1110"/>
      <c r="K39" s="1110"/>
      <c r="L39" s="1110"/>
      <c r="M39" s="1111"/>
      <c r="N39" s="1144">
        <f>様式4別添2!F18</f>
        <v>0</v>
      </c>
      <c r="O39" s="1144"/>
      <c r="P39" s="1144"/>
      <c r="Q39" s="1144"/>
      <c r="R39" s="1144"/>
      <c r="S39" s="1144"/>
      <c r="T39" s="1144"/>
      <c r="U39" s="1144"/>
      <c r="V39" s="694" t="s">
        <v>628</v>
      </c>
      <c r="W39" s="1134"/>
      <c r="X39" s="1134"/>
      <c r="Y39" s="1134"/>
    </row>
    <row r="40" spans="2:34" ht="17.100000000000001" customHeight="1">
      <c r="C40" s="711" t="s">
        <v>513</v>
      </c>
      <c r="D40" s="1139" t="s">
        <v>627</v>
      </c>
      <c r="E40" s="1140"/>
      <c r="F40" s="1140"/>
      <c r="G40" s="1140"/>
      <c r="H40" s="1140"/>
      <c r="I40" s="1140"/>
      <c r="J40" s="1140"/>
      <c r="K40" s="1140"/>
      <c r="L40" s="1140"/>
      <c r="M40" s="1140"/>
      <c r="N40" s="1140"/>
      <c r="O40" s="1140"/>
      <c r="P40" s="1140"/>
      <c r="Q40" s="1140"/>
      <c r="R40" s="1140"/>
      <c r="S40" s="1140"/>
      <c r="T40" s="1140"/>
      <c r="U40" s="1140"/>
      <c r="V40" s="1140"/>
      <c r="W40" s="1140"/>
      <c r="X40" s="1140"/>
      <c r="Y40" s="1140"/>
      <c r="Z40" s="1140"/>
      <c r="AA40" s="1140"/>
      <c r="AB40" s="1140"/>
      <c r="AC40" s="1140"/>
      <c r="AD40" s="1140"/>
      <c r="AE40" s="1140"/>
      <c r="AF40" s="1140"/>
      <c r="AG40" s="1140"/>
      <c r="AH40" s="1140"/>
    </row>
    <row r="41" spans="2:34" ht="9" customHeight="1">
      <c r="B41" s="592"/>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row>
    <row r="42" spans="2:34" ht="16.149999999999999" customHeight="1">
      <c r="C42" s="580" t="s">
        <v>626</v>
      </c>
    </row>
    <row r="43" spans="2:34" ht="16.149999999999999" customHeight="1">
      <c r="Q43" s="1141" t="s">
        <v>532</v>
      </c>
      <c r="R43" s="1141"/>
      <c r="S43" s="1141"/>
      <c r="T43" s="1141"/>
      <c r="U43" s="1141"/>
      <c r="V43" s="1141"/>
      <c r="W43" s="1141"/>
      <c r="X43" s="1141"/>
      <c r="Y43" s="1142"/>
      <c r="Z43" s="1142"/>
      <c r="AA43" s="1142"/>
      <c r="AB43" s="1142"/>
      <c r="AC43" s="1142"/>
      <c r="AD43" s="1142"/>
      <c r="AE43" s="1142"/>
      <c r="AF43" s="1142"/>
      <c r="AG43" s="1142"/>
      <c r="AH43" s="1142"/>
    </row>
    <row r="44" spans="2:34" ht="17.25" customHeight="1">
      <c r="S44" s="1143" t="s">
        <v>531</v>
      </c>
      <c r="T44" s="1143"/>
      <c r="U44" s="1143"/>
      <c r="V44" s="1143"/>
      <c r="W44" s="1143"/>
      <c r="X44" s="1143"/>
      <c r="Y44" s="908"/>
      <c r="Z44" s="908"/>
      <c r="AA44" s="908"/>
      <c r="AB44" s="908"/>
      <c r="AC44" s="908"/>
      <c r="AD44" s="908"/>
      <c r="AE44" s="908"/>
      <c r="AF44" s="908"/>
      <c r="AG44" s="908"/>
      <c r="AH44" s="908"/>
    </row>
    <row r="45" spans="2:34" ht="17.25" customHeight="1">
      <c r="S45" s="1138" t="s">
        <v>530</v>
      </c>
      <c r="T45" s="1138"/>
      <c r="U45" s="1138"/>
      <c r="V45" s="1138"/>
      <c r="W45" s="1138"/>
      <c r="X45" s="1138"/>
      <c r="Y45" s="900"/>
      <c r="Z45" s="900"/>
      <c r="AA45" s="900"/>
      <c r="AB45" s="900"/>
      <c r="AC45" s="900"/>
      <c r="AD45" s="900"/>
      <c r="AE45" s="900"/>
      <c r="AF45" s="900"/>
      <c r="AG45" s="900"/>
      <c r="AH45" s="900"/>
    </row>
  </sheetData>
  <sheetProtection algorithmName="SHA-512" hashValue="5T8CxKC0zK20X04VrRNzx5qaZbUfoHGqM7FGVvLWnNdVW3kdBg6Yl1NVFu7Q9CYEOZOyGRLppXGnrr4NWAk13g==" saltValue="HhQGzmFmWEKIxUergHLzGA==" spinCount="100000" sheet="1" insertRows="0"/>
  <mergeCells count="69">
    <mergeCell ref="C37:M37"/>
    <mergeCell ref="N37:V37"/>
    <mergeCell ref="W37:Y39"/>
    <mergeCell ref="D38:M38"/>
    <mergeCell ref="S45:X45"/>
    <mergeCell ref="Y45:AH45"/>
    <mergeCell ref="D40:AH40"/>
    <mergeCell ref="Q43:X43"/>
    <mergeCell ref="Y43:AH43"/>
    <mergeCell ref="S44:X44"/>
    <mergeCell ref="Y44:AH44"/>
    <mergeCell ref="N38:U38"/>
    <mergeCell ref="D39:M39"/>
    <mergeCell ref="N39:U39"/>
    <mergeCell ref="D29:X29"/>
    <mergeCell ref="Y29:AG29"/>
    <mergeCell ref="D23:X23"/>
    <mergeCell ref="Y23:AG23"/>
    <mergeCell ref="D24:X24"/>
    <mergeCell ref="Y24:AG24"/>
    <mergeCell ref="D27:X27"/>
    <mergeCell ref="Y27:AG27"/>
    <mergeCell ref="D21:X21"/>
    <mergeCell ref="Y21:AG21"/>
    <mergeCell ref="D22:X22"/>
    <mergeCell ref="Y22:AG22"/>
    <mergeCell ref="C34:I34"/>
    <mergeCell ref="J34:AH34"/>
    <mergeCell ref="D25:X25"/>
    <mergeCell ref="Y25:AG25"/>
    <mergeCell ref="D26:X26"/>
    <mergeCell ref="Y26:AG26"/>
    <mergeCell ref="D28:X28"/>
    <mergeCell ref="Y28:AG28"/>
    <mergeCell ref="D30:X30"/>
    <mergeCell ref="Y30:AG30"/>
    <mergeCell ref="C33:I33"/>
    <mergeCell ref="J33:AH33"/>
    <mergeCell ref="D14:M14"/>
    <mergeCell ref="N14:U14"/>
    <mergeCell ref="W14:AD14"/>
    <mergeCell ref="D20:X20"/>
    <mergeCell ref="Y20:AG20"/>
    <mergeCell ref="D18:X18"/>
    <mergeCell ref="Y18:AG18"/>
    <mergeCell ref="D19:X19"/>
    <mergeCell ref="Y19:AG19"/>
    <mergeCell ref="D15:M15"/>
    <mergeCell ref="N15:U15"/>
    <mergeCell ref="W15:AD15"/>
    <mergeCell ref="R7:W7"/>
    <mergeCell ref="N11:V11"/>
    <mergeCell ref="W11:AE11"/>
    <mergeCell ref="D13:M13"/>
    <mergeCell ref="N13:U13"/>
    <mergeCell ref="W13:AD13"/>
    <mergeCell ref="X7:AJ7"/>
    <mergeCell ref="AG11:AI11"/>
    <mergeCell ref="D12:M12"/>
    <mergeCell ref="N12:U12"/>
    <mergeCell ref="W12:AD12"/>
    <mergeCell ref="AG12:AI12"/>
    <mergeCell ref="R6:W6"/>
    <mergeCell ref="X6:AJ6"/>
    <mergeCell ref="B2:AJ2"/>
    <mergeCell ref="R4:W4"/>
    <mergeCell ref="X4:AJ4"/>
    <mergeCell ref="R5:W5"/>
    <mergeCell ref="X5:AJ5"/>
  </mergeCells>
  <phoneticPr fontId="4"/>
  <dataValidations count="1">
    <dataValidation type="whole" operator="greaterThanOrEqual" allowBlank="1" showInputMessage="1" showErrorMessage="1" prompt="整数のみ入力してください。" sqref="N15:U15 W15:AD15" xr:uid="{E1481F93-2724-4A58-8E78-268796AB6B31}">
      <formula1>0</formula1>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1" manualBreakCount="1">
    <brk id="45" max="3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1DAB-E59B-4103-98A4-817F3AEB8135}">
  <sheetPr>
    <pageSetUpPr fitToPage="1"/>
  </sheetPr>
  <dimension ref="A1:AX95"/>
  <sheetViews>
    <sheetView showGridLines="0" view="pageBreakPreview" zoomScale="70" zoomScaleNormal="100" zoomScaleSheetLayoutView="70" workbookViewId="0">
      <selection activeCell="B11" sqref="B11:D11"/>
    </sheetView>
  </sheetViews>
  <sheetFormatPr defaultColWidth="9.125" defaultRowHeight="12"/>
  <cols>
    <col min="1" max="3" width="4.625" style="480" customWidth="1"/>
    <col min="4" max="4" width="15" style="480" customWidth="1"/>
    <col min="5" max="5" width="7.125" style="480" customWidth="1"/>
    <col min="6" max="6" width="16" style="480" customWidth="1"/>
    <col min="7" max="7" width="12.125" style="480" customWidth="1"/>
    <col min="8" max="8" width="7.625" style="480" customWidth="1"/>
    <col min="9" max="9" width="10.125" style="480" customWidth="1"/>
    <col min="10" max="10" width="8.5" style="480" customWidth="1"/>
    <col min="11" max="16" width="21.375" style="480" customWidth="1"/>
    <col min="17" max="17" width="26.125" style="480" customWidth="1"/>
    <col min="18" max="20" width="21.375" style="480" customWidth="1"/>
    <col min="21" max="21" width="16.375" style="480" customWidth="1"/>
    <col min="22" max="23" width="16.875" style="480" customWidth="1"/>
    <col min="24" max="24" width="21.375" style="480" customWidth="1"/>
    <col min="25" max="25" width="38.875" style="480" customWidth="1"/>
    <col min="26" max="29" width="21.375" style="480" customWidth="1"/>
    <col min="30" max="30" width="26.125" style="480" customWidth="1"/>
    <col min="31" max="33" width="19.375" style="480" customWidth="1"/>
    <col min="34" max="36" width="18.5" style="480" customWidth="1"/>
    <col min="37" max="37" width="18.125" style="480" customWidth="1"/>
    <col min="38" max="38" width="15.375" style="480" customWidth="1"/>
    <col min="39" max="40" width="19.5" style="480" customWidth="1"/>
    <col min="41" max="41" width="22.375" style="480" customWidth="1"/>
    <col min="42" max="42" width="2.5" style="480" customWidth="1"/>
    <col min="43" max="43" width="5.75" style="480" bestFit="1" customWidth="1"/>
    <col min="44" max="44" width="9.5" style="480" bestFit="1" customWidth="1"/>
    <col min="45" max="45" width="7.375" style="480" bestFit="1" customWidth="1"/>
    <col min="46" max="47" width="34.5" style="480" bestFit="1" customWidth="1"/>
    <col min="48" max="49" width="22" style="480" bestFit="1" customWidth="1"/>
    <col min="50" max="50" width="67" style="480" customWidth="1"/>
    <col min="51" max="16384" width="9.125" style="480"/>
  </cols>
  <sheetData>
    <row r="1" spans="1:50" ht="33.6" customHeight="1">
      <c r="A1" s="557" t="s">
        <v>745</v>
      </c>
      <c r="P1" s="511"/>
      <c r="AE1" s="1145" t="s">
        <v>744</v>
      </c>
      <c r="AF1" s="1148">
        <f>様式4!$X$5</f>
        <v>0</v>
      </c>
      <c r="AG1" s="1149"/>
      <c r="AQ1" s="748" t="s">
        <v>835</v>
      </c>
      <c r="AR1" s="748" t="s">
        <v>836</v>
      </c>
      <c r="AS1" s="748" t="s">
        <v>837</v>
      </c>
      <c r="AT1" s="748" t="s">
        <v>838</v>
      </c>
      <c r="AU1" s="748" t="s">
        <v>839</v>
      </c>
      <c r="AV1" s="748" t="s">
        <v>840</v>
      </c>
      <c r="AW1" s="748" t="s">
        <v>841</v>
      </c>
      <c r="AX1" s="748" t="s">
        <v>842</v>
      </c>
    </row>
    <row r="2" spans="1:50" ht="33.6" customHeight="1">
      <c r="A2" s="556"/>
      <c r="P2" s="511"/>
      <c r="AE2" s="1146"/>
      <c r="AF2" s="1150"/>
      <c r="AG2" s="1151"/>
      <c r="AQ2" s="749">
        <f>A11</f>
        <v>1</v>
      </c>
      <c r="AR2" s="749" t="str">
        <f>IF(B11="","",B11)</f>
        <v/>
      </c>
      <c r="AS2" s="749" t="str">
        <f>IF(F11="","",F11)</f>
        <v/>
      </c>
      <c r="AT2" s="749" t="str">
        <f>IF(K11="","",K11)</f>
        <v/>
      </c>
      <c r="AU2" s="749" t="str">
        <f>IF(S11="","",S11)</f>
        <v/>
      </c>
      <c r="AV2" s="749">
        <f>IF(T11="","",T11)</f>
        <v>0</v>
      </c>
      <c r="AW2" s="749" t="str">
        <f>IF(X11="","",X11)</f>
        <v/>
      </c>
      <c r="AX2" s="750" t="str">
        <f>IF(AE11="","",AE11)</f>
        <v/>
      </c>
    </row>
    <row r="3" spans="1:50" ht="24.75" customHeight="1" thickBot="1">
      <c r="A3" s="550" t="s">
        <v>743</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1147"/>
      <c r="AF3" s="1152"/>
      <c r="AG3" s="1153"/>
      <c r="AJ3" s="541"/>
      <c r="AQ3" s="749">
        <f>A12</f>
        <v>2</v>
      </c>
      <c r="AR3" s="749" t="str">
        <f t="shared" ref="AR3:AR51" si="0">IF(B12="","",B12)</f>
        <v/>
      </c>
      <c r="AS3" s="749" t="str">
        <f t="shared" ref="AS3:AS51" si="1">IF(F12="","",F12)</f>
        <v/>
      </c>
      <c r="AT3" s="749" t="str">
        <f t="shared" ref="AT3:AT51" si="2">IF(K12="","",K12)</f>
        <v/>
      </c>
      <c r="AU3" s="749" t="str">
        <f t="shared" ref="AU3:AV18" si="3">IF(S12="","",S12)</f>
        <v/>
      </c>
      <c r="AV3" s="749">
        <f t="shared" si="3"/>
        <v>0</v>
      </c>
      <c r="AW3" s="749" t="str">
        <f t="shared" ref="AW3:AW51" si="4">IF(X12="","",X12)</f>
        <v/>
      </c>
      <c r="AX3" s="750" t="str">
        <f t="shared" ref="AX3:AX51" si="5">IF(AE12="","",AE12)</f>
        <v/>
      </c>
    </row>
    <row r="4" spans="1:50" ht="24.75" customHeight="1">
      <c r="A4" s="550"/>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5"/>
      <c r="AH4" s="550"/>
      <c r="AI4" s="550"/>
      <c r="AJ4" s="550"/>
      <c r="AK4" s="555"/>
      <c r="AL4" s="555"/>
      <c r="AM4" s="554"/>
      <c r="AN4" s="554"/>
      <c r="AO4" s="553"/>
      <c r="AP4" s="541"/>
      <c r="AQ4" s="749">
        <f t="shared" ref="AQ4:AQ51" si="6">A13</f>
        <v>3</v>
      </c>
      <c r="AR4" s="749" t="str">
        <f t="shared" si="0"/>
        <v/>
      </c>
      <c r="AS4" s="749" t="str">
        <f t="shared" si="1"/>
        <v/>
      </c>
      <c r="AT4" s="749" t="str">
        <f t="shared" si="2"/>
        <v/>
      </c>
      <c r="AU4" s="749" t="str">
        <f t="shared" si="3"/>
        <v/>
      </c>
      <c r="AV4" s="749">
        <f t="shared" si="3"/>
        <v>0</v>
      </c>
      <c r="AW4" s="749" t="str">
        <f t="shared" si="4"/>
        <v/>
      </c>
      <c r="AX4" s="750" t="str">
        <f t="shared" si="5"/>
        <v/>
      </c>
    </row>
    <row r="5" spans="1:50" s="549" customFormat="1" ht="39.75" customHeight="1" thickBot="1">
      <c r="A5" s="1154" t="s">
        <v>742</v>
      </c>
      <c r="B5" s="1154"/>
      <c r="C5" s="1154"/>
      <c r="D5" s="1154"/>
      <c r="E5" s="1154"/>
      <c r="F5" s="1154"/>
      <c r="G5" s="1154"/>
      <c r="H5" s="1154"/>
      <c r="I5" s="1154"/>
      <c r="J5" s="1154"/>
      <c r="K5" s="1154"/>
      <c r="L5" s="1154"/>
      <c r="M5" s="1154"/>
      <c r="N5" s="1154"/>
      <c r="O5" s="550"/>
      <c r="P5" s="550"/>
      <c r="Q5" s="550"/>
      <c r="R5" s="550"/>
      <c r="S5" s="552"/>
      <c r="T5" s="552"/>
      <c r="U5" s="552"/>
      <c r="V5" s="552"/>
      <c r="W5" s="552"/>
      <c r="X5" s="550"/>
      <c r="Y5" s="550"/>
      <c r="Z5" s="550"/>
      <c r="AA5" s="550"/>
      <c r="AB5" s="550"/>
      <c r="AC5" s="550"/>
      <c r="AD5" s="552"/>
      <c r="AE5" s="552"/>
      <c r="AF5" s="552"/>
      <c r="AG5" s="552"/>
      <c r="AH5" s="550"/>
      <c r="AI5" s="552"/>
      <c r="AJ5" s="552"/>
      <c r="AK5" s="552"/>
      <c r="AL5" s="552"/>
      <c r="AM5" s="552"/>
      <c r="AN5" s="552"/>
      <c r="AO5" s="551"/>
      <c r="AP5" s="550"/>
      <c r="AQ5" s="749">
        <f t="shared" si="6"/>
        <v>4</v>
      </c>
      <c r="AR5" s="749" t="str">
        <f t="shared" si="0"/>
        <v/>
      </c>
      <c r="AS5" s="749" t="str">
        <f t="shared" si="1"/>
        <v/>
      </c>
      <c r="AT5" s="749" t="str">
        <f t="shared" si="2"/>
        <v/>
      </c>
      <c r="AU5" s="749" t="str">
        <f t="shared" si="3"/>
        <v/>
      </c>
      <c r="AV5" s="749">
        <f t="shared" si="3"/>
        <v>0</v>
      </c>
      <c r="AW5" s="749" t="str">
        <f t="shared" si="4"/>
        <v/>
      </c>
      <c r="AX5" s="750" t="str">
        <f t="shared" si="5"/>
        <v/>
      </c>
    </row>
    <row r="6" spans="1:50" ht="33" customHeight="1">
      <c r="A6" s="1155" t="s">
        <v>741</v>
      </c>
      <c r="B6" s="1156" t="s">
        <v>740</v>
      </c>
      <c r="C6" s="1156"/>
      <c r="D6" s="1156"/>
      <c r="E6" s="1156" t="s">
        <v>739</v>
      </c>
      <c r="F6" s="1156" t="s">
        <v>738</v>
      </c>
      <c r="G6" s="1156" t="s">
        <v>737</v>
      </c>
      <c r="H6" s="1156" t="s">
        <v>736</v>
      </c>
      <c r="I6" s="1156" t="s">
        <v>735</v>
      </c>
      <c r="J6" s="1156" t="s">
        <v>734</v>
      </c>
      <c r="K6" s="1170" t="s">
        <v>733</v>
      </c>
      <c r="L6" s="1171"/>
      <c r="M6" s="1171"/>
      <c r="N6" s="1171"/>
      <c r="O6" s="1172"/>
      <c r="P6" s="1172"/>
      <c r="Q6" s="1172"/>
      <c r="R6" s="1173"/>
      <c r="S6" s="1174" t="s">
        <v>732</v>
      </c>
      <c r="T6" s="1175"/>
      <c r="U6" s="1175"/>
      <c r="V6" s="1175"/>
      <c r="W6" s="1175"/>
      <c r="X6" s="1175"/>
      <c r="Y6" s="1175"/>
      <c r="Z6" s="1175"/>
      <c r="AA6" s="1176"/>
      <c r="AB6" s="1176"/>
      <c r="AC6" s="1176"/>
      <c r="AD6" s="1177"/>
      <c r="AE6" s="1157" t="s">
        <v>731</v>
      </c>
      <c r="AF6" s="1158"/>
      <c r="AG6" s="1158"/>
      <c r="AH6" s="541"/>
      <c r="AQ6" s="749">
        <f t="shared" si="6"/>
        <v>5</v>
      </c>
      <c r="AR6" s="749" t="str">
        <f t="shared" si="0"/>
        <v/>
      </c>
      <c r="AS6" s="749" t="str">
        <f t="shared" si="1"/>
        <v/>
      </c>
      <c r="AT6" s="749" t="str">
        <f t="shared" si="2"/>
        <v/>
      </c>
      <c r="AU6" s="749" t="str">
        <f t="shared" si="3"/>
        <v/>
      </c>
      <c r="AV6" s="749">
        <f t="shared" si="3"/>
        <v>0</v>
      </c>
      <c r="AW6" s="749" t="str">
        <f t="shared" si="4"/>
        <v/>
      </c>
      <c r="AX6" s="750" t="str">
        <f t="shared" si="5"/>
        <v/>
      </c>
    </row>
    <row r="7" spans="1:50" ht="44.25" customHeight="1">
      <c r="A7" s="1155"/>
      <c r="B7" s="1156"/>
      <c r="C7" s="1156"/>
      <c r="D7" s="1156"/>
      <c r="E7" s="1156"/>
      <c r="F7" s="1156"/>
      <c r="G7" s="1156"/>
      <c r="H7" s="1156"/>
      <c r="I7" s="1156"/>
      <c r="J7" s="1156"/>
      <c r="K7" s="548" t="s">
        <v>550</v>
      </c>
      <c r="L7" s="546" t="s">
        <v>543</v>
      </c>
      <c r="M7" s="546" t="s">
        <v>730</v>
      </c>
      <c r="N7" s="546" t="s">
        <v>729</v>
      </c>
      <c r="O7" s="547" t="s">
        <v>728</v>
      </c>
      <c r="P7" s="547" t="s">
        <v>727</v>
      </c>
      <c r="Q7" s="546" t="s">
        <v>726</v>
      </c>
      <c r="R7" s="1159" t="s">
        <v>725</v>
      </c>
      <c r="S7" s="545" t="s">
        <v>724</v>
      </c>
      <c r="T7" s="544" t="s">
        <v>723</v>
      </c>
      <c r="U7" s="1161" t="s">
        <v>722</v>
      </c>
      <c r="V7" s="1162"/>
      <c r="W7" s="1163"/>
      <c r="X7" s="544" t="s">
        <v>721</v>
      </c>
      <c r="Y7" s="1161" t="s">
        <v>720</v>
      </c>
      <c r="Z7" s="1163"/>
      <c r="AA7" s="544" t="s">
        <v>719</v>
      </c>
      <c r="AB7" s="544" t="s">
        <v>718</v>
      </c>
      <c r="AC7" s="543" t="s">
        <v>717</v>
      </c>
      <c r="AD7" s="542" t="s">
        <v>716</v>
      </c>
      <c r="AE7" s="1157"/>
      <c r="AF7" s="1158"/>
      <c r="AG7" s="1158"/>
      <c r="AH7" s="541"/>
      <c r="AQ7" s="749">
        <f t="shared" si="6"/>
        <v>6</v>
      </c>
      <c r="AR7" s="749" t="str">
        <f t="shared" si="0"/>
        <v/>
      </c>
      <c r="AS7" s="749" t="str">
        <f t="shared" si="1"/>
        <v/>
      </c>
      <c r="AT7" s="749" t="str">
        <f t="shared" si="2"/>
        <v/>
      </c>
      <c r="AU7" s="749" t="str">
        <f t="shared" si="3"/>
        <v/>
      </c>
      <c r="AV7" s="749">
        <f t="shared" si="3"/>
        <v>0</v>
      </c>
      <c r="AW7" s="749" t="str">
        <f t="shared" si="4"/>
        <v/>
      </c>
      <c r="AX7" s="750" t="str">
        <f t="shared" si="5"/>
        <v/>
      </c>
    </row>
    <row r="8" spans="1:50" ht="44.25" customHeight="1">
      <c r="A8" s="1155"/>
      <c r="B8" s="1156"/>
      <c r="C8" s="1156"/>
      <c r="D8" s="1156"/>
      <c r="E8" s="1156"/>
      <c r="F8" s="1156"/>
      <c r="G8" s="1156"/>
      <c r="H8" s="1156"/>
      <c r="I8" s="1156"/>
      <c r="J8" s="1156"/>
      <c r="K8" s="1164" t="s">
        <v>715</v>
      </c>
      <c r="L8" s="1165" t="s">
        <v>870</v>
      </c>
      <c r="M8" s="1165" t="s">
        <v>714</v>
      </c>
      <c r="N8" s="1165" t="s">
        <v>713</v>
      </c>
      <c r="O8" s="1166" t="s">
        <v>712</v>
      </c>
      <c r="P8" s="1166" t="s">
        <v>711</v>
      </c>
      <c r="Q8" s="1169" t="s">
        <v>710</v>
      </c>
      <c r="R8" s="1160"/>
      <c r="S8" s="1193" t="s">
        <v>709</v>
      </c>
      <c r="T8" s="1194" t="s">
        <v>631</v>
      </c>
      <c r="U8" s="1178"/>
      <c r="V8" s="1178"/>
      <c r="W8" s="1179"/>
      <c r="X8" s="1178" t="s">
        <v>708</v>
      </c>
      <c r="Y8" s="1178"/>
      <c r="Z8" s="1179"/>
      <c r="AA8" s="1180" t="s">
        <v>707</v>
      </c>
      <c r="AB8" s="1165" t="s">
        <v>706</v>
      </c>
      <c r="AC8" s="1166" t="s">
        <v>871</v>
      </c>
      <c r="AD8" s="1181" t="s">
        <v>705</v>
      </c>
      <c r="AE8" s="1157"/>
      <c r="AF8" s="1158"/>
      <c r="AG8" s="1158"/>
      <c r="AH8" s="541"/>
      <c r="AQ8" s="749">
        <f t="shared" si="6"/>
        <v>7</v>
      </c>
      <c r="AR8" s="749" t="str">
        <f t="shared" si="0"/>
        <v/>
      </c>
      <c r="AS8" s="749" t="str">
        <f t="shared" si="1"/>
        <v/>
      </c>
      <c r="AT8" s="749" t="str">
        <f t="shared" si="2"/>
        <v/>
      </c>
      <c r="AU8" s="749" t="str">
        <f t="shared" si="3"/>
        <v/>
      </c>
      <c r="AV8" s="749">
        <f t="shared" si="3"/>
        <v>0</v>
      </c>
      <c r="AW8" s="749" t="str">
        <f t="shared" si="4"/>
        <v/>
      </c>
      <c r="AX8" s="750" t="str">
        <f t="shared" si="5"/>
        <v/>
      </c>
    </row>
    <row r="9" spans="1:50" ht="64.5" customHeight="1">
      <c r="A9" s="1155"/>
      <c r="B9" s="1156"/>
      <c r="C9" s="1156"/>
      <c r="D9" s="1156"/>
      <c r="E9" s="1156"/>
      <c r="F9" s="1156"/>
      <c r="G9" s="1156"/>
      <c r="H9" s="1156"/>
      <c r="I9" s="1156"/>
      <c r="J9" s="1156"/>
      <c r="K9" s="1164"/>
      <c r="L9" s="1165"/>
      <c r="M9" s="1165"/>
      <c r="N9" s="1165"/>
      <c r="O9" s="1167"/>
      <c r="P9" s="1167"/>
      <c r="Q9" s="1169"/>
      <c r="R9" s="1184" t="s">
        <v>704</v>
      </c>
      <c r="S9" s="1193"/>
      <c r="T9" s="1186" t="s">
        <v>703</v>
      </c>
      <c r="U9" s="1187"/>
      <c r="V9" s="1187"/>
      <c r="W9" s="1187"/>
      <c r="X9" s="1188" t="s">
        <v>702</v>
      </c>
      <c r="Y9" s="1188" t="s">
        <v>701</v>
      </c>
      <c r="Z9" s="1188" t="s">
        <v>700</v>
      </c>
      <c r="AA9" s="1180"/>
      <c r="AB9" s="1165"/>
      <c r="AC9" s="1167"/>
      <c r="AD9" s="1181"/>
      <c r="AE9" s="1157"/>
      <c r="AF9" s="1158"/>
      <c r="AG9" s="1158"/>
      <c r="AH9" s="540"/>
      <c r="AQ9" s="749">
        <f t="shared" si="6"/>
        <v>8</v>
      </c>
      <c r="AR9" s="749" t="str">
        <f t="shared" si="0"/>
        <v/>
      </c>
      <c r="AS9" s="749" t="str">
        <f t="shared" si="1"/>
        <v/>
      </c>
      <c r="AT9" s="749" t="str">
        <f t="shared" si="2"/>
        <v/>
      </c>
      <c r="AU9" s="749" t="str">
        <f t="shared" si="3"/>
        <v/>
      </c>
      <c r="AV9" s="749">
        <f t="shared" si="3"/>
        <v>0</v>
      </c>
      <c r="AW9" s="749" t="str">
        <f t="shared" si="4"/>
        <v/>
      </c>
      <c r="AX9" s="750" t="str">
        <f t="shared" si="5"/>
        <v/>
      </c>
    </row>
    <row r="10" spans="1:50" ht="88.5" customHeight="1">
      <c r="A10" s="1155"/>
      <c r="B10" s="1156"/>
      <c r="C10" s="1156"/>
      <c r="D10" s="1156"/>
      <c r="E10" s="1156"/>
      <c r="F10" s="1156"/>
      <c r="G10" s="1156"/>
      <c r="H10" s="1156"/>
      <c r="I10" s="1156"/>
      <c r="J10" s="1156"/>
      <c r="K10" s="1164"/>
      <c r="L10" s="1165"/>
      <c r="M10" s="1165"/>
      <c r="N10" s="1165"/>
      <c r="O10" s="1168"/>
      <c r="P10" s="1168"/>
      <c r="Q10" s="1169"/>
      <c r="R10" s="1185"/>
      <c r="S10" s="1193"/>
      <c r="T10" s="539" t="s">
        <v>699</v>
      </c>
      <c r="U10" s="538" t="s">
        <v>698</v>
      </c>
      <c r="V10" s="538" t="s">
        <v>697</v>
      </c>
      <c r="W10" s="538" t="s">
        <v>696</v>
      </c>
      <c r="X10" s="1189"/>
      <c r="Y10" s="1189"/>
      <c r="Z10" s="1189"/>
      <c r="AA10" s="1180"/>
      <c r="AB10" s="1165"/>
      <c r="AC10" s="1168"/>
      <c r="AD10" s="1181"/>
      <c r="AE10" s="1157"/>
      <c r="AF10" s="1158"/>
      <c r="AG10" s="1158"/>
      <c r="AH10" s="537"/>
      <c r="AI10" s="747" t="s">
        <v>828</v>
      </c>
      <c r="AJ10" s="480" t="s">
        <v>876</v>
      </c>
      <c r="AQ10" s="749">
        <f t="shared" si="6"/>
        <v>9</v>
      </c>
      <c r="AR10" s="749" t="str">
        <f t="shared" si="0"/>
        <v/>
      </c>
      <c r="AS10" s="749" t="str">
        <f t="shared" si="1"/>
        <v/>
      </c>
      <c r="AT10" s="749" t="str">
        <f t="shared" si="2"/>
        <v/>
      </c>
      <c r="AU10" s="749" t="str">
        <f t="shared" si="3"/>
        <v/>
      </c>
      <c r="AV10" s="749">
        <f t="shared" si="3"/>
        <v>0</v>
      </c>
      <c r="AW10" s="749" t="str">
        <f t="shared" si="4"/>
        <v/>
      </c>
      <c r="AX10" s="750" t="str">
        <f t="shared" si="5"/>
        <v/>
      </c>
    </row>
    <row r="11" spans="1:50" s="490" customFormat="1" ht="30" customHeight="1">
      <c r="A11" s="536">
        <f>ROWS(A$11:A11)</f>
        <v>1</v>
      </c>
      <c r="B11" s="1200"/>
      <c r="C11" s="1200"/>
      <c r="D11" s="1200"/>
      <c r="E11" s="535"/>
      <c r="F11" s="535"/>
      <c r="G11" s="712"/>
      <c r="H11" s="712"/>
      <c r="I11" s="712"/>
      <c r="J11" s="713"/>
      <c r="K11" s="525"/>
      <c r="L11" s="1201" t="s">
        <v>779</v>
      </c>
      <c r="M11" s="1201" t="s">
        <v>779</v>
      </c>
      <c r="N11" s="1203" t="s">
        <v>779</v>
      </c>
      <c r="O11" s="522"/>
      <c r="P11" s="522"/>
      <c r="Q11" s="1206" t="s">
        <v>779</v>
      </c>
      <c r="R11" s="1192"/>
      <c r="S11" s="534"/>
      <c r="T11" s="523">
        <f t="shared" ref="T11:T42" si="7">SUM(U11:W11)</f>
        <v>0</v>
      </c>
      <c r="U11" s="522"/>
      <c r="V11" s="522"/>
      <c r="W11" s="522"/>
      <c r="X11" s="743"/>
      <c r="Y11" s="522"/>
      <c r="Z11" s="522"/>
      <c r="AA11" s="533"/>
      <c r="AB11" s="1195" t="s">
        <v>779</v>
      </c>
      <c r="AC11" s="532"/>
      <c r="AD11" s="1195" t="s">
        <v>779</v>
      </c>
      <c r="AE11" s="1198"/>
      <c r="AF11" s="1199"/>
      <c r="AG11" s="1199"/>
      <c r="AH11" s="512"/>
      <c r="AI11" s="746" t="str">
        <f>IF($Y11=$Y$80,1,IF($Y11=$Y$81,2,IF($Y11=$Y$82,3,"-")))</f>
        <v>-</v>
      </c>
      <c r="AJ11" s="490">
        <f>IF(AND($F11=$F$80,$X11&gt;0),1,0)</f>
        <v>0</v>
      </c>
      <c r="AQ11" s="749">
        <f t="shared" si="6"/>
        <v>10</v>
      </c>
      <c r="AR11" s="749" t="str">
        <f t="shared" si="0"/>
        <v/>
      </c>
      <c r="AS11" s="749" t="str">
        <f t="shared" si="1"/>
        <v/>
      </c>
      <c r="AT11" s="749" t="str">
        <f t="shared" si="2"/>
        <v/>
      </c>
      <c r="AU11" s="749" t="str">
        <f t="shared" si="3"/>
        <v/>
      </c>
      <c r="AV11" s="749">
        <f t="shared" si="3"/>
        <v>0</v>
      </c>
      <c r="AW11" s="749" t="str">
        <f t="shared" si="4"/>
        <v/>
      </c>
      <c r="AX11" s="750" t="str">
        <f t="shared" si="5"/>
        <v/>
      </c>
    </row>
    <row r="12" spans="1:50" s="490" customFormat="1" ht="30" customHeight="1">
      <c r="A12" s="536">
        <f>ROWS(A$11:A12)</f>
        <v>2</v>
      </c>
      <c r="B12" s="1210"/>
      <c r="C12" s="1211"/>
      <c r="D12" s="1212"/>
      <c r="E12" s="535"/>
      <c r="F12" s="531"/>
      <c r="G12" s="712"/>
      <c r="H12" s="714"/>
      <c r="I12" s="714"/>
      <c r="J12" s="713"/>
      <c r="K12" s="525"/>
      <c r="L12" s="1202"/>
      <c r="M12" s="1202"/>
      <c r="N12" s="1204"/>
      <c r="O12" s="522"/>
      <c r="P12" s="522"/>
      <c r="Q12" s="1207"/>
      <c r="R12" s="1192"/>
      <c r="S12" s="534"/>
      <c r="T12" s="523">
        <f t="shared" si="7"/>
        <v>0</v>
      </c>
      <c r="U12" s="522"/>
      <c r="V12" s="522"/>
      <c r="W12" s="522"/>
      <c r="X12" s="743"/>
      <c r="Y12" s="522"/>
      <c r="Z12" s="522"/>
      <c r="AA12" s="533"/>
      <c r="AB12" s="1196"/>
      <c r="AC12" s="532"/>
      <c r="AD12" s="1196"/>
      <c r="AE12" s="1198"/>
      <c r="AF12" s="1199"/>
      <c r="AG12" s="1199"/>
      <c r="AH12" s="512"/>
      <c r="AI12" s="746" t="str">
        <f t="shared" ref="AI12:AI60" si="8">IF($Y12=$Y$80,1,IF($Y12=$Y$81,2,IF($Y12=$Y$82,3,"-")))</f>
        <v>-</v>
      </c>
      <c r="AJ12" s="490">
        <f t="shared" ref="AJ12:AJ60" si="9">IF(AND($F12=$F$80,$X12&gt;0),1,0)</f>
        <v>0</v>
      </c>
      <c r="AQ12" s="749">
        <f t="shared" si="6"/>
        <v>11</v>
      </c>
      <c r="AR12" s="749" t="str">
        <f t="shared" si="0"/>
        <v/>
      </c>
      <c r="AS12" s="749" t="str">
        <f t="shared" si="1"/>
        <v/>
      </c>
      <c r="AT12" s="749" t="str">
        <f t="shared" si="2"/>
        <v/>
      </c>
      <c r="AU12" s="749" t="str">
        <f t="shared" si="3"/>
        <v/>
      </c>
      <c r="AV12" s="749">
        <f t="shared" si="3"/>
        <v>0</v>
      </c>
      <c r="AW12" s="749" t="str">
        <f t="shared" si="4"/>
        <v/>
      </c>
      <c r="AX12" s="750" t="str">
        <f t="shared" si="5"/>
        <v/>
      </c>
    </row>
    <row r="13" spans="1:50" s="490" customFormat="1" ht="30" customHeight="1">
      <c r="A13" s="530">
        <f>ROWS(A$11:A13)</f>
        <v>3</v>
      </c>
      <c r="B13" s="1210"/>
      <c r="C13" s="1211"/>
      <c r="D13" s="1212"/>
      <c r="E13" s="531"/>
      <c r="F13" s="531"/>
      <c r="G13" s="712"/>
      <c r="H13" s="712"/>
      <c r="I13" s="712"/>
      <c r="J13" s="713"/>
      <c r="K13" s="525"/>
      <c r="L13" s="1202"/>
      <c r="M13" s="1202"/>
      <c r="N13" s="1204"/>
      <c r="O13" s="522"/>
      <c r="P13" s="522"/>
      <c r="Q13" s="1207"/>
      <c r="R13" s="1192"/>
      <c r="S13" s="529"/>
      <c r="T13" s="523">
        <f t="shared" si="7"/>
        <v>0</v>
      </c>
      <c r="U13" s="522"/>
      <c r="V13" s="522"/>
      <c r="W13" s="522"/>
      <c r="X13" s="522"/>
      <c r="Y13" s="522"/>
      <c r="Z13" s="522"/>
      <c r="AA13" s="528"/>
      <c r="AB13" s="1196"/>
      <c r="AC13" s="527"/>
      <c r="AD13" s="1196"/>
      <c r="AE13" s="1213"/>
      <c r="AF13" s="1183"/>
      <c r="AG13" s="1183"/>
      <c r="AH13" s="512"/>
      <c r="AI13" s="746" t="str">
        <f t="shared" si="8"/>
        <v>-</v>
      </c>
      <c r="AJ13" s="490">
        <f t="shared" si="9"/>
        <v>0</v>
      </c>
      <c r="AQ13" s="749">
        <f t="shared" si="6"/>
        <v>12</v>
      </c>
      <c r="AR13" s="749" t="str">
        <f t="shared" si="0"/>
        <v/>
      </c>
      <c r="AS13" s="749" t="str">
        <f t="shared" si="1"/>
        <v/>
      </c>
      <c r="AT13" s="749" t="str">
        <f t="shared" si="2"/>
        <v/>
      </c>
      <c r="AU13" s="749" t="str">
        <f t="shared" si="3"/>
        <v/>
      </c>
      <c r="AV13" s="749">
        <f t="shared" si="3"/>
        <v>0</v>
      </c>
      <c r="AW13" s="749" t="str">
        <f t="shared" si="4"/>
        <v/>
      </c>
      <c r="AX13" s="750" t="str">
        <f t="shared" si="5"/>
        <v/>
      </c>
    </row>
    <row r="14" spans="1:50" s="490" customFormat="1" ht="30" customHeight="1">
      <c r="A14" s="530">
        <f>ROWS(A$11:A14)</f>
        <v>4</v>
      </c>
      <c r="B14" s="1210"/>
      <c r="C14" s="1211"/>
      <c r="D14" s="1212"/>
      <c r="E14" s="531"/>
      <c r="F14" s="531"/>
      <c r="G14" s="712"/>
      <c r="H14" s="712"/>
      <c r="I14" s="712"/>
      <c r="J14" s="713"/>
      <c r="K14" s="525"/>
      <c r="L14" s="1202"/>
      <c r="M14" s="1202"/>
      <c r="N14" s="1204"/>
      <c r="O14" s="522"/>
      <c r="P14" s="522"/>
      <c r="Q14" s="1207"/>
      <c r="R14" s="1192"/>
      <c r="S14" s="529"/>
      <c r="T14" s="523">
        <f t="shared" si="7"/>
        <v>0</v>
      </c>
      <c r="U14" s="522"/>
      <c r="V14" s="522"/>
      <c r="W14" s="522"/>
      <c r="X14" s="522"/>
      <c r="Y14" s="522"/>
      <c r="Z14" s="522"/>
      <c r="AA14" s="528"/>
      <c r="AB14" s="1196"/>
      <c r="AC14" s="527"/>
      <c r="AD14" s="1196"/>
      <c r="AE14" s="1190"/>
      <c r="AF14" s="1191"/>
      <c r="AG14" s="1191"/>
      <c r="AH14" s="512"/>
      <c r="AI14" s="746" t="str">
        <f t="shared" si="8"/>
        <v>-</v>
      </c>
      <c r="AJ14" s="490">
        <f t="shared" si="9"/>
        <v>0</v>
      </c>
      <c r="AQ14" s="749">
        <f t="shared" si="6"/>
        <v>13</v>
      </c>
      <c r="AR14" s="749" t="str">
        <f t="shared" si="0"/>
        <v/>
      </c>
      <c r="AS14" s="749" t="str">
        <f t="shared" si="1"/>
        <v/>
      </c>
      <c r="AT14" s="749" t="str">
        <f t="shared" si="2"/>
        <v/>
      </c>
      <c r="AU14" s="749" t="str">
        <f t="shared" si="3"/>
        <v/>
      </c>
      <c r="AV14" s="749">
        <f t="shared" si="3"/>
        <v>0</v>
      </c>
      <c r="AW14" s="749" t="str">
        <f t="shared" si="4"/>
        <v/>
      </c>
      <c r="AX14" s="750" t="str">
        <f t="shared" si="5"/>
        <v/>
      </c>
    </row>
    <row r="15" spans="1:50" s="490" customFormat="1" ht="30" customHeight="1">
      <c r="A15" s="530">
        <f>ROWS(A$11:A15)</f>
        <v>5</v>
      </c>
      <c r="B15" s="1210"/>
      <c r="C15" s="1211"/>
      <c r="D15" s="1212"/>
      <c r="E15" s="531"/>
      <c r="F15" s="531"/>
      <c r="G15" s="712"/>
      <c r="H15" s="712"/>
      <c r="I15" s="712"/>
      <c r="J15" s="713"/>
      <c r="K15" s="525"/>
      <c r="L15" s="1202"/>
      <c r="M15" s="1202"/>
      <c r="N15" s="1204"/>
      <c r="O15" s="522"/>
      <c r="P15" s="522"/>
      <c r="Q15" s="1207"/>
      <c r="R15" s="1192"/>
      <c r="S15" s="529"/>
      <c r="T15" s="523">
        <f t="shared" si="7"/>
        <v>0</v>
      </c>
      <c r="U15" s="522"/>
      <c r="V15" s="522"/>
      <c r="W15" s="522"/>
      <c r="X15" s="522"/>
      <c r="Y15" s="522"/>
      <c r="Z15" s="522"/>
      <c r="AA15" s="528"/>
      <c r="AB15" s="1196"/>
      <c r="AC15" s="527"/>
      <c r="AD15" s="1196"/>
      <c r="AE15" s="1198"/>
      <c r="AF15" s="1199"/>
      <c r="AG15" s="1199"/>
      <c r="AH15" s="512"/>
      <c r="AI15" s="746" t="str">
        <f t="shared" si="8"/>
        <v>-</v>
      </c>
      <c r="AJ15" s="490">
        <f t="shared" si="9"/>
        <v>0</v>
      </c>
      <c r="AQ15" s="749">
        <f t="shared" si="6"/>
        <v>14</v>
      </c>
      <c r="AR15" s="749" t="str">
        <f t="shared" si="0"/>
        <v/>
      </c>
      <c r="AS15" s="749" t="str">
        <f t="shared" si="1"/>
        <v/>
      </c>
      <c r="AT15" s="749" t="str">
        <f t="shared" si="2"/>
        <v/>
      </c>
      <c r="AU15" s="749" t="str">
        <f t="shared" si="3"/>
        <v/>
      </c>
      <c r="AV15" s="749">
        <f t="shared" si="3"/>
        <v>0</v>
      </c>
      <c r="AW15" s="749" t="str">
        <f t="shared" si="4"/>
        <v/>
      </c>
      <c r="AX15" s="750" t="str">
        <f t="shared" si="5"/>
        <v/>
      </c>
    </row>
    <row r="16" spans="1:50" s="490" customFormat="1" ht="30" customHeight="1">
      <c r="A16" s="530">
        <f>ROWS(A$11:A16)</f>
        <v>6</v>
      </c>
      <c r="B16" s="1210"/>
      <c r="C16" s="1211"/>
      <c r="D16" s="1212"/>
      <c r="E16" s="531"/>
      <c r="F16" s="531"/>
      <c r="G16" s="712"/>
      <c r="H16" s="715"/>
      <c r="I16" s="715"/>
      <c r="J16" s="716"/>
      <c r="K16" s="525"/>
      <c r="L16" s="1202"/>
      <c r="M16" s="1202"/>
      <c r="N16" s="1204"/>
      <c r="O16" s="522"/>
      <c r="P16" s="522"/>
      <c r="Q16" s="1207"/>
      <c r="R16" s="1192"/>
      <c r="S16" s="529"/>
      <c r="T16" s="523">
        <f t="shared" si="7"/>
        <v>0</v>
      </c>
      <c r="U16" s="522"/>
      <c r="V16" s="522"/>
      <c r="W16" s="522"/>
      <c r="X16" s="522"/>
      <c r="Y16" s="522"/>
      <c r="Z16" s="522"/>
      <c r="AA16" s="528"/>
      <c r="AB16" s="1196"/>
      <c r="AC16" s="527"/>
      <c r="AD16" s="1196"/>
      <c r="AE16" s="1182"/>
      <c r="AF16" s="1183"/>
      <c r="AG16" s="1183"/>
      <c r="AH16" s="512"/>
      <c r="AI16" s="746" t="str">
        <f t="shared" si="8"/>
        <v>-</v>
      </c>
      <c r="AJ16" s="490">
        <f t="shared" si="9"/>
        <v>0</v>
      </c>
      <c r="AQ16" s="749">
        <f t="shared" si="6"/>
        <v>15</v>
      </c>
      <c r="AR16" s="749" t="str">
        <f t="shared" si="0"/>
        <v/>
      </c>
      <c r="AS16" s="749" t="str">
        <f t="shared" si="1"/>
        <v/>
      </c>
      <c r="AT16" s="749" t="str">
        <f t="shared" si="2"/>
        <v/>
      </c>
      <c r="AU16" s="749" t="str">
        <f t="shared" si="3"/>
        <v/>
      </c>
      <c r="AV16" s="749">
        <f t="shared" si="3"/>
        <v>0</v>
      </c>
      <c r="AW16" s="749" t="str">
        <f t="shared" si="4"/>
        <v/>
      </c>
      <c r="AX16" s="750" t="str">
        <f t="shared" si="5"/>
        <v/>
      </c>
    </row>
    <row r="17" spans="1:50" s="490" customFormat="1" ht="30" customHeight="1">
      <c r="A17" s="530">
        <f>ROWS(A$11:A17)</f>
        <v>7</v>
      </c>
      <c r="B17" s="1210"/>
      <c r="C17" s="1211"/>
      <c r="D17" s="1212"/>
      <c r="E17" s="531"/>
      <c r="F17" s="531"/>
      <c r="G17" s="712"/>
      <c r="H17" s="712"/>
      <c r="I17" s="712"/>
      <c r="J17" s="713"/>
      <c r="K17" s="525"/>
      <c r="L17" s="1202"/>
      <c r="M17" s="1202"/>
      <c r="N17" s="1204"/>
      <c r="O17" s="522"/>
      <c r="P17" s="522"/>
      <c r="Q17" s="1207"/>
      <c r="R17" s="1192"/>
      <c r="S17" s="529"/>
      <c r="T17" s="523">
        <f t="shared" si="7"/>
        <v>0</v>
      </c>
      <c r="U17" s="522"/>
      <c r="V17" s="522"/>
      <c r="W17" s="522"/>
      <c r="X17" s="522"/>
      <c r="Y17" s="522"/>
      <c r="Z17" s="522"/>
      <c r="AA17" s="528"/>
      <c r="AB17" s="1196"/>
      <c r="AC17" s="527"/>
      <c r="AD17" s="1196"/>
      <c r="AE17" s="1182"/>
      <c r="AF17" s="1183"/>
      <c r="AG17" s="1183"/>
      <c r="AH17" s="512"/>
      <c r="AI17" s="746" t="str">
        <f t="shared" si="8"/>
        <v>-</v>
      </c>
      <c r="AJ17" s="490">
        <f t="shared" si="9"/>
        <v>0</v>
      </c>
      <c r="AQ17" s="749">
        <f t="shared" si="6"/>
        <v>16</v>
      </c>
      <c r="AR17" s="749" t="str">
        <f t="shared" si="0"/>
        <v/>
      </c>
      <c r="AS17" s="749" t="str">
        <f t="shared" si="1"/>
        <v/>
      </c>
      <c r="AT17" s="749" t="str">
        <f t="shared" si="2"/>
        <v/>
      </c>
      <c r="AU17" s="749" t="str">
        <f t="shared" si="3"/>
        <v/>
      </c>
      <c r="AV17" s="749">
        <f t="shared" si="3"/>
        <v>0</v>
      </c>
      <c r="AW17" s="749" t="str">
        <f t="shared" si="4"/>
        <v/>
      </c>
      <c r="AX17" s="750" t="str">
        <f t="shared" si="5"/>
        <v/>
      </c>
    </row>
    <row r="18" spans="1:50" s="490" customFormat="1" ht="30" customHeight="1">
      <c r="A18" s="530">
        <f>ROWS(A$11:A18)</f>
        <v>8</v>
      </c>
      <c r="B18" s="1209"/>
      <c r="C18" s="1209"/>
      <c r="D18" s="1209"/>
      <c r="E18" s="531"/>
      <c r="F18" s="531"/>
      <c r="G18" s="717"/>
      <c r="H18" s="717"/>
      <c r="I18" s="712"/>
      <c r="J18" s="713"/>
      <c r="K18" s="525"/>
      <c r="L18" s="1202"/>
      <c r="M18" s="1202"/>
      <c r="N18" s="1204"/>
      <c r="O18" s="522"/>
      <c r="P18" s="522"/>
      <c r="Q18" s="1207"/>
      <c r="R18" s="1192"/>
      <c r="S18" s="529"/>
      <c r="T18" s="523">
        <f t="shared" si="7"/>
        <v>0</v>
      </c>
      <c r="U18" s="522"/>
      <c r="V18" s="522"/>
      <c r="W18" s="522"/>
      <c r="X18" s="522"/>
      <c r="Y18" s="522"/>
      <c r="Z18" s="522"/>
      <c r="AA18" s="528"/>
      <c r="AB18" s="1196"/>
      <c r="AC18" s="527"/>
      <c r="AD18" s="1196"/>
      <c r="AE18" s="1182"/>
      <c r="AF18" s="1183"/>
      <c r="AG18" s="1183"/>
      <c r="AH18" s="512"/>
      <c r="AI18" s="746" t="str">
        <f t="shared" si="8"/>
        <v>-</v>
      </c>
      <c r="AJ18" s="490">
        <f t="shared" si="9"/>
        <v>0</v>
      </c>
      <c r="AQ18" s="749">
        <f t="shared" si="6"/>
        <v>17</v>
      </c>
      <c r="AR18" s="749" t="str">
        <f t="shared" si="0"/>
        <v/>
      </c>
      <c r="AS18" s="749" t="str">
        <f t="shared" si="1"/>
        <v/>
      </c>
      <c r="AT18" s="749" t="str">
        <f t="shared" si="2"/>
        <v/>
      </c>
      <c r="AU18" s="749" t="str">
        <f t="shared" si="3"/>
        <v/>
      </c>
      <c r="AV18" s="749">
        <f t="shared" si="3"/>
        <v>0</v>
      </c>
      <c r="AW18" s="749" t="str">
        <f t="shared" si="4"/>
        <v/>
      </c>
      <c r="AX18" s="750" t="str">
        <f t="shared" si="5"/>
        <v/>
      </c>
    </row>
    <row r="19" spans="1:50" s="490" customFormat="1" ht="30" customHeight="1">
      <c r="A19" s="530">
        <f>ROWS(A$11:A19)</f>
        <v>9</v>
      </c>
      <c r="B19" s="1209"/>
      <c r="C19" s="1209"/>
      <c r="D19" s="1209"/>
      <c r="E19" s="531"/>
      <c r="F19" s="531"/>
      <c r="G19" s="717"/>
      <c r="H19" s="717"/>
      <c r="I19" s="712"/>
      <c r="J19" s="713"/>
      <c r="K19" s="525"/>
      <c r="L19" s="1202"/>
      <c r="M19" s="1202"/>
      <c r="N19" s="1204"/>
      <c r="O19" s="522"/>
      <c r="P19" s="522"/>
      <c r="Q19" s="1207"/>
      <c r="R19" s="1192"/>
      <c r="S19" s="529"/>
      <c r="T19" s="523">
        <f t="shared" si="7"/>
        <v>0</v>
      </c>
      <c r="U19" s="522"/>
      <c r="V19" s="522"/>
      <c r="W19" s="522"/>
      <c r="X19" s="522"/>
      <c r="Y19" s="522"/>
      <c r="Z19" s="522"/>
      <c r="AA19" s="528"/>
      <c r="AB19" s="1196"/>
      <c r="AC19" s="527"/>
      <c r="AD19" s="1196"/>
      <c r="AE19" s="1182"/>
      <c r="AF19" s="1183"/>
      <c r="AG19" s="1183"/>
      <c r="AH19" s="512"/>
      <c r="AI19" s="746" t="str">
        <f t="shared" si="8"/>
        <v>-</v>
      </c>
      <c r="AJ19" s="490">
        <f t="shared" si="9"/>
        <v>0</v>
      </c>
      <c r="AQ19" s="749">
        <f t="shared" si="6"/>
        <v>18</v>
      </c>
      <c r="AR19" s="749" t="str">
        <f t="shared" si="0"/>
        <v/>
      </c>
      <c r="AS19" s="749" t="str">
        <f t="shared" si="1"/>
        <v/>
      </c>
      <c r="AT19" s="749" t="str">
        <f t="shared" si="2"/>
        <v/>
      </c>
      <c r="AU19" s="749" t="str">
        <f t="shared" ref="AU19:AV34" si="10">IF(S28="","",S28)</f>
        <v/>
      </c>
      <c r="AV19" s="749">
        <f t="shared" si="10"/>
        <v>0</v>
      </c>
      <c r="AW19" s="749" t="str">
        <f t="shared" si="4"/>
        <v/>
      </c>
      <c r="AX19" s="750" t="str">
        <f t="shared" si="5"/>
        <v/>
      </c>
    </row>
    <row r="20" spans="1:50" s="490" customFormat="1" ht="30" customHeight="1">
      <c r="A20" s="530">
        <f>ROWS(A$11:A20)</f>
        <v>10</v>
      </c>
      <c r="B20" s="1209"/>
      <c r="C20" s="1209"/>
      <c r="D20" s="1209"/>
      <c r="E20" s="531"/>
      <c r="F20" s="531"/>
      <c r="G20" s="717"/>
      <c r="H20" s="717"/>
      <c r="I20" s="712"/>
      <c r="J20" s="713"/>
      <c r="K20" s="525"/>
      <c r="L20" s="1202"/>
      <c r="M20" s="1202"/>
      <c r="N20" s="1204"/>
      <c r="O20" s="522"/>
      <c r="P20" s="522"/>
      <c r="Q20" s="1207"/>
      <c r="R20" s="1192"/>
      <c r="S20" s="529"/>
      <c r="T20" s="523">
        <f t="shared" si="7"/>
        <v>0</v>
      </c>
      <c r="U20" s="522"/>
      <c r="V20" s="522"/>
      <c r="W20" s="522"/>
      <c r="X20" s="522"/>
      <c r="Y20" s="522"/>
      <c r="Z20" s="522"/>
      <c r="AA20" s="528"/>
      <c r="AB20" s="1196"/>
      <c r="AC20" s="527"/>
      <c r="AD20" s="1196"/>
      <c r="AE20" s="1182"/>
      <c r="AF20" s="1183"/>
      <c r="AG20" s="1183"/>
      <c r="AH20" s="512"/>
      <c r="AI20" s="746" t="str">
        <f t="shared" si="8"/>
        <v>-</v>
      </c>
      <c r="AJ20" s="490">
        <f t="shared" si="9"/>
        <v>0</v>
      </c>
      <c r="AQ20" s="749">
        <f t="shared" si="6"/>
        <v>19</v>
      </c>
      <c r="AR20" s="749" t="str">
        <f t="shared" si="0"/>
        <v/>
      </c>
      <c r="AS20" s="749" t="str">
        <f t="shared" si="1"/>
        <v/>
      </c>
      <c r="AT20" s="749" t="str">
        <f t="shared" si="2"/>
        <v/>
      </c>
      <c r="AU20" s="749" t="str">
        <f t="shared" si="10"/>
        <v/>
      </c>
      <c r="AV20" s="749">
        <f t="shared" si="10"/>
        <v>0</v>
      </c>
      <c r="AW20" s="749" t="str">
        <f t="shared" si="4"/>
        <v/>
      </c>
      <c r="AX20" s="750" t="str">
        <f t="shared" si="5"/>
        <v/>
      </c>
    </row>
    <row r="21" spans="1:50" s="490" customFormat="1" ht="30" customHeight="1">
      <c r="A21" s="530">
        <f>ROWS(A$11:A21)</f>
        <v>11</v>
      </c>
      <c r="B21" s="1209"/>
      <c r="C21" s="1209"/>
      <c r="D21" s="1209"/>
      <c r="E21" s="531"/>
      <c r="F21" s="531"/>
      <c r="G21" s="717"/>
      <c r="H21" s="717"/>
      <c r="I21" s="712"/>
      <c r="J21" s="713"/>
      <c r="K21" s="525"/>
      <c r="L21" s="1202"/>
      <c r="M21" s="1202"/>
      <c r="N21" s="1204"/>
      <c r="O21" s="522"/>
      <c r="P21" s="522"/>
      <c r="Q21" s="1207"/>
      <c r="R21" s="1192"/>
      <c r="S21" s="529"/>
      <c r="T21" s="523">
        <f t="shared" si="7"/>
        <v>0</v>
      </c>
      <c r="U21" s="522"/>
      <c r="V21" s="522"/>
      <c r="W21" s="522"/>
      <c r="X21" s="522"/>
      <c r="Y21" s="522"/>
      <c r="Z21" s="522"/>
      <c r="AA21" s="528"/>
      <c r="AB21" s="1196"/>
      <c r="AC21" s="527"/>
      <c r="AD21" s="1196"/>
      <c r="AE21" s="1182"/>
      <c r="AF21" s="1183"/>
      <c r="AG21" s="1183"/>
      <c r="AH21" s="512"/>
      <c r="AI21" s="746" t="str">
        <f t="shared" si="8"/>
        <v>-</v>
      </c>
      <c r="AJ21" s="490">
        <f t="shared" si="9"/>
        <v>0</v>
      </c>
      <c r="AQ21" s="749">
        <f t="shared" si="6"/>
        <v>20</v>
      </c>
      <c r="AR21" s="749" t="str">
        <f t="shared" si="0"/>
        <v/>
      </c>
      <c r="AS21" s="749" t="str">
        <f t="shared" si="1"/>
        <v/>
      </c>
      <c r="AT21" s="749" t="str">
        <f t="shared" si="2"/>
        <v/>
      </c>
      <c r="AU21" s="749" t="str">
        <f t="shared" si="10"/>
        <v/>
      </c>
      <c r="AV21" s="749">
        <f t="shared" si="10"/>
        <v>0</v>
      </c>
      <c r="AW21" s="749" t="str">
        <f t="shared" si="4"/>
        <v/>
      </c>
      <c r="AX21" s="750" t="str">
        <f t="shared" si="5"/>
        <v/>
      </c>
    </row>
    <row r="22" spans="1:50" s="490" customFormat="1" ht="30" customHeight="1">
      <c r="A22" s="530">
        <f>ROWS(A$11:A22)</f>
        <v>12</v>
      </c>
      <c r="B22" s="1209"/>
      <c r="C22" s="1209"/>
      <c r="D22" s="1209"/>
      <c r="E22" s="531"/>
      <c r="F22" s="531"/>
      <c r="G22" s="717"/>
      <c r="H22" s="717"/>
      <c r="I22" s="712"/>
      <c r="J22" s="713"/>
      <c r="K22" s="525"/>
      <c r="L22" s="1202"/>
      <c r="M22" s="1202"/>
      <c r="N22" s="1204"/>
      <c r="O22" s="522"/>
      <c r="P22" s="522"/>
      <c r="Q22" s="1207"/>
      <c r="R22" s="1192"/>
      <c r="S22" s="529"/>
      <c r="T22" s="523">
        <f t="shared" si="7"/>
        <v>0</v>
      </c>
      <c r="U22" s="522"/>
      <c r="V22" s="522"/>
      <c r="W22" s="522"/>
      <c r="X22" s="522"/>
      <c r="Y22" s="522"/>
      <c r="Z22" s="522"/>
      <c r="AA22" s="528"/>
      <c r="AB22" s="1196"/>
      <c r="AC22" s="527"/>
      <c r="AD22" s="1196"/>
      <c r="AE22" s="1182"/>
      <c r="AF22" s="1183"/>
      <c r="AG22" s="1183"/>
      <c r="AH22" s="512"/>
      <c r="AI22" s="746" t="str">
        <f t="shared" si="8"/>
        <v>-</v>
      </c>
      <c r="AJ22" s="490">
        <f t="shared" si="9"/>
        <v>0</v>
      </c>
      <c r="AQ22" s="749">
        <f t="shared" si="6"/>
        <v>21</v>
      </c>
      <c r="AR22" s="749" t="str">
        <f t="shared" si="0"/>
        <v/>
      </c>
      <c r="AS22" s="749" t="str">
        <f t="shared" si="1"/>
        <v/>
      </c>
      <c r="AT22" s="749" t="str">
        <f t="shared" si="2"/>
        <v/>
      </c>
      <c r="AU22" s="749" t="str">
        <f t="shared" si="10"/>
        <v/>
      </c>
      <c r="AV22" s="749">
        <f t="shared" si="10"/>
        <v>0</v>
      </c>
      <c r="AW22" s="749" t="str">
        <f t="shared" si="4"/>
        <v/>
      </c>
      <c r="AX22" s="750" t="str">
        <f t="shared" si="5"/>
        <v/>
      </c>
    </row>
    <row r="23" spans="1:50" s="490" customFormat="1" ht="30" customHeight="1">
      <c r="A23" s="530">
        <f>ROWS(A$11:A23)</f>
        <v>13</v>
      </c>
      <c r="B23" s="1209"/>
      <c r="C23" s="1209"/>
      <c r="D23" s="1209"/>
      <c r="E23" s="531"/>
      <c r="F23" s="531"/>
      <c r="G23" s="717"/>
      <c r="H23" s="717"/>
      <c r="I23" s="712"/>
      <c r="J23" s="713"/>
      <c r="K23" s="525"/>
      <c r="L23" s="1202"/>
      <c r="M23" s="1202"/>
      <c r="N23" s="1204"/>
      <c r="O23" s="522"/>
      <c r="P23" s="522"/>
      <c r="Q23" s="1207"/>
      <c r="R23" s="1192"/>
      <c r="S23" s="529"/>
      <c r="T23" s="523">
        <f t="shared" si="7"/>
        <v>0</v>
      </c>
      <c r="U23" s="522"/>
      <c r="V23" s="522"/>
      <c r="W23" s="522"/>
      <c r="X23" s="522"/>
      <c r="Y23" s="522"/>
      <c r="Z23" s="522"/>
      <c r="AA23" s="528"/>
      <c r="AB23" s="1196"/>
      <c r="AC23" s="527"/>
      <c r="AD23" s="1196"/>
      <c r="AE23" s="1182"/>
      <c r="AF23" s="1183"/>
      <c r="AG23" s="1183"/>
      <c r="AH23" s="512"/>
      <c r="AI23" s="746" t="str">
        <f t="shared" si="8"/>
        <v>-</v>
      </c>
      <c r="AJ23" s="490">
        <f t="shared" si="9"/>
        <v>0</v>
      </c>
      <c r="AQ23" s="749">
        <f t="shared" si="6"/>
        <v>22</v>
      </c>
      <c r="AR23" s="749" t="str">
        <f t="shared" si="0"/>
        <v/>
      </c>
      <c r="AS23" s="749" t="str">
        <f t="shared" si="1"/>
        <v/>
      </c>
      <c r="AT23" s="749" t="str">
        <f t="shared" si="2"/>
        <v/>
      </c>
      <c r="AU23" s="749" t="str">
        <f t="shared" si="10"/>
        <v/>
      </c>
      <c r="AV23" s="749">
        <f t="shared" si="10"/>
        <v>0</v>
      </c>
      <c r="AW23" s="749" t="str">
        <f t="shared" si="4"/>
        <v/>
      </c>
      <c r="AX23" s="750" t="str">
        <f t="shared" si="5"/>
        <v/>
      </c>
    </row>
    <row r="24" spans="1:50" s="490" customFormat="1" ht="30" customHeight="1">
      <c r="A24" s="530">
        <f>ROWS(A$11:A24)</f>
        <v>14</v>
      </c>
      <c r="B24" s="1209"/>
      <c r="C24" s="1209"/>
      <c r="D24" s="1209"/>
      <c r="E24" s="531"/>
      <c r="F24" s="531"/>
      <c r="G24" s="717"/>
      <c r="H24" s="717"/>
      <c r="I24" s="712"/>
      <c r="J24" s="713"/>
      <c r="K24" s="525"/>
      <c r="L24" s="1202"/>
      <c r="M24" s="1202"/>
      <c r="N24" s="1204"/>
      <c r="O24" s="522"/>
      <c r="P24" s="522"/>
      <c r="Q24" s="1207"/>
      <c r="R24" s="1192"/>
      <c r="S24" s="529"/>
      <c r="T24" s="523">
        <f t="shared" si="7"/>
        <v>0</v>
      </c>
      <c r="U24" s="522"/>
      <c r="V24" s="522"/>
      <c r="W24" s="522"/>
      <c r="X24" s="522"/>
      <c r="Y24" s="522"/>
      <c r="Z24" s="522"/>
      <c r="AA24" s="528"/>
      <c r="AB24" s="1196"/>
      <c r="AC24" s="527"/>
      <c r="AD24" s="1196"/>
      <c r="AE24" s="1182"/>
      <c r="AF24" s="1183"/>
      <c r="AG24" s="1183"/>
      <c r="AH24" s="512"/>
      <c r="AI24" s="746" t="str">
        <f t="shared" si="8"/>
        <v>-</v>
      </c>
      <c r="AJ24" s="490">
        <f t="shared" si="9"/>
        <v>0</v>
      </c>
      <c r="AQ24" s="749">
        <f t="shared" si="6"/>
        <v>23</v>
      </c>
      <c r="AR24" s="749" t="str">
        <f t="shared" si="0"/>
        <v/>
      </c>
      <c r="AS24" s="749" t="str">
        <f t="shared" si="1"/>
        <v/>
      </c>
      <c r="AT24" s="749" t="str">
        <f t="shared" si="2"/>
        <v/>
      </c>
      <c r="AU24" s="749" t="str">
        <f t="shared" si="10"/>
        <v/>
      </c>
      <c r="AV24" s="749">
        <f t="shared" si="10"/>
        <v>0</v>
      </c>
      <c r="AW24" s="749" t="str">
        <f t="shared" si="4"/>
        <v/>
      </c>
      <c r="AX24" s="750" t="str">
        <f t="shared" si="5"/>
        <v/>
      </c>
    </row>
    <row r="25" spans="1:50" s="490" customFormat="1" ht="30" customHeight="1">
      <c r="A25" s="530">
        <f>ROWS(A$11:A25)</f>
        <v>15</v>
      </c>
      <c r="B25" s="1209"/>
      <c r="C25" s="1209"/>
      <c r="D25" s="1209"/>
      <c r="E25" s="531"/>
      <c r="F25" s="531"/>
      <c r="G25" s="717"/>
      <c r="H25" s="717"/>
      <c r="I25" s="712"/>
      <c r="J25" s="713"/>
      <c r="K25" s="525"/>
      <c r="L25" s="1202"/>
      <c r="M25" s="1202"/>
      <c r="N25" s="1204"/>
      <c r="O25" s="522"/>
      <c r="P25" s="522"/>
      <c r="Q25" s="1207"/>
      <c r="R25" s="1192"/>
      <c r="S25" s="529"/>
      <c r="T25" s="523">
        <f t="shared" si="7"/>
        <v>0</v>
      </c>
      <c r="U25" s="522"/>
      <c r="V25" s="522"/>
      <c r="W25" s="522"/>
      <c r="X25" s="522"/>
      <c r="Y25" s="522"/>
      <c r="Z25" s="522"/>
      <c r="AA25" s="528"/>
      <c r="AB25" s="1196"/>
      <c r="AC25" s="527"/>
      <c r="AD25" s="1196"/>
      <c r="AE25" s="1182"/>
      <c r="AF25" s="1183"/>
      <c r="AG25" s="1183"/>
      <c r="AH25" s="512"/>
      <c r="AI25" s="746" t="str">
        <f t="shared" si="8"/>
        <v>-</v>
      </c>
      <c r="AJ25" s="490">
        <f t="shared" si="9"/>
        <v>0</v>
      </c>
      <c r="AQ25" s="749">
        <f t="shared" si="6"/>
        <v>24</v>
      </c>
      <c r="AR25" s="749" t="str">
        <f t="shared" si="0"/>
        <v/>
      </c>
      <c r="AS25" s="749" t="str">
        <f t="shared" si="1"/>
        <v/>
      </c>
      <c r="AT25" s="749" t="str">
        <f t="shared" si="2"/>
        <v/>
      </c>
      <c r="AU25" s="749" t="str">
        <f t="shared" si="10"/>
        <v/>
      </c>
      <c r="AV25" s="749">
        <f t="shared" si="10"/>
        <v>0</v>
      </c>
      <c r="AW25" s="749" t="str">
        <f t="shared" si="4"/>
        <v/>
      </c>
      <c r="AX25" s="750" t="str">
        <f t="shared" si="5"/>
        <v/>
      </c>
    </row>
    <row r="26" spans="1:50" s="490" customFormat="1" ht="30" customHeight="1">
      <c r="A26" s="530">
        <f>ROWS(A$11:A26)</f>
        <v>16</v>
      </c>
      <c r="B26" s="1209"/>
      <c r="C26" s="1209"/>
      <c r="D26" s="1209"/>
      <c r="E26" s="531"/>
      <c r="F26" s="531"/>
      <c r="G26" s="717"/>
      <c r="H26" s="717"/>
      <c r="I26" s="712"/>
      <c r="J26" s="713"/>
      <c r="K26" s="525"/>
      <c r="L26" s="1202"/>
      <c r="M26" s="1202"/>
      <c r="N26" s="1204"/>
      <c r="O26" s="522"/>
      <c r="P26" s="522"/>
      <c r="Q26" s="1207"/>
      <c r="R26" s="1192"/>
      <c r="S26" s="529"/>
      <c r="T26" s="523">
        <f t="shared" si="7"/>
        <v>0</v>
      </c>
      <c r="U26" s="522"/>
      <c r="V26" s="522"/>
      <c r="W26" s="522"/>
      <c r="X26" s="522"/>
      <c r="Y26" s="522"/>
      <c r="Z26" s="522"/>
      <c r="AA26" s="528"/>
      <c r="AB26" s="1196"/>
      <c r="AC26" s="527"/>
      <c r="AD26" s="1196"/>
      <c r="AE26" s="1182"/>
      <c r="AF26" s="1183"/>
      <c r="AG26" s="1183"/>
      <c r="AH26" s="512"/>
      <c r="AI26" s="746" t="str">
        <f t="shared" si="8"/>
        <v>-</v>
      </c>
      <c r="AJ26" s="490">
        <f t="shared" si="9"/>
        <v>0</v>
      </c>
      <c r="AQ26" s="749">
        <f t="shared" si="6"/>
        <v>25</v>
      </c>
      <c r="AR26" s="749" t="str">
        <f t="shared" si="0"/>
        <v/>
      </c>
      <c r="AS26" s="749" t="str">
        <f t="shared" si="1"/>
        <v/>
      </c>
      <c r="AT26" s="749" t="str">
        <f t="shared" si="2"/>
        <v/>
      </c>
      <c r="AU26" s="749" t="str">
        <f t="shared" si="10"/>
        <v/>
      </c>
      <c r="AV26" s="749">
        <f t="shared" si="10"/>
        <v>0</v>
      </c>
      <c r="AW26" s="749" t="str">
        <f t="shared" si="4"/>
        <v/>
      </c>
      <c r="AX26" s="750" t="str">
        <f t="shared" si="5"/>
        <v/>
      </c>
    </row>
    <row r="27" spans="1:50" s="490" customFormat="1" ht="30" customHeight="1">
      <c r="A27" s="530">
        <f>ROWS(A$11:A27)</f>
        <v>17</v>
      </c>
      <c r="B27" s="1210"/>
      <c r="C27" s="1211"/>
      <c r="D27" s="1212"/>
      <c r="E27" s="531"/>
      <c r="F27" s="531"/>
      <c r="G27" s="712"/>
      <c r="H27" s="712"/>
      <c r="I27" s="712"/>
      <c r="J27" s="713"/>
      <c r="K27" s="525"/>
      <c r="L27" s="1202"/>
      <c r="M27" s="1202"/>
      <c r="N27" s="1204"/>
      <c r="O27" s="522"/>
      <c r="P27" s="522"/>
      <c r="Q27" s="1207"/>
      <c r="R27" s="1192"/>
      <c r="S27" s="529"/>
      <c r="T27" s="523">
        <f t="shared" si="7"/>
        <v>0</v>
      </c>
      <c r="U27" s="522"/>
      <c r="V27" s="522"/>
      <c r="W27" s="522"/>
      <c r="X27" s="522"/>
      <c r="Y27" s="522"/>
      <c r="Z27" s="522"/>
      <c r="AA27" s="528"/>
      <c r="AB27" s="1196"/>
      <c r="AC27" s="527"/>
      <c r="AD27" s="1196"/>
      <c r="AE27" s="1198"/>
      <c r="AF27" s="1199"/>
      <c r="AG27" s="1199"/>
      <c r="AH27" s="512"/>
      <c r="AI27" s="746" t="str">
        <f t="shared" si="8"/>
        <v>-</v>
      </c>
      <c r="AJ27" s="490">
        <f t="shared" si="9"/>
        <v>0</v>
      </c>
      <c r="AQ27" s="749">
        <f t="shared" si="6"/>
        <v>26</v>
      </c>
      <c r="AR27" s="749" t="str">
        <f t="shared" si="0"/>
        <v/>
      </c>
      <c r="AS27" s="749" t="str">
        <f t="shared" si="1"/>
        <v/>
      </c>
      <c r="AT27" s="749" t="str">
        <f t="shared" si="2"/>
        <v/>
      </c>
      <c r="AU27" s="749" t="str">
        <f t="shared" si="10"/>
        <v/>
      </c>
      <c r="AV27" s="749">
        <f t="shared" si="10"/>
        <v>0</v>
      </c>
      <c r="AW27" s="749" t="str">
        <f t="shared" si="4"/>
        <v/>
      </c>
      <c r="AX27" s="750" t="str">
        <f t="shared" si="5"/>
        <v/>
      </c>
    </row>
    <row r="28" spans="1:50" s="490" customFormat="1" ht="30" customHeight="1">
      <c r="A28" s="530">
        <f>ROWS(A$11:A28)</f>
        <v>18</v>
      </c>
      <c r="B28" s="1210"/>
      <c r="C28" s="1211"/>
      <c r="D28" s="1212"/>
      <c r="E28" s="531"/>
      <c r="F28" s="531"/>
      <c r="G28" s="712"/>
      <c r="H28" s="715"/>
      <c r="I28" s="715"/>
      <c r="J28" s="716"/>
      <c r="K28" s="525"/>
      <c r="L28" s="1202"/>
      <c r="M28" s="1202"/>
      <c r="N28" s="1204"/>
      <c r="O28" s="522"/>
      <c r="P28" s="522"/>
      <c r="Q28" s="1207"/>
      <c r="R28" s="1192"/>
      <c r="S28" s="529"/>
      <c r="T28" s="523">
        <f t="shared" si="7"/>
        <v>0</v>
      </c>
      <c r="U28" s="522"/>
      <c r="V28" s="522"/>
      <c r="W28" s="522"/>
      <c r="X28" s="522"/>
      <c r="Y28" s="522"/>
      <c r="Z28" s="522"/>
      <c r="AA28" s="528"/>
      <c r="AB28" s="1196"/>
      <c r="AC28" s="527"/>
      <c r="AD28" s="1196"/>
      <c r="AE28" s="1182"/>
      <c r="AF28" s="1183"/>
      <c r="AG28" s="1183"/>
      <c r="AH28" s="512"/>
      <c r="AI28" s="746" t="str">
        <f t="shared" si="8"/>
        <v>-</v>
      </c>
      <c r="AJ28" s="490">
        <f t="shared" si="9"/>
        <v>0</v>
      </c>
      <c r="AQ28" s="749">
        <f t="shared" si="6"/>
        <v>27</v>
      </c>
      <c r="AR28" s="749" t="str">
        <f t="shared" si="0"/>
        <v/>
      </c>
      <c r="AS28" s="749" t="str">
        <f t="shared" si="1"/>
        <v/>
      </c>
      <c r="AT28" s="749" t="str">
        <f t="shared" si="2"/>
        <v/>
      </c>
      <c r="AU28" s="749" t="str">
        <f t="shared" si="10"/>
        <v/>
      </c>
      <c r="AV28" s="749">
        <f t="shared" si="10"/>
        <v>0</v>
      </c>
      <c r="AW28" s="749" t="str">
        <f t="shared" si="4"/>
        <v/>
      </c>
      <c r="AX28" s="750" t="str">
        <f t="shared" si="5"/>
        <v/>
      </c>
    </row>
    <row r="29" spans="1:50" s="490" customFormat="1" ht="30" customHeight="1">
      <c r="A29" s="530">
        <f>ROWS(A$11:A29)</f>
        <v>19</v>
      </c>
      <c r="B29" s="1209"/>
      <c r="C29" s="1209"/>
      <c r="D29" s="1209"/>
      <c r="E29" s="531"/>
      <c r="F29" s="531"/>
      <c r="G29" s="717"/>
      <c r="H29" s="717"/>
      <c r="I29" s="712"/>
      <c r="J29" s="713"/>
      <c r="K29" s="525"/>
      <c r="L29" s="1202"/>
      <c r="M29" s="1202"/>
      <c r="N29" s="1204"/>
      <c r="O29" s="522"/>
      <c r="P29" s="522"/>
      <c r="Q29" s="1207"/>
      <c r="R29" s="1192"/>
      <c r="S29" s="529"/>
      <c r="T29" s="523">
        <f t="shared" si="7"/>
        <v>0</v>
      </c>
      <c r="U29" s="522"/>
      <c r="V29" s="522"/>
      <c r="W29" s="522"/>
      <c r="X29" s="522"/>
      <c r="Y29" s="522"/>
      <c r="Z29" s="522"/>
      <c r="AA29" s="528"/>
      <c r="AB29" s="1196"/>
      <c r="AC29" s="527"/>
      <c r="AD29" s="1196"/>
      <c r="AE29" s="1182"/>
      <c r="AF29" s="1183"/>
      <c r="AG29" s="1183"/>
      <c r="AH29" s="512"/>
      <c r="AI29" s="746" t="str">
        <f t="shared" si="8"/>
        <v>-</v>
      </c>
      <c r="AJ29" s="490">
        <f t="shared" si="9"/>
        <v>0</v>
      </c>
      <c r="AQ29" s="749">
        <f t="shared" si="6"/>
        <v>28</v>
      </c>
      <c r="AR29" s="749" t="str">
        <f t="shared" si="0"/>
        <v/>
      </c>
      <c r="AS29" s="749" t="str">
        <f t="shared" si="1"/>
        <v/>
      </c>
      <c r="AT29" s="749" t="str">
        <f t="shared" si="2"/>
        <v/>
      </c>
      <c r="AU29" s="749" t="str">
        <f t="shared" si="10"/>
        <v/>
      </c>
      <c r="AV29" s="749">
        <f t="shared" si="10"/>
        <v>0</v>
      </c>
      <c r="AW29" s="749" t="str">
        <f t="shared" si="4"/>
        <v/>
      </c>
      <c r="AX29" s="750" t="str">
        <f t="shared" si="5"/>
        <v/>
      </c>
    </row>
    <row r="30" spans="1:50" s="490" customFormat="1" ht="30" customHeight="1">
      <c r="A30" s="530">
        <f>ROWS(A$11:A30)</f>
        <v>20</v>
      </c>
      <c r="B30" s="1209"/>
      <c r="C30" s="1209"/>
      <c r="D30" s="1209"/>
      <c r="E30" s="531"/>
      <c r="F30" s="531"/>
      <c r="G30" s="717"/>
      <c r="H30" s="717"/>
      <c r="I30" s="712"/>
      <c r="J30" s="713"/>
      <c r="K30" s="525"/>
      <c r="L30" s="1202"/>
      <c r="M30" s="1202"/>
      <c r="N30" s="1204"/>
      <c r="O30" s="522"/>
      <c r="P30" s="522"/>
      <c r="Q30" s="1207"/>
      <c r="R30" s="1192"/>
      <c r="S30" s="529"/>
      <c r="T30" s="523">
        <f t="shared" si="7"/>
        <v>0</v>
      </c>
      <c r="U30" s="522"/>
      <c r="V30" s="522"/>
      <c r="W30" s="522"/>
      <c r="X30" s="522"/>
      <c r="Y30" s="522"/>
      <c r="Z30" s="522"/>
      <c r="AA30" s="528"/>
      <c r="AB30" s="1196"/>
      <c r="AC30" s="527"/>
      <c r="AD30" s="1196"/>
      <c r="AE30" s="1182"/>
      <c r="AF30" s="1183"/>
      <c r="AG30" s="1183"/>
      <c r="AH30" s="512"/>
      <c r="AI30" s="746" t="str">
        <f t="shared" si="8"/>
        <v>-</v>
      </c>
      <c r="AJ30" s="490">
        <f t="shared" si="9"/>
        <v>0</v>
      </c>
      <c r="AQ30" s="749">
        <f t="shared" si="6"/>
        <v>29</v>
      </c>
      <c r="AR30" s="749" t="str">
        <f t="shared" si="0"/>
        <v/>
      </c>
      <c r="AS30" s="749" t="str">
        <f t="shared" si="1"/>
        <v/>
      </c>
      <c r="AT30" s="749" t="str">
        <f t="shared" si="2"/>
        <v/>
      </c>
      <c r="AU30" s="749" t="str">
        <f t="shared" si="10"/>
        <v/>
      </c>
      <c r="AV30" s="749">
        <f t="shared" si="10"/>
        <v>0</v>
      </c>
      <c r="AW30" s="749" t="str">
        <f t="shared" si="4"/>
        <v/>
      </c>
      <c r="AX30" s="750" t="str">
        <f t="shared" si="5"/>
        <v/>
      </c>
    </row>
    <row r="31" spans="1:50" s="490" customFormat="1" ht="30" customHeight="1">
      <c r="A31" s="530">
        <f>ROWS(A$11:A31)</f>
        <v>21</v>
      </c>
      <c r="B31" s="1209"/>
      <c r="C31" s="1209"/>
      <c r="D31" s="1209"/>
      <c r="E31" s="531"/>
      <c r="F31" s="531"/>
      <c r="G31" s="717"/>
      <c r="H31" s="717"/>
      <c r="I31" s="712"/>
      <c r="J31" s="713"/>
      <c r="K31" s="525"/>
      <c r="L31" s="1202"/>
      <c r="M31" s="1202"/>
      <c r="N31" s="1204"/>
      <c r="O31" s="522"/>
      <c r="P31" s="522"/>
      <c r="Q31" s="1207"/>
      <c r="R31" s="1192"/>
      <c r="S31" s="529"/>
      <c r="T31" s="523">
        <f t="shared" si="7"/>
        <v>0</v>
      </c>
      <c r="U31" s="522"/>
      <c r="V31" s="522"/>
      <c r="W31" s="522"/>
      <c r="X31" s="522"/>
      <c r="Y31" s="522"/>
      <c r="Z31" s="522"/>
      <c r="AA31" s="528"/>
      <c r="AB31" s="1196"/>
      <c r="AC31" s="527"/>
      <c r="AD31" s="1196"/>
      <c r="AE31" s="1182"/>
      <c r="AF31" s="1183"/>
      <c r="AG31" s="1183"/>
      <c r="AH31" s="512"/>
      <c r="AI31" s="746" t="str">
        <f t="shared" si="8"/>
        <v>-</v>
      </c>
      <c r="AJ31" s="490">
        <f t="shared" si="9"/>
        <v>0</v>
      </c>
      <c r="AQ31" s="749">
        <f t="shared" si="6"/>
        <v>30</v>
      </c>
      <c r="AR31" s="749" t="str">
        <f t="shared" si="0"/>
        <v/>
      </c>
      <c r="AS31" s="749" t="str">
        <f t="shared" si="1"/>
        <v/>
      </c>
      <c r="AT31" s="749" t="str">
        <f t="shared" si="2"/>
        <v/>
      </c>
      <c r="AU31" s="749" t="str">
        <f t="shared" si="10"/>
        <v/>
      </c>
      <c r="AV31" s="749">
        <f t="shared" si="10"/>
        <v>0</v>
      </c>
      <c r="AW31" s="749" t="str">
        <f t="shared" si="4"/>
        <v/>
      </c>
      <c r="AX31" s="750" t="str">
        <f t="shared" si="5"/>
        <v/>
      </c>
    </row>
    <row r="32" spans="1:50" s="490" customFormat="1" ht="30" customHeight="1">
      <c r="A32" s="530">
        <f>ROWS(A$11:A32)</f>
        <v>22</v>
      </c>
      <c r="B32" s="1209"/>
      <c r="C32" s="1209"/>
      <c r="D32" s="1209"/>
      <c r="E32" s="531"/>
      <c r="F32" s="531"/>
      <c r="G32" s="717"/>
      <c r="H32" s="717"/>
      <c r="I32" s="712"/>
      <c r="J32" s="713"/>
      <c r="K32" s="525"/>
      <c r="L32" s="1202"/>
      <c r="M32" s="1202"/>
      <c r="N32" s="1204"/>
      <c r="O32" s="522"/>
      <c r="P32" s="522"/>
      <c r="Q32" s="1207"/>
      <c r="R32" s="1192"/>
      <c r="S32" s="529"/>
      <c r="T32" s="523">
        <f t="shared" si="7"/>
        <v>0</v>
      </c>
      <c r="U32" s="522"/>
      <c r="V32" s="522"/>
      <c r="W32" s="522"/>
      <c r="X32" s="522"/>
      <c r="Y32" s="522"/>
      <c r="Z32" s="522"/>
      <c r="AA32" s="528"/>
      <c r="AB32" s="1196"/>
      <c r="AC32" s="527"/>
      <c r="AD32" s="1196"/>
      <c r="AE32" s="1182"/>
      <c r="AF32" s="1183"/>
      <c r="AG32" s="1183"/>
      <c r="AH32" s="512"/>
      <c r="AI32" s="746" t="str">
        <f t="shared" si="8"/>
        <v>-</v>
      </c>
      <c r="AJ32" s="490">
        <f t="shared" si="9"/>
        <v>0</v>
      </c>
      <c r="AQ32" s="749">
        <f t="shared" si="6"/>
        <v>31</v>
      </c>
      <c r="AR32" s="749" t="str">
        <f t="shared" si="0"/>
        <v/>
      </c>
      <c r="AS32" s="749" t="str">
        <f t="shared" si="1"/>
        <v/>
      </c>
      <c r="AT32" s="749" t="str">
        <f t="shared" si="2"/>
        <v/>
      </c>
      <c r="AU32" s="749" t="str">
        <f t="shared" si="10"/>
        <v/>
      </c>
      <c r="AV32" s="749">
        <f t="shared" si="10"/>
        <v>0</v>
      </c>
      <c r="AW32" s="749" t="str">
        <f t="shared" si="4"/>
        <v/>
      </c>
      <c r="AX32" s="750" t="str">
        <f t="shared" si="5"/>
        <v/>
      </c>
    </row>
    <row r="33" spans="1:50" s="490" customFormat="1" ht="30" customHeight="1">
      <c r="A33" s="530">
        <f>ROWS(A$11:A33)</f>
        <v>23</v>
      </c>
      <c r="B33" s="1209"/>
      <c r="C33" s="1209"/>
      <c r="D33" s="1209"/>
      <c r="E33" s="531"/>
      <c r="F33" s="531"/>
      <c r="G33" s="717"/>
      <c r="H33" s="717"/>
      <c r="I33" s="712"/>
      <c r="J33" s="713"/>
      <c r="K33" s="525"/>
      <c r="L33" s="1202"/>
      <c r="M33" s="1202"/>
      <c r="N33" s="1204"/>
      <c r="O33" s="522"/>
      <c r="P33" s="522"/>
      <c r="Q33" s="1207"/>
      <c r="R33" s="1192"/>
      <c r="S33" s="529"/>
      <c r="T33" s="523">
        <f t="shared" si="7"/>
        <v>0</v>
      </c>
      <c r="U33" s="522"/>
      <c r="V33" s="522"/>
      <c r="W33" s="522"/>
      <c r="X33" s="522"/>
      <c r="Y33" s="522"/>
      <c r="Z33" s="522"/>
      <c r="AA33" s="528"/>
      <c r="AB33" s="1196"/>
      <c r="AC33" s="527"/>
      <c r="AD33" s="1196"/>
      <c r="AE33" s="1182"/>
      <c r="AF33" s="1183"/>
      <c r="AG33" s="1183"/>
      <c r="AH33" s="512"/>
      <c r="AI33" s="746" t="str">
        <f t="shared" si="8"/>
        <v>-</v>
      </c>
      <c r="AJ33" s="490">
        <f t="shared" si="9"/>
        <v>0</v>
      </c>
      <c r="AQ33" s="749">
        <f t="shared" si="6"/>
        <v>32</v>
      </c>
      <c r="AR33" s="749" t="str">
        <f t="shared" si="0"/>
        <v/>
      </c>
      <c r="AS33" s="749" t="str">
        <f t="shared" si="1"/>
        <v/>
      </c>
      <c r="AT33" s="749" t="str">
        <f t="shared" si="2"/>
        <v/>
      </c>
      <c r="AU33" s="749" t="str">
        <f t="shared" si="10"/>
        <v/>
      </c>
      <c r="AV33" s="749">
        <f t="shared" si="10"/>
        <v>0</v>
      </c>
      <c r="AW33" s="749" t="str">
        <f t="shared" si="4"/>
        <v/>
      </c>
      <c r="AX33" s="750" t="str">
        <f t="shared" si="5"/>
        <v/>
      </c>
    </row>
    <row r="34" spans="1:50" s="490" customFormat="1" ht="30" customHeight="1">
      <c r="A34" s="530">
        <f>ROWS(A$11:A34)</f>
        <v>24</v>
      </c>
      <c r="B34" s="1210"/>
      <c r="C34" s="1211"/>
      <c r="D34" s="1212"/>
      <c r="E34" s="531"/>
      <c r="F34" s="531"/>
      <c r="G34" s="712"/>
      <c r="H34" s="712"/>
      <c r="I34" s="712"/>
      <c r="J34" s="713"/>
      <c r="K34" s="525"/>
      <c r="L34" s="1202"/>
      <c r="M34" s="1202"/>
      <c r="N34" s="1204"/>
      <c r="O34" s="522"/>
      <c r="P34" s="522"/>
      <c r="Q34" s="1207"/>
      <c r="R34" s="1192"/>
      <c r="S34" s="529"/>
      <c r="T34" s="523">
        <f t="shared" si="7"/>
        <v>0</v>
      </c>
      <c r="U34" s="522"/>
      <c r="V34" s="522"/>
      <c r="W34" s="522"/>
      <c r="X34" s="522"/>
      <c r="Y34" s="522"/>
      <c r="Z34" s="522"/>
      <c r="AA34" s="528"/>
      <c r="AB34" s="1196"/>
      <c r="AC34" s="527"/>
      <c r="AD34" s="1196"/>
      <c r="AE34" s="1182"/>
      <c r="AF34" s="1183"/>
      <c r="AG34" s="1183"/>
      <c r="AH34" s="512"/>
      <c r="AI34" s="746" t="str">
        <f t="shared" si="8"/>
        <v>-</v>
      </c>
      <c r="AJ34" s="490">
        <f t="shared" si="9"/>
        <v>0</v>
      </c>
      <c r="AQ34" s="749">
        <f t="shared" si="6"/>
        <v>33</v>
      </c>
      <c r="AR34" s="749" t="str">
        <f t="shared" si="0"/>
        <v/>
      </c>
      <c r="AS34" s="749" t="str">
        <f t="shared" si="1"/>
        <v/>
      </c>
      <c r="AT34" s="749" t="str">
        <f t="shared" si="2"/>
        <v/>
      </c>
      <c r="AU34" s="749" t="str">
        <f t="shared" si="10"/>
        <v/>
      </c>
      <c r="AV34" s="749">
        <f t="shared" si="10"/>
        <v>0</v>
      </c>
      <c r="AW34" s="749" t="str">
        <f t="shared" si="4"/>
        <v/>
      </c>
      <c r="AX34" s="750" t="str">
        <f t="shared" si="5"/>
        <v/>
      </c>
    </row>
    <row r="35" spans="1:50" s="490" customFormat="1" ht="30" customHeight="1">
      <c r="A35" s="530">
        <f>ROWS(A$11:A35)</f>
        <v>25</v>
      </c>
      <c r="B35" s="1209"/>
      <c r="C35" s="1209"/>
      <c r="D35" s="1209"/>
      <c r="E35" s="531"/>
      <c r="F35" s="531"/>
      <c r="G35" s="717"/>
      <c r="H35" s="717"/>
      <c r="I35" s="712"/>
      <c r="J35" s="713"/>
      <c r="K35" s="525"/>
      <c r="L35" s="1202"/>
      <c r="M35" s="1202"/>
      <c r="N35" s="1204"/>
      <c r="O35" s="522"/>
      <c r="P35" s="522"/>
      <c r="Q35" s="1207"/>
      <c r="R35" s="1192"/>
      <c r="S35" s="529"/>
      <c r="T35" s="523">
        <f t="shared" si="7"/>
        <v>0</v>
      </c>
      <c r="U35" s="522"/>
      <c r="V35" s="522"/>
      <c r="W35" s="522"/>
      <c r="X35" s="522"/>
      <c r="Y35" s="522"/>
      <c r="Z35" s="522"/>
      <c r="AA35" s="528"/>
      <c r="AB35" s="1196"/>
      <c r="AC35" s="527"/>
      <c r="AD35" s="1196"/>
      <c r="AE35" s="1182"/>
      <c r="AF35" s="1183"/>
      <c r="AG35" s="1183"/>
      <c r="AH35" s="512"/>
      <c r="AI35" s="746" t="str">
        <f t="shared" si="8"/>
        <v>-</v>
      </c>
      <c r="AJ35" s="490">
        <f t="shared" si="9"/>
        <v>0</v>
      </c>
      <c r="AQ35" s="749">
        <f t="shared" si="6"/>
        <v>34</v>
      </c>
      <c r="AR35" s="749" t="str">
        <f t="shared" si="0"/>
        <v/>
      </c>
      <c r="AS35" s="749" t="str">
        <f t="shared" si="1"/>
        <v/>
      </c>
      <c r="AT35" s="749" t="str">
        <f t="shared" si="2"/>
        <v/>
      </c>
      <c r="AU35" s="749" t="str">
        <f t="shared" ref="AU35:AV50" si="11">IF(S44="","",S44)</f>
        <v/>
      </c>
      <c r="AV35" s="749">
        <f t="shared" si="11"/>
        <v>0</v>
      </c>
      <c r="AW35" s="749" t="str">
        <f t="shared" si="4"/>
        <v/>
      </c>
      <c r="AX35" s="750" t="str">
        <f t="shared" si="5"/>
        <v/>
      </c>
    </row>
    <row r="36" spans="1:50" s="490" customFormat="1" ht="30" customHeight="1">
      <c r="A36" s="530">
        <f>ROWS(A$11:A36)</f>
        <v>26</v>
      </c>
      <c r="B36" s="1209"/>
      <c r="C36" s="1209"/>
      <c r="D36" s="1209"/>
      <c r="E36" s="531"/>
      <c r="F36" s="531"/>
      <c r="G36" s="717"/>
      <c r="H36" s="717"/>
      <c r="I36" s="712"/>
      <c r="J36" s="713"/>
      <c r="K36" s="525"/>
      <c r="L36" s="1202"/>
      <c r="M36" s="1202"/>
      <c r="N36" s="1204"/>
      <c r="O36" s="522"/>
      <c r="P36" s="522"/>
      <c r="Q36" s="1207"/>
      <c r="R36" s="1192"/>
      <c r="S36" s="529"/>
      <c r="T36" s="523">
        <f t="shared" si="7"/>
        <v>0</v>
      </c>
      <c r="U36" s="522"/>
      <c r="V36" s="522"/>
      <c r="W36" s="522"/>
      <c r="X36" s="522"/>
      <c r="Y36" s="522"/>
      <c r="Z36" s="522"/>
      <c r="AA36" s="528"/>
      <c r="AB36" s="1196"/>
      <c r="AC36" s="527"/>
      <c r="AD36" s="1196"/>
      <c r="AE36" s="1182"/>
      <c r="AF36" s="1183"/>
      <c r="AG36" s="1183"/>
      <c r="AH36" s="512"/>
      <c r="AI36" s="746" t="str">
        <f t="shared" si="8"/>
        <v>-</v>
      </c>
      <c r="AJ36" s="490">
        <f t="shared" si="9"/>
        <v>0</v>
      </c>
      <c r="AQ36" s="749">
        <f t="shared" si="6"/>
        <v>35</v>
      </c>
      <c r="AR36" s="749" t="str">
        <f t="shared" si="0"/>
        <v/>
      </c>
      <c r="AS36" s="749" t="str">
        <f t="shared" si="1"/>
        <v/>
      </c>
      <c r="AT36" s="749" t="str">
        <f t="shared" si="2"/>
        <v/>
      </c>
      <c r="AU36" s="749" t="str">
        <f t="shared" si="11"/>
        <v/>
      </c>
      <c r="AV36" s="749">
        <f t="shared" si="11"/>
        <v>0</v>
      </c>
      <c r="AW36" s="749" t="str">
        <f t="shared" si="4"/>
        <v/>
      </c>
      <c r="AX36" s="750" t="str">
        <f t="shared" si="5"/>
        <v/>
      </c>
    </row>
    <row r="37" spans="1:50" s="490" customFormat="1" ht="30" customHeight="1">
      <c r="A37" s="530">
        <f>ROWS(A$11:A37)</f>
        <v>27</v>
      </c>
      <c r="B37" s="1209"/>
      <c r="C37" s="1209"/>
      <c r="D37" s="1209"/>
      <c r="E37" s="531"/>
      <c r="F37" s="531"/>
      <c r="G37" s="717"/>
      <c r="H37" s="717"/>
      <c r="I37" s="712"/>
      <c r="J37" s="713"/>
      <c r="K37" s="525"/>
      <c r="L37" s="1202"/>
      <c r="M37" s="1202"/>
      <c r="N37" s="1204"/>
      <c r="O37" s="522"/>
      <c r="P37" s="522"/>
      <c r="Q37" s="1207"/>
      <c r="R37" s="1192"/>
      <c r="S37" s="529"/>
      <c r="T37" s="523">
        <f t="shared" si="7"/>
        <v>0</v>
      </c>
      <c r="U37" s="522"/>
      <c r="V37" s="522"/>
      <c r="W37" s="522"/>
      <c r="X37" s="522"/>
      <c r="Y37" s="522"/>
      <c r="Z37" s="522"/>
      <c r="AA37" s="528"/>
      <c r="AB37" s="1196"/>
      <c r="AC37" s="527"/>
      <c r="AD37" s="1196"/>
      <c r="AE37" s="1182"/>
      <c r="AF37" s="1183"/>
      <c r="AG37" s="1183"/>
      <c r="AH37" s="512"/>
      <c r="AI37" s="746" t="str">
        <f t="shared" si="8"/>
        <v>-</v>
      </c>
      <c r="AJ37" s="490">
        <f t="shared" si="9"/>
        <v>0</v>
      </c>
      <c r="AQ37" s="749">
        <f t="shared" si="6"/>
        <v>36</v>
      </c>
      <c r="AR37" s="749" t="str">
        <f t="shared" si="0"/>
        <v/>
      </c>
      <c r="AS37" s="749" t="str">
        <f t="shared" si="1"/>
        <v/>
      </c>
      <c r="AT37" s="749" t="str">
        <f t="shared" si="2"/>
        <v/>
      </c>
      <c r="AU37" s="749" t="str">
        <f t="shared" si="11"/>
        <v/>
      </c>
      <c r="AV37" s="749">
        <f t="shared" si="11"/>
        <v>0</v>
      </c>
      <c r="AW37" s="749" t="str">
        <f t="shared" si="4"/>
        <v/>
      </c>
      <c r="AX37" s="750" t="str">
        <f t="shared" si="5"/>
        <v/>
      </c>
    </row>
    <row r="38" spans="1:50" s="490" customFormat="1" ht="30" customHeight="1">
      <c r="A38" s="530">
        <f>ROWS(A$11:A38)</f>
        <v>28</v>
      </c>
      <c r="B38" s="1209"/>
      <c r="C38" s="1209"/>
      <c r="D38" s="1209"/>
      <c r="E38" s="531"/>
      <c r="F38" s="531"/>
      <c r="G38" s="717"/>
      <c r="H38" s="717"/>
      <c r="I38" s="712"/>
      <c r="J38" s="713"/>
      <c r="K38" s="525"/>
      <c r="L38" s="1202"/>
      <c r="M38" s="1202"/>
      <c r="N38" s="1204"/>
      <c r="O38" s="522"/>
      <c r="P38" s="522"/>
      <c r="Q38" s="1207"/>
      <c r="R38" s="1192"/>
      <c r="S38" s="529"/>
      <c r="T38" s="523">
        <f t="shared" si="7"/>
        <v>0</v>
      </c>
      <c r="U38" s="522"/>
      <c r="V38" s="522"/>
      <c r="W38" s="522"/>
      <c r="X38" s="522"/>
      <c r="Y38" s="522"/>
      <c r="Z38" s="522"/>
      <c r="AA38" s="528"/>
      <c r="AB38" s="1196"/>
      <c r="AC38" s="527"/>
      <c r="AD38" s="1196"/>
      <c r="AE38" s="1182"/>
      <c r="AF38" s="1183"/>
      <c r="AG38" s="1183"/>
      <c r="AH38" s="512"/>
      <c r="AI38" s="746" t="str">
        <f t="shared" si="8"/>
        <v>-</v>
      </c>
      <c r="AJ38" s="490">
        <f t="shared" si="9"/>
        <v>0</v>
      </c>
      <c r="AQ38" s="749">
        <f t="shared" si="6"/>
        <v>37</v>
      </c>
      <c r="AR38" s="749" t="str">
        <f t="shared" si="0"/>
        <v/>
      </c>
      <c r="AS38" s="749" t="str">
        <f t="shared" si="1"/>
        <v/>
      </c>
      <c r="AT38" s="749" t="str">
        <f t="shared" si="2"/>
        <v/>
      </c>
      <c r="AU38" s="749" t="str">
        <f t="shared" si="11"/>
        <v/>
      </c>
      <c r="AV38" s="749">
        <f t="shared" si="11"/>
        <v>0</v>
      </c>
      <c r="AW38" s="749" t="str">
        <f t="shared" si="4"/>
        <v/>
      </c>
      <c r="AX38" s="750" t="str">
        <f t="shared" si="5"/>
        <v/>
      </c>
    </row>
    <row r="39" spans="1:50" s="490" customFormat="1" ht="30" customHeight="1">
      <c r="A39" s="530">
        <f>ROWS(A$11:A39)</f>
        <v>29</v>
      </c>
      <c r="B39" s="1209"/>
      <c r="C39" s="1209"/>
      <c r="D39" s="1209"/>
      <c r="E39" s="531"/>
      <c r="F39" s="531"/>
      <c r="G39" s="717"/>
      <c r="H39" s="717"/>
      <c r="I39" s="712"/>
      <c r="J39" s="713"/>
      <c r="K39" s="525"/>
      <c r="L39" s="1202"/>
      <c r="M39" s="1202"/>
      <c r="N39" s="1204"/>
      <c r="O39" s="522"/>
      <c r="P39" s="522"/>
      <c r="Q39" s="1207"/>
      <c r="R39" s="1192"/>
      <c r="S39" s="529"/>
      <c r="T39" s="523">
        <f t="shared" si="7"/>
        <v>0</v>
      </c>
      <c r="U39" s="522"/>
      <c r="V39" s="522"/>
      <c r="W39" s="522"/>
      <c r="X39" s="522"/>
      <c r="Y39" s="522"/>
      <c r="Z39" s="522"/>
      <c r="AA39" s="528"/>
      <c r="AB39" s="1196"/>
      <c r="AC39" s="527"/>
      <c r="AD39" s="1196"/>
      <c r="AE39" s="1182"/>
      <c r="AF39" s="1183"/>
      <c r="AG39" s="1183"/>
      <c r="AH39" s="512"/>
      <c r="AI39" s="746" t="str">
        <f t="shared" si="8"/>
        <v>-</v>
      </c>
      <c r="AJ39" s="490">
        <f t="shared" si="9"/>
        <v>0</v>
      </c>
      <c r="AQ39" s="749">
        <f t="shared" si="6"/>
        <v>38</v>
      </c>
      <c r="AR39" s="749" t="str">
        <f t="shared" si="0"/>
        <v/>
      </c>
      <c r="AS39" s="749" t="str">
        <f t="shared" si="1"/>
        <v/>
      </c>
      <c r="AT39" s="749" t="str">
        <f t="shared" si="2"/>
        <v/>
      </c>
      <c r="AU39" s="749" t="str">
        <f t="shared" si="11"/>
        <v/>
      </c>
      <c r="AV39" s="749">
        <f t="shared" si="11"/>
        <v>0</v>
      </c>
      <c r="AW39" s="749" t="str">
        <f t="shared" si="4"/>
        <v/>
      </c>
      <c r="AX39" s="750" t="str">
        <f t="shared" si="5"/>
        <v/>
      </c>
    </row>
    <row r="40" spans="1:50" s="490" customFormat="1" ht="30" customHeight="1">
      <c r="A40" s="530">
        <f>ROWS(A$11:A40)</f>
        <v>30</v>
      </c>
      <c r="B40" s="1209"/>
      <c r="C40" s="1209"/>
      <c r="D40" s="1209"/>
      <c r="E40" s="531"/>
      <c r="F40" s="531"/>
      <c r="G40" s="717"/>
      <c r="H40" s="717"/>
      <c r="I40" s="712"/>
      <c r="J40" s="713"/>
      <c r="K40" s="525"/>
      <c r="L40" s="1202"/>
      <c r="M40" s="1202"/>
      <c r="N40" s="1204"/>
      <c r="O40" s="522"/>
      <c r="P40" s="522"/>
      <c r="Q40" s="1207"/>
      <c r="R40" s="1192"/>
      <c r="S40" s="529"/>
      <c r="T40" s="523">
        <f t="shared" si="7"/>
        <v>0</v>
      </c>
      <c r="U40" s="522"/>
      <c r="V40" s="522"/>
      <c r="W40" s="522"/>
      <c r="X40" s="522"/>
      <c r="Y40" s="522"/>
      <c r="Z40" s="522"/>
      <c r="AA40" s="528"/>
      <c r="AB40" s="1196"/>
      <c r="AC40" s="527"/>
      <c r="AD40" s="1196"/>
      <c r="AE40" s="1182"/>
      <c r="AF40" s="1183"/>
      <c r="AG40" s="1183"/>
      <c r="AH40" s="512"/>
      <c r="AI40" s="746" t="str">
        <f t="shared" si="8"/>
        <v>-</v>
      </c>
      <c r="AJ40" s="490">
        <f t="shared" si="9"/>
        <v>0</v>
      </c>
      <c r="AQ40" s="749">
        <f t="shared" si="6"/>
        <v>39</v>
      </c>
      <c r="AR40" s="749" t="str">
        <f t="shared" si="0"/>
        <v/>
      </c>
      <c r="AS40" s="749" t="str">
        <f t="shared" si="1"/>
        <v/>
      </c>
      <c r="AT40" s="749" t="str">
        <f t="shared" si="2"/>
        <v/>
      </c>
      <c r="AU40" s="749" t="str">
        <f t="shared" si="11"/>
        <v/>
      </c>
      <c r="AV40" s="749">
        <f t="shared" si="11"/>
        <v>0</v>
      </c>
      <c r="AW40" s="749" t="str">
        <f t="shared" si="4"/>
        <v/>
      </c>
      <c r="AX40" s="750" t="str">
        <f t="shared" si="5"/>
        <v/>
      </c>
    </row>
    <row r="41" spans="1:50" s="490" customFormat="1" ht="30" customHeight="1">
      <c r="A41" s="530">
        <f>ROWS(A$11:A41)</f>
        <v>31</v>
      </c>
      <c r="B41" s="1209"/>
      <c r="C41" s="1209"/>
      <c r="D41" s="1209"/>
      <c r="E41" s="531"/>
      <c r="F41" s="531"/>
      <c r="G41" s="717"/>
      <c r="H41" s="717"/>
      <c r="I41" s="712"/>
      <c r="J41" s="713"/>
      <c r="K41" s="525"/>
      <c r="L41" s="1202"/>
      <c r="M41" s="1202"/>
      <c r="N41" s="1204"/>
      <c r="O41" s="522"/>
      <c r="P41" s="522"/>
      <c r="Q41" s="1207"/>
      <c r="R41" s="1192"/>
      <c r="S41" s="529"/>
      <c r="T41" s="523">
        <f t="shared" si="7"/>
        <v>0</v>
      </c>
      <c r="U41" s="522"/>
      <c r="V41" s="522"/>
      <c r="W41" s="522"/>
      <c r="X41" s="522"/>
      <c r="Y41" s="522"/>
      <c r="Z41" s="522"/>
      <c r="AA41" s="528"/>
      <c r="AB41" s="1196"/>
      <c r="AC41" s="527"/>
      <c r="AD41" s="1196"/>
      <c r="AE41" s="1182"/>
      <c r="AF41" s="1183"/>
      <c r="AG41" s="1183"/>
      <c r="AH41" s="512"/>
      <c r="AI41" s="746" t="str">
        <f t="shared" si="8"/>
        <v>-</v>
      </c>
      <c r="AJ41" s="490">
        <f t="shared" si="9"/>
        <v>0</v>
      </c>
      <c r="AQ41" s="749">
        <f t="shared" si="6"/>
        <v>40</v>
      </c>
      <c r="AR41" s="749" t="str">
        <f t="shared" si="0"/>
        <v/>
      </c>
      <c r="AS41" s="749" t="str">
        <f t="shared" si="1"/>
        <v/>
      </c>
      <c r="AT41" s="749" t="str">
        <f t="shared" si="2"/>
        <v/>
      </c>
      <c r="AU41" s="749" t="str">
        <f t="shared" si="11"/>
        <v/>
      </c>
      <c r="AV41" s="749">
        <f t="shared" si="11"/>
        <v>0</v>
      </c>
      <c r="AW41" s="749" t="str">
        <f t="shared" si="4"/>
        <v/>
      </c>
      <c r="AX41" s="750" t="str">
        <f t="shared" si="5"/>
        <v/>
      </c>
    </row>
    <row r="42" spans="1:50" s="490" customFormat="1" ht="30" customHeight="1">
      <c r="A42" s="530">
        <f>ROWS(A$11:A42)</f>
        <v>32</v>
      </c>
      <c r="B42" s="1209"/>
      <c r="C42" s="1209"/>
      <c r="D42" s="1209"/>
      <c r="E42" s="531"/>
      <c r="F42" s="531"/>
      <c r="G42" s="717"/>
      <c r="H42" s="717"/>
      <c r="I42" s="712"/>
      <c r="J42" s="713"/>
      <c r="K42" s="525"/>
      <c r="L42" s="1202"/>
      <c r="M42" s="1202"/>
      <c r="N42" s="1204"/>
      <c r="O42" s="522"/>
      <c r="P42" s="522"/>
      <c r="Q42" s="1207"/>
      <c r="R42" s="1192"/>
      <c r="S42" s="529"/>
      <c r="T42" s="523">
        <f t="shared" si="7"/>
        <v>0</v>
      </c>
      <c r="U42" s="522"/>
      <c r="V42" s="522"/>
      <c r="W42" s="522"/>
      <c r="X42" s="522"/>
      <c r="Y42" s="522"/>
      <c r="Z42" s="522"/>
      <c r="AA42" s="528"/>
      <c r="AB42" s="1196"/>
      <c r="AC42" s="527"/>
      <c r="AD42" s="1196"/>
      <c r="AE42" s="1182"/>
      <c r="AF42" s="1183"/>
      <c r="AG42" s="1183"/>
      <c r="AH42" s="512"/>
      <c r="AI42" s="746" t="str">
        <f t="shared" si="8"/>
        <v>-</v>
      </c>
      <c r="AJ42" s="490">
        <f t="shared" si="9"/>
        <v>0</v>
      </c>
      <c r="AQ42" s="749">
        <f t="shared" si="6"/>
        <v>41</v>
      </c>
      <c r="AR42" s="749" t="str">
        <f t="shared" si="0"/>
        <v/>
      </c>
      <c r="AS42" s="749" t="str">
        <f t="shared" si="1"/>
        <v/>
      </c>
      <c r="AT42" s="749" t="str">
        <f t="shared" si="2"/>
        <v/>
      </c>
      <c r="AU42" s="749" t="str">
        <f t="shared" si="11"/>
        <v/>
      </c>
      <c r="AV42" s="749">
        <f t="shared" si="11"/>
        <v>0</v>
      </c>
      <c r="AW42" s="749" t="str">
        <f t="shared" si="4"/>
        <v/>
      </c>
      <c r="AX42" s="750" t="str">
        <f t="shared" si="5"/>
        <v/>
      </c>
    </row>
    <row r="43" spans="1:50" s="490" customFormat="1" ht="30" customHeight="1">
      <c r="A43" s="530">
        <f>ROWS(A$11:A43)</f>
        <v>33</v>
      </c>
      <c r="B43" s="1209"/>
      <c r="C43" s="1209"/>
      <c r="D43" s="1209"/>
      <c r="E43" s="531"/>
      <c r="F43" s="531"/>
      <c r="G43" s="717"/>
      <c r="H43" s="717"/>
      <c r="I43" s="712"/>
      <c r="J43" s="713"/>
      <c r="K43" s="525"/>
      <c r="L43" s="1202"/>
      <c r="M43" s="1202"/>
      <c r="N43" s="1204"/>
      <c r="O43" s="522"/>
      <c r="P43" s="522"/>
      <c r="Q43" s="1207"/>
      <c r="R43" s="1192"/>
      <c r="S43" s="529"/>
      <c r="T43" s="523">
        <f t="shared" ref="T43:T61" si="12">SUM(U43:W43)</f>
        <v>0</v>
      </c>
      <c r="U43" s="522"/>
      <c r="V43" s="522"/>
      <c r="W43" s="522"/>
      <c r="X43" s="522"/>
      <c r="Y43" s="522"/>
      <c r="Z43" s="522"/>
      <c r="AA43" s="528"/>
      <c r="AB43" s="1196"/>
      <c r="AC43" s="527"/>
      <c r="AD43" s="1196"/>
      <c r="AE43" s="1182"/>
      <c r="AF43" s="1183"/>
      <c r="AG43" s="1183"/>
      <c r="AH43" s="512"/>
      <c r="AI43" s="746" t="str">
        <f t="shared" si="8"/>
        <v>-</v>
      </c>
      <c r="AJ43" s="490">
        <f t="shared" si="9"/>
        <v>0</v>
      </c>
      <c r="AQ43" s="749">
        <f t="shared" si="6"/>
        <v>42</v>
      </c>
      <c r="AR43" s="749" t="str">
        <f t="shared" si="0"/>
        <v/>
      </c>
      <c r="AS43" s="749" t="str">
        <f t="shared" si="1"/>
        <v/>
      </c>
      <c r="AT43" s="749" t="str">
        <f t="shared" si="2"/>
        <v/>
      </c>
      <c r="AU43" s="749" t="str">
        <f t="shared" si="11"/>
        <v/>
      </c>
      <c r="AV43" s="749">
        <f t="shared" si="11"/>
        <v>0</v>
      </c>
      <c r="AW43" s="749" t="str">
        <f t="shared" si="4"/>
        <v/>
      </c>
      <c r="AX43" s="750" t="str">
        <f t="shared" si="5"/>
        <v/>
      </c>
    </row>
    <row r="44" spans="1:50" s="490" customFormat="1" ht="30" customHeight="1">
      <c r="A44" s="530">
        <f>ROWS(A$11:A44)</f>
        <v>34</v>
      </c>
      <c r="B44" s="1209"/>
      <c r="C44" s="1209"/>
      <c r="D44" s="1209"/>
      <c r="E44" s="531"/>
      <c r="F44" s="531"/>
      <c r="G44" s="717"/>
      <c r="H44" s="717"/>
      <c r="I44" s="712"/>
      <c r="J44" s="713"/>
      <c r="K44" s="525"/>
      <c r="L44" s="1202"/>
      <c r="M44" s="1202"/>
      <c r="N44" s="1204"/>
      <c r="O44" s="522"/>
      <c r="P44" s="522"/>
      <c r="Q44" s="1207"/>
      <c r="R44" s="1192"/>
      <c r="S44" s="529"/>
      <c r="T44" s="523">
        <f t="shared" si="12"/>
        <v>0</v>
      </c>
      <c r="U44" s="522"/>
      <c r="V44" s="522"/>
      <c r="W44" s="522"/>
      <c r="X44" s="522"/>
      <c r="Y44" s="522"/>
      <c r="Z44" s="522"/>
      <c r="AA44" s="528"/>
      <c r="AB44" s="1196"/>
      <c r="AC44" s="527"/>
      <c r="AD44" s="1196"/>
      <c r="AE44" s="1182"/>
      <c r="AF44" s="1183"/>
      <c r="AG44" s="1183"/>
      <c r="AH44" s="512"/>
      <c r="AI44" s="746" t="str">
        <f t="shared" si="8"/>
        <v>-</v>
      </c>
      <c r="AJ44" s="490">
        <f t="shared" si="9"/>
        <v>0</v>
      </c>
      <c r="AQ44" s="749">
        <f t="shared" si="6"/>
        <v>43</v>
      </c>
      <c r="AR44" s="749" t="str">
        <f t="shared" si="0"/>
        <v/>
      </c>
      <c r="AS44" s="749" t="str">
        <f t="shared" si="1"/>
        <v/>
      </c>
      <c r="AT44" s="749" t="str">
        <f t="shared" si="2"/>
        <v/>
      </c>
      <c r="AU44" s="749" t="str">
        <f t="shared" si="11"/>
        <v/>
      </c>
      <c r="AV44" s="749">
        <f t="shared" si="11"/>
        <v>0</v>
      </c>
      <c r="AW44" s="749" t="str">
        <f t="shared" si="4"/>
        <v/>
      </c>
      <c r="AX44" s="750" t="str">
        <f t="shared" si="5"/>
        <v/>
      </c>
    </row>
    <row r="45" spans="1:50" s="490" customFormat="1" ht="30" customHeight="1">
      <c r="A45" s="530">
        <f>ROWS(A$11:A45)</f>
        <v>35</v>
      </c>
      <c r="B45" s="1209"/>
      <c r="C45" s="1209"/>
      <c r="D45" s="1209"/>
      <c r="E45" s="531"/>
      <c r="F45" s="531"/>
      <c r="G45" s="717"/>
      <c r="H45" s="717"/>
      <c r="I45" s="712"/>
      <c r="J45" s="713"/>
      <c r="K45" s="525"/>
      <c r="L45" s="1202"/>
      <c r="M45" s="1202"/>
      <c r="N45" s="1204"/>
      <c r="O45" s="522"/>
      <c r="P45" s="522"/>
      <c r="Q45" s="1207"/>
      <c r="R45" s="1192"/>
      <c r="S45" s="529"/>
      <c r="T45" s="523">
        <f t="shared" si="12"/>
        <v>0</v>
      </c>
      <c r="U45" s="522"/>
      <c r="V45" s="522"/>
      <c r="W45" s="522"/>
      <c r="X45" s="522"/>
      <c r="Y45" s="522"/>
      <c r="Z45" s="522"/>
      <c r="AA45" s="528"/>
      <c r="AB45" s="1196"/>
      <c r="AC45" s="527"/>
      <c r="AD45" s="1196"/>
      <c r="AE45" s="1182"/>
      <c r="AF45" s="1183"/>
      <c r="AG45" s="1183"/>
      <c r="AH45" s="512"/>
      <c r="AI45" s="746" t="str">
        <f t="shared" si="8"/>
        <v>-</v>
      </c>
      <c r="AJ45" s="490">
        <f t="shared" si="9"/>
        <v>0</v>
      </c>
      <c r="AQ45" s="749">
        <f t="shared" si="6"/>
        <v>44</v>
      </c>
      <c r="AR45" s="749" t="str">
        <f t="shared" si="0"/>
        <v/>
      </c>
      <c r="AS45" s="749" t="str">
        <f t="shared" si="1"/>
        <v/>
      </c>
      <c r="AT45" s="749" t="str">
        <f t="shared" si="2"/>
        <v/>
      </c>
      <c r="AU45" s="749" t="str">
        <f t="shared" si="11"/>
        <v/>
      </c>
      <c r="AV45" s="749">
        <f t="shared" si="11"/>
        <v>0</v>
      </c>
      <c r="AW45" s="749" t="str">
        <f t="shared" si="4"/>
        <v/>
      </c>
      <c r="AX45" s="750" t="str">
        <f t="shared" si="5"/>
        <v/>
      </c>
    </row>
    <row r="46" spans="1:50" s="490" customFormat="1" ht="30" customHeight="1">
      <c r="A46" s="530">
        <f>ROWS(A$11:A46)</f>
        <v>36</v>
      </c>
      <c r="B46" s="1209"/>
      <c r="C46" s="1209"/>
      <c r="D46" s="1209"/>
      <c r="E46" s="531"/>
      <c r="F46" s="531"/>
      <c r="G46" s="717"/>
      <c r="H46" s="717"/>
      <c r="I46" s="712"/>
      <c r="J46" s="713"/>
      <c r="K46" s="525"/>
      <c r="L46" s="1202"/>
      <c r="M46" s="1202"/>
      <c r="N46" s="1204"/>
      <c r="O46" s="522"/>
      <c r="P46" s="522"/>
      <c r="Q46" s="1207"/>
      <c r="R46" s="1192"/>
      <c r="S46" s="529"/>
      <c r="T46" s="523">
        <f t="shared" si="12"/>
        <v>0</v>
      </c>
      <c r="U46" s="522"/>
      <c r="V46" s="522"/>
      <c r="W46" s="522"/>
      <c r="X46" s="522"/>
      <c r="Y46" s="522"/>
      <c r="Z46" s="522"/>
      <c r="AA46" s="528"/>
      <c r="AB46" s="1196"/>
      <c r="AC46" s="527"/>
      <c r="AD46" s="1196"/>
      <c r="AE46" s="1182"/>
      <c r="AF46" s="1183"/>
      <c r="AG46" s="1183"/>
      <c r="AH46" s="512"/>
      <c r="AI46" s="746" t="str">
        <f t="shared" si="8"/>
        <v>-</v>
      </c>
      <c r="AJ46" s="490">
        <f t="shared" si="9"/>
        <v>0</v>
      </c>
      <c r="AQ46" s="749">
        <f t="shared" si="6"/>
        <v>45</v>
      </c>
      <c r="AR46" s="749" t="str">
        <f t="shared" si="0"/>
        <v/>
      </c>
      <c r="AS46" s="749" t="str">
        <f t="shared" si="1"/>
        <v/>
      </c>
      <c r="AT46" s="749" t="str">
        <f t="shared" si="2"/>
        <v/>
      </c>
      <c r="AU46" s="749" t="str">
        <f t="shared" si="11"/>
        <v/>
      </c>
      <c r="AV46" s="749">
        <f t="shared" si="11"/>
        <v>0</v>
      </c>
      <c r="AW46" s="749" t="str">
        <f t="shared" si="4"/>
        <v/>
      </c>
      <c r="AX46" s="750" t="str">
        <f t="shared" si="5"/>
        <v/>
      </c>
    </row>
    <row r="47" spans="1:50" s="490" customFormat="1" ht="30" customHeight="1">
      <c r="A47" s="530">
        <f>ROWS(A$11:A47)</f>
        <v>37</v>
      </c>
      <c r="B47" s="1209"/>
      <c r="C47" s="1209"/>
      <c r="D47" s="1209"/>
      <c r="E47" s="531"/>
      <c r="F47" s="531"/>
      <c r="G47" s="717"/>
      <c r="H47" s="717"/>
      <c r="I47" s="712"/>
      <c r="J47" s="713"/>
      <c r="K47" s="525"/>
      <c r="L47" s="1202"/>
      <c r="M47" s="1202"/>
      <c r="N47" s="1204"/>
      <c r="O47" s="522"/>
      <c r="P47" s="522"/>
      <c r="Q47" s="1207"/>
      <c r="R47" s="1192"/>
      <c r="S47" s="529"/>
      <c r="T47" s="523">
        <f t="shared" si="12"/>
        <v>0</v>
      </c>
      <c r="U47" s="522"/>
      <c r="V47" s="522"/>
      <c r="W47" s="522"/>
      <c r="X47" s="522"/>
      <c r="Y47" s="522"/>
      <c r="Z47" s="522"/>
      <c r="AA47" s="528"/>
      <c r="AB47" s="1196"/>
      <c r="AC47" s="527"/>
      <c r="AD47" s="1196"/>
      <c r="AE47" s="1182"/>
      <c r="AF47" s="1183"/>
      <c r="AG47" s="1183"/>
      <c r="AH47" s="512"/>
      <c r="AI47" s="746" t="str">
        <f t="shared" si="8"/>
        <v>-</v>
      </c>
      <c r="AJ47" s="490">
        <f t="shared" si="9"/>
        <v>0</v>
      </c>
      <c r="AQ47" s="749">
        <f t="shared" si="6"/>
        <v>46</v>
      </c>
      <c r="AR47" s="749" t="str">
        <f t="shared" si="0"/>
        <v/>
      </c>
      <c r="AS47" s="749" t="str">
        <f t="shared" si="1"/>
        <v/>
      </c>
      <c r="AT47" s="749" t="str">
        <f t="shared" si="2"/>
        <v/>
      </c>
      <c r="AU47" s="749" t="str">
        <f t="shared" si="11"/>
        <v/>
      </c>
      <c r="AV47" s="749">
        <f t="shared" si="11"/>
        <v>0</v>
      </c>
      <c r="AW47" s="749" t="str">
        <f t="shared" si="4"/>
        <v/>
      </c>
      <c r="AX47" s="750" t="str">
        <f t="shared" si="5"/>
        <v/>
      </c>
    </row>
    <row r="48" spans="1:50" s="490" customFormat="1" ht="30" customHeight="1">
      <c r="A48" s="530">
        <f>ROWS(A$11:A48)</f>
        <v>38</v>
      </c>
      <c r="B48" s="1209"/>
      <c r="C48" s="1209"/>
      <c r="D48" s="1209"/>
      <c r="E48" s="531"/>
      <c r="F48" s="531"/>
      <c r="G48" s="717"/>
      <c r="H48" s="717"/>
      <c r="I48" s="712"/>
      <c r="J48" s="713"/>
      <c r="K48" s="525"/>
      <c r="L48" s="1202"/>
      <c r="M48" s="1202"/>
      <c r="N48" s="1204"/>
      <c r="O48" s="522"/>
      <c r="P48" s="522"/>
      <c r="Q48" s="1207"/>
      <c r="R48" s="1192"/>
      <c r="S48" s="529"/>
      <c r="T48" s="523">
        <f t="shared" si="12"/>
        <v>0</v>
      </c>
      <c r="U48" s="522"/>
      <c r="V48" s="522"/>
      <c r="W48" s="522"/>
      <c r="X48" s="522"/>
      <c r="Y48" s="522"/>
      <c r="Z48" s="522"/>
      <c r="AA48" s="528"/>
      <c r="AB48" s="1196"/>
      <c r="AC48" s="527"/>
      <c r="AD48" s="1196"/>
      <c r="AE48" s="1182"/>
      <c r="AF48" s="1183"/>
      <c r="AG48" s="1183"/>
      <c r="AH48" s="512"/>
      <c r="AI48" s="746" t="str">
        <f t="shared" si="8"/>
        <v>-</v>
      </c>
      <c r="AJ48" s="490">
        <f t="shared" si="9"/>
        <v>0</v>
      </c>
      <c r="AQ48" s="749">
        <f t="shared" si="6"/>
        <v>47</v>
      </c>
      <c r="AR48" s="749" t="str">
        <f t="shared" si="0"/>
        <v/>
      </c>
      <c r="AS48" s="749" t="str">
        <f t="shared" si="1"/>
        <v/>
      </c>
      <c r="AT48" s="749" t="str">
        <f t="shared" si="2"/>
        <v/>
      </c>
      <c r="AU48" s="749" t="str">
        <f t="shared" si="11"/>
        <v/>
      </c>
      <c r="AV48" s="749">
        <f t="shared" si="11"/>
        <v>0</v>
      </c>
      <c r="AW48" s="749" t="str">
        <f t="shared" si="4"/>
        <v/>
      </c>
      <c r="AX48" s="750" t="str">
        <f t="shared" si="5"/>
        <v/>
      </c>
    </row>
    <row r="49" spans="1:50" s="490" customFormat="1" ht="30" customHeight="1">
      <c r="A49" s="530">
        <f>ROWS(A$11:A49)</f>
        <v>39</v>
      </c>
      <c r="B49" s="1209"/>
      <c r="C49" s="1209"/>
      <c r="D49" s="1209"/>
      <c r="E49" s="531"/>
      <c r="F49" s="531"/>
      <c r="G49" s="717"/>
      <c r="H49" s="717"/>
      <c r="I49" s="712"/>
      <c r="J49" s="713"/>
      <c r="K49" s="525"/>
      <c r="L49" s="1202"/>
      <c r="M49" s="1202"/>
      <c r="N49" s="1204"/>
      <c r="O49" s="522"/>
      <c r="P49" s="522"/>
      <c r="Q49" s="1207"/>
      <c r="R49" s="1192"/>
      <c r="S49" s="529"/>
      <c r="T49" s="523">
        <f t="shared" si="12"/>
        <v>0</v>
      </c>
      <c r="U49" s="522"/>
      <c r="V49" s="522"/>
      <c r="W49" s="522"/>
      <c r="X49" s="522"/>
      <c r="Y49" s="522"/>
      <c r="Z49" s="522"/>
      <c r="AA49" s="528"/>
      <c r="AB49" s="1196"/>
      <c r="AC49" s="527"/>
      <c r="AD49" s="1196"/>
      <c r="AE49" s="1182"/>
      <c r="AF49" s="1183"/>
      <c r="AG49" s="1183"/>
      <c r="AH49" s="512"/>
      <c r="AI49" s="746" t="str">
        <f t="shared" si="8"/>
        <v>-</v>
      </c>
      <c r="AJ49" s="490">
        <f t="shared" si="9"/>
        <v>0</v>
      </c>
      <c r="AQ49" s="749">
        <f t="shared" si="6"/>
        <v>48</v>
      </c>
      <c r="AR49" s="749" t="str">
        <f t="shared" si="0"/>
        <v/>
      </c>
      <c r="AS49" s="749" t="str">
        <f t="shared" si="1"/>
        <v/>
      </c>
      <c r="AT49" s="749" t="str">
        <f t="shared" si="2"/>
        <v/>
      </c>
      <c r="AU49" s="749" t="str">
        <f t="shared" si="11"/>
        <v/>
      </c>
      <c r="AV49" s="749">
        <f t="shared" si="11"/>
        <v>0</v>
      </c>
      <c r="AW49" s="749" t="str">
        <f t="shared" si="4"/>
        <v/>
      </c>
      <c r="AX49" s="750" t="str">
        <f t="shared" si="5"/>
        <v/>
      </c>
    </row>
    <row r="50" spans="1:50" s="490" customFormat="1" ht="30" customHeight="1">
      <c r="A50" s="530">
        <f>ROWS(A$11:A50)</f>
        <v>40</v>
      </c>
      <c r="B50" s="1209"/>
      <c r="C50" s="1209"/>
      <c r="D50" s="1209"/>
      <c r="E50" s="531"/>
      <c r="F50" s="531"/>
      <c r="G50" s="717"/>
      <c r="H50" s="717"/>
      <c r="I50" s="712"/>
      <c r="J50" s="713"/>
      <c r="K50" s="525"/>
      <c r="L50" s="1202"/>
      <c r="M50" s="1202"/>
      <c r="N50" s="1204"/>
      <c r="O50" s="522"/>
      <c r="P50" s="522"/>
      <c r="Q50" s="1207"/>
      <c r="R50" s="1192"/>
      <c r="S50" s="529"/>
      <c r="T50" s="523">
        <f t="shared" si="12"/>
        <v>0</v>
      </c>
      <c r="U50" s="522"/>
      <c r="V50" s="522"/>
      <c r="W50" s="522"/>
      <c r="X50" s="522"/>
      <c r="Y50" s="522"/>
      <c r="Z50" s="522"/>
      <c r="AA50" s="528"/>
      <c r="AB50" s="1196"/>
      <c r="AC50" s="527"/>
      <c r="AD50" s="1196"/>
      <c r="AE50" s="1182"/>
      <c r="AF50" s="1183"/>
      <c r="AG50" s="1183"/>
      <c r="AH50" s="512"/>
      <c r="AI50" s="746" t="str">
        <f t="shared" si="8"/>
        <v>-</v>
      </c>
      <c r="AJ50" s="490">
        <f t="shared" si="9"/>
        <v>0</v>
      </c>
      <c r="AQ50" s="749">
        <f t="shared" si="6"/>
        <v>49</v>
      </c>
      <c r="AR50" s="749" t="str">
        <f t="shared" si="0"/>
        <v/>
      </c>
      <c r="AS50" s="749" t="str">
        <f t="shared" si="1"/>
        <v/>
      </c>
      <c r="AT50" s="749" t="str">
        <f t="shared" si="2"/>
        <v/>
      </c>
      <c r="AU50" s="749" t="str">
        <f t="shared" si="11"/>
        <v/>
      </c>
      <c r="AV50" s="749">
        <f t="shared" si="11"/>
        <v>0</v>
      </c>
      <c r="AW50" s="749" t="str">
        <f t="shared" si="4"/>
        <v/>
      </c>
      <c r="AX50" s="750" t="str">
        <f t="shared" si="5"/>
        <v/>
      </c>
    </row>
    <row r="51" spans="1:50" s="490" customFormat="1" ht="30" customHeight="1">
      <c r="A51" s="530">
        <f>ROWS(A$11:A51)</f>
        <v>41</v>
      </c>
      <c r="B51" s="1209"/>
      <c r="C51" s="1209"/>
      <c r="D51" s="1209"/>
      <c r="E51" s="531"/>
      <c r="F51" s="531"/>
      <c r="G51" s="717"/>
      <c r="H51" s="717"/>
      <c r="I51" s="712"/>
      <c r="J51" s="713"/>
      <c r="K51" s="525"/>
      <c r="L51" s="1202"/>
      <c r="M51" s="1202"/>
      <c r="N51" s="1204"/>
      <c r="O51" s="522"/>
      <c r="P51" s="522"/>
      <c r="Q51" s="1207"/>
      <c r="R51" s="1192"/>
      <c r="S51" s="529"/>
      <c r="T51" s="523">
        <f t="shared" si="12"/>
        <v>0</v>
      </c>
      <c r="U51" s="522"/>
      <c r="V51" s="522"/>
      <c r="W51" s="522"/>
      <c r="X51" s="522"/>
      <c r="Y51" s="522"/>
      <c r="Z51" s="522"/>
      <c r="AA51" s="528"/>
      <c r="AB51" s="1196"/>
      <c r="AC51" s="527"/>
      <c r="AD51" s="1196"/>
      <c r="AE51" s="1182"/>
      <c r="AF51" s="1183"/>
      <c r="AG51" s="1183"/>
      <c r="AH51" s="512"/>
      <c r="AI51" s="746" t="str">
        <f t="shared" si="8"/>
        <v>-</v>
      </c>
      <c r="AJ51" s="490">
        <f t="shared" si="9"/>
        <v>0</v>
      </c>
      <c r="AQ51" s="749">
        <f t="shared" si="6"/>
        <v>50</v>
      </c>
      <c r="AR51" s="749" t="str">
        <f t="shared" si="0"/>
        <v/>
      </c>
      <c r="AS51" s="749" t="str">
        <f t="shared" si="1"/>
        <v/>
      </c>
      <c r="AT51" s="749" t="str">
        <f t="shared" si="2"/>
        <v/>
      </c>
      <c r="AU51" s="749" t="str">
        <f t="shared" ref="AU51:AV51" si="13">IF(S60="","",S60)</f>
        <v/>
      </c>
      <c r="AV51" s="749">
        <f t="shared" si="13"/>
        <v>0</v>
      </c>
      <c r="AW51" s="749" t="str">
        <f t="shared" si="4"/>
        <v/>
      </c>
      <c r="AX51" s="750" t="str">
        <f t="shared" si="5"/>
        <v/>
      </c>
    </row>
    <row r="52" spans="1:50" s="490" customFormat="1" ht="30" customHeight="1">
      <c r="A52" s="530">
        <f>ROWS(A$11:A52)</f>
        <v>42</v>
      </c>
      <c r="B52" s="1209"/>
      <c r="C52" s="1209"/>
      <c r="D52" s="1209"/>
      <c r="E52" s="531"/>
      <c r="F52" s="531"/>
      <c r="G52" s="717"/>
      <c r="H52" s="717"/>
      <c r="I52" s="712"/>
      <c r="J52" s="713"/>
      <c r="K52" s="525"/>
      <c r="L52" s="1202"/>
      <c r="M52" s="1202"/>
      <c r="N52" s="1204"/>
      <c r="O52" s="522"/>
      <c r="P52" s="522"/>
      <c r="Q52" s="1207"/>
      <c r="R52" s="1192"/>
      <c r="S52" s="529"/>
      <c r="T52" s="523">
        <f t="shared" si="12"/>
        <v>0</v>
      </c>
      <c r="U52" s="522"/>
      <c r="V52" s="522"/>
      <c r="W52" s="522"/>
      <c r="X52" s="522"/>
      <c r="Y52" s="522"/>
      <c r="Z52" s="522"/>
      <c r="AA52" s="528"/>
      <c r="AB52" s="1196"/>
      <c r="AC52" s="527"/>
      <c r="AD52" s="1196"/>
      <c r="AE52" s="1182"/>
      <c r="AF52" s="1183"/>
      <c r="AG52" s="1183"/>
      <c r="AH52" s="512"/>
      <c r="AI52" s="746" t="str">
        <f t="shared" si="8"/>
        <v>-</v>
      </c>
      <c r="AJ52" s="490">
        <f t="shared" si="9"/>
        <v>0</v>
      </c>
    </row>
    <row r="53" spans="1:50" s="490" customFormat="1" ht="30" customHeight="1">
      <c r="A53" s="530">
        <f>ROWS(A$11:A53)</f>
        <v>43</v>
      </c>
      <c r="B53" s="1209"/>
      <c r="C53" s="1209"/>
      <c r="D53" s="1209"/>
      <c r="E53" s="531"/>
      <c r="F53" s="531"/>
      <c r="G53" s="717"/>
      <c r="H53" s="717"/>
      <c r="I53" s="712"/>
      <c r="J53" s="713"/>
      <c r="K53" s="525"/>
      <c r="L53" s="1202"/>
      <c r="M53" s="1202"/>
      <c r="N53" s="1204"/>
      <c r="O53" s="522"/>
      <c r="P53" s="522"/>
      <c r="Q53" s="1207"/>
      <c r="R53" s="1192"/>
      <c r="S53" s="529"/>
      <c r="T53" s="523">
        <f t="shared" si="12"/>
        <v>0</v>
      </c>
      <c r="U53" s="522"/>
      <c r="V53" s="522"/>
      <c r="W53" s="522"/>
      <c r="X53" s="522"/>
      <c r="Y53" s="522"/>
      <c r="Z53" s="522"/>
      <c r="AA53" s="528"/>
      <c r="AB53" s="1196"/>
      <c r="AC53" s="527"/>
      <c r="AD53" s="1196"/>
      <c r="AE53" s="1182"/>
      <c r="AF53" s="1183"/>
      <c r="AG53" s="1183"/>
      <c r="AH53" s="512"/>
      <c r="AI53" s="746" t="str">
        <f t="shared" si="8"/>
        <v>-</v>
      </c>
      <c r="AJ53" s="490">
        <f t="shared" si="9"/>
        <v>0</v>
      </c>
    </row>
    <row r="54" spans="1:50" s="490" customFormat="1" ht="30" customHeight="1">
      <c r="A54" s="530">
        <f>ROWS(A$11:A54)</f>
        <v>44</v>
      </c>
      <c r="B54" s="1209"/>
      <c r="C54" s="1209"/>
      <c r="D54" s="1209"/>
      <c r="E54" s="531"/>
      <c r="F54" s="531"/>
      <c r="G54" s="717"/>
      <c r="H54" s="717"/>
      <c r="I54" s="712"/>
      <c r="J54" s="713"/>
      <c r="K54" s="525"/>
      <c r="L54" s="1202"/>
      <c r="M54" s="1202"/>
      <c r="N54" s="1204"/>
      <c r="O54" s="522"/>
      <c r="P54" s="522"/>
      <c r="Q54" s="1207"/>
      <c r="R54" s="1192"/>
      <c r="S54" s="529"/>
      <c r="T54" s="523">
        <f t="shared" si="12"/>
        <v>0</v>
      </c>
      <c r="U54" s="522"/>
      <c r="V54" s="522"/>
      <c r="W54" s="522"/>
      <c r="X54" s="522"/>
      <c r="Y54" s="522"/>
      <c r="Z54" s="522"/>
      <c r="AA54" s="528"/>
      <c r="AB54" s="1196"/>
      <c r="AC54" s="527"/>
      <c r="AD54" s="1196"/>
      <c r="AE54" s="1182"/>
      <c r="AF54" s="1183"/>
      <c r="AG54" s="1183"/>
      <c r="AH54" s="512"/>
      <c r="AI54" s="746" t="str">
        <f t="shared" si="8"/>
        <v>-</v>
      </c>
      <c r="AJ54" s="490">
        <f t="shared" si="9"/>
        <v>0</v>
      </c>
    </row>
    <row r="55" spans="1:50" s="490" customFormat="1" ht="30" customHeight="1">
      <c r="A55" s="530">
        <f>ROWS(A$11:A55)</f>
        <v>45</v>
      </c>
      <c r="B55" s="1209"/>
      <c r="C55" s="1209"/>
      <c r="D55" s="1209"/>
      <c r="E55" s="531"/>
      <c r="F55" s="531"/>
      <c r="G55" s="717"/>
      <c r="H55" s="717"/>
      <c r="I55" s="712"/>
      <c r="J55" s="713"/>
      <c r="K55" s="525"/>
      <c r="L55" s="1202"/>
      <c r="M55" s="1202"/>
      <c r="N55" s="1204"/>
      <c r="O55" s="522"/>
      <c r="P55" s="522"/>
      <c r="Q55" s="1207"/>
      <c r="R55" s="1192"/>
      <c r="S55" s="529"/>
      <c r="T55" s="523">
        <f t="shared" si="12"/>
        <v>0</v>
      </c>
      <c r="U55" s="522"/>
      <c r="V55" s="522"/>
      <c r="W55" s="522"/>
      <c r="X55" s="522"/>
      <c r="Y55" s="522"/>
      <c r="Z55" s="522"/>
      <c r="AA55" s="528"/>
      <c r="AB55" s="1196"/>
      <c r="AC55" s="527"/>
      <c r="AD55" s="1196"/>
      <c r="AE55" s="1182"/>
      <c r="AF55" s="1183"/>
      <c r="AG55" s="1183"/>
      <c r="AH55" s="512"/>
      <c r="AI55" s="746" t="str">
        <f t="shared" si="8"/>
        <v>-</v>
      </c>
      <c r="AJ55" s="490">
        <f t="shared" si="9"/>
        <v>0</v>
      </c>
    </row>
    <row r="56" spans="1:50" s="490" customFormat="1" ht="30" customHeight="1">
      <c r="A56" s="530">
        <f>ROWS(A$11:A56)</f>
        <v>46</v>
      </c>
      <c r="B56" s="1209"/>
      <c r="C56" s="1209"/>
      <c r="D56" s="1209"/>
      <c r="E56" s="531"/>
      <c r="F56" s="531"/>
      <c r="G56" s="717"/>
      <c r="H56" s="717"/>
      <c r="I56" s="712"/>
      <c r="J56" s="713"/>
      <c r="K56" s="525"/>
      <c r="L56" s="1202"/>
      <c r="M56" s="1202"/>
      <c r="N56" s="1204"/>
      <c r="O56" s="522"/>
      <c r="P56" s="522"/>
      <c r="Q56" s="1207"/>
      <c r="R56" s="1192"/>
      <c r="S56" s="529"/>
      <c r="T56" s="523">
        <f t="shared" si="12"/>
        <v>0</v>
      </c>
      <c r="U56" s="522"/>
      <c r="V56" s="522"/>
      <c r="W56" s="522"/>
      <c r="X56" s="522"/>
      <c r="Y56" s="522"/>
      <c r="Z56" s="522"/>
      <c r="AA56" s="528"/>
      <c r="AB56" s="1196"/>
      <c r="AC56" s="527"/>
      <c r="AD56" s="1196"/>
      <c r="AE56" s="1182"/>
      <c r="AF56" s="1183"/>
      <c r="AG56" s="1183"/>
      <c r="AH56" s="512"/>
      <c r="AI56" s="746" t="str">
        <f t="shared" si="8"/>
        <v>-</v>
      </c>
      <c r="AJ56" s="490">
        <f t="shared" si="9"/>
        <v>0</v>
      </c>
    </row>
    <row r="57" spans="1:50" s="490" customFormat="1" ht="30" customHeight="1">
      <c r="A57" s="530">
        <f>ROWS(A$11:A57)</f>
        <v>47</v>
      </c>
      <c r="B57" s="1209"/>
      <c r="C57" s="1209"/>
      <c r="D57" s="1209"/>
      <c r="E57" s="531"/>
      <c r="F57" s="531"/>
      <c r="G57" s="717"/>
      <c r="H57" s="717"/>
      <c r="I57" s="712"/>
      <c r="J57" s="713"/>
      <c r="K57" s="525"/>
      <c r="L57" s="1202"/>
      <c r="M57" s="1202"/>
      <c r="N57" s="1204"/>
      <c r="O57" s="522"/>
      <c r="P57" s="522"/>
      <c r="Q57" s="1207"/>
      <c r="R57" s="1192"/>
      <c r="S57" s="529"/>
      <c r="T57" s="523">
        <f t="shared" si="12"/>
        <v>0</v>
      </c>
      <c r="U57" s="522"/>
      <c r="V57" s="522"/>
      <c r="W57" s="522"/>
      <c r="X57" s="522"/>
      <c r="Y57" s="522"/>
      <c r="Z57" s="522"/>
      <c r="AA57" s="528"/>
      <c r="AB57" s="1196"/>
      <c r="AC57" s="527"/>
      <c r="AD57" s="1196"/>
      <c r="AE57" s="1182"/>
      <c r="AF57" s="1183"/>
      <c r="AG57" s="1183"/>
      <c r="AH57" s="512"/>
      <c r="AI57" s="746" t="str">
        <f t="shared" si="8"/>
        <v>-</v>
      </c>
      <c r="AJ57" s="490">
        <f t="shared" si="9"/>
        <v>0</v>
      </c>
    </row>
    <row r="58" spans="1:50" s="490" customFormat="1" ht="30" customHeight="1">
      <c r="A58" s="530">
        <f>ROWS(A$11:A58)</f>
        <v>48</v>
      </c>
      <c r="B58" s="1209"/>
      <c r="C58" s="1209"/>
      <c r="D58" s="1209"/>
      <c r="E58" s="531"/>
      <c r="F58" s="531"/>
      <c r="G58" s="717"/>
      <c r="H58" s="717"/>
      <c r="I58" s="712"/>
      <c r="J58" s="713"/>
      <c r="K58" s="525"/>
      <c r="L58" s="1202"/>
      <c r="M58" s="1202"/>
      <c r="N58" s="1204"/>
      <c r="O58" s="522"/>
      <c r="P58" s="522"/>
      <c r="Q58" s="1207"/>
      <c r="R58" s="1192"/>
      <c r="S58" s="529"/>
      <c r="T58" s="523">
        <f t="shared" si="12"/>
        <v>0</v>
      </c>
      <c r="U58" s="522"/>
      <c r="V58" s="522"/>
      <c r="W58" s="522"/>
      <c r="X58" s="522"/>
      <c r="Y58" s="522"/>
      <c r="Z58" s="522"/>
      <c r="AA58" s="528"/>
      <c r="AB58" s="1196"/>
      <c r="AC58" s="527"/>
      <c r="AD58" s="1196"/>
      <c r="AE58" s="1182"/>
      <c r="AF58" s="1183"/>
      <c r="AG58" s="1183"/>
      <c r="AH58" s="512"/>
      <c r="AI58" s="746" t="str">
        <f t="shared" si="8"/>
        <v>-</v>
      </c>
      <c r="AJ58" s="490">
        <f t="shared" si="9"/>
        <v>0</v>
      </c>
    </row>
    <row r="59" spans="1:50" s="490" customFormat="1" ht="30" customHeight="1">
      <c r="A59" s="530">
        <f>ROWS(A$11:A59)</f>
        <v>49</v>
      </c>
      <c r="B59" s="1209"/>
      <c r="C59" s="1209"/>
      <c r="D59" s="1209"/>
      <c r="E59" s="531"/>
      <c r="F59" s="531"/>
      <c r="G59" s="717"/>
      <c r="H59" s="717"/>
      <c r="I59" s="712"/>
      <c r="J59" s="713"/>
      <c r="K59" s="525"/>
      <c r="L59" s="1202"/>
      <c r="M59" s="1202"/>
      <c r="N59" s="1204"/>
      <c r="O59" s="522"/>
      <c r="P59" s="522"/>
      <c r="Q59" s="1207"/>
      <c r="R59" s="1192"/>
      <c r="S59" s="529"/>
      <c r="T59" s="523">
        <f t="shared" si="12"/>
        <v>0</v>
      </c>
      <c r="U59" s="522"/>
      <c r="V59" s="522"/>
      <c r="W59" s="522"/>
      <c r="X59" s="522"/>
      <c r="Y59" s="522"/>
      <c r="Z59" s="522"/>
      <c r="AA59" s="528"/>
      <c r="AB59" s="1196"/>
      <c r="AC59" s="527"/>
      <c r="AD59" s="1196"/>
      <c r="AE59" s="1182"/>
      <c r="AF59" s="1183"/>
      <c r="AG59" s="1183"/>
      <c r="AH59" s="512"/>
      <c r="AI59" s="746" t="str">
        <f t="shared" si="8"/>
        <v>-</v>
      </c>
      <c r="AJ59" s="490">
        <f t="shared" si="9"/>
        <v>0</v>
      </c>
    </row>
    <row r="60" spans="1:50" s="490" customFormat="1" ht="30" customHeight="1" thickBot="1">
      <c r="A60" s="526">
        <f>ROWS(A$11:A60)</f>
        <v>50</v>
      </c>
      <c r="B60" s="1223"/>
      <c r="C60" s="1223"/>
      <c r="D60" s="1223"/>
      <c r="E60" s="531"/>
      <c r="F60" s="742"/>
      <c r="G60" s="718"/>
      <c r="H60" s="718"/>
      <c r="I60" s="719"/>
      <c r="J60" s="720"/>
      <c r="K60" s="525"/>
      <c r="L60" s="1202"/>
      <c r="M60" s="1202"/>
      <c r="N60" s="1205"/>
      <c r="O60" s="522"/>
      <c r="P60" s="522"/>
      <c r="Q60" s="1208"/>
      <c r="R60" s="1192"/>
      <c r="S60" s="524"/>
      <c r="T60" s="523">
        <f t="shared" si="12"/>
        <v>0</v>
      </c>
      <c r="U60" s="521"/>
      <c r="V60" s="521"/>
      <c r="W60" s="521"/>
      <c r="X60" s="521"/>
      <c r="Y60" s="522"/>
      <c r="Z60" s="521"/>
      <c r="AA60" s="520"/>
      <c r="AB60" s="1197"/>
      <c r="AC60" s="519"/>
      <c r="AD60" s="1197"/>
      <c r="AE60" s="1182"/>
      <c r="AF60" s="1183"/>
      <c r="AG60" s="1183"/>
      <c r="AH60" s="512"/>
      <c r="AI60" s="746" t="str">
        <f t="shared" si="8"/>
        <v>-</v>
      </c>
      <c r="AJ60" s="490">
        <f t="shared" si="9"/>
        <v>0</v>
      </c>
    </row>
    <row r="61" spans="1:50" s="490" customFormat="1" ht="36.75" customHeight="1" thickBot="1">
      <c r="A61" s="518"/>
      <c r="B61" s="1224" t="s">
        <v>695</v>
      </c>
      <c r="C61" s="1225"/>
      <c r="D61" s="1225"/>
      <c r="E61" s="1225"/>
      <c r="F61" s="1225"/>
      <c r="G61" s="1225"/>
      <c r="H61" s="1225"/>
      <c r="I61" s="1225"/>
      <c r="J61" s="1225"/>
      <c r="K61" s="517">
        <f>SUM(K11:K60)</f>
        <v>0</v>
      </c>
      <c r="L61" s="751"/>
      <c r="M61" s="751"/>
      <c r="N61" s="752"/>
      <c r="O61" s="515">
        <f>SUM(O11:O60)</f>
        <v>0</v>
      </c>
      <c r="P61" s="515">
        <f>SUM(P11:P60)</f>
        <v>0</v>
      </c>
      <c r="Q61" s="515">
        <f>K61-(L61-M61)-N61-O61+P61</f>
        <v>0</v>
      </c>
      <c r="R61" s="753"/>
      <c r="S61" s="517">
        <f>ROUNDDOWN(SUM(S11:S60),-3)</f>
        <v>0</v>
      </c>
      <c r="T61" s="515">
        <f t="shared" si="12"/>
        <v>0</v>
      </c>
      <c r="U61" s="515">
        <f>SUM(U11:U60)</f>
        <v>0</v>
      </c>
      <c r="V61" s="515">
        <f>SUM(V11:V60)</f>
        <v>0</v>
      </c>
      <c r="W61" s="515">
        <f>SUM(W11:W60)</f>
        <v>0</v>
      </c>
      <c r="X61" s="515">
        <f>SUM(X11:X60)</f>
        <v>0</v>
      </c>
      <c r="Y61" s="516"/>
      <c r="Z61" s="516"/>
      <c r="AA61" s="515">
        <f>SUM(AA11:AA60)</f>
        <v>0</v>
      </c>
      <c r="AB61" s="753"/>
      <c r="AC61" s="514">
        <f>SUM(AC11:AC60)</f>
        <v>0</v>
      </c>
      <c r="AD61" s="513">
        <f>S61-T61-X61-AA61-AB61-AC61</f>
        <v>0</v>
      </c>
      <c r="AE61" s="1218"/>
      <c r="AF61" s="1219"/>
      <c r="AG61" s="1219"/>
      <c r="AH61" s="512"/>
    </row>
    <row r="62" spans="1:50" ht="12.75" thickBot="1">
      <c r="P62" s="511"/>
    </row>
    <row r="63" spans="1:50" s="490" customFormat="1" ht="69.75" customHeight="1" thickBot="1">
      <c r="B63" s="503"/>
      <c r="C63" s="503"/>
      <c r="D63" s="503"/>
      <c r="E63" s="503"/>
      <c r="F63" s="503"/>
      <c r="G63" s="503"/>
      <c r="H63" s="503"/>
      <c r="I63" s="503"/>
      <c r="J63" s="503"/>
      <c r="K63" s="503"/>
      <c r="L63" s="503"/>
      <c r="M63" s="503"/>
      <c r="N63" s="503"/>
      <c r="O63" s="503"/>
      <c r="P63" s="503"/>
      <c r="Q63" s="503"/>
      <c r="R63" s="503"/>
      <c r="S63" s="1220" t="s">
        <v>694</v>
      </c>
      <c r="T63" s="1221"/>
      <c r="U63" s="1221"/>
      <c r="V63" s="1221"/>
      <c r="W63" s="1222"/>
      <c r="X63" s="510" t="e">
        <f>(U61+V61+X61)/(T61+X61)</f>
        <v>#DIV/0!</v>
      </c>
      <c r="Y63" s="509" t="str">
        <f>IFERROR(IF(X63&gt;=1/2,"○","×"),"")</f>
        <v/>
      </c>
      <c r="Z63" s="503"/>
      <c r="AA63" s="1220" t="s">
        <v>693</v>
      </c>
      <c r="AB63" s="1221"/>
      <c r="AC63" s="1222"/>
      <c r="AD63" s="508" t="str">
        <f>IFERROR(IF(AD61&gt;=Q61,"○","×"),"")</f>
        <v>○</v>
      </c>
      <c r="AE63" s="503"/>
      <c r="AF63" s="503"/>
      <c r="AG63" s="507"/>
      <c r="AH63" s="504"/>
      <c r="AI63" s="506"/>
      <c r="AJ63" s="506"/>
      <c r="AK63" s="506"/>
      <c r="AL63" s="506"/>
      <c r="AM63" s="503"/>
    </row>
    <row r="64" spans="1:50" s="490" customFormat="1" ht="24" customHeight="1">
      <c r="B64" s="503"/>
      <c r="C64" s="503"/>
      <c r="D64" s="503"/>
      <c r="E64" s="503"/>
      <c r="F64" s="503"/>
      <c r="G64" s="503"/>
      <c r="H64" s="503"/>
      <c r="I64" s="503"/>
      <c r="J64" s="503"/>
      <c r="K64" s="505"/>
      <c r="L64" s="505"/>
      <c r="M64" s="505"/>
      <c r="N64" s="503"/>
      <c r="O64" s="503"/>
      <c r="P64" s="503"/>
      <c r="Q64" s="503"/>
      <c r="R64" s="503"/>
      <c r="S64" s="503"/>
      <c r="T64" s="503"/>
      <c r="U64" s="503"/>
      <c r="V64" s="503"/>
      <c r="W64" s="503"/>
      <c r="X64" s="503"/>
      <c r="Y64" s="503"/>
      <c r="Z64" s="503"/>
      <c r="AA64" s="503"/>
      <c r="AB64" s="504"/>
      <c r="AC64" s="504"/>
      <c r="AD64" s="503"/>
    </row>
    <row r="65" spans="1:42" s="493" customFormat="1" ht="19.5" customHeight="1">
      <c r="A65" s="1216" t="s">
        <v>692</v>
      </c>
      <c r="B65" s="1216"/>
      <c r="C65" s="1216"/>
      <c r="D65" s="1216"/>
      <c r="E65" s="1216"/>
      <c r="F65" s="499"/>
      <c r="G65" s="499"/>
      <c r="H65" s="499"/>
      <c r="I65" s="499"/>
      <c r="J65" s="499"/>
      <c r="K65" s="499"/>
      <c r="L65" s="499"/>
      <c r="M65" s="499"/>
      <c r="N65" s="499"/>
      <c r="O65" s="499"/>
      <c r="P65" s="503"/>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8"/>
      <c r="AN65" s="498"/>
      <c r="AO65" s="498"/>
      <c r="AP65" s="497"/>
    </row>
    <row r="66" spans="1:42" s="493" customFormat="1" ht="19.899999999999999" customHeight="1">
      <c r="A66" s="1216" t="s">
        <v>691</v>
      </c>
      <c r="B66" s="1216"/>
      <c r="C66" s="1216"/>
      <c r="D66" s="1216"/>
      <c r="E66" s="1216"/>
      <c r="F66" s="1216"/>
      <c r="G66" s="1216"/>
      <c r="H66" s="1216"/>
      <c r="I66" s="1216"/>
      <c r="J66" s="1216"/>
      <c r="K66" s="1216"/>
      <c r="L66" s="1216"/>
      <c r="M66" s="1216"/>
      <c r="N66" s="1216"/>
      <c r="O66" s="1216"/>
      <c r="P66" s="1216"/>
      <c r="Q66" s="1216"/>
      <c r="R66" s="1216"/>
      <c r="S66" s="1216"/>
      <c r="T66" s="1216"/>
      <c r="U66" s="1216"/>
      <c r="V66" s="1216"/>
      <c r="W66" s="1216"/>
      <c r="X66" s="1216"/>
      <c r="Y66" s="1216"/>
      <c r="Z66" s="1216"/>
      <c r="AA66" s="501"/>
      <c r="AB66" s="501"/>
      <c r="AC66" s="501"/>
      <c r="AD66" s="502"/>
      <c r="AE66" s="502"/>
      <c r="AF66" s="502"/>
      <c r="AG66" s="502"/>
      <c r="AH66" s="501"/>
      <c r="AI66" s="502"/>
      <c r="AJ66" s="502"/>
      <c r="AK66" s="502"/>
      <c r="AL66" s="502"/>
      <c r="AM66" s="498"/>
      <c r="AN66" s="498"/>
      <c r="AO66" s="498"/>
      <c r="AP66" s="497"/>
    </row>
    <row r="67" spans="1:42" s="493" customFormat="1" ht="19.899999999999999" customHeight="1">
      <c r="A67" s="1216" t="s">
        <v>690</v>
      </c>
      <c r="B67" s="1216"/>
      <c r="C67" s="1216"/>
      <c r="D67" s="1216"/>
      <c r="E67" s="1216"/>
      <c r="F67" s="1216"/>
      <c r="G67" s="1216"/>
      <c r="H67" s="1216"/>
      <c r="I67" s="1216"/>
      <c r="J67" s="1216"/>
      <c r="K67" s="1216"/>
      <c r="L67" s="1216"/>
      <c r="M67" s="1216"/>
      <c r="N67" s="1216"/>
      <c r="O67" s="1216"/>
      <c r="P67" s="1216"/>
      <c r="Q67" s="1216"/>
      <c r="R67" s="1216"/>
      <c r="S67" s="1216"/>
      <c r="T67" s="1216"/>
      <c r="U67" s="1216"/>
      <c r="V67" s="1216"/>
      <c r="W67" s="1216"/>
      <c r="X67" s="1216"/>
      <c r="Y67" s="1216"/>
      <c r="Z67" s="1216"/>
      <c r="AA67" s="501"/>
      <c r="AB67" s="501"/>
      <c r="AC67" s="501"/>
      <c r="AD67" s="499"/>
      <c r="AE67" s="499"/>
      <c r="AF67" s="499"/>
      <c r="AG67" s="499"/>
      <c r="AH67" s="501"/>
      <c r="AI67" s="499"/>
      <c r="AJ67" s="499"/>
      <c r="AK67" s="499"/>
      <c r="AL67" s="499"/>
      <c r="AM67" s="498"/>
      <c r="AN67" s="498"/>
      <c r="AO67" s="498"/>
      <c r="AP67" s="497"/>
    </row>
    <row r="68" spans="1:42" s="493" customFormat="1" ht="19.899999999999999" customHeight="1">
      <c r="A68" s="494" t="s">
        <v>689</v>
      </c>
      <c r="B68" s="1217" t="s">
        <v>688</v>
      </c>
      <c r="C68" s="1217"/>
      <c r="D68" s="1217"/>
      <c r="E68" s="1217"/>
      <c r="F68" s="1217"/>
      <c r="G68" s="1217"/>
      <c r="H68" s="1217"/>
      <c r="I68" s="1217"/>
      <c r="J68" s="1217"/>
      <c r="K68" s="1217"/>
      <c r="L68" s="1217"/>
      <c r="M68" s="1217"/>
      <c r="N68" s="1217"/>
      <c r="O68" s="1217"/>
      <c r="P68" s="1217"/>
      <c r="Q68" s="1217"/>
      <c r="R68" s="1217"/>
      <c r="S68" s="1217"/>
      <c r="T68" s="1217"/>
      <c r="U68" s="1217"/>
      <c r="V68" s="1217"/>
      <c r="W68" s="1217"/>
      <c r="X68" s="1217"/>
      <c r="Y68" s="1217"/>
      <c r="Z68" s="1217"/>
      <c r="AA68" s="500"/>
      <c r="AB68" s="500"/>
      <c r="AC68" s="500"/>
      <c r="AD68" s="499"/>
      <c r="AE68" s="499"/>
      <c r="AF68" s="499"/>
      <c r="AG68" s="499"/>
      <c r="AH68" s="500"/>
      <c r="AI68" s="499"/>
      <c r="AJ68" s="499"/>
      <c r="AK68" s="499"/>
      <c r="AL68" s="499"/>
      <c r="AM68" s="498"/>
      <c r="AN68" s="498"/>
      <c r="AO68" s="498"/>
      <c r="AP68" s="497"/>
    </row>
    <row r="69" spans="1:42" s="495" customFormat="1" ht="19.899999999999999" customHeight="1">
      <c r="A69" s="494" t="s">
        <v>687</v>
      </c>
      <c r="B69" s="1214" t="s">
        <v>686</v>
      </c>
      <c r="C69" s="1214"/>
      <c r="D69" s="1214"/>
      <c r="E69" s="1214"/>
      <c r="F69" s="1214"/>
      <c r="G69" s="1214"/>
      <c r="H69" s="1214"/>
      <c r="I69" s="1214"/>
      <c r="J69" s="1214"/>
      <c r="K69" s="1214"/>
      <c r="L69" s="1214"/>
      <c r="M69" s="1214"/>
      <c r="N69" s="1214"/>
      <c r="O69" s="1214"/>
      <c r="P69" s="1214"/>
      <c r="Q69" s="1214"/>
      <c r="R69" s="1214"/>
      <c r="S69" s="1214"/>
      <c r="T69" s="1214"/>
      <c r="U69" s="1214"/>
      <c r="V69" s="1214"/>
      <c r="W69" s="1214"/>
      <c r="X69" s="1214"/>
      <c r="Y69" s="1214"/>
      <c r="Z69" s="1214"/>
      <c r="AA69" s="496"/>
      <c r="AB69" s="496"/>
      <c r="AC69" s="496"/>
      <c r="AH69" s="496"/>
    </row>
    <row r="70" spans="1:42" s="495" customFormat="1" ht="19.899999999999999" customHeight="1">
      <c r="A70" s="494"/>
      <c r="B70" s="1214" t="s">
        <v>685</v>
      </c>
      <c r="C70" s="1214"/>
      <c r="D70" s="1214"/>
      <c r="E70" s="1214"/>
      <c r="F70" s="1214"/>
      <c r="G70" s="1214"/>
      <c r="H70" s="1214"/>
      <c r="I70" s="1214"/>
      <c r="J70" s="1214"/>
      <c r="K70" s="1214"/>
      <c r="L70" s="1214"/>
      <c r="M70" s="1214"/>
      <c r="N70" s="1214"/>
      <c r="O70" s="1214"/>
      <c r="P70" s="1214"/>
      <c r="Q70" s="1214"/>
      <c r="R70" s="1214"/>
      <c r="S70" s="1214"/>
      <c r="T70" s="1214"/>
      <c r="U70" s="1214"/>
      <c r="V70" s="1214"/>
      <c r="W70" s="1214"/>
      <c r="X70" s="1214"/>
      <c r="Y70" s="1214"/>
      <c r="Z70" s="1214"/>
      <c r="AA70" s="496"/>
      <c r="AB70" s="496"/>
      <c r="AC70" s="496"/>
      <c r="AH70" s="496"/>
      <c r="AM70" s="496"/>
      <c r="AN70" s="496"/>
      <c r="AO70" s="496"/>
      <c r="AP70" s="496"/>
    </row>
    <row r="71" spans="1:42" s="491" customFormat="1" ht="19.899999999999999" customHeight="1">
      <c r="A71" s="494" t="s">
        <v>684</v>
      </c>
      <c r="B71" s="1215" t="s">
        <v>683</v>
      </c>
      <c r="C71" s="1215"/>
      <c r="D71" s="1215"/>
      <c r="E71" s="1215"/>
      <c r="F71" s="1215"/>
      <c r="G71" s="1215"/>
      <c r="H71" s="1215"/>
      <c r="I71" s="1215"/>
      <c r="J71" s="1215"/>
      <c r="K71" s="1215"/>
      <c r="L71" s="1215"/>
      <c r="M71" s="1215"/>
      <c r="N71" s="1215"/>
      <c r="O71" s="1215"/>
      <c r="P71" s="1215"/>
      <c r="Q71" s="1215"/>
      <c r="R71" s="1215"/>
      <c r="S71" s="1215"/>
      <c r="T71" s="1215"/>
      <c r="U71" s="1215"/>
      <c r="V71" s="1215"/>
      <c r="W71" s="1215"/>
      <c r="X71" s="1215"/>
      <c r="Y71" s="1215"/>
      <c r="Z71" s="1215"/>
      <c r="AA71" s="494"/>
      <c r="AB71" s="494"/>
      <c r="AC71" s="494"/>
      <c r="AH71" s="494"/>
    </row>
    <row r="72" spans="1:42" s="493" customFormat="1" ht="19.899999999999999" customHeight="1">
      <c r="A72" s="494"/>
      <c r="B72" s="1215" t="s">
        <v>682</v>
      </c>
      <c r="C72" s="1215"/>
      <c r="D72" s="1215"/>
      <c r="E72" s="1215"/>
      <c r="F72" s="1215"/>
      <c r="G72" s="1215"/>
      <c r="H72" s="1215"/>
      <c r="I72" s="1215"/>
      <c r="J72" s="1215"/>
      <c r="K72" s="1215"/>
      <c r="L72" s="1215"/>
      <c r="M72" s="1215"/>
      <c r="N72" s="1215"/>
      <c r="O72" s="1215"/>
      <c r="P72" s="1215"/>
      <c r="Q72" s="1215"/>
      <c r="R72" s="1215"/>
      <c r="S72" s="1215"/>
      <c r="T72" s="1215"/>
      <c r="U72" s="1215"/>
      <c r="V72" s="1215"/>
      <c r="W72" s="1215"/>
      <c r="X72" s="1215"/>
      <c r="Y72" s="1215"/>
      <c r="Z72" s="1215"/>
      <c r="AA72" s="494"/>
      <c r="AB72" s="494"/>
      <c r="AC72" s="494"/>
      <c r="AD72" s="491"/>
      <c r="AE72" s="491"/>
      <c r="AF72" s="491"/>
      <c r="AG72" s="491"/>
      <c r="AH72" s="494"/>
      <c r="AI72" s="491"/>
      <c r="AJ72" s="491"/>
      <c r="AK72" s="491"/>
      <c r="AL72" s="491"/>
      <c r="AM72" s="491"/>
      <c r="AN72" s="491"/>
      <c r="AO72" s="491"/>
      <c r="AP72" s="491"/>
    </row>
    <row r="73" spans="1:42" s="493" customFormat="1" ht="19.899999999999999" customHeight="1">
      <c r="A73" s="492" t="s">
        <v>872</v>
      </c>
      <c r="B73" s="492"/>
      <c r="C73" s="491"/>
      <c r="D73" s="491"/>
      <c r="E73" s="491"/>
      <c r="F73" s="491"/>
      <c r="G73" s="491"/>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91"/>
      <c r="AP73" s="491"/>
    </row>
    <row r="74" spans="1:42" s="490" customFormat="1" ht="19.899999999999999" customHeight="1">
      <c r="A74" s="492"/>
      <c r="B74" s="492"/>
      <c r="C74" s="489"/>
      <c r="D74" s="489"/>
      <c r="E74" s="489"/>
      <c r="F74" s="489"/>
      <c r="G74" s="489"/>
      <c r="H74" s="489"/>
      <c r="I74" s="489"/>
      <c r="J74" s="489"/>
      <c r="K74" s="489"/>
      <c r="L74" s="489"/>
      <c r="M74" s="489"/>
      <c r="N74" s="489"/>
      <c r="O74" s="489"/>
      <c r="P74" s="491"/>
      <c r="Q74" s="489"/>
      <c r="R74" s="489"/>
      <c r="S74" s="489"/>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row>
    <row r="75" spans="1:42" ht="12" customHeight="1">
      <c r="B75" s="487"/>
      <c r="C75" s="487"/>
      <c r="D75" s="487"/>
      <c r="E75" s="487"/>
      <c r="F75" s="487"/>
      <c r="G75" s="487"/>
      <c r="H75" s="487"/>
      <c r="I75" s="487"/>
      <c r="J75" s="487"/>
      <c r="K75" s="487"/>
      <c r="L75" s="487"/>
      <c r="M75" s="487"/>
      <c r="N75" s="487"/>
      <c r="O75" s="487"/>
      <c r="P75" s="489"/>
      <c r="Q75" s="487"/>
      <c r="R75" s="487"/>
      <c r="S75" s="487"/>
      <c r="T75" s="487"/>
      <c r="U75" s="487"/>
      <c r="V75" s="487"/>
      <c r="W75" s="487"/>
      <c r="X75" s="487"/>
      <c r="Y75" s="487"/>
      <c r="Z75" s="487"/>
      <c r="AA75" s="487"/>
      <c r="AB75" s="487"/>
      <c r="AC75" s="487"/>
      <c r="AD75" s="487"/>
      <c r="AE75" s="487"/>
      <c r="AF75" s="487"/>
      <c r="AG75" s="487"/>
      <c r="AH75" s="487"/>
      <c r="AI75" s="487"/>
      <c r="AJ75" s="487"/>
      <c r="AK75" s="487"/>
      <c r="AL75" s="487"/>
      <c r="AM75" s="487"/>
      <c r="AN75" s="487"/>
      <c r="AO75" s="487"/>
      <c r="AP75" s="487"/>
    </row>
    <row r="76" spans="1:42" ht="12" customHeight="1">
      <c r="B76" s="487"/>
      <c r="C76" s="487"/>
      <c r="D76" s="487"/>
      <c r="E76" s="487"/>
      <c r="F76" s="487"/>
      <c r="G76" s="487"/>
      <c r="H76" s="487"/>
      <c r="I76" s="487"/>
      <c r="J76" s="487"/>
      <c r="K76" s="487"/>
      <c r="L76" s="487"/>
      <c r="M76" s="487"/>
      <c r="N76" s="487"/>
      <c r="O76" s="487"/>
      <c r="P76" s="487"/>
      <c r="Q76" s="487"/>
      <c r="R76" s="487"/>
      <c r="S76" s="487"/>
      <c r="T76" s="487"/>
      <c r="U76" s="487"/>
      <c r="V76" s="487"/>
      <c r="W76" s="487"/>
      <c r="X76" s="487"/>
      <c r="Y76" s="487"/>
      <c r="Z76" s="487"/>
      <c r="AA76" s="487"/>
      <c r="AB76" s="487"/>
      <c r="AC76" s="487"/>
      <c r="AD76" s="487"/>
      <c r="AE76" s="487"/>
      <c r="AF76" s="487"/>
      <c r="AG76" s="487"/>
      <c r="AH76" s="487"/>
      <c r="AI76" s="487"/>
      <c r="AJ76" s="487"/>
      <c r="AK76" s="487"/>
      <c r="AL76" s="487"/>
      <c r="AM76" s="487"/>
      <c r="AN76" s="487"/>
      <c r="AO76" s="487"/>
      <c r="AP76" s="487"/>
    </row>
    <row r="77" spans="1:42" ht="12" customHeight="1">
      <c r="B77" s="487"/>
      <c r="C77" s="487"/>
      <c r="D77" s="487"/>
      <c r="E77" s="487"/>
      <c r="F77" s="487"/>
      <c r="G77" s="487"/>
      <c r="H77" s="487"/>
      <c r="I77" s="487"/>
      <c r="J77" s="487"/>
      <c r="K77" s="487"/>
      <c r="L77" s="487"/>
      <c r="M77" s="487"/>
      <c r="N77" s="487"/>
      <c r="O77" s="487"/>
      <c r="P77" s="487"/>
      <c r="Q77" s="487"/>
      <c r="R77" s="487"/>
      <c r="S77" s="487"/>
      <c r="T77" s="487"/>
      <c r="U77" s="487"/>
      <c r="V77" s="487"/>
      <c r="W77" s="487"/>
      <c r="X77" s="487"/>
      <c r="Y77" s="487"/>
      <c r="Z77" s="487"/>
      <c r="AA77" s="487"/>
      <c r="AB77" s="487"/>
      <c r="AC77" s="487"/>
      <c r="AD77" s="487"/>
      <c r="AE77" s="487"/>
      <c r="AF77" s="487"/>
      <c r="AG77" s="487"/>
      <c r="AH77" s="487"/>
      <c r="AI77" s="487"/>
      <c r="AJ77" s="487"/>
      <c r="AK77" s="487"/>
      <c r="AL77" s="487"/>
      <c r="AM77" s="487"/>
      <c r="AN77" s="487"/>
      <c r="AO77" s="487"/>
      <c r="AP77" s="487"/>
    </row>
    <row r="78" spans="1:42" ht="12" customHeight="1">
      <c r="B78" s="488"/>
      <c r="C78" s="487"/>
      <c r="D78" s="487"/>
      <c r="E78" s="487"/>
      <c r="F78" s="487"/>
      <c r="G78" s="487"/>
      <c r="H78" s="487"/>
      <c r="I78" s="487"/>
      <c r="J78" s="487"/>
      <c r="K78" s="487"/>
      <c r="L78" s="487"/>
      <c r="M78" s="487"/>
      <c r="N78" s="487"/>
      <c r="O78" s="487"/>
      <c r="P78" s="487"/>
      <c r="Q78" s="487"/>
      <c r="R78" s="487"/>
      <c r="S78" s="487"/>
      <c r="T78" s="487"/>
      <c r="U78" s="487"/>
      <c r="V78" s="487"/>
      <c r="W78" s="487"/>
      <c r="X78" s="487"/>
      <c r="Y78" s="487"/>
      <c r="Z78" s="487"/>
      <c r="AA78" s="487"/>
      <c r="AB78" s="487"/>
      <c r="AC78" s="487"/>
      <c r="AD78" s="487"/>
      <c r="AE78" s="487"/>
      <c r="AF78" s="487"/>
      <c r="AG78" s="487"/>
      <c r="AH78" s="487"/>
      <c r="AI78" s="487"/>
      <c r="AJ78" s="487"/>
      <c r="AK78" s="487"/>
      <c r="AL78" s="487"/>
      <c r="AM78" s="487"/>
      <c r="AN78" s="487"/>
      <c r="AO78" s="487"/>
      <c r="AP78" s="487"/>
    </row>
    <row r="79" spans="1:42" ht="18.75">
      <c r="B79" s="484"/>
      <c r="C79" s="484"/>
      <c r="D79" s="484"/>
      <c r="E79" s="484"/>
      <c r="F79" s="484"/>
      <c r="G79" s="484"/>
      <c r="H79" s="484"/>
      <c r="I79" s="484"/>
      <c r="J79" s="484"/>
      <c r="K79" s="484"/>
      <c r="L79" s="484"/>
      <c r="M79" s="484"/>
      <c r="N79" s="484"/>
      <c r="O79" s="484"/>
      <c r="P79" s="487"/>
      <c r="Q79" s="484"/>
      <c r="R79" s="484"/>
      <c r="S79" s="484"/>
      <c r="T79" s="486" t="s">
        <v>681</v>
      </c>
      <c r="U79" s="484"/>
      <c r="V79" s="484"/>
      <c r="W79" s="484"/>
      <c r="X79" s="484"/>
      <c r="Y79" s="484"/>
      <c r="Z79" s="485"/>
      <c r="AA79" s="484"/>
      <c r="AB79" s="484"/>
      <c r="AC79" s="484"/>
      <c r="AD79" s="484"/>
      <c r="AE79" s="484"/>
      <c r="AF79" s="484"/>
      <c r="AG79" s="484"/>
      <c r="AH79" s="484"/>
      <c r="AI79" s="484"/>
      <c r="AJ79" s="484"/>
      <c r="AK79" s="484"/>
      <c r="AL79" s="484"/>
      <c r="AM79" s="484"/>
      <c r="AN79" s="484"/>
      <c r="AO79" s="484"/>
      <c r="AP79" s="484"/>
    </row>
    <row r="80" spans="1:42" ht="25.5" customHeight="1">
      <c r="F80" s="480" t="s">
        <v>680</v>
      </c>
      <c r="P80" s="484"/>
      <c r="T80" s="483" t="e">
        <f>様式4!$AZ$18/様式4!$AZ$19*$L$61</f>
        <v>#DIV/0!</v>
      </c>
      <c r="Y80" s="480" t="s">
        <v>873</v>
      </c>
      <c r="Z80" s="482"/>
    </row>
    <row r="81" spans="6:26">
      <c r="F81" s="480" t="s">
        <v>679</v>
      </c>
      <c r="Y81" s="480" t="s">
        <v>874</v>
      </c>
    </row>
    <row r="82" spans="6:26">
      <c r="F82" s="480" t="s">
        <v>678</v>
      </c>
      <c r="Y82" s="480" t="s">
        <v>875</v>
      </c>
    </row>
    <row r="83" spans="6:26">
      <c r="F83" s="480" t="s">
        <v>677</v>
      </c>
      <c r="Z83" s="482"/>
    </row>
    <row r="84" spans="6:26">
      <c r="F84" s="480" t="s">
        <v>676</v>
      </c>
    </row>
    <row r="85" spans="6:26">
      <c r="F85" s="480" t="s">
        <v>675</v>
      </c>
    </row>
    <row r="86" spans="6:26">
      <c r="F86" s="480" t="s">
        <v>674</v>
      </c>
    </row>
    <row r="87" spans="6:26">
      <c r="F87" s="480" t="s">
        <v>673</v>
      </c>
    </row>
    <row r="88" spans="6:26">
      <c r="F88" s="480" t="s">
        <v>672</v>
      </c>
    </row>
    <row r="89" spans="6:26">
      <c r="F89" s="480" t="s">
        <v>671</v>
      </c>
    </row>
    <row r="90" spans="6:26">
      <c r="F90" s="480" t="s">
        <v>670</v>
      </c>
    </row>
    <row r="91" spans="6:26">
      <c r="F91" s="480" t="s">
        <v>669</v>
      </c>
    </row>
    <row r="92" spans="6:26">
      <c r="F92" s="480" t="s">
        <v>668</v>
      </c>
    </row>
    <row r="93" spans="6:26">
      <c r="F93" s="480" t="s">
        <v>667</v>
      </c>
    </row>
    <row r="94" spans="6:26">
      <c r="F94" s="480" t="s">
        <v>666</v>
      </c>
      <c r="V94" s="481"/>
    </row>
    <row r="95" spans="6:26">
      <c r="F95" s="480" t="s">
        <v>665</v>
      </c>
    </row>
  </sheetData>
  <sheetProtection algorithmName="SHA-512" hashValue="6gSh3fPdTUuXBzShDqDNj6h/zgthA4ppNlYjfO53PXkEjqQjd+r4QvXN/98mOozYu8Avk0LphpgzgadoEt0l1g==" saltValue="b+vbmVNPC+e0B6oifGrAZg==" spinCount="100000" sheet="1" formatCells="0" insertColumns="0" insertRows="0" selectLockedCells="1"/>
  <mergeCells count="155">
    <mergeCell ref="AE32:AG32"/>
    <mergeCell ref="AE22:AG22"/>
    <mergeCell ref="B23:D23"/>
    <mergeCell ref="AE23:AG23"/>
    <mergeCell ref="B30:D30"/>
    <mergeCell ref="AE30:AG30"/>
    <mergeCell ref="B31:D31"/>
    <mergeCell ref="AE31:AG31"/>
    <mergeCell ref="AE27:AG27"/>
    <mergeCell ref="AE28:AG28"/>
    <mergeCell ref="B24:D24"/>
    <mergeCell ref="AE24:AG24"/>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AE57:AG57"/>
    <mergeCell ref="AE51:AG51"/>
    <mergeCell ref="B52:D52"/>
    <mergeCell ref="AE52:AG52"/>
    <mergeCell ref="B53:D53"/>
    <mergeCell ref="AE53:AG53"/>
    <mergeCell ref="B49:D49"/>
    <mergeCell ref="AE49:AG49"/>
    <mergeCell ref="B50:D50"/>
    <mergeCell ref="AE50:AG50"/>
    <mergeCell ref="B51:D51"/>
    <mergeCell ref="B55:D55"/>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B11:D11"/>
    <mergeCell ref="L11:L60"/>
    <mergeCell ref="M11:M60"/>
    <mergeCell ref="N11:N60"/>
    <mergeCell ref="Q11:Q60"/>
    <mergeCell ref="B36:D36"/>
    <mergeCell ref="B41:D41"/>
    <mergeCell ref="B42:D42"/>
    <mergeCell ref="B40:D40"/>
    <mergeCell ref="B35:D35"/>
    <mergeCell ref="B12:D12"/>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s>
  <phoneticPr fontId="4"/>
  <conditionalFormatting sqref="B11:F60 K11:K60 O11:O60 T12:T61 B61 K61:O61 Q61:S61 U61:AB61">
    <cfRule type="containsBlanks" dxfId="7" priority="10">
      <formula>LEN(TRIM(B11))=0</formula>
    </cfRule>
  </conditionalFormatting>
  <conditionalFormatting sqref="L11:N11 L12:M60">
    <cfRule type="containsBlanks" dxfId="6" priority="4">
      <formula>LEN(TRIM(L11))=0</formula>
    </cfRule>
  </conditionalFormatting>
  <conditionalFormatting sqref="P11:P61">
    <cfRule type="containsBlanks" dxfId="5" priority="11">
      <formula>LEN(TRIM(P11))=0</formula>
    </cfRule>
  </conditionalFormatting>
  <conditionalFormatting sqref="Q11 S11:W11">
    <cfRule type="containsBlanks" dxfId="4" priority="3">
      <formula>LEN(TRIM(Q11))=0</formula>
    </cfRule>
  </conditionalFormatting>
  <conditionalFormatting sqref="X11:AA60">
    <cfRule type="containsBlanks" dxfId="3" priority="12">
      <formula>LEN(TRIM(X11))=0</formula>
    </cfRule>
  </conditionalFormatting>
  <conditionalFormatting sqref="AB11">
    <cfRule type="containsBlanks" dxfId="2" priority="2">
      <formula>LEN(TRIM(AB11))=0</formula>
    </cfRule>
  </conditionalFormatting>
  <conditionalFormatting sqref="AC11:AC61 AE11:AG61 S12:S60 U12:W60 AD61">
    <cfRule type="containsBlanks" dxfId="1" priority="13">
      <formula>LEN(TRIM(S11))=0</formula>
    </cfRule>
  </conditionalFormatting>
  <conditionalFormatting sqref="AD11">
    <cfRule type="containsBlanks" dxfId="0" priority="1">
      <formula>LEN(TRIM(AD11))=0</formula>
    </cfRule>
  </conditionalFormatting>
  <dataValidations count="10">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8FAD4BCB-6F41-4245-A37D-4A73F48E787C}"/>
    <dataValidation type="list" allowBlank="1" showInputMessage="1" showErrorMessage="1" sqref="Y11:Y60" xr:uid="{FD81BF59-6B05-4D86-AF64-4DCDD051B697}">
      <formula1>$Y$80:$Y$82</formula1>
    </dataValidation>
    <dataValidation type="custom" allowBlank="1" showInputMessage="1" showErrorMessage="1" prompt="整数のみ入力してください。" sqref="K11:K60 S11:S60 U11:X60 AC11:AC60 AA11:AA60 O11:P60" xr:uid="{73B21A73-2549-4E6A-9E8C-5094F4625EAB}">
      <formula1>INT(K11)=K11</formula1>
    </dataValidation>
  </dataValidations>
  <printOptions horizontalCentered="1"/>
  <pageMargins left="0.78740157480314965" right="0.78740157480314965" top="0.59055118110236227" bottom="0.59055118110236227" header="0.51181102362204722" footer="0.51181102362204722"/>
  <pageSetup paperSize="8" scale="2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0CAB-DCAA-4112-B8FB-B0C10D89569C}">
  <sheetPr>
    <pageSetUpPr fitToPage="1"/>
  </sheetPr>
  <dimension ref="A1:F21"/>
  <sheetViews>
    <sheetView showGridLines="0" view="pageBreakPreview" zoomScale="85" zoomScaleNormal="100" zoomScaleSheetLayoutView="85" workbookViewId="0">
      <selection activeCell="Q10" sqref="Q10"/>
    </sheetView>
  </sheetViews>
  <sheetFormatPr defaultColWidth="9" defaultRowHeight="18" customHeight="1"/>
  <cols>
    <col min="1" max="1" width="5" style="464" customWidth="1"/>
    <col min="2" max="2" width="15.625" style="464" customWidth="1"/>
    <col min="3" max="3" width="14.625" style="464" customWidth="1"/>
    <col min="4" max="4" width="23.125" style="464" customWidth="1"/>
    <col min="5" max="6" width="22.875" style="464" customWidth="1"/>
    <col min="7" max="7" width="2.5" style="464" customWidth="1"/>
    <col min="8" max="19" width="3" style="464" customWidth="1"/>
    <col min="20" max="16384" width="9" style="464"/>
  </cols>
  <sheetData>
    <row r="1" spans="1:6" ht="18" customHeight="1" thickBot="1">
      <c r="A1" s="471" t="s">
        <v>759</v>
      </c>
    </row>
    <row r="2" spans="1:6" ht="18" customHeight="1" thickBot="1">
      <c r="D2" s="566" t="s">
        <v>744</v>
      </c>
      <c r="E2" s="1232">
        <f>様式1!U8</f>
        <v>0</v>
      </c>
      <c r="F2" s="1233"/>
    </row>
    <row r="4" spans="1:6" ht="18" customHeight="1">
      <c r="A4" s="871" t="s">
        <v>758</v>
      </c>
      <c r="B4" s="871"/>
      <c r="C4" s="871"/>
      <c r="D4" s="871"/>
      <c r="E4" s="871"/>
      <c r="F4" s="871"/>
    </row>
    <row r="5" spans="1:6" ht="18" customHeight="1" thickBot="1">
      <c r="A5" s="470"/>
      <c r="B5" s="470"/>
      <c r="C5" s="470"/>
      <c r="D5" s="470"/>
      <c r="E5" s="470"/>
      <c r="F5" s="470"/>
    </row>
    <row r="6" spans="1:6" ht="40.15" customHeight="1">
      <c r="A6" s="1234" t="s">
        <v>757</v>
      </c>
      <c r="B6" s="1236" t="s">
        <v>756</v>
      </c>
      <c r="C6" s="1236" t="s">
        <v>755</v>
      </c>
      <c r="D6" s="1236" t="s">
        <v>754</v>
      </c>
      <c r="E6" s="1238" t="s">
        <v>753</v>
      </c>
      <c r="F6" s="1226" t="s">
        <v>752</v>
      </c>
    </row>
    <row r="7" spans="1:6" ht="56.1" customHeight="1" thickBot="1">
      <c r="A7" s="1235"/>
      <c r="B7" s="1237"/>
      <c r="C7" s="1237"/>
      <c r="D7" s="1237"/>
      <c r="E7" s="1239"/>
      <c r="F7" s="1227"/>
    </row>
    <row r="8" spans="1:6" ht="21.75" customHeight="1">
      <c r="A8" s="565" t="s">
        <v>751</v>
      </c>
      <c r="B8" s="564" t="s">
        <v>750</v>
      </c>
      <c r="C8" s="564" t="s">
        <v>749</v>
      </c>
      <c r="D8" s="564" t="s">
        <v>748</v>
      </c>
      <c r="E8" s="563">
        <v>200000</v>
      </c>
      <c r="F8" s="562"/>
    </row>
    <row r="9" spans="1:6" ht="21.75" customHeight="1">
      <c r="A9" s="567"/>
      <c r="B9" s="568"/>
      <c r="C9" s="568"/>
      <c r="D9" s="568"/>
      <c r="E9" s="569"/>
      <c r="F9" s="570"/>
    </row>
    <row r="10" spans="1:6" ht="21.75" customHeight="1">
      <c r="A10" s="567"/>
      <c r="B10" s="568"/>
      <c r="C10" s="568"/>
      <c r="D10" s="568"/>
      <c r="E10" s="569"/>
      <c r="F10" s="570"/>
    </row>
    <row r="11" spans="1:6" ht="21.75" customHeight="1">
      <c r="A11" s="567"/>
      <c r="B11" s="568"/>
      <c r="C11" s="568"/>
      <c r="D11" s="568"/>
      <c r="E11" s="569"/>
      <c r="F11" s="570"/>
    </row>
    <row r="12" spans="1:6" ht="21.75" customHeight="1">
      <c r="A12" s="567"/>
      <c r="B12" s="568"/>
      <c r="C12" s="568"/>
      <c r="D12" s="568"/>
      <c r="E12" s="569"/>
      <c r="F12" s="570"/>
    </row>
    <row r="13" spans="1:6" ht="21.75" customHeight="1">
      <c r="A13" s="567"/>
      <c r="B13" s="568"/>
      <c r="C13" s="568"/>
      <c r="D13" s="568"/>
      <c r="E13" s="569"/>
      <c r="F13" s="570"/>
    </row>
    <row r="14" spans="1:6" ht="21.75" customHeight="1">
      <c r="A14" s="567"/>
      <c r="B14" s="568"/>
      <c r="C14" s="568"/>
      <c r="D14" s="568"/>
      <c r="E14" s="569"/>
      <c r="F14" s="570"/>
    </row>
    <row r="15" spans="1:6" ht="21.75" customHeight="1">
      <c r="A15" s="567"/>
      <c r="B15" s="568"/>
      <c r="C15" s="568"/>
      <c r="D15" s="568"/>
      <c r="E15" s="569"/>
      <c r="F15" s="570"/>
    </row>
    <row r="16" spans="1:6" ht="21.75" customHeight="1">
      <c r="A16" s="567"/>
      <c r="B16" s="568"/>
      <c r="C16" s="568"/>
      <c r="D16" s="568"/>
      <c r="E16" s="569"/>
      <c r="F16" s="570"/>
    </row>
    <row r="17" spans="1:6" ht="21.75" customHeight="1">
      <c r="A17" s="571"/>
      <c r="B17" s="572"/>
      <c r="C17" s="572"/>
      <c r="D17" s="572"/>
      <c r="E17" s="573"/>
      <c r="F17" s="574"/>
    </row>
    <row r="18" spans="1:6" ht="21.75" customHeight="1" thickBot="1">
      <c r="A18" s="1228" t="s">
        <v>747</v>
      </c>
      <c r="B18" s="910"/>
      <c r="C18" s="910"/>
      <c r="D18" s="1229"/>
      <c r="E18" s="561">
        <f>SUM(E9:E17)</f>
        <v>0</v>
      </c>
      <c r="F18" s="560">
        <f>SUM(F9:F17)</f>
        <v>0</v>
      </c>
    </row>
    <row r="19" spans="1:6" ht="19.5" customHeight="1">
      <c r="A19" s="559" t="s">
        <v>689</v>
      </c>
      <c r="B19" s="1230" t="s">
        <v>746</v>
      </c>
      <c r="C19" s="1230"/>
      <c r="D19" s="1230"/>
      <c r="E19" s="1230"/>
      <c r="F19" s="1230"/>
    </row>
    <row r="20" spans="1:6" ht="19.5" customHeight="1">
      <c r="A20" s="559"/>
      <c r="B20" s="1230"/>
      <c r="C20" s="1230"/>
      <c r="D20" s="1230"/>
      <c r="E20" s="1230"/>
      <c r="F20" s="1230"/>
    </row>
    <row r="21" spans="1:6" ht="18" customHeight="1">
      <c r="A21" s="558"/>
      <c r="B21" s="1231"/>
      <c r="C21" s="1231"/>
      <c r="D21" s="1231"/>
      <c r="E21" s="1231"/>
      <c r="F21" s="1231"/>
    </row>
  </sheetData>
  <sheetProtection algorithmName="SHA-512" hashValue="iN75pyFF95aUiIY1YaXH3GbYV4EQDc/pVSNXoG+iXXFUCcdgtjxU+s05KF47jZRDp2dwXSQvjhRgsG6BTIGNTw==" saltValue="j3OdOvRI33tDqxt48kcYAg==" spinCount="100000" sheet="1"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dataValidations count="1">
    <dataValidation type="custom" allowBlank="1" showInputMessage="1" showErrorMessage="1" prompt="整数のみ入力してください。" sqref="E9:F17" xr:uid="{E4172785-CDC6-40C1-8E2C-E7AF91C5BDCD}">
      <formula1>INT(E9)=E9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7B59-1257-43CC-92D6-5430A70D9A45}">
  <sheetPr>
    <pageSetUpPr fitToPage="1"/>
  </sheetPr>
  <dimension ref="A1:AD24"/>
  <sheetViews>
    <sheetView showGridLines="0" view="pageBreakPreview" zoomScale="85" zoomScaleNormal="100" zoomScaleSheetLayoutView="85" workbookViewId="0"/>
  </sheetViews>
  <sheetFormatPr defaultColWidth="9" defaultRowHeight="18" customHeight="1"/>
  <cols>
    <col min="1" max="1" width="3" style="580" customWidth="1"/>
    <col min="2" max="28" width="3.125" style="580" customWidth="1"/>
    <col min="29" max="29" width="1.625" style="580" customWidth="1"/>
    <col min="30" max="30" width="3" style="580" hidden="1" customWidth="1"/>
    <col min="31" max="31" width="3" style="580" customWidth="1"/>
    <col min="32" max="16384" width="9" style="580"/>
  </cols>
  <sheetData>
    <row r="1" spans="1:28" ht="18" customHeight="1">
      <c r="A1" s="579" t="s">
        <v>767</v>
      </c>
    </row>
    <row r="2" spans="1:28" ht="18" customHeight="1">
      <c r="A2" s="1070" t="str">
        <f>様式1!$AQ$1&amp;様式1!$AQ$2&amp;"年度　賃金改善の誓約書"</f>
        <v>令和８年度　賃金改善の誓約書</v>
      </c>
      <c r="B2" s="1070"/>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row>
    <row r="3" spans="1:28" ht="33" customHeight="1" thickBot="1">
      <c r="A3" s="721"/>
      <c r="B3" s="721"/>
      <c r="C3" s="721"/>
      <c r="D3" s="721"/>
      <c r="E3" s="721"/>
      <c r="F3" s="721"/>
      <c r="G3" s="721"/>
      <c r="H3" s="721"/>
      <c r="I3" s="721"/>
      <c r="J3" s="721"/>
      <c r="K3" s="721"/>
      <c r="L3" s="721"/>
      <c r="M3" s="721"/>
      <c r="N3" s="721"/>
      <c r="O3" s="721"/>
      <c r="P3" s="721"/>
      <c r="Q3" s="721"/>
      <c r="R3" s="721"/>
      <c r="S3" s="721"/>
      <c r="T3" s="721"/>
      <c r="U3" s="721"/>
      <c r="V3" s="721"/>
      <c r="W3" s="721"/>
      <c r="X3" s="721"/>
      <c r="Y3" s="721"/>
      <c r="Z3" s="584"/>
    </row>
    <row r="4" spans="1:28" ht="17.25" customHeight="1">
      <c r="B4" s="586"/>
      <c r="C4" s="586"/>
      <c r="D4" s="586"/>
      <c r="E4" s="586"/>
      <c r="H4" s="722"/>
      <c r="I4" s="866" t="s">
        <v>526</v>
      </c>
      <c r="J4" s="1071"/>
      <c r="K4" s="1071"/>
      <c r="L4" s="1071"/>
      <c r="M4" s="1071"/>
      <c r="N4" s="1071"/>
      <c r="O4" s="1103" t="str">
        <f>様式3!U8</f>
        <v>京都市</v>
      </c>
      <c r="P4" s="1104"/>
      <c r="Q4" s="1104"/>
      <c r="R4" s="1104"/>
      <c r="S4" s="1104"/>
      <c r="T4" s="1104"/>
      <c r="U4" s="1104"/>
      <c r="V4" s="1104"/>
      <c r="W4" s="1104"/>
      <c r="X4" s="1104"/>
      <c r="Y4" s="1104"/>
      <c r="Z4" s="1104"/>
      <c r="AA4" s="1104"/>
      <c r="AB4" s="1105"/>
    </row>
    <row r="5" spans="1:28" ht="17.25" customHeight="1">
      <c r="B5" s="586"/>
      <c r="C5" s="586"/>
      <c r="I5" s="853" t="s">
        <v>524</v>
      </c>
      <c r="J5" s="1074"/>
      <c r="K5" s="1074"/>
      <c r="L5" s="1074"/>
      <c r="M5" s="1074"/>
      <c r="N5" s="1074"/>
      <c r="O5" s="1100">
        <f>様式3!U9</f>
        <v>0</v>
      </c>
      <c r="P5" s="1101"/>
      <c r="Q5" s="1101"/>
      <c r="R5" s="1101"/>
      <c r="S5" s="1101"/>
      <c r="T5" s="1101"/>
      <c r="U5" s="1101"/>
      <c r="V5" s="1101"/>
      <c r="W5" s="1101"/>
      <c r="X5" s="1101"/>
      <c r="Y5" s="1101"/>
      <c r="Z5" s="1101"/>
      <c r="AA5" s="1101"/>
      <c r="AB5" s="1102"/>
    </row>
    <row r="6" spans="1:28" ht="17.25" customHeight="1">
      <c r="B6" s="586"/>
      <c r="C6" s="586"/>
      <c r="I6" s="853" t="s">
        <v>523</v>
      </c>
      <c r="J6" s="1074"/>
      <c r="K6" s="1074"/>
      <c r="L6" s="1074"/>
      <c r="M6" s="1074"/>
      <c r="N6" s="1074"/>
      <c r="O6" s="1100">
        <f>様式3!U10</f>
        <v>0</v>
      </c>
      <c r="P6" s="1101"/>
      <c r="Q6" s="1101"/>
      <c r="R6" s="1101"/>
      <c r="S6" s="1101"/>
      <c r="T6" s="1101"/>
      <c r="U6" s="1101"/>
      <c r="V6" s="1101"/>
      <c r="W6" s="1101"/>
      <c r="X6" s="1101"/>
      <c r="Y6" s="1101"/>
      <c r="Z6" s="1101"/>
      <c r="AA6" s="1101"/>
      <c r="AB6" s="1102"/>
    </row>
    <row r="7" spans="1:28" ht="17.25" customHeight="1" thickBot="1">
      <c r="B7" s="586"/>
      <c r="C7" s="586"/>
      <c r="D7" s="613"/>
      <c r="E7" s="613"/>
      <c r="F7" s="586"/>
      <c r="G7" s="586"/>
      <c r="H7" s="586"/>
      <c r="I7" s="856" t="s">
        <v>552</v>
      </c>
      <c r="J7" s="1089"/>
      <c r="K7" s="1089"/>
      <c r="L7" s="1089"/>
      <c r="M7" s="1089"/>
      <c r="N7" s="1089"/>
      <c r="O7" s="1113">
        <f>様式3!U11</f>
        <v>0</v>
      </c>
      <c r="P7" s="1114"/>
      <c r="Q7" s="1114"/>
      <c r="R7" s="1114"/>
      <c r="S7" s="1114"/>
      <c r="T7" s="1114"/>
      <c r="U7" s="1114"/>
      <c r="V7" s="1114"/>
      <c r="W7" s="1114"/>
      <c r="X7" s="1114"/>
      <c r="Y7" s="1114"/>
      <c r="Z7" s="1114"/>
      <c r="AA7" s="1114"/>
      <c r="AB7" s="1115"/>
    </row>
    <row r="8" spans="1:28" ht="18" customHeight="1">
      <c r="K8" s="588"/>
      <c r="L8" s="588"/>
      <c r="M8" s="588"/>
      <c r="N8" s="588"/>
      <c r="O8" s="588"/>
      <c r="P8" s="588"/>
      <c r="Q8" s="588"/>
      <c r="R8" s="588"/>
      <c r="S8" s="588"/>
    </row>
    <row r="9" spans="1:28" ht="30" customHeight="1">
      <c r="B9" s="580" t="s">
        <v>766</v>
      </c>
      <c r="K9" s="588"/>
      <c r="L9" s="588"/>
      <c r="M9" s="588"/>
      <c r="N9" s="588"/>
      <c r="O9" s="588"/>
      <c r="P9" s="588"/>
      <c r="Q9" s="588"/>
      <c r="R9" s="588"/>
      <c r="S9" s="588"/>
    </row>
    <row r="10" spans="1:28" s="723" customFormat="1" ht="35.25" customHeight="1">
      <c r="B10" s="1106"/>
      <c r="C10" s="1107"/>
      <c r="D10" s="1107"/>
      <c r="E10" s="1107"/>
      <c r="F10" s="1107"/>
      <c r="G10" s="1107"/>
      <c r="H10" s="1107"/>
      <c r="I10" s="1107"/>
      <c r="J10" s="1107"/>
      <c r="K10" s="1055" t="s">
        <v>631</v>
      </c>
      <c r="L10" s="1056"/>
      <c r="M10" s="1056"/>
      <c r="N10" s="1056"/>
      <c r="O10" s="1056"/>
      <c r="P10" s="1056"/>
      <c r="Q10" s="1056"/>
      <c r="R10" s="1056"/>
      <c r="S10" s="1057"/>
      <c r="T10" s="1106" t="s">
        <v>660</v>
      </c>
      <c r="U10" s="1107"/>
      <c r="V10" s="1107"/>
      <c r="W10" s="1107"/>
      <c r="X10" s="1107"/>
      <c r="Y10" s="1107"/>
      <c r="Z10" s="1107"/>
      <c r="AA10" s="1107"/>
      <c r="AB10" s="1108"/>
    </row>
    <row r="11" spans="1:28" s="723" customFormat="1" ht="27.75" customHeight="1">
      <c r="B11" s="1248" t="s">
        <v>658</v>
      </c>
      <c r="C11" s="1249"/>
      <c r="D11" s="1249"/>
      <c r="E11" s="1249"/>
      <c r="F11" s="1249"/>
      <c r="G11" s="1249"/>
      <c r="H11" s="1249"/>
      <c r="I11" s="1249"/>
      <c r="J11" s="1250"/>
      <c r="K11" s="1130" t="e">
        <f>【参考】計算結果!$D$14</f>
        <v>#N/A</v>
      </c>
      <c r="L11" s="1130"/>
      <c r="M11" s="1130"/>
      <c r="N11" s="1130"/>
      <c r="O11" s="1130"/>
      <c r="P11" s="1130"/>
      <c r="Q11" s="1130"/>
      <c r="R11" s="1130"/>
      <c r="S11" s="694" t="s">
        <v>628</v>
      </c>
      <c r="T11" s="1120">
        <f>【参考】計算結果!$D$20</f>
        <v>0</v>
      </c>
      <c r="U11" s="1120"/>
      <c r="V11" s="1120"/>
      <c r="W11" s="1120"/>
      <c r="X11" s="1120"/>
      <c r="Y11" s="1120"/>
      <c r="Z11" s="1120"/>
      <c r="AA11" s="1120"/>
      <c r="AB11" s="694" t="s">
        <v>628</v>
      </c>
    </row>
    <row r="12" spans="1:28" s="724" customFormat="1" ht="18" customHeight="1">
      <c r="B12" s="725"/>
      <c r="K12" s="726"/>
      <c r="L12" s="726"/>
      <c r="M12" s="726"/>
      <c r="N12" s="726"/>
      <c r="O12" s="726"/>
      <c r="P12" s="726"/>
      <c r="Q12" s="726"/>
      <c r="R12" s="726"/>
      <c r="S12" s="726"/>
    </row>
    <row r="13" spans="1:28" ht="24.75" customHeight="1">
      <c r="B13" s="1242" t="s">
        <v>765</v>
      </c>
      <c r="C13" s="1242"/>
      <c r="D13" s="1242"/>
      <c r="E13" s="1242"/>
      <c r="F13" s="1242"/>
      <c r="G13" s="1242"/>
      <c r="H13" s="1242"/>
      <c r="I13" s="1242"/>
      <c r="J13" s="1242"/>
      <c r="K13" s="1242"/>
      <c r="L13" s="1242"/>
      <c r="M13" s="1242"/>
      <c r="N13" s="1242"/>
      <c r="O13" s="1242"/>
      <c r="P13" s="1242"/>
      <c r="Q13" s="1242"/>
      <c r="R13" s="1242"/>
      <c r="S13" s="1242"/>
      <c r="T13" s="1242"/>
      <c r="U13" s="1242"/>
      <c r="V13" s="1242"/>
      <c r="W13" s="1242"/>
      <c r="X13" s="1242"/>
      <c r="Y13" s="1242"/>
      <c r="Z13" s="1242"/>
      <c r="AA13" s="1242"/>
      <c r="AB13" s="1242"/>
    </row>
    <row r="14" spans="1:28" s="591" customFormat="1" ht="30.75" customHeight="1">
      <c r="B14" s="1243" t="s">
        <v>764</v>
      </c>
      <c r="C14" s="1243"/>
      <c r="D14" s="1243"/>
      <c r="E14" s="1243"/>
      <c r="F14" s="1243"/>
      <c r="G14" s="1243"/>
      <c r="H14" s="1243"/>
      <c r="I14" s="1243"/>
      <c r="J14" s="1243"/>
      <c r="K14" s="1243"/>
      <c r="L14" s="1243"/>
      <c r="M14" s="1243"/>
      <c r="N14" s="1243"/>
      <c r="O14" s="1243"/>
      <c r="P14" s="1243"/>
      <c r="Q14" s="1243"/>
      <c r="R14" s="1243"/>
      <c r="S14" s="1243"/>
      <c r="T14" s="1243"/>
      <c r="U14" s="1243"/>
      <c r="V14" s="1243"/>
      <c r="W14" s="1243"/>
      <c r="X14" s="1243"/>
      <c r="Y14" s="1243"/>
      <c r="Z14" s="1243"/>
      <c r="AA14" s="1243"/>
      <c r="AB14" s="1243"/>
    </row>
    <row r="15" spans="1:28" ht="33" customHeight="1">
      <c r="B15" s="1244"/>
      <c r="C15" s="1244"/>
      <c r="D15" s="1245" t="s">
        <v>763</v>
      </c>
      <c r="E15" s="1245"/>
      <c r="F15" s="1245"/>
      <c r="G15" s="1245"/>
      <c r="H15" s="1245"/>
      <c r="I15" s="1245"/>
      <c r="J15" s="1245"/>
      <c r="K15" s="1245"/>
      <c r="L15" s="1245"/>
      <c r="M15" s="1245"/>
      <c r="N15" s="1245"/>
      <c r="O15" s="1245"/>
      <c r="P15" s="1245"/>
      <c r="Q15" s="1245"/>
      <c r="R15" s="1245"/>
      <c r="S15" s="1245"/>
      <c r="T15" s="1245"/>
      <c r="U15" s="1245"/>
      <c r="V15" s="1245"/>
      <c r="W15" s="1245"/>
      <c r="X15" s="1245"/>
      <c r="Y15" s="1245"/>
      <c r="Z15" s="1245"/>
      <c r="AA15" s="1245"/>
      <c r="AB15" s="1245"/>
    </row>
    <row r="16" spans="1:28" ht="33" customHeight="1">
      <c r="B16" s="1244"/>
      <c r="C16" s="1244"/>
      <c r="D16" s="1245" t="s">
        <v>762</v>
      </c>
      <c r="E16" s="1245"/>
      <c r="F16" s="1245"/>
      <c r="G16" s="1245"/>
      <c r="H16" s="1245"/>
      <c r="I16" s="1245"/>
      <c r="J16" s="1245"/>
      <c r="K16" s="1245"/>
      <c r="L16" s="1245"/>
      <c r="M16" s="1245"/>
      <c r="N16" s="1245"/>
      <c r="O16" s="1245"/>
      <c r="P16" s="1245"/>
      <c r="Q16" s="1245"/>
      <c r="R16" s="1245"/>
      <c r="S16" s="1245"/>
      <c r="T16" s="1245"/>
      <c r="U16" s="1245"/>
      <c r="V16" s="1245"/>
      <c r="W16" s="1245"/>
      <c r="X16" s="1245"/>
      <c r="Y16" s="1245"/>
      <c r="Z16" s="1245"/>
      <c r="AA16" s="1245"/>
      <c r="AB16" s="1245"/>
    </row>
    <row r="17" spans="1:28" s="724" customFormat="1" ht="13.5" customHeight="1">
      <c r="B17" s="725"/>
      <c r="K17" s="726"/>
      <c r="L17" s="726"/>
      <c r="M17" s="726"/>
      <c r="N17" s="726"/>
      <c r="O17" s="726"/>
      <c r="P17" s="726"/>
      <c r="Q17" s="726"/>
      <c r="R17" s="726"/>
      <c r="S17" s="726"/>
    </row>
    <row r="18" spans="1:28" ht="118.15" customHeight="1">
      <c r="A18" s="727"/>
      <c r="B18" s="1246" t="s">
        <v>761</v>
      </c>
      <c r="C18" s="1246"/>
      <c r="D18" s="1246"/>
      <c r="E18" s="1246"/>
      <c r="F18" s="1246"/>
      <c r="G18" s="1246"/>
      <c r="H18" s="1246"/>
      <c r="I18" s="1246"/>
      <c r="J18" s="1246"/>
      <c r="K18" s="1246"/>
      <c r="L18" s="1246"/>
      <c r="M18" s="1246"/>
      <c r="N18" s="1246"/>
      <c r="O18" s="1246"/>
      <c r="P18" s="1246"/>
      <c r="Q18" s="1246"/>
      <c r="R18" s="1246"/>
      <c r="S18" s="1246"/>
      <c r="T18" s="1246"/>
      <c r="U18" s="1246"/>
      <c r="V18" s="1246"/>
      <c r="W18" s="1246"/>
      <c r="X18" s="1246"/>
      <c r="Y18" s="1246"/>
      <c r="Z18" s="1246"/>
      <c r="AA18" s="1246"/>
      <c r="AB18" s="1246"/>
    </row>
    <row r="19" spans="1:28" ht="10.15" customHeight="1">
      <c r="A19" s="711"/>
      <c r="B19" s="728"/>
      <c r="C19" s="728"/>
      <c r="D19" s="728"/>
      <c r="E19" s="728"/>
      <c r="F19" s="728"/>
      <c r="G19" s="728"/>
      <c r="H19" s="728"/>
      <c r="I19" s="728"/>
      <c r="J19" s="728"/>
      <c r="K19" s="728"/>
      <c r="L19" s="728"/>
      <c r="M19" s="728"/>
      <c r="N19" s="728"/>
      <c r="O19" s="728"/>
      <c r="P19" s="728"/>
      <c r="Q19" s="728"/>
      <c r="R19" s="728"/>
      <c r="S19" s="728"/>
      <c r="T19" s="728"/>
      <c r="U19" s="728"/>
      <c r="V19" s="728"/>
      <c r="W19" s="728"/>
      <c r="X19" s="728"/>
      <c r="Y19" s="728"/>
      <c r="Z19" s="728"/>
      <c r="AA19" s="728"/>
      <c r="AB19" s="728"/>
    </row>
    <row r="20" spans="1:28" ht="36" customHeight="1">
      <c r="B20" s="1242" t="s">
        <v>760</v>
      </c>
      <c r="C20" s="1242"/>
      <c r="D20" s="1242"/>
      <c r="E20" s="1242"/>
      <c r="F20" s="1242"/>
      <c r="G20" s="1242"/>
      <c r="H20" s="1242"/>
      <c r="I20" s="1242"/>
      <c r="J20" s="1242"/>
      <c r="K20" s="1242"/>
      <c r="L20" s="1242"/>
      <c r="M20" s="1242"/>
      <c r="N20" s="1242"/>
      <c r="O20" s="1242"/>
      <c r="P20" s="1242"/>
      <c r="Q20" s="1242"/>
      <c r="R20" s="1242"/>
      <c r="S20" s="1242"/>
      <c r="T20" s="1242"/>
      <c r="U20" s="1242"/>
      <c r="V20" s="1242"/>
      <c r="W20" s="1242"/>
      <c r="X20" s="1242"/>
      <c r="Y20" s="1242"/>
      <c r="Z20" s="1242"/>
      <c r="AA20" s="1242"/>
      <c r="AB20" s="1242"/>
    </row>
    <row r="22" spans="1:28" ht="18" customHeight="1">
      <c r="J22" s="1241" t="s">
        <v>532</v>
      </c>
      <c r="K22" s="1241"/>
      <c r="L22" s="1241"/>
      <c r="M22" s="1241"/>
      <c r="N22" s="1241"/>
      <c r="O22" s="1241"/>
      <c r="P22" s="1241"/>
      <c r="R22" s="1142"/>
      <c r="S22" s="1142"/>
      <c r="T22" s="1142"/>
      <c r="U22" s="1142"/>
      <c r="V22" s="1142"/>
      <c r="W22" s="1142"/>
      <c r="X22" s="1142"/>
      <c r="Y22" s="1142"/>
      <c r="Z22" s="1142"/>
      <c r="AA22" s="1142"/>
      <c r="AB22" s="1142"/>
    </row>
    <row r="23" spans="1:28" ht="18" customHeight="1">
      <c r="L23" s="1247" t="s">
        <v>531</v>
      </c>
      <c r="M23" s="1247"/>
      <c r="N23" s="1247"/>
      <c r="O23" s="1247"/>
      <c r="P23" s="1247"/>
      <c r="Q23" s="1247"/>
      <c r="R23" s="908"/>
      <c r="S23" s="908"/>
      <c r="T23" s="908"/>
      <c r="U23" s="908"/>
      <c r="V23" s="908"/>
      <c r="W23" s="908"/>
      <c r="X23" s="908"/>
      <c r="Y23" s="908"/>
      <c r="Z23" s="908"/>
      <c r="AA23" s="908"/>
      <c r="AB23" s="908"/>
    </row>
    <row r="24" spans="1:28" ht="18" customHeight="1">
      <c r="L24" s="1240" t="s">
        <v>530</v>
      </c>
      <c r="M24" s="1240"/>
      <c r="N24" s="1240"/>
      <c r="O24" s="1240"/>
      <c r="P24" s="1240"/>
      <c r="Q24" s="1240"/>
      <c r="R24" s="900"/>
      <c r="S24" s="900"/>
      <c r="T24" s="900"/>
      <c r="U24" s="900"/>
      <c r="V24" s="900"/>
      <c r="W24" s="900"/>
      <c r="X24" s="900"/>
      <c r="Y24" s="900"/>
      <c r="Z24" s="900"/>
      <c r="AA24" s="900"/>
      <c r="AB24" s="900"/>
    </row>
  </sheetData>
  <sheetProtection algorithmName="SHA-512" hashValue="ceA+t8EM1XKjGdYb60c4xs3j4qeheO6EfBrHqAB+gX6/LU3oJnklZ0tFqwAubP7ycS9MztXdk1ttdocwhIND4Q==" saltValue="Cmxtm6krq0UlMMB4G5x6gw==" spinCount="100000" sheet="1" objects="1" scenarios="1"/>
  <mergeCells count="29">
    <mergeCell ref="A2:AB2"/>
    <mergeCell ref="K10:S10"/>
    <mergeCell ref="T10:AB10"/>
    <mergeCell ref="B11:J11"/>
    <mergeCell ref="K11:R11"/>
    <mergeCell ref="T11:AA11"/>
    <mergeCell ref="I4:N4"/>
    <mergeCell ref="O4:AB4"/>
    <mergeCell ref="I5:N5"/>
    <mergeCell ref="O5:AB5"/>
    <mergeCell ref="I6:N6"/>
    <mergeCell ref="B10:J10"/>
    <mergeCell ref="O6:AB6"/>
    <mergeCell ref="I7:N7"/>
    <mergeCell ref="O7:AB7"/>
    <mergeCell ref="L24:Q24"/>
    <mergeCell ref="R24:AB24"/>
    <mergeCell ref="J22:P22"/>
    <mergeCell ref="R22:AB22"/>
    <mergeCell ref="B13:AB13"/>
    <mergeCell ref="B14:AB14"/>
    <mergeCell ref="B20:AB20"/>
    <mergeCell ref="B15:C15"/>
    <mergeCell ref="D15:AB15"/>
    <mergeCell ref="B16:C16"/>
    <mergeCell ref="D16:AB16"/>
    <mergeCell ref="B18:AB18"/>
    <mergeCell ref="L23:Q23"/>
    <mergeCell ref="R23:AB23"/>
  </mergeCells>
  <phoneticPr fontId="4"/>
  <dataValidations count="1">
    <dataValidation type="list" allowBlank="1" showInputMessage="1" showErrorMessage="1" sqref="B15:C16"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90" fitToHeight="0" orientation="portrait" r:id="rId1"/>
  <headerFooter alignWithMargins="0"/>
  <rowBreaks count="1" manualBreakCount="1">
    <brk id="25" max="2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CD8F-7436-4C9A-B026-5AE9F0D81486}">
  <sheetPr>
    <pageSetUpPr fitToPage="1"/>
  </sheetPr>
  <dimension ref="A1:AL39"/>
  <sheetViews>
    <sheetView showGridLines="0" view="pageBreakPreview" zoomScale="85" zoomScaleNormal="70" zoomScaleSheetLayoutView="85" workbookViewId="0">
      <selection activeCell="B1" sqref="B1"/>
    </sheetView>
  </sheetViews>
  <sheetFormatPr defaultColWidth="2.375" defaultRowHeight="13.5"/>
  <cols>
    <col min="1" max="1" width="2.375" style="729"/>
    <col min="2" max="37" width="2.375" style="739"/>
    <col min="38" max="16384" width="2.375" style="729"/>
  </cols>
  <sheetData>
    <row r="1" spans="1:38">
      <c r="B1" s="730" t="s">
        <v>778</v>
      </c>
      <c r="C1" s="731"/>
      <c r="D1" s="731"/>
      <c r="E1" s="731"/>
      <c r="F1" s="731"/>
      <c r="G1" s="731"/>
      <c r="H1" s="731"/>
      <c r="I1" s="731"/>
      <c r="J1" s="731"/>
      <c r="K1" s="731"/>
      <c r="L1" s="731"/>
      <c r="M1" s="731"/>
      <c r="N1" s="731"/>
      <c r="O1" s="731"/>
      <c r="P1" s="731"/>
      <c r="Q1" s="731"/>
      <c r="R1" s="731"/>
      <c r="S1" s="731"/>
      <c r="T1" s="731"/>
      <c r="U1" s="731"/>
      <c r="V1" s="731"/>
      <c r="W1" s="731"/>
      <c r="X1" s="731"/>
      <c r="Y1" s="731"/>
      <c r="Z1" s="732"/>
      <c r="AA1" s="732"/>
      <c r="AB1" s="732"/>
      <c r="AC1" s="732"/>
      <c r="AD1" s="732"/>
      <c r="AE1" s="732"/>
      <c r="AF1" s="732"/>
      <c r="AG1" s="732"/>
      <c r="AH1" s="732"/>
      <c r="AI1" s="732"/>
      <c r="AJ1" s="732"/>
      <c r="AK1" s="732"/>
    </row>
    <row r="2" spans="1:38">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row>
    <row r="3" spans="1:38" ht="17.25">
      <c r="B3" s="1251" t="s">
        <v>777</v>
      </c>
      <c r="C3" s="1251"/>
      <c r="D3" s="1251"/>
      <c r="E3" s="1251"/>
      <c r="F3" s="1251"/>
      <c r="G3" s="1251"/>
      <c r="H3" s="1251"/>
      <c r="I3" s="1251"/>
      <c r="J3" s="1251"/>
      <c r="K3" s="1251"/>
      <c r="L3" s="1251"/>
      <c r="M3" s="1251"/>
      <c r="N3" s="1251"/>
      <c r="O3" s="1251"/>
      <c r="P3" s="1251"/>
      <c r="Q3" s="1251"/>
      <c r="R3" s="1251"/>
      <c r="S3" s="1251"/>
      <c r="T3" s="1251"/>
      <c r="U3" s="1251"/>
      <c r="V3" s="1251"/>
      <c r="W3" s="1251"/>
      <c r="X3" s="1252" t="str">
        <f>様式1!$AQ$2</f>
        <v>８</v>
      </c>
      <c r="Y3" s="1252"/>
      <c r="Z3" s="733" t="s">
        <v>776</v>
      </c>
      <c r="AA3" s="733"/>
      <c r="AB3" s="733"/>
      <c r="AC3" s="734"/>
      <c r="AD3" s="735"/>
      <c r="AE3" s="735"/>
      <c r="AF3" s="735"/>
      <c r="AG3" s="731"/>
      <c r="AH3" s="731"/>
      <c r="AI3" s="731"/>
      <c r="AJ3" s="731"/>
      <c r="AK3" s="731"/>
    </row>
    <row r="4" spans="1:38">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c r="AE4" s="731"/>
      <c r="AF4" s="731"/>
      <c r="AG4" s="731"/>
      <c r="AH4" s="731"/>
      <c r="AI4" s="731"/>
      <c r="AJ4" s="731"/>
      <c r="AK4" s="731"/>
    </row>
    <row r="5" spans="1:38" s="580" customFormat="1" ht="17.25" customHeight="1">
      <c r="A5" s="724"/>
      <c r="B5" s="724"/>
      <c r="F5" s="586"/>
      <c r="G5" s="586"/>
      <c r="M5" s="609"/>
      <c r="N5" s="609"/>
      <c r="O5" s="609"/>
      <c r="P5" s="609"/>
      <c r="Q5" s="724"/>
      <c r="R5" s="724"/>
      <c r="S5" s="724"/>
      <c r="T5" s="724"/>
      <c r="U5" s="724"/>
      <c r="V5" s="724"/>
      <c r="W5" s="724"/>
      <c r="X5" s="724"/>
      <c r="Y5" s="724"/>
      <c r="Z5" s="724"/>
      <c r="AA5" s="724"/>
      <c r="AB5" s="724"/>
      <c r="AC5" s="724"/>
      <c r="AD5" s="724"/>
      <c r="AE5" s="724"/>
      <c r="AF5" s="724"/>
      <c r="AG5" s="724"/>
      <c r="AH5" s="724"/>
      <c r="AI5" s="724"/>
      <c r="AJ5" s="724"/>
      <c r="AK5" s="724"/>
      <c r="AL5" s="724"/>
    </row>
    <row r="6" spans="1:38" s="580" customFormat="1" ht="17.25" customHeight="1">
      <c r="A6" s="724"/>
      <c r="B6" s="724"/>
      <c r="F6" s="865" t="s">
        <v>527</v>
      </c>
      <c r="G6" s="865"/>
      <c r="H6" s="865"/>
      <c r="I6" s="865"/>
      <c r="J6" s="865"/>
      <c r="K6" s="865"/>
      <c r="L6" s="865"/>
      <c r="M6" s="609"/>
      <c r="N6" s="609"/>
      <c r="O6" s="609"/>
      <c r="P6" s="724"/>
      <c r="Q6" s="724"/>
      <c r="R6" s="724"/>
      <c r="S6" s="724"/>
      <c r="T6" s="724"/>
      <c r="U6" s="724"/>
      <c r="V6" s="724"/>
      <c r="W6" s="724"/>
      <c r="X6" s="724"/>
      <c r="Y6" s="724"/>
      <c r="Z6" s="724"/>
      <c r="AA6" s="724"/>
      <c r="AB6" s="724"/>
      <c r="AC6" s="724"/>
      <c r="AD6" s="724"/>
      <c r="AE6" s="724"/>
      <c r="AF6" s="724"/>
      <c r="AG6" s="724"/>
      <c r="AH6" s="724"/>
      <c r="AI6" s="724"/>
      <c r="AJ6" s="724"/>
      <c r="AK6" s="724"/>
      <c r="AL6" s="724"/>
    </row>
    <row r="7" spans="1:38" s="580" customFormat="1" ht="17.25" customHeight="1" thickBot="1">
      <c r="A7" s="724"/>
      <c r="B7" s="724"/>
      <c r="C7" s="724"/>
      <c r="D7" s="724"/>
      <c r="E7" s="724"/>
      <c r="F7" s="609"/>
      <c r="G7" s="609"/>
      <c r="H7" s="609"/>
      <c r="I7" s="609"/>
      <c r="J7" s="609"/>
      <c r="K7" s="609"/>
      <c r="L7" s="609"/>
      <c r="M7" s="609"/>
      <c r="N7" s="609"/>
      <c r="O7" s="609"/>
      <c r="P7" s="609"/>
      <c r="Q7" s="609"/>
      <c r="R7" s="609"/>
      <c r="S7" s="609"/>
      <c r="T7" s="724"/>
      <c r="U7" s="724"/>
      <c r="V7" s="724"/>
      <c r="W7" s="724"/>
      <c r="X7" s="724"/>
      <c r="Z7" s="736"/>
      <c r="AL7" s="724"/>
    </row>
    <row r="8" spans="1:38" s="580" customFormat="1" ht="17.25" customHeight="1">
      <c r="A8" s="724"/>
      <c r="B8" s="724"/>
      <c r="C8" s="724"/>
      <c r="D8" s="724"/>
      <c r="E8" s="724"/>
      <c r="F8" s="609"/>
      <c r="G8" s="609"/>
      <c r="H8" s="724"/>
      <c r="I8" s="724"/>
      <c r="J8" s="724"/>
      <c r="K8" s="724"/>
      <c r="L8" s="724"/>
      <c r="M8" s="724"/>
      <c r="N8" s="724"/>
      <c r="O8" s="724"/>
      <c r="P8" s="724"/>
      <c r="Q8" s="1259" t="s">
        <v>526</v>
      </c>
      <c r="R8" s="1260"/>
      <c r="S8" s="1260"/>
      <c r="T8" s="1260"/>
      <c r="U8" s="1260"/>
      <c r="V8" s="1260"/>
      <c r="W8" s="1260"/>
      <c r="X8" s="1260"/>
      <c r="Y8" s="1103" t="str">
        <f>様式1!U7</f>
        <v>京都市</v>
      </c>
      <c r="Z8" s="1104"/>
      <c r="AA8" s="1104"/>
      <c r="AB8" s="1104"/>
      <c r="AC8" s="1104"/>
      <c r="AD8" s="1104"/>
      <c r="AE8" s="1104"/>
      <c r="AF8" s="1104"/>
      <c r="AG8" s="1104"/>
      <c r="AH8" s="1104"/>
      <c r="AI8" s="1104"/>
      <c r="AJ8" s="1104"/>
      <c r="AK8" s="1105"/>
      <c r="AL8" s="724"/>
    </row>
    <row r="9" spans="1:38" s="580" customFormat="1" ht="17.25" customHeight="1">
      <c r="A9" s="724"/>
      <c r="B9" s="724"/>
      <c r="C9" s="724"/>
      <c r="D9" s="724"/>
      <c r="E9" s="724"/>
      <c r="F9" s="609"/>
      <c r="G9" s="609"/>
      <c r="H9" s="724"/>
      <c r="I9" s="724"/>
      <c r="J9" s="724"/>
      <c r="K9" s="724"/>
      <c r="L9" s="724"/>
      <c r="M9" s="724"/>
      <c r="N9" s="724"/>
      <c r="O9" s="724"/>
      <c r="P9" s="724"/>
      <c r="Q9" s="1261" t="s">
        <v>524</v>
      </c>
      <c r="R9" s="1262"/>
      <c r="S9" s="1262"/>
      <c r="T9" s="1262"/>
      <c r="U9" s="1262"/>
      <c r="V9" s="1262"/>
      <c r="W9" s="1262"/>
      <c r="X9" s="1262"/>
      <c r="Y9" s="1100">
        <f>様式1!U8</f>
        <v>0</v>
      </c>
      <c r="Z9" s="1101"/>
      <c r="AA9" s="1101"/>
      <c r="AB9" s="1101"/>
      <c r="AC9" s="1101"/>
      <c r="AD9" s="1101"/>
      <c r="AE9" s="1101"/>
      <c r="AF9" s="1101"/>
      <c r="AG9" s="1101"/>
      <c r="AH9" s="1101"/>
      <c r="AI9" s="1101"/>
      <c r="AJ9" s="1101"/>
      <c r="AK9" s="1102"/>
      <c r="AL9" s="724"/>
    </row>
    <row r="10" spans="1:38" s="580" customFormat="1" ht="17.25" customHeight="1">
      <c r="A10" s="724"/>
      <c r="B10" s="724"/>
      <c r="C10" s="724"/>
      <c r="D10" s="724"/>
      <c r="E10" s="724"/>
      <c r="F10" s="609"/>
      <c r="G10" s="609"/>
      <c r="H10" s="724"/>
      <c r="I10" s="724"/>
      <c r="J10" s="724"/>
      <c r="K10" s="724"/>
      <c r="L10" s="724"/>
      <c r="M10" s="724"/>
      <c r="N10" s="724"/>
      <c r="O10" s="724"/>
      <c r="P10" s="724"/>
      <c r="Q10" s="1261" t="s">
        <v>523</v>
      </c>
      <c r="R10" s="1262"/>
      <c r="S10" s="1262"/>
      <c r="T10" s="1262"/>
      <c r="U10" s="1262"/>
      <c r="V10" s="1262"/>
      <c r="W10" s="1262"/>
      <c r="X10" s="1262"/>
      <c r="Y10" s="1100">
        <f>様式1!U9</f>
        <v>0</v>
      </c>
      <c r="Z10" s="1101"/>
      <c r="AA10" s="1101"/>
      <c r="AB10" s="1101"/>
      <c r="AC10" s="1101"/>
      <c r="AD10" s="1101"/>
      <c r="AE10" s="1101"/>
      <c r="AF10" s="1101"/>
      <c r="AG10" s="1101"/>
      <c r="AH10" s="1101"/>
      <c r="AI10" s="1101"/>
      <c r="AJ10" s="1101"/>
      <c r="AK10" s="1102"/>
      <c r="AL10" s="724"/>
    </row>
    <row r="11" spans="1:38" s="580" customFormat="1" ht="17.25" customHeight="1">
      <c r="A11" s="724"/>
      <c r="B11" s="724"/>
      <c r="C11" s="724"/>
      <c r="D11" s="724"/>
      <c r="E11" s="724"/>
      <c r="F11" s="609"/>
      <c r="G11" s="609"/>
      <c r="H11" s="724"/>
      <c r="I11" s="724"/>
      <c r="J11" s="724"/>
      <c r="K11" s="724"/>
      <c r="L11" s="724"/>
      <c r="M11" s="724"/>
      <c r="N11" s="724"/>
      <c r="O11" s="724"/>
      <c r="P11" s="724"/>
      <c r="Q11" s="1261" t="s">
        <v>552</v>
      </c>
      <c r="R11" s="1262"/>
      <c r="S11" s="1262"/>
      <c r="T11" s="1262"/>
      <c r="U11" s="1262"/>
      <c r="V11" s="1262"/>
      <c r="W11" s="1262"/>
      <c r="X11" s="1262"/>
      <c r="Y11" s="1106">
        <f>様式1!U10</f>
        <v>0</v>
      </c>
      <c r="Z11" s="1107"/>
      <c r="AA11" s="1107"/>
      <c r="AB11" s="1107"/>
      <c r="AC11" s="1107"/>
      <c r="AD11" s="1107"/>
      <c r="AE11" s="1107"/>
      <c r="AF11" s="1107"/>
      <c r="AG11" s="1107"/>
      <c r="AH11" s="1107"/>
      <c r="AI11" s="1107"/>
      <c r="AJ11" s="1107"/>
      <c r="AK11" s="1266"/>
      <c r="AL11" s="724"/>
    </row>
    <row r="12" spans="1:38" s="580" customFormat="1" ht="17.25" customHeight="1">
      <c r="A12" s="724"/>
      <c r="B12" s="724"/>
      <c r="C12" s="724"/>
      <c r="D12" s="724"/>
      <c r="E12" s="724"/>
      <c r="F12" s="609"/>
      <c r="G12" s="609"/>
      <c r="H12" s="724"/>
      <c r="I12" s="724"/>
      <c r="J12" s="724"/>
      <c r="K12" s="724"/>
      <c r="L12" s="724"/>
      <c r="M12" s="724"/>
      <c r="N12" s="724"/>
      <c r="O12" s="724"/>
      <c r="P12" s="724"/>
      <c r="Q12" s="1261" t="s">
        <v>775</v>
      </c>
      <c r="R12" s="1262"/>
      <c r="S12" s="1262"/>
      <c r="T12" s="1262"/>
      <c r="U12" s="1262"/>
      <c r="V12" s="1262"/>
      <c r="W12" s="1262"/>
      <c r="X12" s="1262"/>
      <c r="Y12" s="1273"/>
      <c r="Z12" s="1274"/>
      <c r="AA12" s="1274"/>
      <c r="AB12" s="1274"/>
      <c r="AC12" s="1274"/>
      <c r="AD12" s="1274"/>
      <c r="AE12" s="1274"/>
      <c r="AF12" s="1274"/>
      <c r="AG12" s="1274"/>
      <c r="AH12" s="1274"/>
      <c r="AI12" s="1274"/>
      <c r="AJ12" s="1274"/>
      <c r="AK12" s="1275"/>
      <c r="AL12" s="724"/>
    </row>
    <row r="13" spans="1:38" s="580" customFormat="1" ht="17.25" customHeight="1" thickBot="1">
      <c r="A13" s="724"/>
      <c r="B13" s="724"/>
      <c r="C13" s="724"/>
      <c r="D13" s="724"/>
      <c r="E13" s="724"/>
      <c r="F13" s="609"/>
      <c r="G13" s="609"/>
      <c r="H13" s="724"/>
      <c r="I13" s="724"/>
      <c r="J13" s="724"/>
      <c r="K13" s="724"/>
      <c r="L13" s="724"/>
      <c r="M13" s="724"/>
      <c r="N13" s="724"/>
      <c r="O13" s="724"/>
      <c r="P13" s="724"/>
      <c r="Q13" s="1276" t="s">
        <v>530</v>
      </c>
      <c r="R13" s="1277"/>
      <c r="S13" s="1277"/>
      <c r="T13" s="1277"/>
      <c r="U13" s="1277"/>
      <c r="V13" s="1277"/>
      <c r="W13" s="1277"/>
      <c r="X13" s="1277"/>
      <c r="Y13" s="1263"/>
      <c r="Z13" s="1264"/>
      <c r="AA13" s="1264"/>
      <c r="AB13" s="1264"/>
      <c r="AC13" s="1264"/>
      <c r="AD13" s="1264"/>
      <c r="AE13" s="1264"/>
      <c r="AF13" s="1264"/>
      <c r="AG13" s="1264"/>
      <c r="AH13" s="1264"/>
      <c r="AI13" s="1264"/>
      <c r="AJ13" s="1264"/>
      <c r="AK13" s="1265"/>
      <c r="AL13" s="724"/>
    </row>
    <row r="14" spans="1:38">
      <c r="B14" s="731"/>
      <c r="C14" s="731"/>
      <c r="D14" s="731"/>
      <c r="E14" s="731"/>
      <c r="F14" s="731"/>
      <c r="G14" s="731"/>
      <c r="H14" s="731"/>
      <c r="I14" s="731"/>
      <c r="J14" s="731"/>
      <c r="K14" s="731"/>
      <c r="L14" s="731"/>
      <c r="M14" s="731"/>
      <c r="N14" s="731"/>
      <c r="O14" s="731"/>
      <c r="P14" s="731"/>
      <c r="Q14" s="731"/>
      <c r="R14" s="731"/>
      <c r="S14" s="731"/>
      <c r="T14" s="731"/>
      <c r="U14" s="731"/>
      <c r="V14" s="731"/>
      <c r="W14" s="731"/>
      <c r="X14" s="731"/>
      <c r="Y14" s="731"/>
      <c r="Z14" s="731"/>
      <c r="AA14" s="731"/>
      <c r="AB14" s="731"/>
      <c r="AC14" s="731"/>
      <c r="AD14" s="731"/>
      <c r="AE14" s="731"/>
      <c r="AF14" s="731"/>
      <c r="AG14" s="731"/>
      <c r="AH14" s="731"/>
      <c r="AI14" s="731"/>
      <c r="AJ14" s="731"/>
      <c r="AK14" s="731"/>
    </row>
    <row r="15" spans="1:38" ht="22.5" customHeight="1">
      <c r="B15" s="737" t="s">
        <v>774</v>
      </c>
      <c r="C15" s="737"/>
      <c r="D15" s="737"/>
      <c r="E15" s="737"/>
      <c r="F15" s="737"/>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7"/>
      <c r="AI15" s="737"/>
      <c r="AJ15" s="737"/>
      <c r="AK15" s="737"/>
      <c r="AL15" s="738"/>
    </row>
    <row r="16" spans="1:38" ht="46.5" customHeight="1">
      <c r="B16" s="1253" t="s">
        <v>773</v>
      </c>
      <c r="C16" s="1254"/>
      <c r="D16" s="1254"/>
      <c r="E16" s="1254"/>
      <c r="F16" s="1254"/>
      <c r="G16" s="1254"/>
      <c r="H16" s="1254"/>
      <c r="I16" s="1254"/>
      <c r="J16" s="1254"/>
      <c r="K16" s="1254"/>
      <c r="L16" s="1254"/>
      <c r="M16" s="1254"/>
      <c r="N16" s="1254"/>
      <c r="O16" s="1254"/>
      <c r="P16" s="1254"/>
      <c r="Q16" s="1254"/>
      <c r="R16" s="1254"/>
      <c r="S16" s="1254"/>
      <c r="T16" s="1254"/>
      <c r="U16" s="1254"/>
      <c r="V16" s="1254"/>
      <c r="W16" s="1254"/>
      <c r="X16" s="1254"/>
      <c r="Y16" s="1254"/>
      <c r="Z16" s="1254"/>
      <c r="AA16" s="1254"/>
      <c r="AB16" s="1254"/>
      <c r="AC16" s="1254"/>
      <c r="AD16" s="1254"/>
      <c r="AE16" s="1254"/>
      <c r="AF16" s="1254"/>
      <c r="AG16" s="1254"/>
      <c r="AH16" s="1254"/>
      <c r="AI16" s="1254"/>
      <c r="AJ16" s="1254"/>
      <c r="AK16" s="1255"/>
      <c r="AL16" s="738"/>
    </row>
    <row r="17" spans="2:38" ht="86.25" customHeight="1">
      <c r="B17" s="1256"/>
      <c r="C17" s="1257"/>
      <c r="D17" s="1257"/>
      <c r="E17" s="1257"/>
      <c r="F17" s="1257"/>
      <c r="G17" s="1257"/>
      <c r="H17" s="1257"/>
      <c r="I17" s="1257"/>
      <c r="J17" s="1257"/>
      <c r="K17" s="1257"/>
      <c r="L17" s="1257"/>
      <c r="M17" s="1257"/>
      <c r="N17" s="1257"/>
      <c r="O17" s="1257"/>
      <c r="P17" s="1257"/>
      <c r="Q17" s="1257"/>
      <c r="R17" s="1257"/>
      <c r="S17" s="1257"/>
      <c r="T17" s="1257"/>
      <c r="U17" s="1257"/>
      <c r="V17" s="1257"/>
      <c r="W17" s="1257"/>
      <c r="X17" s="1257"/>
      <c r="Y17" s="1257"/>
      <c r="Z17" s="1257"/>
      <c r="AA17" s="1257"/>
      <c r="AB17" s="1257"/>
      <c r="AC17" s="1257"/>
      <c r="AD17" s="1257"/>
      <c r="AE17" s="1257"/>
      <c r="AF17" s="1257"/>
      <c r="AG17" s="1257"/>
      <c r="AH17" s="1257"/>
      <c r="AI17" s="1257"/>
      <c r="AJ17" s="1257"/>
      <c r="AK17" s="1258"/>
      <c r="AL17" s="738"/>
    </row>
    <row r="18" spans="2:38">
      <c r="B18" s="737"/>
      <c r="C18" s="737"/>
      <c r="D18" s="737"/>
      <c r="E18" s="737"/>
      <c r="F18" s="737"/>
      <c r="G18" s="737"/>
      <c r="H18" s="737"/>
      <c r="I18" s="737"/>
      <c r="J18" s="737"/>
      <c r="K18" s="737"/>
      <c r="L18" s="737"/>
      <c r="M18" s="737"/>
      <c r="N18" s="737"/>
      <c r="O18" s="737"/>
      <c r="P18" s="737"/>
      <c r="Q18" s="737"/>
      <c r="R18" s="737"/>
      <c r="S18" s="737"/>
      <c r="T18" s="737"/>
      <c r="U18" s="737"/>
      <c r="V18" s="737"/>
      <c r="W18" s="737"/>
      <c r="X18" s="737"/>
      <c r="Y18" s="737"/>
      <c r="Z18" s="737"/>
      <c r="AA18" s="737"/>
      <c r="AB18" s="737"/>
      <c r="AC18" s="737"/>
      <c r="AD18" s="737"/>
      <c r="AE18" s="737"/>
      <c r="AF18" s="737"/>
      <c r="AG18" s="737"/>
      <c r="AH18" s="737"/>
      <c r="AI18" s="737"/>
      <c r="AJ18" s="737"/>
      <c r="AK18" s="737"/>
      <c r="AL18" s="738"/>
    </row>
    <row r="19" spans="2:38" ht="22.5" customHeight="1">
      <c r="B19" s="737" t="s">
        <v>772</v>
      </c>
      <c r="C19" s="737"/>
      <c r="D19" s="737"/>
      <c r="E19" s="737"/>
      <c r="F19" s="737"/>
      <c r="G19" s="737"/>
      <c r="H19" s="737"/>
      <c r="I19" s="737"/>
      <c r="J19" s="737"/>
      <c r="K19" s="737"/>
      <c r="L19" s="737"/>
      <c r="M19" s="737"/>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8"/>
    </row>
    <row r="20" spans="2:38" ht="86.25" customHeight="1">
      <c r="B20" s="1267"/>
      <c r="C20" s="1268"/>
      <c r="D20" s="1268"/>
      <c r="E20" s="1268"/>
      <c r="F20" s="1268"/>
      <c r="G20" s="1268"/>
      <c r="H20" s="1268"/>
      <c r="I20" s="1268"/>
      <c r="J20" s="1268"/>
      <c r="K20" s="1268"/>
      <c r="L20" s="1268"/>
      <c r="M20" s="1268"/>
      <c r="N20" s="1268"/>
      <c r="O20" s="1268"/>
      <c r="P20" s="1268"/>
      <c r="Q20" s="1268"/>
      <c r="R20" s="1268"/>
      <c r="S20" s="1268"/>
      <c r="T20" s="1268"/>
      <c r="U20" s="1268"/>
      <c r="V20" s="1268"/>
      <c r="W20" s="1268"/>
      <c r="X20" s="1268"/>
      <c r="Y20" s="1268"/>
      <c r="Z20" s="1268"/>
      <c r="AA20" s="1268"/>
      <c r="AB20" s="1268"/>
      <c r="AC20" s="1268"/>
      <c r="AD20" s="1268"/>
      <c r="AE20" s="1268"/>
      <c r="AF20" s="1268"/>
      <c r="AG20" s="1268"/>
      <c r="AH20" s="1268"/>
      <c r="AI20" s="1268"/>
      <c r="AJ20" s="1268"/>
      <c r="AK20" s="1269"/>
      <c r="AL20" s="738"/>
    </row>
    <row r="21" spans="2:38">
      <c r="B21" s="737"/>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8"/>
    </row>
    <row r="22" spans="2:38" ht="22.5" customHeight="1">
      <c r="B22" s="737" t="s">
        <v>771</v>
      </c>
      <c r="C22" s="737"/>
      <c r="D22" s="737"/>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8"/>
    </row>
    <row r="23" spans="2:38" ht="86.25" customHeight="1">
      <c r="B23" s="1267"/>
      <c r="C23" s="1268"/>
      <c r="D23" s="1268"/>
      <c r="E23" s="1268"/>
      <c r="F23" s="1268"/>
      <c r="G23" s="1268"/>
      <c r="H23" s="1268"/>
      <c r="I23" s="1268"/>
      <c r="J23" s="1268"/>
      <c r="K23" s="1268"/>
      <c r="L23" s="1268"/>
      <c r="M23" s="1268"/>
      <c r="N23" s="1268"/>
      <c r="O23" s="1268"/>
      <c r="P23" s="1268"/>
      <c r="Q23" s="1268"/>
      <c r="R23" s="1268"/>
      <c r="S23" s="1268"/>
      <c r="T23" s="1268"/>
      <c r="U23" s="1268"/>
      <c r="V23" s="1268"/>
      <c r="W23" s="1268"/>
      <c r="X23" s="1268"/>
      <c r="Y23" s="1268"/>
      <c r="Z23" s="1268"/>
      <c r="AA23" s="1268"/>
      <c r="AB23" s="1268"/>
      <c r="AC23" s="1268"/>
      <c r="AD23" s="1268"/>
      <c r="AE23" s="1268"/>
      <c r="AF23" s="1268"/>
      <c r="AG23" s="1268"/>
      <c r="AH23" s="1268"/>
      <c r="AI23" s="1268"/>
      <c r="AJ23" s="1268"/>
      <c r="AK23" s="1269"/>
      <c r="AL23" s="738"/>
    </row>
    <row r="24" spans="2:38">
      <c r="B24" s="737" t="s">
        <v>513</v>
      </c>
      <c r="C24" s="737" t="s">
        <v>770</v>
      </c>
      <c r="D24" s="737"/>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c r="AJ24" s="737"/>
      <c r="AK24" s="737"/>
      <c r="AL24" s="738"/>
    </row>
    <row r="25" spans="2:38">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8"/>
    </row>
    <row r="26" spans="2:38" ht="22.5" customHeight="1">
      <c r="B26" s="737" t="s">
        <v>769</v>
      </c>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7"/>
      <c r="AI26" s="737"/>
      <c r="AJ26" s="737"/>
      <c r="AK26" s="737"/>
      <c r="AL26" s="738"/>
    </row>
    <row r="27" spans="2:38">
      <c r="B27" s="1270" t="s">
        <v>768</v>
      </c>
      <c r="C27" s="1271"/>
      <c r="D27" s="1271"/>
      <c r="E27" s="1271"/>
      <c r="F27" s="1271"/>
      <c r="G27" s="1271"/>
      <c r="H27" s="1271"/>
      <c r="I27" s="1271"/>
      <c r="J27" s="1271"/>
      <c r="K27" s="1271"/>
      <c r="L27" s="1271"/>
      <c r="M27" s="1271"/>
      <c r="N27" s="1271"/>
      <c r="O27" s="1271"/>
      <c r="P27" s="1271"/>
      <c r="Q27" s="1271"/>
      <c r="R27" s="1271"/>
      <c r="S27" s="1271"/>
      <c r="T27" s="1271"/>
      <c r="U27" s="1271"/>
      <c r="V27" s="1271"/>
      <c r="W27" s="1271"/>
      <c r="X27" s="1271"/>
      <c r="Y27" s="1271"/>
      <c r="Z27" s="1271"/>
      <c r="AA27" s="1271"/>
      <c r="AB27" s="1271"/>
      <c r="AC27" s="1271"/>
      <c r="AD27" s="1271"/>
      <c r="AE27" s="1271"/>
      <c r="AF27" s="1271"/>
      <c r="AG27" s="1271"/>
      <c r="AH27" s="1271"/>
      <c r="AI27" s="1271"/>
      <c r="AJ27" s="1271"/>
      <c r="AK27" s="1272"/>
      <c r="AL27" s="738"/>
    </row>
    <row r="28" spans="2:38" ht="86.25" customHeight="1">
      <c r="B28" s="1256"/>
      <c r="C28" s="1257"/>
      <c r="D28" s="1257"/>
      <c r="E28" s="1257"/>
      <c r="F28" s="1257"/>
      <c r="G28" s="1257"/>
      <c r="H28" s="1257"/>
      <c r="I28" s="1257"/>
      <c r="J28" s="1257"/>
      <c r="K28" s="1257"/>
      <c r="L28" s="1257"/>
      <c r="M28" s="1257"/>
      <c r="N28" s="1257"/>
      <c r="O28" s="1257"/>
      <c r="P28" s="1257"/>
      <c r="Q28" s="1257"/>
      <c r="R28" s="1257"/>
      <c r="S28" s="1257"/>
      <c r="T28" s="1257"/>
      <c r="U28" s="1257"/>
      <c r="V28" s="1257"/>
      <c r="W28" s="1257"/>
      <c r="X28" s="1257"/>
      <c r="Y28" s="1257"/>
      <c r="Z28" s="1257"/>
      <c r="AA28" s="1257"/>
      <c r="AB28" s="1257"/>
      <c r="AC28" s="1257"/>
      <c r="AD28" s="1257"/>
      <c r="AE28" s="1257"/>
      <c r="AF28" s="1257"/>
      <c r="AG28" s="1257"/>
      <c r="AH28" s="1257"/>
      <c r="AI28" s="1257"/>
      <c r="AJ28" s="1257"/>
      <c r="AK28" s="1258"/>
      <c r="AL28" s="738"/>
    </row>
    <row r="29" spans="2:38" ht="21" customHeight="1">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737"/>
      <c r="AJ29" s="737"/>
      <c r="AK29" s="737"/>
      <c r="AL29" s="738"/>
    </row>
    <row r="30" spans="2:38" ht="6" customHeight="1">
      <c r="B30" s="737"/>
      <c r="C30" s="737"/>
      <c r="D30" s="737"/>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8"/>
    </row>
    <row r="37" ht="3.6" customHeight="1"/>
    <row r="38" hidden="1"/>
    <row r="39" hidden="1"/>
  </sheetData>
  <sheetProtection algorithmName="SHA-512" hashValue="hpK/1/yMkWOgsUgHmYL6E02Z+i67SIq3R5tLCC2rbjqGCTIXc/qqh8U5cBC7Xcem040S/r49eOQmqNAT4HBeOw==" saltValue="MzQfOaiAzLPMSebt2ISWrg==" spinCount="100000" sheet="1" objects="1" scenarios="1"/>
  <mergeCells count="21">
    <mergeCell ref="B28:AK28"/>
    <mergeCell ref="Q11:X11"/>
    <mergeCell ref="B20:AK20"/>
    <mergeCell ref="B23:AK23"/>
    <mergeCell ref="B27:AK27"/>
    <mergeCell ref="Q12:X12"/>
    <mergeCell ref="Y12:AK12"/>
    <mergeCell ref="Q13:X13"/>
    <mergeCell ref="B3:W3"/>
    <mergeCell ref="X3:Y3"/>
    <mergeCell ref="B16:AK16"/>
    <mergeCell ref="B17:AK17"/>
    <mergeCell ref="Y8:AK8"/>
    <mergeCell ref="Y9:AK9"/>
    <mergeCell ref="Y10:AK10"/>
    <mergeCell ref="Q8:X8"/>
    <mergeCell ref="Q9:X9"/>
    <mergeCell ref="Q10:X10"/>
    <mergeCell ref="Y13:AK13"/>
    <mergeCell ref="Y11:AK11"/>
    <mergeCell ref="F6:L6"/>
  </mergeCells>
  <phoneticPr fontId="4"/>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F01E-21F2-489E-ACC2-B9A8159B7A96}">
  <sheetPr>
    <tabColor theme="2" tint="-9.9978637043366805E-2"/>
    <pageSetUpPr fitToPage="1"/>
  </sheetPr>
  <dimension ref="A1:G42"/>
  <sheetViews>
    <sheetView showGridLines="0" view="pageBreakPreview" zoomScale="70" zoomScaleNormal="70" zoomScaleSheetLayoutView="70" workbookViewId="0"/>
  </sheetViews>
  <sheetFormatPr defaultRowHeight="18.75"/>
  <cols>
    <col min="1" max="1" width="4.625" customWidth="1"/>
    <col min="2" max="2" width="35.375" customWidth="1"/>
    <col min="3" max="3" width="5.625" bestFit="1" customWidth="1"/>
    <col min="4" max="7" width="13.25" customWidth="1"/>
  </cols>
  <sheetData>
    <row r="1" spans="1:7">
      <c r="D1" s="121" t="s">
        <v>325</v>
      </c>
      <c r="E1" s="121" t="s">
        <v>325</v>
      </c>
      <c r="F1" s="121" t="s">
        <v>326</v>
      </c>
      <c r="G1" s="121" t="s">
        <v>326</v>
      </c>
    </row>
    <row r="2" spans="1:7">
      <c r="D2" s="67"/>
      <c r="E2" s="67"/>
      <c r="F2" s="67"/>
      <c r="G2" s="67"/>
    </row>
    <row r="3" spans="1:7">
      <c r="A3" t="s">
        <v>127</v>
      </c>
      <c r="C3" s="65" t="s">
        <v>172</v>
      </c>
      <c r="D3" s="85" t="s">
        <v>317</v>
      </c>
      <c r="E3" s="85">
        <v>3</v>
      </c>
      <c r="F3" s="85">
        <v>4</v>
      </c>
      <c r="G3" s="85">
        <v>5</v>
      </c>
    </row>
    <row r="4" spans="1:7">
      <c r="A4" s="68"/>
      <c r="B4" s="92" t="s">
        <v>156</v>
      </c>
      <c r="C4" s="87"/>
      <c r="D4" s="103">
        <f>'2_区分12加算額計算表'!$D$13</f>
        <v>0</v>
      </c>
      <c r="E4" s="103">
        <f>'2_区分12加算額計算表'!$D$14</f>
        <v>0</v>
      </c>
      <c r="F4" s="105">
        <f>'2_区分12加算額計算表'!$D$15</f>
        <v>0</v>
      </c>
      <c r="G4" s="105">
        <f>'2_区分12加算額計算表'!$D$16</f>
        <v>0</v>
      </c>
    </row>
    <row r="5" spans="1:7">
      <c r="A5" s="118" t="e">
        <f>'2_区分12加算額計算表'!$J$6</f>
        <v>#N/A</v>
      </c>
      <c r="B5" s="93" t="s">
        <v>327</v>
      </c>
      <c r="C5" s="88"/>
      <c r="D5" s="106" t="e">
        <f>VLOOKUP($A5&amp;D$1,単価1号[],認こ1号単価!$G$1,FALSE)*加算率a</f>
        <v>#N/A</v>
      </c>
      <c r="E5" s="106" t="e">
        <f>VLOOKUP($A5&amp;E$1,単価1号[],認こ1号単価!$G$1,FALSE)*加算率a</f>
        <v>#N/A</v>
      </c>
      <c r="F5" s="106" t="e">
        <f>VLOOKUP($A5&amp;F$1,単価1号[],認こ1号単価!$G$1,FALSE)*加算率a</f>
        <v>#N/A</v>
      </c>
      <c r="G5" s="106" t="e">
        <f>VLOOKUP($A5&amp;G$1,単価1号[],認こ1号単価!$G$1,FALSE)*加算率a</f>
        <v>#N/A</v>
      </c>
    </row>
    <row r="6" spans="1:7">
      <c r="A6" s="118" t="e">
        <f t="shared" ref="A6:A11" si="0">A5</f>
        <v>#N/A</v>
      </c>
      <c r="B6" s="94" t="s">
        <v>328</v>
      </c>
      <c r="C6" s="89">
        <f>IF('2_区分12加算額計算表'!$F$31&lt;&gt;"",1,0)</f>
        <v>0</v>
      </c>
      <c r="D6" s="106" t="e">
        <f>IF(VLOOKUP($A6&amp;D$1,単価1号[],認こ1号単価!$I$1,FALSE)*加算率a&gt;=10,
ROUNDDOWN(VLOOKUP($A6&amp;D$1,単価1号[],認こ1号単価!$I$1,FALSE)*加算率a,-1),
ROUNDDOWN(VLOOKUP($A6&amp;D$1,単価1号[],認こ1号単価!$I$1,FALSE)*加算率a,0))*$C6</f>
        <v>#N/A</v>
      </c>
      <c r="E6" s="106" t="e">
        <f>IF(VLOOKUP($A6&amp;E$1,単価1号[],認こ1号単価!$I$1,FALSE)*加算率a&gt;=10,
ROUNDDOWN(VLOOKUP($A6&amp;E$1,単価1号[],認こ1号単価!$I$1,FALSE)*加算率a,-1),
ROUNDDOWN(VLOOKUP($A6&amp;E$1,単価1号[],認こ1号単価!$I$1,FALSE)*加算率a,0))*$C6</f>
        <v>#N/A</v>
      </c>
      <c r="F6" s="106" t="e">
        <f>IF(VLOOKUP($A6&amp;F$1,単価1号[],認こ1号単価!$I$1,FALSE)*加算率a&gt;=10,
ROUNDDOWN(VLOOKUP($A6&amp;F$1,単価1号[],認こ1号単価!$I$1,FALSE)*加算率a,-1),
ROUNDDOWN(VLOOKUP($A6&amp;F$1,単価1号[],認こ1号単価!$I$1,FALSE)*加算率a,0))*$C6</f>
        <v>#N/A</v>
      </c>
      <c r="G6" s="106" t="e">
        <f>IF(VLOOKUP($A6&amp;G$1,単価1号[],認こ1号単価!$I$1,FALSE)*加算率a&gt;=10,
ROUNDDOWN(VLOOKUP($A6&amp;G$1,単価1号[],認こ1号単価!$I$1,FALSE)*加算率a,-1),
ROUNDDOWN(VLOOKUP($A6&amp;G$1,単価1号[],認こ1号単価!$I$1,FALSE)*加算率a,0))*$C6</f>
        <v>#N/A</v>
      </c>
    </row>
    <row r="7" spans="1:7">
      <c r="A7" s="118" t="e">
        <f t="shared" si="0"/>
        <v>#N/A</v>
      </c>
      <c r="B7" s="94" t="s">
        <v>329</v>
      </c>
      <c r="C7" s="89">
        <f>IF('2_区分12加算額計算表'!$F$32&lt;&gt;"",1,0)</f>
        <v>0</v>
      </c>
      <c r="D7" s="106" t="e">
        <f>VLOOKUP($A7&amp;D$1,単価1号[],認こ1号単価!$J$1,FALSE)*加算率a*$C7</f>
        <v>#N/A</v>
      </c>
      <c r="E7" s="106" t="e">
        <f>VLOOKUP($A7&amp;E$1,単価1号[],認こ1号単価!$J$1,FALSE)*加算率a*$C7</f>
        <v>#N/A</v>
      </c>
      <c r="F7" s="106" t="e">
        <f>VLOOKUP($A7&amp;F$1,単価1号[],認こ1号単価!$J$1,FALSE)*加算率a*$C7</f>
        <v>#N/A</v>
      </c>
      <c r="G7" s="106" t="e">
        <f>VLOOKUP($A7&amp;G$1,単価1号[],認こ1号単価!$J$1,FALSE)*加算率a*$C7</f>
        <v>#N/A</v>
      </c>
    </row>
    <row r="8" spans="1:7">
      <c r="A8" s="118" t="e">
        <f t="shared" si="0"/>
        <v>#N/A</v>
      </c>
      <c r="B8" s="94" t="s">
        <v>330</v>
      </c>
      <c r="C8" s="89">
        <f>IF('2_区分12加算額計算表'!$F$33&lt;&gt;"",1,0)</f>
        <v>0</v>
      </c>
      <c r="D8" s="109" t="e">
        <f>VLOOKUP($A8&amp;D$1,単価1号[],認こ1号単価!$L$1,FALSE)*加算率a*$C8</f>
        <v>#N/A</v>
      </c>
      <c r="E8" s="109" t="e">
        <f>VLOOKUP($A8&amp;E$1,単価1号[],認こ1号単価!$L$1,FALSE)*加算率a*$C8</f>
        <v>#N/A</v>
      </c>
      <c r="F8" s="110"/>
      <c r="G8" s="110"/>
    </row>
    <row r="9" spans="1:7">
      <c r="A9" s="118" t="e">
        <f t="shared" si="0"/>
        <v>#N/A</v>
      </c>
      <c r="B9" s="94" t="s">
        <v>331</v>
      </c>
      <c r="C9" s="89">
        <f>IF('2_区分12加算額計算表'!$F$34&lt;&gt;"",1,0)</f>
        <v>0</v>
      </c>
      <c r="D9" s="107"/>
      <c r="E9" s="107"/>
      <c r="F9" s="109" t="e">
        <f>VLOOKUP($A9&amp;F$1,単価1号[],認こ1号単価!$N$1,FALSE)*加算率a*$C9</f>
        <v>#N/A</v>
      </c>
      <c r="G9" s="109" t="e">
        <f>VLOOKUP($A9&amp;G$1,単価1号[],認こ1号単価!$N$1,FALSE)*加算率a*$C9</f>
        <v>#N/A</v>
      </c>
    </row>
    <row r="10" spans="1:7">
      <c r="A10" s="118" t="e">
        <f t="shared" si="0"/>
        <v>#N/A</v>
      </c>
      <c r="B10" s="94" t="s">
        <v>333</v>
      </c>
      <c r="C10" s="89">
        <f>IF('2_区分12加算額計算表'!$F$36&lt;&gt;"",1,0)</f>
        <v>0</v>
      </c>
      <c r="D10" s="109" t="e">
        <f>IF(C8=0,VLOOKUP($A10&amp;D$1,単価1号[],認こ1号単価!$P$1,FALSE),VLOOKUP($A10&amp;D$1,単価1号[],認こ1号単価!$R$1,FALSE))*加算率a*$C10</f>
        <v>#N/A</v>
      </c>
      <c r="E10" s="107"/>
      <c r="F10" s="110"/>
      <c r="G10" s="110"/>
    </row>
    <row r="11" spans="1:7">
      <c r="A11" s="118" t="e">
        <f t="shared" si="0"/>
        <v>#N/A</v>
      </c>
      <c r="B11" s="94" t="s">
        <v>332</v>
      </c>
      <c r="C11" s="89">
        <f>IF('2_区分12加算額計算表'!$F$37&lt;&gt;"",1,0)</f>
        <v>0</v>
      </c>
      <c r="D11" s="109" t="e">
        <f>IF(VLOOKUP($A11&amp;D$1,単価1号[],認こ1号単価!$T$1,FALSE)*加算率a&gt;=10,
ROUNDDOWN(VLOOKUP($A11&amp;D$1,単価1号[],認こ1号単価!$T$1,FALSE)*加算率a,-1),
ROUNDDOWN(VLOOKUP($A11&amp;D$1,単価1号[],認こ1号単価!$T$1,FALSE)*加算率a,0))*$C11</f>
        <v>#N/A</v>
      </c>
      <c r="E11" s="109" t="e">
        <f>IF(VLOOKUP($A11&amp;E$1,単価1号[],認こ1号単価!$T$1,FALSE)*加算率a&gt;=10,
ROUNDDOWN(VLOOKUP($A11&amp;E$1,単価1号[],認こ1号単価!$T$1,FALSE)*加算率a,-1),
ROUNDDOWN(VLOOKUP($A11&amp;E$1,単価1号[],認こ1号単価!$T$1,FALSE)*加算率a,0))*$C11</f>
        <v>#N/A</v>
      </c>
      <c r="F11" s="109" t="e">
        <f>IF(VLOOKUP($A11&amp;F$1,単価1号[],認こ1号単価!$T$1,FALSE)*加算率a&gt;=10,
ROUNDDOWN(VLOOKUP($A11&amp;F$1,単価1号[],認こ1号単価!$T$1,FALSE)*加算率a,-1),
ROUNDDOWN(VLOOKUP($A11&amp;F$1,単価1号[],認こ1号単価!$T$1,FALSE)*加算率a,0))*$C11</f>
        <v>#N/A</v>
      </c>
      <c r="G11" s="109" t="e">
        <f>IF(VLOOKUP($A11&amp;G$1,単価1号[],認こ1号単価!$T$1,FALSE)*加算率a&gt;=10,
ROUNDDOWN(VLOOKUP($A11&amp;G$1,単価1号[],認こ1号単価!$T$1,FALSE)*加算率a,-1),
ROUNDDOWN(VLOOKUP($A11&amp;G$1,単価1号[],認こ1号単価!$T$1,FALSE)*加算率a,0))*$C11</f>
        <v>#N/A</v>
      </c>
    </row>
    <row r="12" spans="1:7">
      <c r="A12" s="118" t="e">
        <f>'2_区分12加算額計算表'!$J$10</f>
        <v>#N/A</v>
      </c>
      <c r="B12" s="94" t="s">
        <v>323</v>
      </c>
      <c r="C12" s="89">
        <f>IF('2_区分12加算額計算表'!$F$40&lt;&gt;"",'2_区分12加算額計算表'!$I$40,0)</f>
        <v>0</v>
      </c>
      <c r="D12" s="109" t="e">
        <f>VLOOKUP($A12&amp;D$1,単価1号[],認こ1号単価!$AE$1,FALSE)*加算率a*$C12</f>
        <v>#N/A</v>
      </c>
      <c r="E12" s="109" t="e">
        <f>VLOOKUP($A12&amp;E$1,単価1号[],認こ1号単価!$AE$1,FALSE)*加算率a*$C12</f>
        <v>#N/A</v>
      </c>
      <c r="F12" s="109" t="e">
        <f>VLOOKUP($A12&amp;F$1,単価1号[],認こ1号単価!$AE$1,FALSE)*加算率a*$C12</f>
        <v>#N/A</v>
      </c>
      <c r="G12" s="109" t="e">
        <f>VLOOKUP($A12&amp;G$1,単価1号[],認こ1号単価!$AE$1,FALSE)*加算率a*$C12</f>
        <v>#N/A</v>
      </c>
    </row>
    <row r="13" spans="1:7">
      <c r="A13" s="118" t="e">
        <f>A11</f>
        <v>#N/A</v>
      </c>
      <c r="B13" s="94" t="s">
        <v>334</v>
      </c>
      <c r="C13" s="89">
        <f>IF('2_区分12加算額計算表'!$F$41&lt;&gt;"",1,0)</f>
        <v>0</v>
      </c>
      <c r="D13" s="109" t="e">
        <f>IF(VLOOKUP($A13&amp;D$1,単価1号[],認こ1号単価!$V$1,FALSE)*加算率a&gt;=10,
ROUNDDOWN(VLOOKUP($A13&amp;D$1,単価1号[],認こ1号単価!$V$1,FALSE)*加算率a,-1),
ROUNDDOWN(VLOOKUP($A13&amp;D$1,単価1号[],認こ1号単価!$V$1,FALSE)*加算率a,0))*$C13</f>
        <v>#N/A</v>
      </c>
      <c r="E13" s="109" t="e">
        <f>IF(VLOOKUP($A13&amp;E$1,単価1号[],認こ1号単価!$V$1,FALSE)*加算率a&gt;=10,
ROUNDDOWN(VLOOKUP($A13&amp;E$1,単価1号[],認こ1号単価!$V$1,FALSE)*加算率a,-1),
ROUNDDOWN(VLOOKUP($A13&amp;E$1,単価1号[],認こ1号単価!$V$1,FALSE)*加算率a,0))*$C13</f>
        <v>#N/A</v>
      </c>
      <c r="F13" s="109" t="e">
        <f>IF(VLOOKUP($A13&amp;F$1,単価1号[],認こ1号単価!$V$1,FALSE)*加算率a&gt;=10,
ROUNDDOWN(VLOOKUP($A13&amp;F$1,単価1号[],認こ1号単価!$V$1,FALSE)*加算率a,-1),
ROUNDDOWN(VLOOKUP($A13&amp;F$1,単価1号[],認こ1号単価!$V$1,FALSE)*加算率a,0))*$C13</f>
        <v>#N/A</v>
      </c>
      <c r="G13" s="109" t="e">
        <f>IF(VLOOKUP($A13&amp;G$1,単価1号[],認こ1号単価!$V$1,FALSE)*加算率a&gt;=10,
ROUNDDOWN(VLOOKUP($A13&amp;G$1,単価1号[],認こ1号単価!$V$1,FALSE)*加算率a,-1),
ROUNDDOWN(VLOOKUP($A13&amp;G$1,単価1号[],認こ1号単価!$V$1,FALSE)*加算率a,0))*$C13</f>
        <v>#N/A</v>
      </c>
    </row>
    <row r="14" spans="1:7">
      <c r="A14" s="118" t="e">
        <f>A13</f>
        <v>#N/A</v>
      </c>
      <c r="B14" s="94" t="s">
        <v>336</v>
      </c>
      <c r="C14" s="89">
        <f>IF('2_区分12加算額計算表'!$F$42=【リスト】!$M$2,'2_区分12加算額計算表'!$I$42,0)</f>
        <v>0</v>
      </c>
      <c r="D14" s="109" t="e">
        <f>IF(VLOOKUP($A14&amp;D$1,単価1号[],認こ1号単価!$X$1,FALSE)*$C14*加算率a&gt;=10,
ROUNDDOWN(VLOOKUP($A14&amp;D$1,単価1号[],認こ1号単価!$X$1,FALSE)*$C14*加算率a,-1),
ROUNDDOWN(VLOOKUP($A14&amp;D$1,単価1号[],認こ1号単価!$X$1,FALSE)*$C14*加算率a,0))</f>
        <v>#N/A</v>
      </c>
      <c r="E14" s="109" t="e">
        <f>IF(VLOOKUP($A14&amp;E$1,単価1号[],認こ1号単価!$X$1,FALSE)*$C14*加算率a&gt;=10,
ROUNDDOWN(VLOOKUP($A14&amp;E$1,単価1号[],認こ1号単価!$X$1,FALSE)*$C14*加算率a,-1),
ROUNDDOWN(VLOOKUP($A14&amp;E$1,単価1号[],認こ1号単価!$X$1,FALSE)*$C14*加算率a,0))</f>
        <v>#N/A</v>
      </c>
      <c r="F14" s="109" t="e">
        <f>IF(VLOOKUP($A14&amp;F$1,単価1号[],認こ1号単価!$X$1,FALSE)*$C14*加算率a&gt;=10,
ROUNDDOWN(VLOOKUP($A14&amp;F$1,単価1号[],認こ1号単価!$X$1,FALSE)*$C14*加算率a,-1),
ROUNDDOWN(VLOOKUP($A14&amp;F$1,単価1号[],認こ1号単価!$X$1,FALSE)*$C14*加算率a,0))</f>
        <v>#N/A</v>
      </c>
      <c r="G14" s="109" t="e">
        <f>IF(VLOOKUP($A14&amp;G$1,単価1号[],認こ1号単価!$X$1,FALSE)*$C14*加算率a&gt;=10,
ROUNDDOWN(VLOOKUP($A14&amp;G$1,単価1号[],認こ1号単価!$X$1,FALSE)*$C14*加算率a,-1),
ROUNDDOWN(VLOOKUP($A14&amp;G$1,単価1号[],認こ1号単価!$X$1,FALSE)*$C14*加算率a,0))</f>
        <v>#N/A</v>
      </c>
    </row>
    <row r="15" spans="1:7">
      <c r="A15" s="118" t="e">
        <f>A14</f>
        <v>#N/A</v>
      </c>
      <c r="B15" s="94" t="s">
        <v>337</v>
      </c>
      <c r="C15" s="89">
        <f>IF('2_区分12加算額計算表'!$F$42=【リスト】!$M$3,'2_区分12加算額計算表'!$I$42,0)</f>
        <v>0</v>
      </c>
      <c r="D15" s="109" t="e">
        <f>IF(VLOOKUP($A15&amp;D$1,単価1号[],認こ1号単価!$Z$1,FALSE)*$C15*加算率a&gt;=10,
ROUNDDOWN(VLOOKUP($A15&amp;D$1,単価1号[],認こ1号単価!$Z$1,FALSE)*$C15*加算率a,-1),
ROUNDDOWN(VLOOKUP($A15&amp;D$1,単価1号[],認こ1号単価!$Z$1,FALSE)*$C15*加算率a,0))</f>
        <v>#N/A</v>
      </c>
      <c r="E15" s="109" t="e">
        <f>IF(VLOOKUP($A15&amp;E$1,単価1号[],認こ1号単価!$Z$1,FALSE)*$C15*加算率a&gt;=10,
ROUNDDOWN(VLOOKUP($A15&amp;E$1,単価1号[],認こ1号単価!$Z$1,FALSE)*$C15*加算率a,-1),
ROUNDDOWN(VLOOKUP($A15&amp;E$1,単価1号[],認こ1号単価!$Z$1,FALSE)*$C15*加算率a,0))</f>
        <v>#N/A</v>
      </c>
      <c r="F15" s="109" t="e">
        <f>IF(VLOOKUP($A15&amp;F$1,単価1号[],認こ1号単価!$Z$1,FALSE)*$C15*加算率a&gt;=10,
ROUNDDOWN(VLOOKUP($A15&amp;F$1,単価1号[],認こ1号単価!$Z$1,FALSE)*$C15*加算率a,-1),
ROUNDDOWN(VLOOKUP($A15&amp;F$1,単価1号[],認こ1号単価!$Z$1,FALSE)*$C15*加算率a,0))</f>
        <v>#N/A</v>
      </c>
      <c r="G15" s="109" t="e">
        <f>IF(VLOOKUP($A15&amp;G$1,単価1号[],認こ1号単価!$Z$1,FALSE)*$C15*加算率a&gt;=10,
ROUNDDOWN(VLOOKUP($A15&amp;G$1,単価1号[],認こ1号単価!$Z$1,FALSE)*$C15*加算率a,-1),
ROUNDDOWN(VLOOKUP($A15&amp;G$1,単価1号[],認こ1号単価!$Z$1,FALSE)*$C15*加算率a,0))</f>
        <v>#N/A</v>
      </c>
    </row>
    <row r="16" spans="1:7">
      <c r="A16" s="118" t="e">
        <f>A15</f>
        <v>#N/A</v>
      </c>
      <c r="B16" s="94" t="s">
        <v>324</v>
      </c>
      <c r="C16" s="89">
        <f>IF('2_区分12加算額計算表'!$F$43&lt;&gt;"",1,0)</f>
        <v>0</v>
      </c>
      <c r="D16" s="109" t="e">
        <f>IF(VLOOKUP($A16&amp;D$1,単価1号[],認こ1号単価!$AB$1,FALSE)*加算率a&gt;=10,
ROUNDDOWN(VLOOKUP($A16&amp;D$1,単価1号[],認こ1号単価!$AB$1,FALSE)*加算率a,-1),
ROUNDDOWN(VLOOKUP($A16&amp;D$1,単価1号[],認こ1号単価!$AB$1,FALSE)*加算率a,0))*-1*$C16</f>
        <v>#N/A</v>
      </c>
      <c r="E16" s="109" t="e">
        <f>IF(VLOOKUP($A16&amp;E$1,単価1号[],認こ1号単価!$AB$1,FALSE)*加算率a&gt;=10,
ROUNDDOWN(VLOOKUP($A16&amp;E$1,単価1号[],認こ1号単価!$AB$1,FALSE)*加算率a,-1),
ROUNDDOWN(VLOOKUP($A16&amp;E$1,単価1号[],認こ1号単価!$AB$1,FALSE)*加算率a,0))*-1*$C16</f>
        <v>#N/A</v>
      </c>
      <c r="F16" s="109" t="e">
        <f>IF(VLOOKUP($A16&amp;F$1,単価1号[],認こ1号単価!$AB$1,FALSE)*加算率a&gt;=10,
ROUNDDOWN(VLOOKUP($A16&amp;F$1,単価1号[],認こ1号単価!$AB$1,FALSE)*加算率a,-1),
ROUNDDOWN(VLOOKUP($A16&amp;F$1,単価1号[],認こ1号単価!$AB$1,FALSE)*加算率a,0))*-1*$C16</f>
        <v>#N/A</v>
      </c>
      <c r="G16" s="109" t="e">
        <f>IF(VLOOKUP($A16&amp;G$1,単価1号[],認こ1号単価!$AB$1,FALSE)*加算率a&gt;=10,
ROUNDDOWN(VLOOKUP($A16&amp;G$1,単価1号[],認こ1号単価!$AB$1,FALSE)*加算率a,-1),
ROUNDDOWN(VLOOKUP($A16&amp;G$1,単価1号[],認こ1号単価!$AB$1,FALSE)*加算率a,0))*-1*$C16</f>
        <v>#N/A</v>
      </c>
    </row>
    <row r="17" spans="1:7">
      <c r="A17" s="118">
        <f>IF('2_区分12加算額計算表'!$F$44=【リスト】!$D$2,2,IF('2_区分12加算額計算表'!$F$44=【リスト】!$D$3,3,1))</f>
        <v>1</v>
      </c>
      <c r="B17" s="94" t="s">
        <v>154</v>
      </c>
      <c r="C17" s="89">
        <f>IF('2_区分12加算額計算表'!$F$44&lt;&gt;"",1,0)</f>
        <v>0</v>
      </c>
      <c r="D17" s="109" t="e">
        <f>IF(VLOOKUP($A17,療育支援1号[],認こ1号単価!$AJ$1,FALSE)*加算率a/'2_区分12加算額計算表'!$D$17&gt;=10,
ROUNDDOWN(VLOOKUP($A17,療育支援1号[],認こ1号単価!$AJ$1,FALSE)*加算率a/'2_区分12加算額計算表'!$D$17,-1),
ROUNDDOWN(VLOOKUP($A17,療育支援1号[],認こ1号単価!$AJ$1,FALSE)*加算率a/'2_区分12加算額計算表'!$D$17,0))*$C17</f>
        <v>#N/A</v>
      </c>
      <c r="E17" s="109" t="e">
        <f>IF(VLOOKUP($A17,療育支援1号[],認こ1号単価!$AJ$1,FALSE)*加算率a/'2_区分12加算額計算表'!$D$17&gt;=10,
ROUNDDOWN(VLOOKUP($A17,療育支援1号[],認こ1号単価!$AJ$1,FALSE)*加算率a/'2_区分12加算額計算表'!$D$17,-1),
ROUNDDOWN(VLOOKUP($A17,療育支援1号[],認こ1号単価!$AJ$1,FALSE)*加算率a/'2_区分12加算額計算表'!$D$17,0))*$C17</f>
        <v>#N/A</v>
      </c>
      <c r="F17" s="109" t="e">
        <f>IF(VLOOKUP($A17,療育支援1号[],認こ1号単価!$AJ$1,FALSE)*加算率a/'2_区分12加算額計算表'!$D$17&gt;=10,
ROUNDDOWN(VLOOKUP($A17,療育支援1号[],認こ1号単価!$AJ$1,FALSE)*加算率a/'2_区分12加算額計算表'!$D$17,-1),
ROUNDDOWN(VLOOKUP($A17,療育支援1号[],認こ1号単価!$AJ$1,FALSE)*加算率a/'2_区分12加算額計算表'!$D$17,0))*$C17</f>
        <v>#N/A</v>
      </c>
      <c r="G17" s="109" t="e">
        <f>IF(VLOOKUP($A17,療育支援1号[],認こ1号単価!$AJ$1,FALSE)*加算率a/'2_区分12加算額計算表'!$D$17&gt;=10,
ROUNDDOWN(VLOOKUP($A17,療育支援1号[],認こ1号単価!$AJ$1,FALSE)*加算率a/'2_区分12加算額計算表'!$D$17,-1),
ROUNDDOWN(VLOOKUP($A17,療育支援1号[],認こ1号単価!$AJ$1,FALSE)*加算率a/'2_区分12加算額計算表'!$D$17,0))*$C17</f>
        <v>#N/A</v>
      </c>
    </row>
    <row r="18" spans="1:7">
      <c r="A18" s="118"/>
      <c r="B18" s="95" t="s">
        <v>338</v>
      </c>
      <c r="C18" s="89">
        <f>IF('2_区分12加算額計算表'!$F$45&lt;&gt;"",1,0)</f>
        <v>0</v>
      </c>
      <c r="D18" s="109" t="e">
        <f>IF(認こ1号単価!$AJ$15*加算率a/'2_区分12加算額計算表'!$D$17&gt;=10,
ROUNDDOWN(認こ1号単価!$AJ$15*加算率a/'2_区分12加算額計算表'!$D$17,-1),
ROUNDDOWN(認こ1号単価!$AJ$15*加算率a/'2_区分12加算額計算表'!$D$17,0))*$C18</f>
        <v>#N/A</v>
      </c>
      <c r="E18" s="109" t="e">
        <f>IF(認こ1号単価!$AJ$15*加算率a/'2_区分12加算額計算表'!$D$17&gt;=10,
ROUNDDOWN(認こ1号単価!$AJ$15*加算率a/'2_区分12加算額計算表'!$D$17,-1),
ROUNDDOWN(認こ1号単価!$AJ$15*加算率a/'2_区分12加算額計算表'!$D$17,0))*$C18</f>
        <v>#N/A</v>
      </c>
      <c r="F18" s="109" t="e">
        <f>IF(認こ1号単価!$AJ$15*加算率a/'2_区分12加算額計算表'!$D$17&gt;=10,
ROUNDDOWN(認こ1号単価!$AJ$15*加算率a/'2_区分12加算額計算表'!$D$17,-1),
ROUNDDOWN(認こ1号単価!$AJ$15*加算率a/'2_区分12加算額計算表'!$D$17,0))*$C18</f>
        <v>#N/A</v>
      </c>
      <c r="G18" s="109" t="e">
        <f>IF(認こ1号単価!$AJ$15*加算率a/'2_区分12加算額計算表'!$D$17&gt;=10,
ROUNDDOWN(認こ1号単価!$AJ$15*加算率a/'2_区分12加算額計算表'!$D$17,-1),
ROUNDDOWN(認こ1号単価!$AJ$15*加算率a/'2_区分12加算額計算表'!$D$17,0))*$C18</f>
        <v>#N/A</v>
      </c>
    </row>
    <row r="19" spans="1:7">
      <c r="A19" s="118"/>
      <c r="B19" s="95" t="s">
        <v>339</v>
      </c>
      <c r="C19" s="89">
        <f>IF('2_区分12加算額計算表'!$F$46&lt;&gt;"",1,0)</f>
        <v>0</v>
      </c>
      <c r="D19" s="109" t="e">
        <f>IF(認こ1号単価!$AJ$16*加算率a/'2_区分12加算額計算表'!$D$17&gt;=10,
ROUNDDOWN(認こ1号単価!$AJ$16*加算率a/'2_区分12加算額計算表'!$D$17,-1),
ROUNDDOWN(認こ1号単価!$AJ$16*加算率a/'2_区分12加算額計算表'!$D$17,0))*$C19</f>
        <v>#N/A</v>
      </c>
      <c r="E19" s="109" t="e">
        <f>IF(認こ1号単価!$AJ$16*加算率a/'2_区分12加算額計算表'!$D$17&gt;=10,
ROUNDDOWN(認こ1号単価!$AJ$16*加算率a/'2_区分12加算額計算表'!$D$17,-1),
ROUNDDOWN(認こ1号単価!$AJ$16*加算率a/'2_区分12加算額計算表'!$D$17,0))*$C19</f>
        <v>#N/A</v>
      </c>
      <c r="F19" s="109" t="e">
        <f>IF(認こ1号単価!$AJ$16*加算率a/'2_区分12加算額計算表'!$D$17&gt;=10,
ROUNDDOWN(認こ1号単価!$AJ$16*加算率a/'2_区分12加算額計算表'!$D$17,-1),
ROUNDDOWN(認こ1号単価!$AJ$16*加算率a/'2_区分12加算額計算表'!$D$17,0))*$C19</f>
        <v>#N/A</v>
      </c>
      <c r="G19" s="109" t="e">
        <f>IF(認こ1号単価!$AJ$16*加算率a/'2_区分12加算額計算表'!$D$17&gt;=10,
ROUNDDOWN(認こ1号単価!$AJ$16*加算率a/'2_区分12加算額計算表'!$D$17,-1),
ROUNDDOWN(認こ1号単価!$AJ$16*加算率a/'2_区分12加算額計算表'!$D$17,0))*$C19</f>
        <v>#N/A</v>
      </c>
    </row>
    <row r="20" spans="1:7">
      <c r="A20" s="118"/>
      <c r="B20" s="94" t="s">
        <v>340</v>
      </c>
      <c r="C20" s="89">
        <f>IF('2_区分12加算額計算表'!$F$47&lt;&gt;"",1,0)</f>
        <v>0</v>
      </c>
      <c r="D20" s="109" t="e">
        <f>IF(認こ1号単価!$AJ$17*加算率a/'2_区分12加算額計算表'!$D$17&gt;=10,
ROUNDDOWN(認こ1号単価!$AJ$17*加算率a/'2_区分12加算額計算表'!$D$17,-1),
ROUNDDOWN(認こ1号単価!$AJ$17*加算率a/'2_区分12加算額計算表'!$D$17,0))*$C20</f>
        <v>#N/A</v>
      </c>
      <c r="E20" s="109" t="e">
        <f>IF(認こ1号単価!$AJ$17*加算率a/'2_区分12加算額計算表'!$D$17&gt;=10,
ROUNDDOWN(認こ1号単価!$AJ$17*加算率a/'2_区分12加算額計算表'!$D$17,-1),
ROUNDDOWN(認こ1号単価!$AJ$17*加算率a/'2_区分12加算額計算表'!$D$17,0))*$C20</f>
        <v>#N/A</v>
      </c>
      <c r="F20" s="109" t="e">
        <f>IF(認こ1号単価!$AJ$17*加算率a/'2_区分12加算額計算表'!$D$17&gt;=10,
ROUNDDOWN(認こ1号単価!$AJ$17*加算率a/'2_区分12加算額計算表'!$D$17,-1),
ROUNDDOWN(認こ1号単価!$AJ$17*加算率a/'2_区分12加算額計算表'!$D$17,0))*$C20</f>
        <v>#N/A</v>
      </c>
      <c r="G20" s="109" t="e">
        <f>IF(認こ1号単価!$AJ$17*加算率a/'2_区分12加算額計算表'!$D$17&gt;=10,
ROUNDDOWN(認こ1号単価!$AJ$17*加算率a/'2_区分12加算額計算表'!$D$17,-1),
ROUNDDOWN(認こ1号単価!$AJ$17*加算率a/'2_区分12加算額計算表'!$D$17,0))*$C20</f>
        <v>#N/A</v>
      </c>
    </row>
    <row r="21" spans="1:7">
      <c r="A21" s="119"/>
      <c r="B21" s="92" t="s">
        <v>157</v>
      </c>
      <c r="C21" s="87"/>
      <c r="D21" s="122" t="e">
        <f>SUM(D5:D20)</f>
        <v>#N/A</v>
      </c>
      <c r="E21" s="122" t="e">
        <f>SUM(E5:E20)</f>
        <v>#N/A</v>
      </c>
      <c r="F21" s="122" t="e">
        <f>SUM(F5:F20)</f>
        <v>#N/A</v>
      </c>
      <c r="G21" s="122" t="e">
        <f>SUM(G5:G20)</f>
        <v>#N/A</v>
      </c>
    </row>
    <row r="22" spans="1:7">
      <c r="B22" s="96" t="s">
        <v>158</v>
      </c>
      <c r="C22" s="91"/>
      <c r="D22" s="122" t="e">
        <f>D$4*D21</f>
        <v>#N/A</v>
      </c>
      <c r="E22" s="122" t="e">
        <f>E$4*E21</f>
        <v>#N/A</v>
      </c>
      <c r="F22" s="123" t="e">
        <f>F$4*F21</f>
        <v>#N/A</v>
      </c>
      <c r="G22" s="123" t="e">
        <f>G$4*G21</f>
        <v>#N/A</v>
      </c>
    </row>
    <row r="23" spans="1:7">
      <c r="A23" s="119"/>
    </row>
    <row r="24" spans="1:7">
      <c r="A24" s="119" t="s">
        <v>159</v>
      </c>
      <c r="D24" s="167"/>
    </row>
    <row r="25" spans="1:7">
      <c r="A25" s="118" t="e">
        <f t="shared" ref="A25:C40" si="1">A5</f>
        <v>#N/A</v>
      </c>
      <c r="B25" s="97" t="str">
        <f t="shared" si="1"/>
        <v>処遇改善等加算単価</v>
      </c>
      <c r="C25" s="100">
        <f t="shared" si="1"/>
        <v>0</v>
      </c>
      <c r="D25" s="106" t="e">
        <f>ROUNDDOWN(VLOOKUP($A25&amp;D$1,単価1号[],認こ1号単価!$G$1,FALSE)*(加算率b+VLOOKUP($A25&amp;D$1,単価1号[],認こ1号単価!$H$1,FALSE)),-1)</f>
        <v>#N/A</v>
      </c>
      <c r="E25" s="114" t="e">
        <f>ROUNDDOWN(VLOOKUP($A25&amp;E$1,単価1号[],認こ1号単価!$G$1,FALSE)*(加算率b+VLOOKUP($A25&amp;E$1,単価1号[],認こ1号単価!$H$1,FALSE)),-1)</f>
        <v>#N/A</v>
      </c>
      <c r="F25" s="116" t="e">
        <f>ROUNDDOWN(VLOOKUP($A25&amp;F$1,単価1号[],認こ1号単価!$G$1,FALSE)*(加算率b+VLOOKUP($A25&amp;F$1,単価1号[],認こ1号単価!$H$1,FALSE)),-1)</f>
        <v>#N/A</v>
      </c>
      <c r="G25" s="116" t="e">
        <f>ROUNDDOWN(VLOOKUP($A25&amp;G$1,単価1号[],認こ1号単価!$G$1,FALSE)*(加算率b+VLOOKUP($A25&amp;G$1,単価1号[],認こ1号単価!$H$1,FALSE)),-1)</f>
        <v>#N/A</v>
      </c>
    </row>
    <row r="26" spans="1:7">
      <c r="A26" s="118" t="e">
        <f t="shared" si="1"/>
        <v>#N/A</v>
      </c>
      <c r="B26" s="98" t="str">
        <f t="shared" si="1"/>
        <v>副園長・教頭配置加算単価</v>
      </c>
      <c r="C26" s="101">
        <f t="shared" si="1"/>
        <v>0</v>
      </c>
      <c r="D26" s="106" t="e">
        <f>IF(VLOOKUP($A26&amp;D$1,単価1号[],認こ1号単価!$I$1,FALSE)*加算率b&gt;=10,
ROUNDDOWN(VLOOKUP($A26&amp;D$1,単価1号[],認こ1号単価!$I$1,FALSE)*加算率b,-1),
ROUNDDOWN(VLOOKUP($A26&amp;D$1,単価1号[],認こ1号単価!$I$1,FALSE)*加算率b,0))*$C26</f>
        <v>#N/A</v>
      </c>
      <c r="E26" s="106" t="e">
        <f>IF(VLOOKUP($A26&amp;E$1,単価1号[],認こ1号単価!$I$1,FALSE)*加算率b&gt;=10,
ROUNDDOWN(VLOOKUP($A26&amp;E$1,単価1号[],認こ1号単価!$I$1,FALSE)*加算率b,-1),
ROUNDDOWN(VLOOKUP($A26&amp;E$1,単価1号[],認こ1号単価!$I$1,FALSE)*加算率b,0))*$C26</f>
        <v>#N/A</v>
      </c>
      <c r="F26" s="106" t="e">
        <f>IF(VLOOKUP($A26&amp;F$1,単価1号[],認こ1号単価!$I$1,FALSE)*加算率b&gt;=10,
ROUNDDOWN(VLOOKUP($A26&amp;F$1,単価1号[],認こ1号単価!$I$1,FALSE)*加算率b,-1),
ROUNDDOWN(VLOOKUP($A26&amp;F$1,単価1号[],認こ1号単価!$I$1,FALSE)*加算率b,0))*$C26</f>
        <v>#N/A</v>
      </c>
      <c r="G26" s="106" t="e">
        <f>IF(VLOOKUP($A26&amp;G$1,単価1号[],認こ1号単価!$I$1,FALSE)*加算率b&gt;=10,
ROUNDDOWN(VLOOKUP($A26&amp;G$1,単価1号[],認こ1号単価!$I$1,FALSE)*加算率b,-1),
ROUNDDOWN(VLOOKUP($A26&amp;G$1,単価1号[],認こ1号単価!$I$1,FALSE)*加算率b,0))*$C26</f>
        <v>#N/A</v>
      </c>
    </row>
    <row r="27" spans="1:7">
      <c r="A27" s="118" t="e">
        <f t="shared" si="1"/>
        <v>#N/A</v>
      </c>
      <c r="B27" s="98" t="str">
        <f t="shared" si="1"/>
        <v>学級編成調整加配加算単価</v>
      </c>
      <c r="C27" s="101">
        <f t="shared" si="1"/>
        <v>0</v>
      </c>
      <c r="D27" s="106" t="e">
        <f>ROUNDDOWN(VLOOKUP($A27&amp;D$1,単価1号[],認こ1号単価!$J$1,FALSE)*(加算率b+VLOOKUP($A27&amp;D$1,単価1号[],認こ1号単価!$K$1,FALSE)),-1)*$C27</f>
        <v>#N/A</v>
      </c>
      <c r="E27" s="106" t="e">
        <f>ROUNDDOWN(VLOOKUP($A27&amp;E$1,単価1号[],認こ1号単価!$J$1,FALSE)*(加算率b+VLOOKUP($A27&amp;E$1,単価1号[],認こ1号単価!$K$1,FALSE)),-1)*$C27</f>
        <v>#N/A</v>
      </c>
      <c r="F27" s="106" t="e">
        <f>ROUNDDOWN(VLOOKUP($A27&amp;F$1,単価1号[],認こ1号単価!$J$1,FALSE)*(加算率b+VLOOKUP($A27&amp;F$1,単価1号[],認こ1号単価!$K$1,FALSE)),-1)*$C27</f>
        <v>#N/A</v>
      </c>
      <c r="G27" s="106" t="e">
        <f>ROUNDDOWN(VLOOKUP($A27&amp;G$1,単価1号[],認こ1号単価!$J$1,FALSE)*(加算率b+VLOOKUP($A27&amp;G$1,単価1号[],認こ1号単価!$K$1,FALSE)),-1)*$C27</f>
        <v>#N/A</v>
      </c>
    </row>
    <row r="28" spans="1:7">
      <c r="A28" s="118" t="e">
        <f t="shared" si="1"/>
        <v>#N/A</v>
      </c>
      <c r="B28" s="98" t="str">
        <f t="shared" si="1"/>
        <v>3歳児配置改善加算単価</v>
      </c>
      <c r="C28" s="101">
        <f t="shared" si="1"/>
        <v>0</v>
      </c>
      <c r="D28" s="109" t="e">
        <f>ROUNDDOWN(VLOOKUP($A28&amp;D$1,単価1号[],認こ1号単価!$L$1,FALSE)*(加算率b+VLOOKUP($A28&amp;D$1,単価1号[],認こ1号単価!$M$1,FALSE)),-1)*$C28</f>
        <v>#N/A</v>
      </c>
      <c r="E28" s="109" t="e">
        <f>ROUNDDOWN(VLOOKUP($A28&amp;E$1,単価1号[],認こ1号単価!$L$1,FALSE)*(加算率b+VLOOKUP($A28&amp;E$1,単価1号[],認こ1号単価!$M$1,FALSE)),-1)*$C28</f>
        <v>#N/A</v>
      </c>
      <c r="F28" s="110"/>
      <c r="G28" s="110"/>
    </row>
    <row r="29" spans="1:7">
      <c r="A29" s="118" t="e">
        <f t="shared" si="1"/>
        <v>#N/A</v>
      </c>
      <c r="B29" s="98" t="str">
        <f t="shared" si="1"/>
        <v>4歳以上児配置改善加算単価</v>
      </c>
      <c r="C29" s="101">
        <f t="shared" si="1"/>
        <v>0</v>
      </c>
      <c r="D29" s="107"/>
      <c r="E29" s="107"/>
      <c r="F29" s="109" t="e">
        <f>ROUNDDOWN(VLOOKUP($A29&amp;F$1,単価1号[],認こ1号単価!$N$1,FALSE)*(加算率b+VLOOKUP($A29&amp;F$1,単価1号[],認こ1号単価!$O$1,FALSE)),-1)*$C29</f>
        <v>#N/A</v>
      </c>
      <c r="G29" s="109" t="e">
        <f>ROUNDDOWN(VLOOKUP($A29&amp;G$1,単価1号[],認こ1号単価!$N$1,FALSE)*(加算率b+VLOOKUP($A29&amp;G$1,単価1号[],認こ1号単価!$O$1,FALSE)),-1)*$C29</f>
        <v>#N/A</v>
      </c>
    </row>
    <row r="30" spans="1:7">
      <c r="A30" s="118" t="e">
        <f t="shared" si="1"/>
        <v>#N/A</v>
      </c>
      <c r="B30" s="98" t="str">
        <f t="shared" si="1"/>
        <v>満３歳児対応加配加算単価</v>
      </c>
      <c r="C30" s="101">
        <f t="shared" si="1"/>
        <v>0</v>
      </c>
      <c r="D30" s="109" t="e">
        <f>ROUNDDOWN(IF(C28=0,VLOOKUP($A30&amp;D$1,単価1号[],認こ1号単価!$P$1,FALSE),VLOOKUP($A30&amp;D$1,単価1号[],認こ1号単価!$R$1,FALSE))*(加算率b+IF(C28=0,VLOOKUP($A30&amp;D$1,単価1号[],認こ1号単価!$Q$1,FALSE),VLOOKUP($A30&amp;D$1,単価1号[],認こ1号単価!$S$1,FALSE))),-1)*$C30</f>
        <v>#N/A</v>
      </c>
      <c r="E30" s="107"/>
      <c r="F30" s="110"/>
      <c r="G30" s="110"/>
    </row>
    <row r="31" spans="1:7">
      <c r="A31" s="118" t="e">
        <f t="shared" si="1"/>
        <v>#N/A</v>
      </c>
      <c r="B31" s="98" t="str">
        <f t="shared" si="1"/>
        <v>講師配置加算単価</v>
      </c>
      <c r="C31" s="101">
        <f t="shared" si="1"/>
        <v>0</v>
      </c>
      <c r="D31" s="109" t="e">
        <f>IF(VLOOKUP($A31&amp;D$1,単価1号[],認こ1号単価!$T$1,FALSE)*(加算率b+VLOOKUP($A31&amp;D$1,単価1号[],認こ1号単価!$U$1,FALSE))&gt;=10,
ROUNDDOWN(VLOOKUP($A31&amp;D$1,単価1号[],認こ1号単価!$T$1,FALSE)*(加算率b+VLOOKUP($A31&amp;D$1,単価1号[],認こ1号単価!$U$1,FALSE)),-1),
ROUNDDOWN(VLOOKUP($A31&amp;D$1,単価1号[],認こ1号単価!$T$1,FALSE)*(加算率b+VLOOKUP($A31&amp;D$1,単価1号[],認こ1号単価!$U$1,FALSE)),0))*$C31</f>
        <v>#N/A</v>
      </c>
      <c r="E31" s="109" t="e">
        <f>IF(VLOOKUP($A31&amp;E$1,単価1号[],認こ1号単価!$T$1,FALSE)*(加算率b+VLOOKUP($A31&amp;E$1,単価1号[],認こ1号単価!$U$1,FALSE))&gt;=10,
ROUNDDOWN(VLOOKUP($A31&amp;E$1,単価1号[],認こ1号単価!$T$1,FALSE)*(加算率b+VLOOKUP($A31&amp;E$1,単価1号[],認こ1号単価!$U$1,FALSE)),-1),
ROUNDDOWN(VLOOKUP($A31&amp;E$1,単価1号[],認こ1号単価!$T$1,FALSE)*(加算率b+VLOOKUP($A31&amp;E$1,単価1号[],認こ1号単価!$U$1,FALSE)),0))*$C31</f>
        <v>#N/A</v>
      </c>
      <c r="F31" s="109" t="e">
        <f>IF(VLOOKUP($A31&amp;F$1,単価1号[],認こ1号単価!$T$1,FALSE)*(加算率b+VLOOKUP($A31&amp;F$1,単価1号[],認こ1号単価!$U$1,FALSE))&gt;=10,
ROUNDDOWN(VLOOKUP($A31&amp;F$1,単価1号[],認こ1号単価!$T$1,FALSE)*(加算率b+VLOOKUP($A31&amp;F$1,単価1号[],認こ1号単価!$U$1,FALSE)),-1),
ROUNDDOWN(VLOOKUP($A31&amp;F$1,単価1号[],認こ1号単価!$T$1,FALSE)*(加算率b+VLOOKUP($A31&amp;F$1,単価1号[],認こ1号単価!$U$1,FALSE)),0))*$C31</f>
        <v>#N/A</v>
      </c>
      <c r="G31" s="109" t="e">
        <f>IF(VLOOKUP($A31&amp;G$1,単価1号[],認こ1号単価!$T$1,FALSE)*(加算率b+VLOOKUP($A31&amp;G$1,単価1号[],認こ1号単価!$U$1,FALSE))&gt;=10,
ROUNDDOWN(VLOOKUP($A31&amp;G$1,単価1号[],認こ1号単価!$T$1,FALSE)*(加算率b+VLOOKUP($A31&amp;G$1,単価1号[],認こ1号単価!$U$1,FALSE)),-1),
ROUNDDOWN(VLOOKUP($A31&amp;G$1,単価1号[],認こ1号単価!$T$1,FALSE)*(加算率b+VLOOKUP($A31&amp;G$1,単価1号[],認こ1号単価!$U$1,FALSE)),0))*$C31</f>
        <v>#N/A</v>
      </c>
    </row>
    <row r="32" spans="1:7">
      <c r="A32" s="118" t="e">
        <f t="shared" si="1"/>
        <v>#N/A</v>
      </c>
      <c r="B32" s="98" t="str">
        <f t="shared" si="1"/>
        <v>チーム保育加配加算単価</v>
      </c>
      <c r="C32" s="101">
        <f t="shared" si="1"/>
        <v>0</v>
      </c>
      <c r="D32" s="109" t="e">
        <f>ROUNDDOWN(VLOOKUP($A32&amp;D$1,単価1号[],認こ1号単価!$AE$1,FALSE)*(加算率b+VLOOKUP($A32&amp;D$1,単価1号[],認こ1号単価!$AF$1,FALSE)),-1)*$C32</f>
        <v>#N/A</v>
      </c>
      <c r="E32" s="109" t="e">
        <f>ROUNDDOWN(VLOOKUP($A32&amp;E$1,単価1号[],認こ1号単価!$AE$1,FALSE)*(加算率b+VLOOKUP($A32&amp;E$1,単価1号[],認こ1号単価!$AF$1,FALSE)),-1)*$C32</f>
        <v>#N/A</v>
      </c>
      <c r="F32" s="109" t="e">
        <f>ROUNDDOWN(VLOOKUP($A32&amp;F$1,単価1号[],認こ1号単価!$AE$1,FALSE)*(加算率b+VLOOKUP($A32&amp;F$1,単価1号[],認こ1号単価!$AF$1,FALSE)),-1)*$C32</f>
        <v>#N/A</v>
      </c>
      <c r="G32" s="109" t="e">
        <f>ROUNDDOWN(VLOOKUP($A32&amp;G$1,単価1号[],認こ1号単価!$AE$1,FALSE)*(加算率b+VLOOKUP($A32&amp;G$1,単価1号[],認こ1号単価!$AF$1,FALSE)),-1)*$C32</f>
        <v>#N/A</v>
      </c>
    </row>
    <row r="33" spans="1:7">
      <c r="A33" s="118" t="e">
        <f t="shared" si="1"/>
        <v>#N/A</v>
      </c>
      <c r="B33" s="98" t="str">
        <f t="shared" si="1"/>
        <v>通園送迎費加算単価</v>
      </c>
      <c r="C33" s="101">
        <f t="shared" si="1"/>
        <v>0</v>
      </c>
      <c r="D33" s="109" t="e">
        <f>IF(VLOOKUP($A33&amp;D$1,単価1号[],認こ1号単価!$V$1,FALSE)*(加算率b+VLOOKUP($A33&amp;D$1,単価1号[],認こ1号単価!$W$1,FALSE))&gt;=10,
ROUNDDOWN(VLOOKUP($A33&amp;D$1,単価1号[],認こ1号単価!$V$1,FALSE)*(加算率b+VLOOKUP($A33&amp;D$1,単価1号[],認こ1号単価!$W$1,FALSE)),-1),
ROUNDDOWN(VLOOKUP($A33&amp;D$1,単価1号[],認こ1号単価!$V$1,FALSE)*(加算率b+VLOOKUP($A33&amp;D$1,単価1号[],認こ1号単価!$W$1,FALSE)),0))*$C33</f>
        <v>#N/A</v>
      </c>
      <c r="E33" s="109" t="e">
        <f>IF(VLOOKUP($A33&amp;E$1,単価1号[],認こ1号単価!$V$1,FALSE)*(加算率b+VLOOKUP($A33&amp;E$1,単価1号[],認こ1号単価!$W$1,FALSE))&gt;=10,
ROUNDDOWN(VLOOKUP($A33&amp;E$1,単価1号[],認こ1号単価!$V$1,FALSE)*(加算率b+VLOOKUP($A33&amp;E$1,単価1号[],認こ1号単価!$W$1,FALSE)),-1),
ROUNDDOWN(VLOOKUP($A33&amp;E$1,単価1号[],認こ1号単価!$V$1,FALSE)*(加算率b+VLOOKUP($A33&amp;E$1,単価1号[],認こ1号単価!$W$1,FALSE)),0))*$C33</f>
        <v>#N/A</v>
      </c>
      <c r="F33" s="109" t="e">
        <f>IF(VLOOKUP($A33&amp;F$1,単価1号[],認こ1号単価!$V$1,FALSE)*(加算率b+VLOOKUP($A33&amp;F$1,単価1号[],認こ1号単価!$W$1,FALSE))&gt;=10,
ROUNDDOWN(VLOOKUP($A33&amp;F$1,単価1号[],認こ1号単価!$V$1,FALSE)*(加算率b+VLOOKUP($A33&amp;F$1,単価1号[],認こ1号単価!$W$1,FALSE)),-1),
ROUNDDOWN(VLOOKUP($A33&amp;F$1,単価1号[],認こ1号単価!$V$1,FALSE)*(加算率b+VLOOKUP($A33&amp;F$1,単価1号[],認こ1号単価!$W$1,FALSE)),0))*$C33</f>
        <v>#N/A</v>
      </c>
      <c r="G33" s="109" t="e">
        <f>IF(VLOOKUP($A33&amp;G$1,単価1号[],認こ1号単価!$V$1,FALSE)*(加算率b+VLOOKUP($A33&amp;G$1,単価1号[],認こ1号単価!$W$1,FALSE))&gt;=10,
ROUNDDOWN(VLOOKUP($A33&amp;G$1,単価1号[],認こ1号単価!$V$1,FALSE)*(加算率b+VLOOKUP($A33&amp;G$1,単価1号[],認こ1号単価!$W$1,FALSE)),-1),
ROUNDDOWN(VLOOKUP($A33&amp;G$1,単価1号[],認こ1号単価!$V$1,FALSE)*(加算率b+VLOOKUP($A33&amp;G$1,単価1号[],認こ1号単価!$W$1,FALSE)),0))*$C33</f>
        <v>#N/A</v>
      </c>
    </row>
    <row r="34" spans="1:7">
      <c r="A34" s="118" t="e">
        <f t="shared" si="1"/>
        <v>#N/A</v>
      </c>
      <c r="B34" s="98" t="str">
        <f t="shared" si="1"/>
        <v>給食実施加算単価（自園調理）</v>
      </c>
      <c r="C34" s="101">
        <f t="shared" si="1"/>
        <v>0</v>
      </c>
      <c r="D34" s="109" t="e">
        <f>IF(VLOOKUP($A34&amp;D$1,単価1号[],認こ1号単価!$X$1,FALSE)*$C34*加算率b+VLOOKUP($A34&amp;D$1,単価1号[],認こ1号単価!$X$1,FALSE)*VLOOKUP($A34&amp;D$1,単価1号[],認こ1号単価!$Y$1,FALSE)&gt;=10,
ROUNDDOWN(VLOOKUP($A34&amp;D$1,単価1号[],認こ1号単価!$X$1,FALSE)*$C34*加算率b+VLOOKUP($A34&amp;D$1,単価1号[],認こ1号単価!$X$1,FALSE)*VLOOKUP($A34&amp;D$1,単価1号[],認こ1号単価!$Y$1,FALSE),-1),
ROUNDDOWN(VLOOKUP($A34&amp;D$1,単価1号[],認こ1号単価!$X$1,FALSE)*$C34*加算率b+VLOOKUP($A34&amp;D$1,単価1号[],認こ1号単価!$X$1,FALSE)*VLOOKUP($A34&amp;D$1,単価1号[],認こ1号単価!$Y$1,FALSE),0))*IF($C34=0,0,1)</f>
        <v>#N/A</v>
      </c>
      <c r="E34" s="109" t="e">
        <f>IF(VLOOKUP($A34&amp;E$1,単価1号[],認こ1号単価!$X$1,FALSE)*$C34*加算率b+VLOOKUP($A34&amp;E$1,単価1号[],認こ1号単価!$X$1,FALSE)*VLOOKUP($A34&amp;E$1,単価1号[],認こ1号単価!$Y$1,FALSE)&gt;=10,
ROUNDDOWN(VLOOKUP($A34&amp;E$1,単価1号[],認こ1号単価!$X$1,FALSE)*$C34*加算率b+VLOOKUP($A34&amp;E$1,単価1号[],認こ1号単価!$X$1,FALSE)*VLOOKUP($A34&amp;E$1,単価1号[],認こ1号単価!$Y$1,FALSE),-1),
ROUNDDOWN(VLOOKUP($A34&amp;E$1,単価1号[],認こ1号単価!$X$1,FALSE)*$C34*加算率b+VLOOKUP($A34&amp;E$1,単価1号[],認こ1号単価!$X$1,FALSE)*VLOOKUP($A34&amp;E$1,単価1号[],認こ1号単価!$Y$1,FALSE),0))*IF($C34=0,0,1)</f>
        <v>#N/A</v>
      </c>
      <c r="F34" s="109" t="e">
        <f>IF(VLOOKUP($A34&amp;F$1,単価1号[],認こ1号単価!$X$1,FALSE)*$C34*加算率b+VLOOKUP($A34&amp;F$1,単価1号[],認こ1号単価!$X$1,FALSE)*VLOOKUP($A34&amp;F$1,単価1号[],認こ1号単価!$Y$1,FALSE)&gt;=10,
ROUNDDOWN(VLOOKUP($A34&amp;F$1,単価1号[],認こ1号単価!$X$1,FALSE)*$C34*加算率b+VLOOKUP($A34&amp;F$1,単価1号[],認こ1号単価!$X$1,FALSE)*VLOOKUP($A34&amp;F$1,単価1号[],認こ1号単価!$Y$1,FALSE),-1),
ROUNDDOWN(VLOOKUP($A34&amp;F$1,単価1号[],認こ1号単価!$X$1,FALSE)*$C34*加算率b+VLOOKUP($A34&amp;F$1,単価1号[],認こ1号単価!$X$1,FALSE)*VLOOKUP($A34&amp;F$1,単価1号[],認こ1号単価!$Y$1,FALSE),0))*IF($C34=0,0,1)</f>
        <v>#N/A</v>
      </c>
      <c r="G34" s="109" t="e">
        <f>IF(VLOOKUP($A34&amp;G$1,単価1号[],認こ1号単価!$X$1,FALSE)*$C34*加算率b+VLOOKUP($A34&amp;G$1,単価1号[],認こ1号単価!$X$1,FALSE)*VLOOKUP($A34&amp;G$1,単価1号[],認こ1号単価!$Y$1,FALSE)&gt;=10,
ROUNDDOWN(VLOOKUP($A34&amp;G$1,単価1号[],認こ1号単価!$X$1,FALSE)*$C34*加算率b+VLOOKUP($A34&amp;G$1,単価1号[],認こ1号単価!$X$1,FALSE)*VLOOKUP($A34&amp;G$1,単価1号[],認こ1号単価!$Y$1,FALSE),-1),
ROUNDDOWN(VLOOKUP($A34&amp;G$1,単価1号[],認こ1号単価!$X$1,FALSE)*$C34*加算率b+VLOOKUP($A34&amp;G$1,単価1号[],認こ1号単価!$X$1,FALSE)*VLOOKUP($A34&amp;G$1,単価1号[],認こ1号単価!$Y$1,FALSE),0))*IF($C34=0,0,1)</f>
        <v>#N/A</v>
      </c>
    </row>
    <row r="35" spans="1:7">
      <c r="A35" s="118" t="e">
        <f t="shared" si="1"/>
        <v>#N/A</v>
      </c>
      <c r="B35" s="98" t="str">
        <f t="shared" si="1"/>
        <v>給食実施加算単価（外部搬入）</v>
      </c>
      <c r="C35" s="101">
        <f t="shared" si="1"/>
        <v>0</v>
      </c>
      <c r="D35" s="109" t="e">
        <f>IF(VLOOKUP($A35&amp;D$1,単価1号[],認こ1号単価!$Z$1,FALSE)*$C35*加算率b+VLOOKUP($A35&amp;D$1,単価1号[],認こ1号単価!$Z$1,FALSE)*VLOOKUP($A35&amp;D$1,単価1号[],認こ1号単価!$AA$1,FALSE)&gt;=10,
ROUNDDOWN(VLOOKUP($A35&amp;D$1,単価1号[],認こ1号単価!$Z$1,FALSE)*$C35*加算率b+VLOOKUP($A35&amp;D$1,単価1号[],認こ1号単価!$Z$1,FALSE)*VLOOKUP($A35&amp;D$1,単価1号[],認こ1号単価!$AA$1,FALSE),-1),
ROUNDDOWN(VLOOKUP($A35&amp;D$1,単価1号[],認こ1号単価!$Z$1,FALSE)*$C35*加算率b+VLOOKUP($A35&amp;D$1,単価1号[],認こ1号単価!$Z$1,FALSE)*VLOOKUP($A35&amp;D$1,単価1号[],認こ1号単価!$AA$1,FALSE),0))*IF($C35=0,0,1)</f>
        <v>#N/A</v>
      </c>
      <c r="E35" s="109" t="e">
        <f>IF(VLOOKUP($A35&amp;E$1,単価1号[],認こ1号単価!$Z$1,FALSE)*$C35*加算率b+VLOOKUP($A35&amp;E$1,単価1号[],認こ1号単価!$Z$1,FALSE)*VLOOKUP($A35&amp;E$1,単価1号[],認こ1号単価!$AA$1,FALSE)&gt;=10,
ROUNDDOWN(VLOOKUP($A35&amp;E$1,単価1号[],認こ1号単価!$Z$1,FALSE)*$C35*加算率b+VLOOKUP($A35&amp;E$1,単価1号[],認こ1号単価!$Z$1,FALSE)*VLOOKUP($A35&amp;E$1,単価1号[],認こ1号単価!$AA$1,FALSE),-1),
ROUNDDOWN(VLOOKUP($A35&amp;E$1,単価1号[],認こ1号単価!$Z$1,FALSE)*$C35*加算率b+VLOOKUP($A35&amp;E$1,単価1号[],認こ1号単価!$Z$1,FALSE)*VLOOKUP($A35&amp;E$1,単価1号[],認こ1号単価!$AA$1,FALSE),0))*IF($C35=0,0,1)</f>
        <v>#N/A</v>
      </c>
      <c r="F35" s="109" t="e">
        <f>IF(VLOOKUP($A35&amp;F$1,単価1号[],認こ1号単価!$Z$1,FALSE)*$C35*加算率b+VLOOKUP($A35&amp;F$1,単価1号[],認こ1号単価!$Z$1,FALSE)*VLOOKUP($A35&amp;F$1,単価1号[],認こ1号単価!$AA$1,FALSE)&gt;=10,
ROUNDDOWN(VLOOKUP($A35&amp;F$1,単価1号[],認こ1号単価!$Z$1,FALSE)*$C35*加算率b+VLOOKUP($A35&amp;F$1,単価1号[],認こ1号単価!$Z$1,FALSE)*VLOOKUP($A35&amp;F$1,単価1号[],認こ1号単価!$AA$1,FALSE),-1),
ROUNDDOWN(VLOOKUP($A35&amp;F$1,単価1号[],認こ1号単価!$Z$1,FALSE)*$C35*加算率b+VLOOKUP($A35&amp;F$1,単価1号[],認こ1号単価!$Z$1,FALSE)*VLOOKUP($A35&amp;F$1,単価1号[],認こ1号単価!$AA$1,FALSE),0))*IF($C35=0,0,1)</f>
        <v>#N/A</v>
      </c>
      <c r="G35" s="109" t="e">
        <f>IF(VLOOKUP($A35&amp;G$1,単価1号[],認こ1号単価!$Z$1,FALSE)*$C35*加算率b+VLOOKUP($A35&amp;G$1,単価1号[],認こ1号単価!$Z$1,FALSE)*VLOOKUP($A35&amp;G$1,単価1号[],認こ1号単価!$AA$1,FALSE)&gt;=10,
ROUNDDOWN(VLOOKUP($A35&amp;G$1,単価1号[],認こ1号単価!$Z$1,FALSE)*$C35*加算率b+VLOOKUP($A35&amp;G$1,単価1号[],認こ1号単価!$Z$1,FALSE)*VLOOKUP($A35&amp;G$1,単価1号[],認こ1号単価!$AA$1,FALSE),-1),
ROUNDDOWN(VLOOKUP($A35&amp;G$1,単価1号[],認こ1号単価!$Z$1,FALSE)*$C35*加算率b+VLOOKUP($A35&amp;G$1,単価1号[],認こ1号単価!$Z$1,FALSE)*VLOOKUP($A35&amp;G$1,単価1号[],認こ1号単価!$AA$1,FALSE),0))*IF($C35=0,0,1)</f>
        <v>#N/A</v>
      </c>
    </row>
    <row r="36" spans="1:7">
      <c r="A36" s="118" t="e">
        <f t="shared" si="1"/>
        <v>#N/A</v>
      </c>
      <c r="B36" s="98" t="str">
        <f t="shared" si="1"/>
        <v>主幹教諭等専任化なしの調整</v>
      </c>
      <c r="C36" s="101">
        <f t="shared" si="1"/>
        <v>0</v>
      </c>
      <c r="D36" s="109" t="e">
        <f>IF(VLOOKUP($A36&amp;D$1,単価1号[],認こ1号単価!$AB$1,FALSE)*(加算率b+VLOOKUP($A36&amp;D$1,単価1号[],認こ1号単価!$AC$1,FALSE))&gt;=10,
ROUNDDOWN(VLOOKUP($A36&amp;D$1,単価1号[],認こ1号単価!$AB$1,FALSE)*(加算率b+VLOOKUP($A36&amp;D$1,単価1号[],認こ1号単価!$AC$1,FALSE)),-1),
ROUNDDOWN(VLOOKUP($A36&amp;D$1,単価1号[],認こ1号単価!$AB$1,FALSE)*(加算率b+VLOOKUP($A36&amp;D$1,単価1号[],認こ1号単価!$AC$1,FALSE)),0))*-1*$C36</f>
        <v>#N/A</v>
      </c>
      <c r="E36" s="109" t="e">
        <f>IF(VLOOKUP($A36&amp;E$1,単価1号[],認こ1号単価!$AB$1,FALSE)*(加算率b+VLOOKUP($A36&amp;E$1,単価1号[],認こ1号単価!$AC$1,FALSE))&gt;=10,
ROUNDDOWN(VLOOKUP($A36&amp;E$1,単価1号[],認こ1号単価!$AB$1,FALSE)*(加算率b+VLOOKUP($A36&amp;E$1,単価1号[],認こ1号単価!$AC$1,FALSE)),-1),
ROUNDDOWN(VLOOKUP($A36&amp;E$1,単価1号[],認こ1号単価!$AB$1,FALSE)*(加算率b+VLOOKUP($A36&amp;E$1,単価1号[],認こ1号単価!$AC$1,FALSE)),0))*-1*$C36</f>
        <v>#N/A</v>
      </c>
      <c r="F36" s="109" t="e">
        <f>IF(VLOOKUP($A36&amp;F$1,単価1号[],認こ1号単価!$AB$1,FALSE)*(加算率b+VLOOKUP($A36&amp;F$1,単価1号[],認こ1号単価!$AC$1,FALSE))&gt;=10,
ROUNDDOWN(VLOOKUP($A36&amp;F$1,単価1号[],認こ1号単価!$AB$1,FALSE)*(加算率b+VLOOKUP($A36&amp;F$1,単価1号[],認こ1号単価!$AC$1,FALSE)),-1),
ROUNDDOWN(VLOOKUP($A36&amp;F$1,単価1号[],認こ1号単価!$AB$1,FALSE)*(加算率b+VLOOKUP($A36&amp;F$1,単価1号[],認こ1号単価!$AC$1,FALSE)),0))*-1*$C36</f>
        <v>#N/A</v>
      </c>
      <c r="G36" s="109" t="e">
        <f>IF(VLOOKUP($A36&amp;G$1,単価1号[],認こ1号単価!$AB$1,FALSE)*(加算率b+VLOOKUP($A36&amp;G$1,単価1号[],認こ1号単価!$AC$1,FALSE))&gt;=10,
ROUNDDOWN(VLOOKUP($A36&amp;G$1,単価1号[],認こ1号単価!$AB$1,FALSE)*(加算率b+VLOOKUP($A36&amp;G$1,単価1号[],認こ1号単価!$AC$1,FALSE)),-1),
ROUNDDOWN(VLOOKUP($A36&amp;G$1,単価1号[],認こ1号単価!$AB$1,FALSE)*(加算率b+VLOOKUP($A36&amp;G$1,単価1号[],認こ1号単価!$AC$1,FALSE)),0))*-1*$C36</f>
        <v>#N/A</v>
      </c>
    </row>
    <row r="37" spans="1:7">
      <c r="A37" s="118">
        <f t="shared" si="1"/>
        <v>1</v>
      </c>
      <c r="B37" s="98" t="str">
        <f t="shared" si="1"/>
        <v>療育支援加算単価</v>
      </c>
      <c r="C37" s="101">
        <f t="shared" si="1"/>
        <v>0</v>
      </c>
      <c r="D37" s="109" t="e">
        <f>IF(VLOOKUP($A37,療育支援1号[],認こ1号単価!$AJ$1,FALSE)*(加算率b+VLOOKUP($A37,療育支援1号[],認こ1号単価!$AK$1,FALSE))/'2_区分12加算額計算表'!$D$17&gt;=10,
ROUNDDOWN(VLOOKUP($A37,療育支援1号[],認こ1号単価!$AJ$1,FALSE)*(加算率b+VLOOKUP($A37,療育支援1号[],認こ1号単価!$AK$1,FALSE))/'2_区分12加算額計算表'!$D$17,-1),
ROUNDDOWN(VLOOKUP($A37,療育支援1号[],認こ1号単価!$AJ$1,FALSE)*(加算率b+VLOOKUP($A37,療育支援1号[],認こ1号単価!$AK$1,FALSE))/'2_区分12加算額計算表'!$D$17,0))*$C37</f>
        <v>#N/A</v>
      </c>
      <c r="E37" s="109" t="e">
        <f>IF(VLOOKUP($A37,療育支援1号[],認こ1号単価!$AJ$1,FALSE)*(加算率b+VLOOKUP($A37,療育支援1号[],認こ1号単価!$AK$1,FALSE))/'2_区分12加算額計算表'!$D$17&gt;=10,
ROUNDDOWN(VLOOKUP($A37,療育支援1号[],認こ1号単価!$AJ$1,FALSE)*(加算率b+VLOOKUP($A37,療育支援1号[],認こ1号単価!$AK$1,FALSE))/'2_区分12加算額計算表'!$D$17,-1),
ROUNDDOWN(VLOOKUP($A37,療育支援1号[],認こ1号単価!$AJ$1,FALSE)*(加算率b+VLOOKUP($A37,療育支援1号[],認こ1号単価!$AK$1,FALSE))/'2_区分12加算額計算表'!$D$17,0))*$C37</f>
        <v>#N/A</v>
      </c>
      <c r="F37" s="109" t="e">
        <f>IF(VLOOKUP($A37,療育支援1号[],認こ1号単価!$AJ$1,FALSE)*(加算率b+VLOOKUP($A37,療育支援1号[],認こ1号単価!$AK$1,FALSE))/'2_区分12加算額計算表'!$D$17&gt;=10,
ROUNDDOWN(VLOOKUP($A37,療育支援1号[],認こ1号単価!$AJ$1,FALSE)*(加算率b+VLOOKUP($A37,療育支援1号[],認こ1号単価!$AK$1,FALSE))/'2_区分12加算額計算表'!$D$17,-1),
ROUNDDOWN(VLOOKUP($A37,療育支援1号[],認こ1号単価!$AJ$1,FALSE)*(加算率b+VLOOKUP($A37,療育支援1号[],認こ1号単価!$AK$1,FALSE))/'2_区分12加算額計算表'!$D$17,0))*$C37</f>
        <v>#N/A</v>
      </c>
      <c r="G37" s="109" t="e">
        <f>IF(VLOOKUP($A37,療育支援1号[],認こ1号単価!$AJ$1,FALSE)*(加算率b+VLOOKUP($A37,療育支援1号[],認こ1号単価!$AK$1,FALSE))/'2_区分12加算額計算表'!$D$17&gt;=10,
ROUNDDOWN(VLOOKUP($A37,療育支援1号[],認こ1号単価!$AJ$1,FALSE)*(加算率b+VLOOKUP($A37,療育支援1号[],認こ1号単価!$AK$1,FALSE))/'2_区分12加算額計算表'!$D$17,-1),
ROUNDDOWN(VLOOKUP($A37,療育支援1号[],認こ1号単価!$AJ$1,FALSE)*(加算率b+VLOOKUP($A37,療育支援1号[],認こ1号単価!$AK$1,FALSE))/'2_区分12加算額計算表'!$D$17,0))*$C37</f>
        <v>#N/A</v>
      </c>
    </row>
    <row r="38" spans="1:7">
      <c r="A38" s="118">
        <f t="shared" si="1"/>
        <v>0</v>
      </c>
      <c r="B38" s="99" t="str">
        <f t="shared" si="1"/>
        <v>事務職員配置加算単価</v>
      </c>
      <c r="C38" s="102">
        <f t="shared" si="1"/>
        <v>0</v>
      </c>
      <c r="D38" s="109" t="e">
        <f>IF(認こ1号単価!$AJ$15*(加算率b+認こ1号単価!$AK$15)/'2_区分12加算額計算表'!$D$17&gt;=10,
ROUNDDOWN(認こ1号単価!$AJ$15*(加算率b+認こ1号単価!$AK$15)/'2_区分12加算額計算表'!$D$17,-1),
ROUNDDOWN(認こ1号単価!$AJ$15*(加算率b+認こ1号単価!$AK$15)/'2_区分12加算額計算表'!$D$17,0))*$C38</f>
        <v>#N/A</v>
      </c>
      <c r="E38" s="109" t="e">
        <f>IF(認こ1号単価!$AJ$15*(加算率b+認こ1号単価!$AK$15)/'2_区分12加算額計算表'!$D$17&gt;=10,
ROUNDDOWN(認こ1号単価!$AJ$15*(加算率b+認こ1号単価!$AK$15)/'2_区分12加算額計算表'!$D$17,-1),
ROUNDDOWN(認こ1号単価!$AJ$15*(加算率b+認こ1号単価!$AK$15)/'2_区分12加算額計算表'!$D$17,0))*$C38</f>
        <v>#N/A</v>
      </c>
      <c r="F38" s="109" t="e">
        <f>IF(認こ1号単価!$AJ$15*(加算率b+認こ1号単価!$AK$15)/'2_区分12加算額計算表'!$D$17&gt;=10,
ROUNDDOWN(認こ1号単価!$AJ$15*(加算率b+認こ1号単価!$AK$15)/'2_区分12加算額計算表'!$D$17,-1),
ROUNDDOWN(認こ1号単価!$AJ$15*(加算率b+認こ1号単価!$AK$15)/'2_区分12加算額計算表'!$D$17,0))*$C38</f>
        <v>#N/A</v>
      </c>
      <c r="G38" s="109" t="e">
        <f>IF(認こ1号単価!$AJ$15*(加算率b+認こ1号単価!$AK$15)/'2_区分12加算額計算表'!$D$17&gt;=10,
ROUNDDOWN(認こ1号単価!$AJ$15*(加算率b+認こ1号単価!$AK$15)/'2_区分12加算額計算表'!$D$17,-1),
ROUNDDOWN(認こ1号単価!$AJ$15*(加算率b+認こ1号単価!$AK$15)/'2_区分12加算額計算表'!$D$17,0))*$C38</f>
        <v>#N/A</v>
      </c>
    </row>
    <row r="39" spans="1:7">
      <c r="A39" s="118">
        <f t="shared" si="1"/>
        <v>0</v>
      </c>
      <c r="B39" s="99" t="str">
        <f t="shared" si="1"/>
        <v>指導充実加配加算単価</v>
      </c>
      <c r="C39" s="102">
        <f t="shared" si="1"/>
        <v>0</v>
      </c>
      <c r="D39" s="109" t="e">
        <f>IF(認こ1号単価!$AJ$16*(加算率b+認こ1号単価!$AK$16)/'2_区分12加算額計算表'!$D$17&gt;=10,
ROUNDDOWN(認こ1号単価!$AJ$16*(加算率b+認こ1号単価!$AK$16)/'2_区分12加算額計算表'!$D$17,-1),
ROUNDDOWN(認こ1号単価!$AJ$16*(加算率b+認こ1号単価!$AK$16)/'2_区分12加算額計算表'!$D$17,0))*$C39</f>
        <v>#N/A</v>
      </c>
      <c r="E39" s="109" t="e">
        <f>IF(認こ1号単価!$AJ$16*(加算率b+認こ1号単価!$AK$16)/'2_区分12加算額計算表'!$D$17&gt;=10,
ROUNDDOWN(認こ1号単価!$AJ$16*(加算率b+認こ1号単価!$AK$16)/'2_区分12加算額計算表'!$D$17,-1),
ROUNDDOWN(認こ1号単価!$AJ$16*(加算率b+認こ1号単価!$AK$16)/'2_区分12加算額計算表'!$D$17,0))*$C39</f>
        <v>#N/A</v>
      </c>
      <c r="F39" s="109" t="e">
        <f>IF(認こ1号単価!$AJ$16*(加算率b+認こ1号単価!$AK$16)/'2_区分12加算額計算表'!$D$17&gt;=10,
ROUNDDOWN(認こ1号単価!$AJ$16*(加算率b+認こ1号単価!$AK$16)/'2_区分12加算額計算表'!$D$17,-1),
ROUNDDOWN(認こ1号単価!$AJ$16*(加算率b+認こ1号単価!$AK$16)/'2_区分12加算額計算表'!$D$17,0))*$C39</f>
        <v>#N/A</v>
      </c>
      <c r="G39" s="109" t="e">
        <f>IF(認こ1号単価!$AJ$16*(加算率b+認こ1号単価!$AK$16)/'2_区分12加算額計算表'!$D$17&gt;=10,
ROUNDDOWN(認こ1号単価!$AJ$16*(加算率b+認こ1号単価!$AK$16)/'2_区分12加算額計算表'!$D$17,-1),
ROUNDDOWN(認こ1号単価!$AJ$16*(加算率b+認こ1号単価!$AK$16)/'2_区分12加算額計算表'!$D$17,0))*$C39</f>
        <v>#N/A</v>
      </c>
    </row>
    <row r="40" spans="1:7">
      <c r="A40" s="118">
        <f t="shared" si="1"/>
        <v>0</v>
      </c>
      <c r="B40" s="94" t="str">
        <f t="shared" si="1"/>
        <v>事務負担対応加配加算単価</v>
      </c>
      <c r="C40" s="89">
        <f t="shared" si="1"/>
        <v>0</v>
      </c>
      <c r="D40" s="109" t="e">
        <f>IF(認こ1号単価!$AJ$17*(加算率b+認こ1号単価!$AK$17)/'2_区分12加算額計算表'!$D$17&gt;=10,
ROUNDDOWN(認こ1号単価!$AJ$17*(加算率b+認こ1号単価!$AK$17)/'2_区分12加算額計算表'!$D$17,-1),
ROUNDDOWN(認こ1号単価!$AJ$17*(加算率b+認こ1号単価!$AK$17)/'2_区分12加算額計算表'!$D$17,0))*$C40</f>
        <v>#N/A</v>
      </c>
      <c r="E40" s="109" t="e">
        <f>IF(認こ1号単価!$AJ$17*(加算率b+認こ1号単価!$AK$17)/'2_区分12加算額計算表'!$D$17&gt;=10,
ROUNDDOWN(認こ1号単価!$AJ$17*(加算率b+認こ1号単価!$AK$17)/'2_区分12加算額計算表'!$D$17,-1),
ROUNDDOWN(認こ1号単価!$AJ$17*(加算率b+認こ1号単価!$AK$17)/'2_区分12加算額計算表'!$D$17,0))*$C40</f>
        <v>#N/A</v>
      </c>
      <c r="F40" s="109" t="e">
        <f>IF(認こ1号単価!$AJ$17*(加算率b+認こ1号単価!$AK$17)/'2_区分12加算額計算表'!$D$17&gt;=10,
ROUNDDOWN(認こ1号単価!$AJ$17*(加算率b+認こ1号単価!$AK$17)/'2_区分12加算額計算表'!$D$17,-1),
ROUNDDOWN(認こ1号単価!$AJ$17*(加算率b+認こ1号単価!$AK$17)/'2_区分12加算額計算表'!$D$17,0))*$C40</f>
        <v>#N/A</v>
      </c>
      <c r="G40" s="109" t="e">
        <f>IF(認こ1号単価!$AJ$17*(加算率b+認こ1号単価!$AK$17)/'2_区分12加算額計算表'!$D$17&gt;=10,
ROUNDDOWN(認こ1号単価!$AJ$17*(加算率b+認こ1号単価!$AK$17)/'2_区分12加算額計算表'!$D$17,-1),
ROUNDDOWN(認こ1号単価!$AJ$17*(加算率b+認こ1号単価!$AK$17)/'2_区分12加算額計算表'!$D$17,0))*$C40</f>
        <v>#N/A</v>
      </c>
    </row>
    <row r="41" spans="1:7">
      <c r="B41" s="72" t="str">
        <f>B21</f>
        <v>単価計（②）</v>
      </c>
      <c r="C41" s="74"/>
      <c r="D41" s="122" t="e">
        <f>SUM(D25:D40)</f>
        <v>#N/A</v>
      </c>
      <c r="E41" s="122" t="e">
        <f>SUM(E25:E40)</f>
        <v>#N/A</v>
      </c>
      <c r="F41" s="122" t="e">
        <f>SUM(F25:F40)</f>
        <v>#N/A</v>
      </c>
      <c r="G41" s="122" t="e">
        <f>SUM(G25:G40)</f>
        <v>#N/A</v>
      </c>
    </row>
    <row r="42" spans="1:7">
      <c r="B42" s="72" t="str">
        <f>B22</f>
        <v>月額（①×②）</v>
      </c>
      <c r="C42" s="74"/>
      <c r="D42" s="122" t="e">
        <f>D$4*D41</f>
        <v>#N/A</v>
      </c>
      <c r="E42" s="122" t="e">
        <f>E$4*E41</f>
        <v>#N/A</v>
      </c>
      <c r="F42" s="123" t="e">
        <f>F$4*F41</f>
        <v>#N/A</v>
      </c>
      <c r="G42" s="123" t="e">
        <f>G$4*G41</f>
        <v>#N/A</v>
      </c>
    </row>
  </sheetData>
  <sheetProtection algorithmName="SHA-512" hashValue="XFGwRpsCEImRsSx3oYZKBB/g+N1ZlnL/UeI2Ygc8PrBdJsKm8H7N7k/cLHycfjqHPuNbBrD5IAs/CtvFycST+Q==" saltValue="cdyQhxOG/KQXhoHJTWPNaw==" spinCount="100000" sheet="1" objects="1" scenarios="1"/>
  <phoneticPr fontId="4"/>
  <pageMargins left="0.7" right="0.7" top="0.75" bottom="0.75" header="0.3" footer="0.3"/>
  <pageSetup paperSize="9" scale="8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AA42"/>
  <sheetViews>
    <sheetView showGridLines="0" view="pageBreakPreview" zoomScale="70" zoomScaleNormal="70" zoomScaleSheetLayoutView="70" workbookViewId="0"/>
  </sheetViews>
  <sheetFormatPr defaultRowHeight="18.75"/>
  <cols>
    <col min="1" max="1" width="4.625" customWidth="1"/>
    <col min="2" max="2" width="35.375" customWidth="1"/>
    <col min="3" max="3" width="5.625" bestFit="1" customWidth="1"/>
    <col min="4" max="27" width="7.125" customWidth="1"/>
  </cols>
  <sheetData>
    <row r="1" spans="1:27">
      <c r="D1" s="121" t="s">
        <v>121</v>
      </c>
      <c r="E1" s="121" t="str">
        <f>D1</f>
        <v>D</v>
      </c>
      <c r="F1" s="121" t="str">
        <f>E1</f>
        <v>D</v>
      </c>
      <c r="G1" s="121" t="str">
        <f>F1</f>
        <v>D</v>
      </c>
      <c r="H1" s="121" t="s">
        <v>122</v>
      </c>
      <c r="I1" s="121" t="str">
        <f>H1</f>
        <v>C</v>
      </c>
      <c r="J1" s="121" t="str">
        <f>I1</f>
        <v>C</v>
      </c>
      <c r="K1" s="121" t="str">
        <f>J1</f>
        <v>C</v>
      </c>
      <c r="L1" s="121" t="s">
        <v>122</v>
      </c>
      <c r="M1" s="121" t="str">
        <f>L1</f>
        <v>C</v>
      </c>
      <c r="N1" s="121" t="str">
        <f>M1</f>
        <v>C</v>
      </c>
      <c r="O1" s="121" t="str">
        <f>N1</f>
        <v>C</v>
      </c>
      <c r="P1" s="121" t="s">
        <v>34</v>
      </c>
      <c r="Q1" s="121" t="str">
        <f>P1</f>
        <v>B</v>
      </c>
      <c r="R1" s="121" t="str">
        <f>Q1</f>
        <v>B</v>
      </c>
      <c r="S1" s="121" t="str">
        <f>R1</f>
        <v>B</v>
      </c>
      <c r="T1" s="121" t="s">
        <v>123</v>
      </c>
      <c r="U1" s="121" t="str">
        <f>T1</f>
        <v>A</v>
      </c>
      <c r="V1" s="121" t="str">
        <f>U1</f>
        <v>A</v>
      </c>
      <c r="W1" s="121" t="str">
        <f>V1</f>
        <v>A</v>
      </c>
      <c r="X1" s="121" t="s">
        <v>123</v>
      </c>
      <c r="Y1" s="121" t="str">
        <f>X1</f>
        <v>A</v>
      </c>
      <c r="Z1" s="121" t="str">
        <f>Y1</f>
        <v>A</v>
      </c>
      <c r="AA1" s="121" t="str">
        <f>Z1</f>
        <v>A</v>
      </c>
    </row>
    <row r="2" spans="1:27">
      <c r="D2" s="67"/>
      <c r="E2" s="67"/>
      <c r="F2" s="67"/>
      <c r="G2" s="67"/>
      <c r="H2" s="67"/>
      <c r="I2" s="67"/>
      <c r="J2" s="67"/>
      <c r="K2" s="67"/>
      <c r="L2" s="67"/>
      <c r="M2" s="67"/>
      <c r="N2" s="67"/>
      <c r="O2" s="67"/>
      <c r="P2" s="67"/>
      <c r="Q2" s="67"/>
      <c r="R2" s="67"/>
      <c r="S2" s="67"/>
      <c r="T2" s="67"/>
      <c r="U2" s="67"/>
      <c r="V2" s="67"/>
      <c r="W2" s="67"/>
      <c r="X2" s="67"/>
      <c r="Y2" s="67"/>
      <c r="Z2" s="67"/>
      <c r="AA2" s="67"/>
    </row>
    <row r="3" spans="1:27">
      <c r="A3" t="s">
        <v>127</v>
      </c>
      <c r="D3" s="85">
        <v>0</v>
      </c>
      <c r="E3" s="85"/>
      <c r="F3" s="85"/>
      <c r="G3" s="85"/>
      <c r="H3" s="85">
        <v>1</v>
      </c>
      <c r="I3" s="85"/>
      <c r="J3" s="85"/>
      <c r="K3" s="85"/>
      <c r="L3" s="85">
        <v>2</v>
      </c>
      <c r="M3" s="85"/>
      <c r="N3" s="85"/>
      <c r="O3" s="85"/>
      <c r="P3" s="85">
        <v>3</v>
      </c>
      <c r="Q3" s="85"/>
      <c r="R3" s="85"/>
      <c r="S3" s="85"/>
      <c r="T3" s="85">
        <v>4</v>
      </c>
      <c r="U3" s="85"/>
      <c r="V3" s="85"/>
      <c r="W3" s="85"/>
      <c r="X3" s="85">
        <v>5</v>
      </c>
      <c r="Y3" s="85"/>
      <c r="Z3" s="85"/>
      <c r="AA3" s="85"/>
    </row>
    <row r="4" spans="1:27">
      <c r="D4" s="85" t="s">
        <v>99</v>
      </c>
      <c r="E4" s="85"/>
      <c r="F4" s="85" t="s">
        <v>100</v>
      </c>
      <c r="G4" s="85"/>
      <c r="H4" s="85" t="s">
        <v>99</v>
      </c>
      <c r="I4" s="85"/>
      <c r="J4" s="85" t="s">
        <v>100</v>
      </c>
      <c r="K4" s="85"/>
      <c r="L4" s="85" t="s">
        <v>99</v>
      </c>
      <c r="M4" s="85"/>
      <c r="N4" s="85" t="s">
        <v>100</v>
      </c>
      <c r="O4" s="85"/>
      <c r="P4" s="85" t="s">
        <v>99</v>
      </c>
      <c r="Q4" s="85"/>
      <c r="R4" s="85" t="s">
        <v>100</v>
      </c>
      <c r="S4" s="85"/>
      <c r="T4" s="85" t="s">
        <v>99</v>
      </c>
      <c r="U4" s="85"/>
      <c r="V4" s="85" t="s">
        <v>100</v>
      </c>
      <c r="W4" s="85"/>
      <c r="X4" s="85" t="s">
        <v>99</v>
      </c>
      <c r="Y4" s="85"/>
      <c r="Z4" s="85" t="s">
        <v>100</v>
      </c>
      <c r="AA4" s="85"/>
    </row>
    <row r="5" spans="1:27">
      <c r="C5" s="65" t="s">
        <v>172</v>
      </c>
      <c r="D5" s="86" t="s">
        <v>126</v>
      </c>
      <c r="E5" s="104" t="s">
        <v>96</v>
      </c>
      <c r="F5" s="104" t="s">
        <v>126</v>
      </c>
      <c r="G5" s="104" t="s">
        <v>96</v>
      </c>
      <c r="H5" s="86" t="s">
        <v>126</v>
      </c>
      <c r="I5" s="104" t="s">
        <v>96</v>
      </c>
      <c r="J5" s="104" t="s">
        <v>126</v>
      </c>
      <c r="K5" s="104" t="s">
        <v>96</v>
      </c>
      <c r="L5" s="104" t="s">
        <v>126</v>
      </c>
      <c r="M5" s="104" t="s">
        <v>96</v>
      </c>
      <c r="N5" s="104" t="s">
        <v>126</v>
      </c>
      <c r="O5" s="104" t="s">
        <v>96</v>
      </c>
      <c r="P5" s="104" t="s">
        <v>126</v>
      </c>
      <c r="Q5" s="104" t="s">
        <v>96</v>
      </c>
      <c r="R5" s="104" t="s">
        <v>126</v>
      </c>
      <c r="S5" s="104" t="s">
        <v>96</v>
      </c>
      <c r="T5" s="104" t="s">
        <v>126</v>
      </c>
      <c r="U5" s="104" t="s">
        <v>96</v>
      </c>
      <c r="V5" s="86" t="s">
        <v>126</v>
      </c>
      <c r="W5" s="104" t="s">
        <v>96</v>
      </c>
      <c r="X5" s="104" t="s">
        <v>126</v>
      </c>
      <c r="Y5" s="104" t="s">
        <v>96</v>
      </c>
      <c r="Z5" s="104" t="s">
        <v>126</v>
      </c>
      <c r="AA5" s="104" t="s">
        <v>96</v>
      </c>
    </row>
    <row r="6" spans="1:27">
      <c r="A6" s="68"/>
      <c r="B6" s="92" t="s">
        <v>156</v>
      </c>
      <c r="C6" s="87"/>
      <c r="D6" s="103">
        <f>'2_区分12加算額計算表'!$D$21</f>
        <v>0</v>
      </c>
      <c r="E6" s="105">
        <f>'2_区分12加算額計算表'!$E$21</f>
        <v>0</v>
      </c>
      <c r="F6" s="105">
        <f>IF('2_区分12加算額計算表'!$D$5=【リスト】!$B$3,'2_区分12加算額計算表'!$H$21,0)</f>
        <v>0</v>
      </c>
      <c r="G6" s="105">
        <f>IF('2_区分12加算額計算表'!$D$5=【リスト】!$B$3,'2_区分12加算額計算表'!$I$21,0)</f>
        <v>0</v>
      </c>
      <c r="H6" s="103">
        <f>'2_区分12加算額計算表'!$D$22</f>
        <v>0</v>
      </c>
      <c r="I6" s="105">
        <f>'2_区分12加算額計算表'!$E$22</f>
        <v>0</v>
      </c>
      <c r="J6" s="105">
        <f>IF('2_区分12加算額計算表'!$D$5=【リスト】!$B$3,'2_区分12加算額計算表'!$H$22,0)</f>
        <v>0</v>
      </c>
      <c r="K6" s="105">
        <f>IF('2_区分12加算額計算表'!$D$5=【リスト】!$B$3,'2_区分12加算額計算表'!$I$22,0)</f>
        <v>0</v>
      </c>
      <c r="L6" s="105">
        <f>'2_区分12加算額計算表'!$D$23</f>
        <v>0</v>
      </c>
      <c r="M6" s="105">
        <f>'2_区分12加算額計算表'!$E$23</f>
        <v>0</v>
      </c>
      <c r="N6" s="105">
        <f>IF('2_区分12加算額計算表'!$D$5=【リスト】!$B$3,'2_区分12加算額計算表'!$H$23,0)</f>
        <v>0</v>
      </c>
      <c r="O6" s="105">
        <f>IF('2_区分12加算額計算表'!$D$5=【リスト】!$B$3,'2_区分12加算額計算表'!$I$23,0)</f>
        <v>0</v>
      </c>
      <c r="P6" s="105">
        <f>'2_区分12加算額計算表'!$D$24</f>
        <v>0</v>
      </c>
      <c r="Q6" s="105">
        <f>'2_区分12加算額計算表'!$E$24</f>
        <v>0</v>
      </c>
      <c r="R6" s="105">
        <f>IF('2_区分12加算額計算表'!$D$5=【リスト】!$B$3,'2_区分12加算額計算表'!$H$24,0)</f>
        <v>0</v>
      </c>
      <c r="S6" s="105">
        <f>IF('2_区分12加算額計算表'!$D$5=【リスト】!$B$3,'2_区分12加算額計算表'!$I$24,0)</f>
        <v>0</v>
      </c>
      <c r="T6" s="105">
        <f>'2_区分12加算額計算表'!$D$25</f>
        <v>0</v>
      </c>
      <c r="U6" s="105">
        <f>'2_区分12加算額計算表'!$E$25</f>
        <v>0</v>
      </c>
      <c r="V6" s="103">
        <f>IF('2_区分12加算額計算表'!$D$5=【リスト】!$B$3,'2_区分12加算額計算表'!$H$25,0)</f>
        <v>0</v>
      </c>
      <c r="W6" s="105">
        <f>IF('2_区分12加算額計算表'!$D$5=【リスト】!$B$3,'2_区分12加算額計算表'!$I$25,0)</f>
        <v>0</v>
      </c>
      <c r="X6" s="105">
        <f>'2_区分12加算額計算表'!$D$26</f>
        <v>0</v>
      </c>
      <c r="Y6" s="105">
        <f>'2_区分12加算額計算表'!$E$26</f>
        <v>0</v>
      </c>
      <c r="Z6" s="105">
        <f>IF('2_区分12加算額計算表'!$D$5=【リスト】!$B$3,'2_区分12加算額計算表'!$H$26,0)</f>
        <v>0</v>
      </c>
      <c r="AA6" s="105">
        <f>IF('2_区分12加算額計算表'!$D$5=【リスト】!$B$3,'2_区分12加算額計算表'!$I$26,0)</f>
        <v>0</v>
      </c>
    </row>
    <row r="7" spans="1:27">
      <c r="A7" s="118" t="e">
        <f>'2_区分12加算額計算表'!$J$8</f>
        <v>#N/A</v>
      </c>
      <c r="B7" s="93" t="s">
        <v>128</v>
      </c>
      <c r="C7" s="88"/>
      <c r="D7" s="106" t="e">
        <f>VLOOKUP($A7&amp;D$1,単価23号[],認こ23号単価!$G$1,FALSE)*加算率a</f>
        <v>#N/A</v>
      </c>
      <c r="E7" s="108"/>
      <c r="F7" s="108"/>
      <c r="G7" s="108"/>
      <c r="H7" s="106" t="e">
        <f>VLOOKUP($A7&amp;H$1,単価23号[],認こ23号単価!$G$1,FALSE)*加算率a</f>
        <v>#N/A</v>
      </c>
      <c r="I7" s="108"/>
      <c r="J7" s="108"/>
      <c r="K7" s="108"/>
      <c r="L7" s="106" t="e">
        <f>VLOOKUP($A7&amp;L$1,単価23号[],認こ23号単価!$G$1,FALSE)*加算率a</f>
        <v>#N/A</v>
      </c>
      <c r="M7" s="108"/>
      <c r="N7" s="108"/>
      <c r="O7" s="108"/>
      <c r="P7" s="106" t="e">
        <f>VLOOKUP($A7&amp;P$1,単価23号[],認こ23号単価!$G$1,FALSE)*加算率a</f>
        <v>#N/A</v>
      </c>
      <c r="Q7" s="108"/>
      <c r="R7" s="108"/>
      <c r="S7" s="108"/>
      <c r="T7" s="106" t="e">
        <f>VLOOKUP($A7&amp;T$1,単価23号[],認こ23号単価!$G$1,FALSE)*加算率a</f>
        <v>#N/A</v>
      </c>
      <c r="U7" s="108"/>
      <c r="V7" s="112"/>
      <c r="W7" s="108"/>
      <c r="X7" s="106" t="e">
        <f>VLOOKUP($A7&amp;X$1,単価23号[],認こ23号単価!$G$1,FALSE)*加算率a</f>
        <v>#N/A</v>
      </c>
      <c r="Y7" s="108"/>
      <c r="Z7" s="108"/>
      <c r="AA7" s="108"/>
    </row>
    <row r="8" spans="1:27">
      <c r="A8" s="118" t="e">
        <f>A7</f>
        <v>#N/A</v>
      </c>
      <c r="B8" s="94" t="s">
        <v>129</v>
      </c>
      <c r="C8" s="89"/>
      <c r="D8" s="107"/>
      <c r="E8" s="106" t="e">
        <f>VLOOKUP($A8&amp;E$1,単価23号[],認こ23号単価!$I$1,FALSE)*加算率a</f>
        <v>#N/A</v>
      </c>
      <c r="F8" s="110"/>
      <c r="G8" s="110"/>
      <c r="H8" s="107"/>
      <c r="I8" s="106" t="e">
        <f>VLOOKUP($A8&amp;I$1,単価23号[],認こ23号単価!$I$1,FALSE)*加算率a</f>
        <v>#N/A</v>
      </c>
      <c r="J8" s="110"/>
      <c r="K8" s="110"/>
      <c r="L8" s="110"/>
      <c r="M8" s="106" t="e">
        <f>VLOOKUP($A8&amp;M$1,単価23号[],認こ23号単価!$I$1,FALSE)*加算率a</f>
        <v>#N/A</v>
      </c>
      <c r="N8" s="110"/>
      <c r="O8" s="110"/>
      <c r="P8" s="110"/>
      <c r="Q8" s="106" t="e">
        <f>VLOOKUP($A8&amp;Q$1,単価23号[],認こ23号単価!$I$1,FALSE)*加算率a</f>
        <v>#N/A</v>
      </c>
      <c r="R8" s="110"/>
      <c r="S8" s="110"/>
      <c r="T8" s="110"/>
      <c r="U8" s="106" t="e">
        <f>VLOOKUP($A8&amp;U$1,単価23号[],認こ23号単価!$I$1,FALSE)*加算率a</f>
        <v>#N/A</v>
      </c>
      <c r="V8" s="107"/>
      <c r="W8" s="110"/>
      <c r="X8" s="110"/>
      <c r="Y8" s="106" t="e">
        <f>VLOOKUP($A8&amp;Y$1,単価23号[],認こ23号単価!$I$1,FALSE)*加算率a</f>
        <v>#N/A</v>
      </c>
      <c r="Z8" s="110"/>
      <c r="AA8" s="110"/>
    </row>
    <row r="9" spans="1:27">
      <c r="A9" s="118" t="e">
        <f>'2_区分12加算額計算表'!$J$9</f>
        <v>#N/A</v>
      </c>
      <c r="B9" s="94" t="s">
        <v>130</v>
      </c>
      <c r="C9" s="89"/>
      <c r="D9" s="107"/>
      <c r="E9" s="110"/>
      <c r="F9" s="106">
        <f>IFERROR(VLOOKUP($A9&amp;F$1,単価23号[],認こ23号単価!$G$1,FALSE)*加算率a,0)</f>
        <v>0</v>
      </c>
      <c r="G9" s="110"/>
      <c r="H9" s="107"/>
      <c r="I9" s="110"/>
      <c r="J9" s="106">
        <f>IFERROR(VLOOKUP($A9&amp;J$1,単価23号[],認こ23号単価!$G$1,FALSE)*加算率a,0)</f>
        <v>0</v>
      </c>
      <c r="K9" s="110"/>
      <c r="L9" s="110"/>
      <c r="M9" s="110"/>
      <c r="N9" s="106">
        <f>IFERROR(VLOOKUP($A9&amp;N$1,単価23号[],認こ23号単価!$G$1,FALSE)*加算率a,0)</f>
        <v>0</v>
      </c>
      <c r="O9" s="110"/>
      <c r="P9" s="110"/>
      <c r="Q9" s="110"/>
      <c r="R9" s="106">
        <f>IFERROR(VLOOKUP($A9&amp;R$1,単価23号[],認こ23号単価!$G$1,FALSE)*加算率a,0)</f>
        <v>0</v>
      </c>
      <c r="S9" s="110"/>
      <c r="T9" s="110"/>
      <c r="U9" s="110"/>
      <c r="V9" s="106">
        <f>IFERROR(VLOOKUP($A9&amp;V$1,単価23号[],認こ23号単価!$G$1,FALSE)*加算率a,0)</f>
        <v>0</v>
      </c>
      <c r="W9" s="110"/>
      <c r="X9" s="110"/>
      <c r="Y9" s="110"/>
      <c r="Z9" s="106">
        <f>IFERROR(VLOOKUP($A9&amp;Z$1,単価23号[],認こ23号単価!$G$1,FALSE)*加算率a,0)</f>
        <v>0</v>
      </c>
      <c r="AA9" s="110"/>
    </row>
    <row r="10" spans="1:27">
      <c r="A10" s="118" t="e">
        <f>A9</f>
        <v>#N/A</v>
      </c>
      <c r="B10" s="94" t="s">
        <v>131</v>
      </c>
      <c r="C10" s="89"/>
      <c r="D10" s="107"/>
      <c r="E10" s="110"/>
      <c r="F10" s="110"/>
      <c r="G10" s="106">
        <f>IFERROR(VLOOKUP($A10&amp;G$1,単価23号[],認こ23号単価!$I$1,FALSE)*加算率a,0)</f>
        <v>0</v>
      </c>
      <c r="H10" s="107"/>
      <c r="I10" s="110"/>
      <c r="J10" s="110"/>
      <c r="K10" s="106">
        <f>IFERROR(VLOOKUP($A10&amp;K$1,単価23号[],認こ23号単価!$I$1,FALSE)*加算率a,0)</f>
        <v>0</v>
      </c>
      <c r="L10" s="110"/>
      <c r="M10" s="110"/>
      <c r="N10" s="110"/>
      <c r="O10" s="106">
        <f>IFERROR(VLOOKUP($A10&amp;O$1,単価23号[],認こ23号単価!$I$1,FALSE)*加算率a,0)</f>
        <v>0</v>
      </c>
      <c r="P10" s="110"/>
      <c r="Q10" s="110"/>
      <c r="R10" s="110"/>
      <c r="S10" s="106">
        <f>IFERROR(VLOOKUP($A10&amp;S$1,単価23号[],認こ23号単価!$I$1,FALSE)*加算率a,0)</f>
        <v>0</v>
      </c>
      <c r="T10" s="110"/>
      <c r="U10" s="110"/>
      <c r="V10" s="107"/>
      <c r="W10" s="106">
        <f>IFERROR(VLOOKUP($A10&amp;W$1,単価23号[],認こ23号単価!$I$1,FALSE)*加算率a,0)</f>
        <v>0</v>
      </c>
      <c r="X10" s="110"/>
      <c r="Y10" s="110"/>
      <c r="Z10" s="110"/>
      <c r="AA10" s="106">
        <f>IFERROR(VLOOKUP($A10&amp;AA$1,単価23号[],認こ23号単価!$I$1,FALSE)*加算率a,0)</f>
        <v>0</v>
      </c>
    </row>
    <row r="11" spans="1:27">
      <c r="A11" s="118" t="e">
        <f>'2_区分12加算額計算表'!$J$7</f>
        <v>#N/A</v>
      </c>
      <c r="B11" s="94" t="s">
        <v>132</v>
      </c>
      <c r="C11" s="89">
        <f>IF('2_区分12加算額計算表'!$F$33&lt;&gt;"",1,0)</f>
        <v>0</v>
      </c>
      <c r="D11" s="107"/>
      <c r="E11" s="110"/>
      <c r="F11" s="110"/>
      <c r="G11" s="110"/>
      <c r="H11" s="107"/>
      <c r="I11" s="110"/>
      <c r="J11" s="110"/>
      <c r="K11" s="110"/>
      <c r="L11" s="110"/>
      <c r="M11" s="110"/>
      <c r="N11" s="110"/>
      <c r="O11" s="110"/>
      <c r="P11" s="109" t="e">
        <f>VLOOKUP($A11&amp;P$1,単価23号[],認こ23号単価!$K$1,FALSE)*加算率a*$C11</f>
        <v>#N/A</v>
      </c>
      <c r="Q11" s="109" t="e">
        <f>VLOOKUP($A11&amp;Q$1,単価23号[],認こ23号単価!$K$1,FALSE)*加算率a*$C11</f>
        <v>#N/A</v>
      </c>
      <c r="R11" s="109" t="e">
        <f>VLOOKUP($A11&amp;R$1,単価23号[],認こ23号単価!$K$1,FALSE)*加算率a*$C11</f>
        <v>#N/A</v>
      </c>
      <c r="S11" s="109" t="e">
        <f>VLOOKUP($A11&amp;S$1,単価23号[],認こ23号単価!$K$1,FALSE)*加算率a*$C11</f>
        <v>#N/A</v>
      </c>
      <c r="T11" s="110"/>
      <c r="U11" s="110"/>
      <c r="V11" s="107"/>
      <c r="W11" s="110"/>
      <c r="X11" s="110"/>
      <c r="Y11" s="110"/>
      <c r="Z11" s="110"/>
      <c r="AA11" s="110"/>
    </row>
    <row r="12" spans="1:27">
      <c r="A12" s="118" t="e">
        <f>A11</f>
        <v>#N/A</v>
      </c>
      <c r="B12" s="94" t="s">
        <v>134</v>
      </c>
      <c r="C12" s="89">
        <f>IF('2_区分12加算額計算表'!$F$34&lt;&gt;"",1,0)</f>
        <v>0</v>
      </c>
      <c r="D12" s="107"/>
      <c r="E12" s="110"/>
      <c r="F12" s="110"/>
      <c r="G12" s="110"/>
      <c r="H12" s="107"/>
      <c r="I12" s="110"/>
      <c r="J12" s="110"/>
      <c r="K12" s="110"/>
      <c r="L12" s="110"/>
      <c r="M12" s="110"/>
      <c r="N12" s="110"/>
      <c r="O12" s="110"/>
      <c r="P12" s="110"/>
      <c r="Q12" s="110"/>
      <c r="R12" s="110"/>
      <c r="S12" s="110"/>
      <c r="T12" s="109" t="e">
        <f>VLOOKUP($A12&amp;T$1,単価23号[],認こ23号単価!$M$1,FALSE)*加算率a*$C12</f>
        <v>#N/A</v>
      </c>
      <c r="U12" s="109" t="e">
        <f>VLOOKUP($A12&amp;U$1,単価23号[],認こ23号単価!$M$1,FALSE)*加算率a*$C12</f>
        <v>#N/A</v>
      </c>
      <c r="V12" s="109" t="e">
        <f>VLOOKUP($A12&amp;V$1,単価23号[],認こ23号単価!$M$1,FALSE)*加算率a*$C12</f>
        <v>#N/A</v>
      </c>
      <c r="W12" s="109" t="e">
        <f>VLOOKUP($A12&amp;W$1,単価23号[],認こ23号単価!$M$1,FALSE)*加算率a*$C12</f>
        <v>#N/A</v>
      </c>
      <c r="X12" s="109" t="e">
        <f>VLOOKUP($A12&amp;X$1,単価23号[],認こ23号単価!$M$1,FALSE)*加算率a*$C12</f>
        <v>#N/A</v>
      </c>
      <c r="Y12" s="109" t="e">
        <f>VLOOKUP($A12&amp;Y$1,単価23号[],認こ23号単価!$M$1,FALSE)*加算率a*$C12</f>
        <v>#N/A</v>
      </c>
      <c r="Z12" s="109" t="e">
        <f>VLOOKUP($A12&amp;Z$1,単価23号[],認こ23号単価!$M$1,FALSE)*加算率a*$C12</f>
        <v>#N/A</v>
      </c>
      <c r="AA12" s="109" t="e">
        <f>VLOOKUP($A12&amp;AA$1,単価23号[],認こ23号単価!$M$1,FALSE)*加算率a*$C12</f>
        <v>#N/A</v>
      </c>
    </row>
    <row r="13" spans="1:27">
      <c r="A13" s="118" t="e">
        <f>A12</f>
        <v>#N/A</v>
      </c>
      <c r="B13" s="94" t="s">
        <v>133</v>
      </c>
      <c r="C13" s="89">
        <f>IF('2_区分12加算額計算表'!$F$35&lt;&gt;"",1,0)</f>
        <v>0</v>
      </c>
      <c r="D13" s="107"/>
      <c r="E13" s="110"/>
      <c r="F13" s="110"/>
      <c r="G13" s="110"/>
      <c r="H13" s="109" t="e">
        <f>VLOOKUP($A13&amp;H$1,単価23号[],認こ23号単価!$O$1,FALSE)*加算率a*$C13</f>
        <v>#N/A</v>
      </c>
      <c r="I13" s="109" t="e">
        <f>VLOOKUP($A13&amp;I$1,単価23号[],認こ23号単価!$O$1,FALSE)*加算率a*$C13</f>
        <v>#N/A</v>
      </c>
      <c r="J13" s="109" t="e">
        <f>VLOOKUP($A13&amp;J$1,単価23号[],認こ23号単価!$O$1,FALSE)*加算率a*$C13</f>
        <v>#N/A</v>
      </c>
      <c r="K13" s="109" t="e">
        <f>VLOOKUP($A13&amp;K$1,単価23号[],認こ23号単価!$O$1,FALSE)*加算率a*$C13</f>
        <v>#N/A</v>
      </c>
      <c r="L13" s="110"/>
      <c r="M13" s="110"/>
      <c r="N13" s="110"/>
      <c r="O13" s="110"/>
      <c r="P13" s="110"/>
      <c r="Q13" s="110"/>
      <c r="R13" s="110"/>
      <c r="S13" s="110"/>
      <c r="T13" s="110"/>
      <c r="U13" s="110"/>
      <c r="V13" s="107"/>
      <c r="W13" s="110"/>
      <c r="X13" s="110"/>
      <c r="Y13" s="110"/>
      <c r="Z13" s="110"/>
      <c r="AA13" s="110"/>
    </row>
    <row r="14" spans="1:27">
      <c r="A14" s="118">
        <f>VLOOKUP(IF('2_区分12加算額計算表'!$F$38=【リスト】!$C$2,'2_区分12加算額計算表'!$I$38,"対象外"),休日保育23号[],認こ23号単価!$AA$1,FALSE)</f>
        <v>1</v>
      </c>
      <c r="B14" s="94" t="s">
        <v>150</v>
      </c>
      <c r="C14" s="89">
        <f>IF('2_区分12加算額計算表'!$F$38&lt;&gt;"",1,0)</f>
        <v>0</v>
      </c>
      <c r="D14" s="109" t="e">
        <f>ROUNDDOWN(VLOOKUP($A14,認こ23号単価!$AA$8:$AC$22,2,FALSE)*加算率a/'2_区分12加算額計算表'!$D$28,-1)*$C14</f>
        <v>#N/A</v>
      </c>
      <c r="E14" s="109" t="e">
        <f>ROUNDDOWN(VLOOKUP($A14,認こ23号単価!$AA$8:$AC$22,2,FALSE)*加算率a/'2_区分12加算額計算表'!$D$28,-1)*$C14</f>
        <v>#N/A</v>
      </c>
      <c r="F14" s="109" t="e">
        <f>ROUNDDOWN(VLOOKUP($A14,認こ23号単価!$AA$8:$AC$22,2,FALSE)*加算率a/'2_区分12加算額計算表'!$D$28,-1)*$C14</f>
        <v>#N/A</v>
      </c>
      <c r="G14" s="109" t="e">
        <f>ROUNDDOWN(VLOOKUP($A14,認こ23号単価!$AA$8:$AC$22,2,FALSE)*加算率a/'2_区分12加算額計算表'!$D$28,-1)*$C14</f>
        <v>#N/A</v>
      </c>
      <c r="H14" s="109" t="e">
        <f>ROUNDDOWN(VLOOKUP($A14,認こ23号単価!$AA$8:$AC$22,2,FALSE)*加算率a/'2_区分12加算額計算表'!$D$28,-1)*$C14</f>
        <v>#N/A</v>
      </c>
      <c r="I14" s="109" t="e">
        <f>ROUNDDOWN(VLOOKUP($A14,認こ23号単価!$AA$8:$AC$22,2,FALSE)*加算率a/'2_区分12加算額計算表'!$D$28,-1)*$C14</f>
        <v>#N/A</v>
      </c>
      <c r="J14" s="109" t="e">
        <f>ROUNDDOWN(VLOOKUP($A14,認こ23号単価!$AA$8:$AC$22,2,FALSE)*加算率a/'2_区分12加算額計算表'!$D$28,-1)*$C14</f>
        <v>#N/A</v>
      </c>
      <c r="K14" s="109" t="e">
        <f>ROUNDDOWN(VLOOKUP($A14,認こ23号単価!$AA$8:$AC$22,2,FALSE)*加算率a/'2_区分12加算額計算表'!$D$28,-1)*$C14</f>
        <v>#N/A</v>
      </c>
      <c r="L14" s="109" t="e">
        <f>ROUNDDOWN(VLOOKUP($A14,認こ23号単価!$AA$8:$AC$22,2,FALSE)*加算率a/'2_区分12加算額計算表'!$D$28,-1)*$C14</f>
        <v>#N/A</v>
      </c>
      <c r="M14" s="109" t="e">
        <f>ROUNDDOWN(VLOOKUP($A14,認こ23号単価!$AA$8:$AC$22,2,FALSE)*加算率a/'2_区分12加算額計算表'!$D$28,-1)*$C14</f>
        <v>#N/A</v>
      </c>
      <c r="N14" s="109" t="e">
        <f>ROUNDDOWN(VLOOKUP($A14,認こ23号単価!$AA$8:$AC$22,2,FALSE)*加算率a/'2_区分12加算額計算表'!$D$28,-1)*$C14</f>
        <v>#N/A</v>
      </c>
      <c r="O14" s="109" t="e">
        <f>ROUNDDOWN(VLOOKUP($A14,認こ23号単価!$AA$8:$AC$22,2,FALSE)*加算率a/'2_区分12加算額計算表'!$D$28,-1)*$C14</f>
        <v>#N/A</v>
      </c>
      <c r="P14" s="109" t="e">
        <f>ROUNDDOWN(VLOOKUP($A14,認こ23号単価!$AA$8:$AC$22,2,FALSE)*加算率a/'2_区分12加算額計算表'!$D$28,-1)*$C14</f>
        <v>#N/A</v>
      </c>
      <c r="Q14" s="109" t="e">
        <f>ROUNDDOWN(VLOOKUP($A14,認こ23号単価!$AA$8:$AC$22,2,FALSE)*加算率a/'2_区分12加算額計算表'!$D$28,-1)*$C14</f>
        <v>#N/A</v>
      </c>
      <c r="R14" s="109" t="e">
        <f>ROUNDDOWN(VLOOKUP($A14,認こ23号単価!$AA$8:$AC$22,2,FALSE)*加算率a/'2_区分12加算額計算表'!$D$28,-1)*$C14</f>
        <v>#N/A</v>
      </c>
      <c r="S14" s="109" t="e">
        <f>ROUNDDOWN(VLOOKUP($A14,認こ23号単価!$AA$8:$AC$22,2,FALSE)*加算率a/'2_区分12加算額計算表'!$D$28,-1)*$C14</f>
        <v>#N/A</v>
      </c>
      <c r="T14" s="109" t="e">
        <f>ROUNDDOWN(VLOOKUP($A14,認こ23号単価!$AA$8:$AC$22,2,FALSE)*加算率a/'2_区分12加算額計算表'!$D$28,-1)*$C14</f>
        <v>#N/A</v>
      </c>
      <c r="U14" s="109" t="e">
        <f>ROUNDDOWN(VLOOKUP($A14,認こ23号単価!$AA$8:$AC$22,2,FALSE)*加算率a/'2_区分12加算額計算表'!$D$28,-1)*$C14</f>
        <v>#N/A</v>
      </c>
      <c r="V14" s="109" t="e">
        <f>ROUNDDOWN(VLOOKUP($A14,認こ23号単価!$AA$8:$AC$22,2,FALSE)*加算率a/'2_区分12加算額計算表'!$D$28,-1)*$C14</f>
        <v>#N/A</v>
      </c>
      <c r="W14" s="109" t="e">
        <f>ROUNDDOWN(VLOOKUP($A14,認こ23号単価!$AA$8:$AC$22,2,FALSE)*加算率a/'2_区分12加算額計算表'!$D$28,-1)*$C14</f>
        <v>#N/A</v>
      </c>
      <c r="X14" s="109" t="e">
        <f>ROUNDDOWN(VLOOKUP($A14,認こ23号単価!$AA$8:$AC$22,2,FALSE)*加算率a/'2_区分12加算額計算表'!$D$28,-1)*$C14</f>
        <v>#N/A</v>
      </c>
      <c r="Y14" s="109" t="e">
        <f>ROUNDDOWN(VLOOKUP($A14,認こ23号単価!$AA$8:$AC$22,2,FALSE)*加算率a/'2_区分12加算額計算表'!$D$28,-1)*$C14</f>
        <v>#N/A</v>
      </c>
      <c r="Z14" s="109" t="e">
        <f>ROUNDDOWN(VLOOKUP($A14,認こ23号単価!$AA$8:$AC$22,2,FALSE)*加算率a/'2_区分12加算額計算表'!$D$28,-1)*$C14</f>
        <v>#N/A</v>
      </c>
      <c r="AA14" s="109" t="e">
        <f>ROUNDDOWN(VLOOKUP($A14,認こ23号単価!$AA$8:$AC$22,2,FALSE)*加算率a/'2_区分12加算額計算表'!$D$28,-1)*$C14</f>
        <v>#N/A</v>
      </c>
    </row>
    <row r="15" spans="1:27">
      <c r="A15" s="118" t="e">
        <f>A13</f>
        <v>#N/A</v>
      </c>
      <c r="B15" s="94" t="s">
        <v>152</v>
      </c>
      <c r="C15" s="89">
        <f>IF('2_区分12加算額計算表'!$F$39&lt;&gt;"",1,0)</f>
        <v>0</v>
      </c>
      <c r="D15" s="109" t="e">
        <f>VLOOKUP($A15&amp;D$1,単価23号[],認こ23号単価!$Q$1,FALSE)*加算率a*$C15</f>
        <v>#N/A</v>
      </c>
      <c r="E15" s="109" t="e">
        <f>VLOOKUP($A15&amp;E$1,単価23号[],認こ23号単価!$Q$1,FALSE)*加算率a*$C15</f>
        <v>#N/A</v>
      </c>
      <c r="F15" s="109" t="e">
        <f>VLOOKUP($A15&amp;F$1,単価23号[],認こ23号単価!$Q$1,FALSE)*加算率a*$C15</f>
        <v>#N/A</v>
      </c>
      <c r="G15" s="109" t="e">
        <f>VLOOKUP($A15&amp;G$1,単価23号[],認こ23号単価!$Q$1,FALSE)*加算率a*$C15</f>
        <v>#N/A</v>
      </c>
      <c r="H15" s="109" t="e">
        <f>VLOOKUP($A15&amp;H$1,単価23号[],認こ23号単価!$Q$1,FALSE)*加算率a*$C15</f>
        <v>#N/A</v>
      </c>
      <c r="I15" s="109" t="e">
        <f>VLOOKUP($A15&amp;I$1,単価23号[],認こ23号単価!$Q$1,FALSE)*加算率a*$C15</f>
        <v>#N/A</v>
      </c>
      <c r="J15" s="109" t="e">
        <f>VLOOKUP($A15&amp;J$1,単価23号[],認こ23号単価!$Q$1,FALSE)*加算率a*$C15</f>
        <v>#N/A</v>
      </c>
      <c r="K15" s="109" t="e">
        <f>VLOOKUP($A15&amp;K$1,単価23号[],認こ23号単価!$Q$1,FALSE)*加算率a*$C15</f>
        <v>#N/A</v>
      </c>
      <c r="L15" s="109" t="e">
        <f>VLOOKUP($A15&amp;L$1,単価23号[],認こ23号単価!$Q$1,FALSE)*加算率a*$C15</f>
        <v>#N/A</v>
      </c>
      <c r="M15" s="109" t="e">
        <f>VLOOKUP($A15&amp;M$1,単価23号[],認こ23号単価!$Q$1,FALSE)*加算率a*$C15</f>
        <v>#N/A</v>
      </c>
      <c r="N15" s="109" t="e">
        <f>VLOOKUP($A15&amp;N$1,単価23号[],認こ23号単価!$Q$1,FALSE)*加算率a*$C15</f>
        <v>#N/A</v>
      </c>
      <c r="O15" s="109" t="e">
        <f>VLOOKUP($A15&amp;O$1,単価23号[],認こ23号単価!$Q$1,FALSE)*加算率a*$C15</f>
        <v>#N/A</v>
      </c>
      <c r="P15" s="109" t="e">
        <f>VLOOKUP($A15&amp;P$1,単価23号[],認こ23号単価!$Q$1,FALSE)*加算率a*$C15</f>
        <v>#N/A</v>
      </c>
      <c r="Q15" s="109" t="e">
        <f>VLOOKUP($A15&amp;Q$1,単価23号[],認こ23号単価!$Q$1,FALSE)*加算率a*$C15</f>
        <v>#N/A</v>
      </c>
      <c r="R15" s="109" t="e">
        <f>VLOOKUP($A15&amp;R$1,単価23号[],認こ23号単価!$Q$1,FALSE)*加算率a*$C15</f>
        <v>#N/A</v>
      </c>
      <c r="S15" s="109" t="e">
        <f>VLOOKUP($A15&amp;S$1,単価23号[],認こ23号単価!$Q$1,FALSE)*加算率a*$C15</f>
        <v>#N/A</v>
      </c>
      <c r="T15" s="109" t="e">
        <f>VLOOKUP($A15&amp;T$1,単価23号[],認こ23号単価!$Q$1,FALSE)*加算率a*$C15</f>
        <v>#N/A</v>
      </c>
      <c r="U15" s="109" t="e">
        <f>VLOOKUP($A15&amp;U$1,単価23号[],認こ23号単価!$Q$1,FALSE)*加算率a*$C15</f>
        <v>#N/A</v>
      </c>
      <c r="V15" s="109" t="e">
        <f>VLOOKUP($A15&amp;V$1,単価23号[],認こ23号単価!$Q$1,FALSE)*加算率a*$C15</f>
        <v>#N/A</v>
      </c>
      <c r="W15" s="109" t="e">
        <f>VLOOKUP($A15&amp;W$1,単価23号[],認こ23号単価!$Q$1,FALSE)*加算率a*$C15</f>
        <v>#N/A</v>
      </c>
      <c r="X15" s="109" t="e">
        <f>VLOOKUP($A15&amp;X$1,単価23号[],認こ23号単価!$Q$1,FALSE)*加算率a*$C15</f>
        <v>#N/A</v>
      </c>
      <c r="Y15" s="109" t="e">
        <f>VLOOKUP($A15&amp;Y$1,単価23号[],認こ23号単価!$Q$1,FALSE)*加算率a*$C15</f>
        <v>#N/A</v>
      </c>
      <c r="Z15" s="109" t="e">
        <f>VLOOKUP($A15&amp;Z$1,単価23号[],認こ23号単価!$Q$1,FALSE)*加算率a*$C15</f>
        <v>#N/A</v>
      </c>
      <c r="AA15" s="109" t="e">
        <f>VLOOKUP($A15&amp;AA$1,単価23号[],認こ23号単価!$Q$1,FALSE)*加算率a*$C15</f>
        <v>#N/A</v>
      </c>
    </row>
    <row r="16" spans="1:27">
      <c r="A16" s="118" t="e">
        <f>'2_区分12加算額計算表'!$J$10</f>
        <v>#N/A</v>
      </c>
      <c r="B16" s="94" t="s">
        <v>323</v>
      </c>
      <c r="C16" s="89">
        <f>IF('2_区分12加算額計算表'!$F$40&lt;&gt;"",'2_区分12加算額計算表'!$I$40,0)</f>
        <v>0</v>
      </c>
      <c r="D16" s="107"/>
      <c r="E16" s="110"/>
      <c r="F16" s="110"/>
      <c r="G16" s="110"/>
      <c r="H16" s="107"/>
      <c r="I16" s="110"/>
      <c r="J16" s="110"/>
      <c r="K16" s="110"/>
      <c r="L16" s="110"/>
      <c r="M16" s="110"/>
      <c r="N16" s="110"/>
      <c r="O16" s="110"/>
      <c r="P16" s="109" t="e">
        <f>VLOOKUP($A16,チーム保育加配[],認こ23号単価!$AG$1,FALSE)*加算率a*$C16</f>
        <v>#N/A</v>
      </c>
      <c r="Q16" s="109" t="e">
        <f>VLOOKUP($A16,チーム保育加配[],認こ23号単価!$AG$1,FALSE)*加算率a*$C16</f>
        <v>#N/A</v>
      </c>
      <c r="R16" s="109" t="e">
        <f>VLOOKUP($A16,チーム保育加配[],認こ23号単価!$AG$1,FALSE)*加算率a*$C16</f>
        <v>#N/A</v>
      </c>
      <c r="S16" s="109" t="e">
        <f>VLOOKUP($A16,チーム保育加配[],認こ23号単価!$AG$1,FALSE)*加算率a*$C16</f>
        <v>#N/A</v>
      </c>
      <c r="T16" s="109" t="e">
        <f>VLOOKUP($A16,チーム保育加配[],認こ23号単価!$AG$1,FALSE)*加算率a*$C16</f>
        <v>#N/A</v>
      </c>
      <c r="U16" s="109" t="e">
        <f>VLOOKUP($A16,チーム保育加配[],認こ23号単価!$AG$1,FALSE)*加算率a*$C16</f>
        <v>#N/A</v>
      </c>
      <c r="V16" s="109" t="e">
        <f>VLOOKUP($A16,チーム保育加配[],認こ23号単価!$AG$1,FALSE)*加算率a*$C16</f>
        <v>#N/A</v>
      </c>
      <c r="W16" s="109" t="e">
        <f>VLOOKUP($A16,チーム保育加配[],認こ23号単価!$AG$1,FALSE)*加算率a*$C16</f>
        <v>#N/A</v>
      </c>
      <c r="X16" s="109" t="e">
        <f>VLOOKUP($A16,チーム保育加配[],認こ23号単価!$AG$1,FALSE)*加算率a*$C16</f>
        <v>#N/A</v>
      </c>
      <c r="Y16" s="109" t="e">
        <f>VLOOKUP($A16,チーム保育加配[],認こ23号単価!$AG$1,FALSE)*加算率a*$C16</f>
        <v>#N/A</v>
      </c>
      <c r="Z16" s="109" t="e">
        <f>VLOOKUP($A16,チーム保育加配[],認こ23号単価!$AG$1,FALSE)*加算率a*$C16</f>
        <v>#N/A</v>
      </c>
      <c r="AA16" s="109" t="e">
        <f>VLOOKUP($A16,チーム保育加配[],認こ23号単価!$AG$1,FALSE)*加算率a*$C16</f>
        <v>#N/A</v>
      </c>
    </row>
    <row r="17" spans="1:27">
      <c r="A17" s="118"/>
      <c r="B17" s="94" t="s">
        <v>153</v>
      </c>
      <c r="C17" s="89"/>
      <c r="D17" s="107"/>
      <c r="E17" s="110"/>
      <c r="F17" s="109">
        <f>ROUNDDOWN(SUM(F9:F10)/10,-1)*-1</f>
        <v>0</v>
      </c>
      <c r="G17" s="109">
        <f>ROUNDDOWN(SUM(G9:G10)/10,-1)*-1</f>
        <v>0</v>
      </c>
      <c r="H17" s="107"/>
      <c r="I17" s="110"/>
      <c r="J17" s="109">
        <f>ROUNDDOWN(SUM(J9:J10)/10,-1)*-1</f>
        <v>0</v>
      </c>
      <c r="K17" s="109">
        <f>ROUNDDOWN(SUM(K9:K10)/10,-1)*-1</f>
        <v>0</v>
      </c>
      <c r="L17" s="110"/>
      <c r="M17" s="110"/>
      <c r="N17" s="109">
        <f>ROUNDDOWN(SUM(N9:N10)/10,-1)*-1</f>
        <v>0</v>
      </c>
      <c r="O17" s="109">
        <f>ROUNDDOWN(SUM(O9:O10)/10,-1)*-1</f>
        <v>0</v>
      </c>
      <c r="P17" s="110"/>
      <c r="Q17" s="110"/>
      <c r="R17" s="109">
        <f>ROUNDDOWN(SUM(R9:R10)/10,-1)*-1</f>
        <v>0</v>
      </c>
      <c r="S17" s="109">
        <f>ROUNDDOWN(SUM(S9:S10)/10,-1)*-1</f>
        <v>0</v>
      </c>
      <c r="T17" s="110"/>
      <c r="U17" s="110"/>
      <c r="V17" s="113">
        <f>ROUNDDOWN(SUM(V9:V10)/10,-1)*-1</f>
        <v>0</v>
      </c>
      <c r="W17" s="109">
        <f>ROUNDDOWN(SUM(W9:W10)/10,-1)*-1</f>
        <v>0</v>
      </c>
      <c r="X17" s="110"/>
      <c r="Y17" s="110"/>
      <c r="Z17" s="109">
        <f>ROUNDDOWN(SUM(Z9:Z10)/10,-1)*-1</f>
        <v>0</v>
      </c>
      <c r="AA17" s="109">
        <f>ROUNDDOWN(SUM(AA9:AA10)/10,-1)*-1</f>
        <v>0</v>
      </c>
    </row>
    <row r="18" spans="1:27">
      <c r="A18" s="118" t="e">
        <f>A15</f>
        <v>#N/A</v>
      </c>
      <c r="B18" s="94" t="s">
        <v>324</v>
      </c>
      <c r="C18" s="89">
        <f>IF('2_区分12加算額計算表'!$F$43&lt;&gt;"",1,0)</f>
        <v>0</v>
      </c>
      <c r="D18" s="109" t="e">
        <f>IF(VLOOKUP($A18&amp;D$1,単価23号[],認こ23号単価!$W$1,FALSE)*加算率a&gt;=10,
ROUNDDOWN(VLOOKUP($A18&amp;D$1,単価23号[],認こ23号単価!$W$1,FALSE)*加算率a,-1),
ROUNDDOWN(VLOOKUP($A18&amp;D$1,単価23号[],認こ23号単価!$W$1,FALSE)*加算率a,0))*-1*$C18</f>
        <v>#N/A</v>
      </c>
      <c r="E18" s="109" t="e">
        <f>IF(VLOOKUP($A18&amp;E$1,単価23号[],認こ23号単価!$W$1,FALSE)*加算率a&gt;=10,
ROUNDDOWN(VLOOKUP($A18&amp;E$1,単価23号[],認こ23号単価!$W$1,FALSE)*加算率a,-1),
ROUNDDOWN(VLOOKUP($A18&amp;E$1,単価23号[],認こ23号単価!$W$1,FALSE)*加算率a,0))*-1*$C18</f>
        <v>#N/A</v>
      </c>
      <c r="F18" s="109" t="e">
        <f>IF(VLOOKUP($A18&amp;F$1,単価23号[],認こ23号単価!$W$1,FALSE)*加算率a&gt;=10,
ROUNDDOWN(VLOOKUP($A18&amp;F$1,単価23号[],認こ23号単価!$W$1,FALSE)*加算率a,-1),
ROUNDDOWN(VLOOKUP($A18&amp;F$1,単価23号[],認こ23号単価!$W$1,FALSE)*加算率a,0))*-1*$C18</f>
        <v>#N/A</v>
      </c>
      <c r="G18" s="109" t="e">
        <f>IF(VLOOKUP($A18&amp;G$1,単価23号[],認こ23号単価!$W$1,FALSE)*加算率a&gt;=10,
ROUNDDOWN(VLOOKUP($A18&amp;G$1,単価23号[],認こ23号単価!$W$1,FALSE)*加算率a,-1),
ROUNDDOWN(VLOOKUP($A18&amp;G$1,単価23号[],認こ23号単価!$W$1,FALSE)*加算率a,0))*-1*$C18</f>
        <v>#N/A</v>
      </c>
      <c r="H18" s="109" t="e">
        <f>IF(VLOOKUP($A18&amp;H$1,単価23号[],認こ23号単価!$W$1,FALSE)*加算率a&gt;=10,
ROUNDDOWN(VLOOKUP($A18&amp;H$1,単価23号[],認こ23号単価!$W$1,FALSE)*加算率a,-1),
ROUNDDOWN(VLOOKUP($A18&amp;H$1,単価23号[],認こ23号単価!$W$1,FALSE)*加算率a,0))*-1*$C18</f>
        <v>#N/A</v>
      </c>
      <c r="I18" s="109" t="e">
        <f>IF(VLOOKUP($A18&amp;I$1,単価23号[],認こ23号単価!$W$1,FALSE)*加算率a&gt;=10,
ROUNDDOWN(VLOOKUP($A18&amp;I$1,単価23号[],認こ23号単価!$W$1,FALSE)*加算率a,-1),
ROUNDDOWN(VLOOKUP($A18&amp;I$1,単価23号[],認こ23号単価!$W$1,FALSE)*加算率a,0))*-1*$C18</f>
        <v>#N/A</v>
      </c>
      <c r="J18" s="109" t="e">
        <f>IF(VLOOKUP($A18&amp;J$1,単価23号[],認こ23号単価!$W$1,FALSE)*加算率a&gt;=10,
ROUNDDOWN(VLOOKUP($A18&amp;J$1,単価23号[],認こ23号単価!$W$1,FALSE)*加算率a,-1),
ROUNDDOWN(VLOOKUP($A18&amp;J$1,単価23号[],認こ23号単価!$W$1,FALSE)*加算率a,0))*-1*$C18</f>
        <v>#N/A</v>
      </c>
      <c r="K18" s="109" t="e">
        <f>IF(VLOOKUP($A18&amp;K$1,単価23号[],認こ23号単価!$W$1,FALSE)*加算率a&gt;=10,
ROUNDDOWN(VLOOKUP($A18&amp;K$1,単価23号[],認こ23号単価!$W$1,FALSE)*加算率a,-1),
ROUNDDOWN(VLOOKUP($A18&amp;K$1,単価23号[],認こ23号単価!$W$1,FALSE)*加算率a,0))*-1*$C18</f>
        <v>#N/A</v>
      </c>
      <c r="L18" s="109" t="e">
        <f>IF(VLOOKUP($A18&amp;L$1,単価23号[],認こ23号単価!$W$1,FALSE)*加算率a&gt;=10,
ROUNDDOWN(VLOOKUP($A18&amp;L$1,単価23号[],認こ23号単価!$W$1,FALSE)*加算率a,-1),
ROUNDDOWN(VLOOKUP($A18&amp;L$1,単価23号[],認こ23号単価!$W$1,FALSE)*加算率a,0))*-1*$C18</f>
        <v>#N/A</v>
      </c>
      <c r="M18" s="109" t="e">
        <f>IF(VLOOKUP($A18&amp;M$1,単価23号[],認こ23号単価!$W$1,FALSE)*加算率a&gt;=10,
ROUNDDOWN(VLOOKUP($A18&amp;M$1,単価23号[],認こ23号単価!$W$1,FALSE)*加算率a,-1),
ROUNDDOWN(VLOOKUP($A18&amp;M$1,単価23号[],認こ23号単価!$W$1,FALSE)*加算率a,0))*-1*$C18</f>
        <v>#N/A</v>
      </c>
      <c r="N18" s="109" t="e">
        <f>IF(VLOOKUP($A18&amp;N$1,単価23号[],認こ23号単価!$W$1,FALSE)*加算率a&gt;=10,
ROUNDDOWN(VLOOKUP($A18&amp;N$1,単価23号[],認こ23号単価!$W$1,FALSE)*加算率a,-1),
ROUNDDOWN(VLOOKUP($A18&amp;N$1,単価23号[],認こ23号単価!$W$1,FALSE)*加算率a,0))*-1*$C18</f>
        <v>#N/A</v>
      </c>
      <c r="O18" s="109" t="e">
        <f>IF(VLOOKUP($A18&amp;O$1,単価23号[],認こ23号単価!$W$1,FALSE)*加算率a&gt;=10,
ROUNDDOWN(VLOOKUP($A18&amp;O$1,単価23号[],認こ23号単価!$W$1,FALSE)*加算率a,-1),
ROUNDDOWN(VLOOKUP($A18&amp;O$1,単価23号[],認こ23号単価!$W$1,FALSE)*加算率a,0))*-1*$C18</f>
        <v>#N/A</v>
      </c>
      <c r="P18" s="109" t="e">
        <f>IF(VLOOKUP($A18&amp;P$1,単価23号[],認こ23号単価!$W$1,FALSE)*加算率a&gt;=10,
ROUNDDOWN(VLOOKUP($A18&amp;P$1,単価23号[],認こ23号単価!$W$1,FALSE)*加算率a,-1),
ROUNDDOWN(VLOOKUP($A18&amp;P$1,単価23号[],認こ23号単価!$W$1,FALSE)*加算率a,0))*-1*$C18</f>
        <v>#N/A</v>
      </c>
      <c r="Q18" s="109" t="e">
        <f>IF(VLOOKUP($A18&amp;Q$1,単価23号[],認こ23号単価!$W$1,FALSE)*加算率a&gt;=10,
ROUNDDOWN(VLOOKUP($A18&amp;Q$1,単価23号[],認こ23号単価!$W$1,FALSE)*加算率a,-1),
ROUNDDOWN(VLOOKUP($A18&amp;Q$1,単価23号[],認こ23号単価!$W$1,FALSE)*加算率a,0))*-1*$C18</f>
        <v>#N/A</v>
      </c>
      <c r="R18" s="109" t="e">
        <f>IF(VLOOKUP($A18&amp;R$1,単価23号[],認こ23号単価!$W$1,FALSE)*加算率a&gt;=10,
ROUNDDOWN(VLOOKUP($A18&amp;R$1,単価23号[],認こ23号単価!$W$1,FALSE)*加算率a,-1),
ROUNDDOWN(VLOOKUP($A18&amp;R$1,単価23号[],認こ23号単価!$W$1,FALSE)*加算率a,0))*-1*$C18</f>
        <v>#N/A</v>
      </c>
      <c r="S18" s="109" t="e">
        <f>IF(VLOOKUP($A18&amp;S$1,単価23号[],認こ23号単価!$W$1,FALSE)*加算率a&gt;=10,
ROUNDDOWN(VLOOKUP($A18&amp;S$1,単価23号[],認こ23号単価!$W$1,FALSE)*加算率a,-1),
ROUNDDOWN(VLOOKUP($A18&amp;S$1,単価23号[],認こ23号単価!$W$1,FALSE)*加算率a,0))*-1*$C18</f>
        <v>#N/A</v>
      </c>
      <c r="T18" s="109" t="e">
        <f>IF(VLOOKUP($A18&amp;T$1,単価23号[],認こ23号単価!$W$1,FALSE)*加算率a&gt;=10,
ROUNDDOWN(VLOOKUP($A18&amp;T$1,単価23号[],認こ23号単価!$W$1,FALSE)*加算率a,-1),
ROUNDDOWN(VLOOKUP($A18&amp;T$1,単価23号[],認こ23号単価!$W$1,FALSE)*加算率a,0))*-1*$C18</f>
        <v>#N/A</v>
      </c>
      <c r="U18" s="109" t="e">
        <f>IF(VLOOKUP($A18&amp;U$1,単価23号[],認こ23号単価!$W$1,FALSE)*加算率a&gt;=10,
ROUNDDOWN(VLOOKUP($A18&amp;U$1,単価23号[],認こ23号単価!$W$1,FALSE)*加算率a,-1),
ROUNDDOWN(VLOOKUP($A18&amp;U$1,単価23号[],認こ23号単価!$W$1,FALSE)*加算率a,0))*-1*$C18</f>
        <v>#N/A</v>
      </c>
      <c r="V18" s="109" t="e">
        <f>IF(VLOOKUP($A18&amp;V$1,単価23号[],認こ23号単価!$W$1,FALSE)*加算率a&gt;=10,
ROUNDDOWN(VLOOKUP($A18&amp;V$1,単価23号[],認こ23号単価!$W$1,FALSE)*加算率a,-1),
ROUNDDOWN(VLOOKUP($A18&amp;V$1,単価23号[],認こ23号単価!$W$1,FALSE)*加算率a,0))*-1*$C18</f>
        <v>#N/A</v>
      </c>
      <c r="W18" s="109" t="e">
        <f>IF(VLOOKUP($A18&amp;W$1,単価23号[],認こ23号単価!$W$1,FALSE)*加算率a&gt;=10,
ROUNDDOWN(VLOOKUP($A18&amp;W$1,単価23号[],認こ23号単価!$W$1,FALSE)*加算率a,-1),
ROUNDDOWN(VLOOKUP($A18&amp;W$1,単価23号[],認こ23号単価!$W$1,FALSE)*加算率a,0))*-1*$C18</f>
        <v>#N/A</v>
      </c>
      <c r="X18" s="109" t="e">
        <f>IF(VLOOKUP($A18&amp;X$1,単価23号[],認こ23号単価!$W$1,FALSE)*加算率a&gt;=10,
ROUNDDOWN(VLOOKUP($A18&amp;X$1,単価23号[],認こ23号単価!$W$1,FALSE)*加算率a,-1),
ROUNDDOWN(VLOOKUP($A18&amp;X$1,単価23号[],認こ23号単価!$W$1,FALSE)*加算率a,0))*-1*$C18</f>
        <v>#N/A</v>
      </c>
      <c r="Y18" s="109" t="e">
        <f>IF(VLOOKUP($A18&amp;Y$1,単価23号[],認こ23号単価!$W$1,FALSE)*加算率a&gt;=10,
ROUNDDOWN(VLOOKUP($A18&amp;Y$1,単価23号[],認こ23号単価!$W$1,FALSE)*加算率a,-1),
ROUNDDOWN(VLOOKUP($A18&amp;Y$1,単価23号[],認こ23号単価!$W$1,FALSE)*加算率a,0))*-1*$C18</f>
        <v>#N/A</v>
      </c>
      <c r="Z18" s="109" t="e">
        <f>IF(VLOOKUP($A18&amp;Z$1,単価23号[],認こ23号単価!$W$1,FALSE)*加算率a&gt;=10,
ROUNDDOWN(VLOOKUP($A18&amp;Z$1,単価23号[],認こ23号単価!$W$1,FALSE)*加算率a,-1),
ROUNDDOWN(VLOOKUP($A18&amp;Z$1,単価23号[],認こ23号単価!$W$1,FALSE)*加算率a,0))*-1*$C18</f>
        <v>#N/A</v>
      </c>
      <c r="AA18" s="109" t="e">
        <f>IF(VLOOKUP($A18&amp;AA$1,単価23号[],認こ23号単価!$W$1,FALSE)*加算率a&gt;=10,
ROUNDDOWN(VLOOKUP($A18&amp;AA$1,単価23号[],認こ23号単価!$W$1,FALSE)*加算率a,-1),
ROUNDDOWN(VLOOKUP($A18&amp;AA$1,単価23号[],認こ23号単価!$W$1,FALSE)*加算率a,0))*-1*$C18</f>
        <v>#N/A</v>
      </c>
    </row>
    <row r="19" spans="1:27">
      <c r="A19" s="118">
        <f>IF('2_区分12加算額計算表'!$F$44=【リスト】!$D$2,2,IF('2_区分12加算額計算表'!$F$44=【リスト】!$D$3,3,1))</f>
        <v>1</v>
      </c>
      <c r="B19" s="94" t="s">
        <v>154</v>
      </c>
      <c r="C19" s="89">
        <f>IF('2_区分12加算額計算表'!$F$44&lt;&gt;"",1,0)</f>
        <v>0</v>
      </c>
      <c r="D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E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F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G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H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I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J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K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L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M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N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O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P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Q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R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S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T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U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V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W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X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Y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Z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c r="AA19" s="109" t="e">
        <f>IF(VLOOKUP($A19,療育支援23号[],認こ23号単価!$AM$1,FALSE)*加算率a/'2_区分12加算額計算表'!$D$28&gt;=10,
ROUNDDOWN(VLOOKUP($A19,療育支援23号[],認こ23号単価!$AM$1,FALSE)*加算率a/'2_区分12加算額計算表'!$D$28,-1),
ROUNDDOWN(VLOOKUP($A19,療育支援23号[],認こ23号単価!$AM$1,FALSE)*加算率a/'2_区分12加算額計算表'!$D$28,0))*$C19</f>
        <v>#N/A</v>
      </c>
    </row>
    <row r="20" spans="1:27">
      <c r="A20" s="118">
        <f>IF('2_区分12加算額計算表'!$F$48=【リスト】!$E$2,1,IF('2_区分12加算額計算表'!$F$48=【リスト】!$E$3,2,IF('2_区分12加算額計算表'!$F$48=【リスト】!$E$4,3,0)))</f>
        <v>0</v>
      </c>
      <c r="B20" s="95" t="s">
        <v>155</v>
      </c>
      <c r="C20" s="90">
        <f>IF('2_区分12加算額計算表'!$F$48&lt;&gt;"",1,0)</f>
        <v>0</v>
      </c>
      <c r="D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E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F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G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H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I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J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K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L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M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N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O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P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Q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R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S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T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U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V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W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X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Y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Z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c r="AA20" s="111" t="e">
        <f>IF(VLOOKUP($A20,栄養管理23号[],認こ23号単価!$AR$1,FALSE)*加算率a/'2_区分12加算額計算表'!$D$28&gt;=10,
ROUNDDOWN(VLOOKUP($A20,栄養管理23号[],認こ23号単価!$AR$1,FALSE)*加算率a/'2_区分12加算額計算表'!$D$28,-1),
ROUNDDOWN(VLOOKUP($A20,栄養管理23号[],認こ23号単価!$AR$1,FALSE)*加算率a/'2_区分12加算額計算表'!$D$28,0))*$C20</f>
        <v>#N/A</v>
      </c>
    </row>
    <row r="21" spans="1:27">
      <c r="A21" s="118" t="e">
        <f>A18</f>
        <v>#N/A</v>
      </c>
      <c r="B21" s="94" t="s">
        <v>173</v>
      </c>
      <c r="C21" s="89" t="str">
        <f>IF('2_区分12加算額計算表'!$F$49=【リスト】!$H$2,0,IF('2_区分12加算額計算表'!$F$49=【リスト】!$H$3,1,IF('2_区分12加算額計算表'!$F$49=【リスト】!$H$4,2,IF('2_区分12加算額計算表'!$F$49=【リスト】!$H$5,3,"Q"))))</f>
        <v>Q</v>
      </c>
      <c r="D21" s="109">
        <f>IF($C21="Q",0,ROUNDDOWN(SUM(D7:D13,D15)*VLOOKUP($A21&amp;D$1,単価23号[],認こ23号単価!$S$1+$C21,FALSE),-1))*-1</f>
        <v>0</v>
      </c>
      <c r="E21" s="109">
        <f>IF($C21="Q",0,ROUNDDOWN(SUM(E7:E13,E15)*VLOOKUP($A21&amp;E$1,単価23号[],認こ23号単価!$S$1+$C21,FALSE),-1))*-1</f>
        <v>0</v>
      </c>
      <c r="F21" s="109">
        <f>IF($C21="Q",0,ROUNDDOWN(SUM(F7:F13,F15)*VLOOKUP($A21&amp;F$1,単価23号[],認こ23号単価!$S$1+$C21,FALSE),-1))*-1</f>
        <v>0</v>
      </c>
      <c r="G21" s="109">
        <f>IF($C21="Q",0,ROUNDDOWN(SUM(G7:G13,G15)*VLOOKUP($A21&amp;G$1,単価23号[],認こ23号単価!$S$1+$C21,FALSE),-1))*-1</f>
        <v>0</v>
      </c>
      <c r="H21" s="109">
        <f>IF($C21="Q",0,ROUNDDOWN(SUM(H7:H13,H15)*VLOOKUP($A21&amp;H$1,単価23号[],認こ23号単価!$S$1+$C21,FALSE),-1))*-1</f>
        <v>0</v>
      </c>
      <c r="I21" s="109">
        <f>IF($C21="Q",0,ROUNDDOWN(SUM(I7:I13,I15)*VLOOKUP($A21&amp;I$1,単価23号[],認こ23号単価!$S$1+$C21,FALSE),-1))*-1</f>
        <v>0</v>
      </c>
      <c r="J21" s="109">
        <f>IF($C21="Q",0,ROUNDDOWN(SUM(J7:J13,J15)*VLOOKUP($A21&amp;J$1,単価23号[],認こ23号単価!$S$1+$C21,FALSE),-1))*-1</f>
        <v>0</v>
      </c>
      <c r="K21" s="109">
        <f>IF($C21="Q",0,ROUNDDOWN(SUM(K7:K13,K15)*VLOOKUP($A21&amp;K$1,単価23号[],認こ23号単価!$S$1+$C21,FALSE),-1))*-1</f>
        <v>0</v>
      </c>
      <c r="L21" s="109">
        <f>IF($C21="Q",0,ROUNDDOWN(SUM(L7:L13,L15)*VLOOKUP($A21&amp;L$1,単価23号[],認こ23号単価!$S$1+$C21,FALSE),-1))*-1</f>
        <v>0</v>
      </c>
      <c r="M21" s="109">
        <f>IF($C21="Q",0,ROUNDDOWN(SUM(M7:M13,M15)*VLOOKUP($A21&amp;M$1,単価23号[],認こ23号単価!$S$1+$C21,FALSE),-1))*-1</f>
        <v>0</v>
      </c>
      <c r="N21" s="109">
        <f>IF($C21="Q",0,ROUNDDOWN(SUM(N7:N13,N15)*VLOOKUP($A21&amp;N$1,単価23号[],認こ23号単価!$S$1+$C21,FALSE),-1))*-1</f>
        <v>0</v>
      </c>
      <c r="O21" s="109">
        <f>IF($C21="Q",0,ROUNDDOWN(SUM(O7:O13,O15)*VLOOKUP($A21&amp;O$1,単価23号[],認こ23号単価!$S$1+$C21,FALSE),-1))*-1</f>
        <v>0</v>
      </c>
      <c r="P21" s="109">
        <f>IF($C21="Q",0,ROUNDDOWN(SUM(P7:P13,P15)*VLOOKUP($A21&amp;P$1,単価23号[],認こ23号単価!$S$1+$C21,FALSE),-1))*-1</f>
        <v>0</v>
      </c>
      <c r="Q21" s="109">
        <f>IF($C21="Q",0,ROUNDDOWN(SUM(Q7:Q13,Q15)*VLOOKUP($A21&amp;Q$1,単価23号[],認こ23号単価!$S$1+$C21,FALSE),-1))*-1</f>
        <v>0</v>
      </c>
      <c r="R21" s="109">
        <f>IF($C21="Q",0,ROUNDDOWN(SUM(R7:R13,R15)*VLOOKUP($A21&amp;R$1,単価23号[],認こ23号単価!$S$1+$C21,FALSE),-1))*-1</f>
        <v>0</v>
      </c>
      <c r="S21" s="109">
        <f>IF($C21="Q",0,ROUNDDOWN(SUM(S7:S13,S15)*VLOOKUP($A21&amp;S$1,単価23号[],認こ23号単価!$S$1+$C21,FALSE),-1))*-1</f>
        <v>0</v>
      </c>
      <c r="T21" s="109">
        <f>IF($C21="Q",0,ROUNDDOWN(SUM(T7:T13,T15)*VLOOKUP($A21&amp;T$1,単価23号[],認こ23号単価!$S$1+$C21,FALSE),-1))*-1</f>
        <v>0</v>
      </c>
      <c r="U21" s="109">
        <f>IF($C21="Q",0,ROUNDDOWN(SUM(U7:U13,U15)*VLOOKUP($A21&amp;U$1,単価23号[],認こ23号単価!$S$1+$C21,FALSE),-1))*-1</f>
        <v>0</v>
      </c>
      <c r="V21" s="109">
        <f>IF($C21="Q",0,ROUNDDOWN(SUM(V7:V13,V15)*VLOOKUP($A21&amp;V$1,単価23号[],認こ23号単価!$S$1+$C21,FALSE),-1))*-1</f>
        <v>0</v>
      </c>
      <c r="W21" s="109">
        <f>IF($C21="Q",0,ROUNDDOWN(SUM(W7:W13,W15)*VLOOKUP($A21&amp;W$1,単価23号[],認こ23号単価!$S$1+$C21,FALSE),-1))*-1</f>
        <v>0</v>
      </c>
      <c r="X21" s="109">
        <f>IF($C21="Q",0,ROUNDDOWN(SUM(X7:X13,X15)*VLOOKUP($A21&amp;X$1,単価23号[],認こ23号単価!$S$1+$C21,FALSE),-1))*-1</f>
        <v>0</v>
      </c>
      <c r="Y21" s="109">
        <f>IF($C21="Q",0,ROUNDDOWN(SUM(Y7:Y13,Y15)*VLOOKUP($A21&amp;Y$1,単価23号[],認こ23号単価!$S$1+$C21,FALSE),-1))*-1</f>
        <v>0</v>
      </c>
      <c r="Z21" s="109">
        <f>IF($C21="Q",0,ROUNDDOWN(SUM(Z7:Z13,Z15)*VLOOKUP($A21&amp;Z$1,単価23号[],認こ23号単価!$S$1+$C21,FALSE),-1))*-1</f>
        <v>0</v>
      </c>
      <c r="AA21" s="109">
        <f>IF($C21="Q",0,ROUNDDOWN(SUM(AA7:AA13,AA15)*VLOOKUP($A21&amp;AA$1,単価23号[],認こ23号単価!$S$1+$C21,FALSE),-1))*-1</f>
        <v>0</v>
      </c>
    </row>
    <row r="22" spans="1:27">
      <c r="A22" s="119"/>
      <c r="B22" s="92" t="s">
        <v>157</v>
      </c>
      <c r="C22" s="87"/>
      <c r="D22" s="122" t="e">
        <f t="shared" ref="D22:AA22" si="0">SUM(D7:D21)</f>
        <v>#N/A</v>
      </c>
      <c r="E22" s="122" t="e">
        <f t="shared" si="0"/>
        <v>#N/A</v>
      </c>
      <c r="F22" s="122" t="e">
        <f t="shared" si="0"/>
        <v>#N/A</v>
      </c>
      <c r="G22" s="122" t="e">
        <f t="shared" si="0"/>
        <v>#N/A</v>
      </c>
      <c r="H22" s="122" t="e">
        <f t="shared" si="0"/>
        <v>#N/A</v>
      </c>
      <c r="I22" s="122" t="e">
        <f t="shared" si="0"/>
        <v>#N/A</v>
      </c>
      <c r="J22" s="122" t="e">
        <f t="shared" si="0"/>
        <v>#N/A</v>
      </c>
      <c r="K22" s="122" t="e">
        <f t="shared" si="0"/>
        <v>#N/A</v>
      </c>
      <c r="L22" s="122" t="e">
        <f t="shared" si="0"/>
        <v>#N/A</v>
      </c>
      <c r="M22" s="122" t="e">
        <f t="shared" si="0"/>
        <v>#N/A</v>
      </c>
      <c r="N22" s="122" t="e">
        <f t="shared" si="0"/>
        <v>#N/A</v>
      </c>
      <c r="O22" s="122" t="e">
        <f t="shared" si="0"/>
        <v>#N/A</v>
      </c>
      <c r="P22" s="122" t="e">
        <f t="shared" si="0"/>
        <v>#N/A</v>
      </c>
      <c r="Q22" s="122" t="e">
        <f t="shared" si="0"/>
        <v>#N/A</v>
      </c>
      <c r="R22" s="122" t="e">
        <f t="shared" si="0"/>
        <v>#N/A</v>
      </c>
      <c r="S22" s="122" t="e">
        <f t="shared" si="0"/>
        <v>#N/A</v>
      </c>
      <c r="T22" s="122" t="e">
        <f t="shared" si="0"/>
        <v>#N/A</v>
      </c>
      <c r="U22" s="122" t="e">
        <f t="shared" si="0"/>
        <v>#N/A</v>
      </c>
      <c r="V22" s="122" t="e">
        <f t="shared" si="0"/>
        <v>#N/A</v>
      </c>
      <c r="W22" s="122" t="e">
        <f t="shared" si="0"/>
        <v>#N/A</v>
      </c>
      <c r="X22" s="122" t="e">
        <f t="shared" si="0"/>
        <v>#N/A</v>
      </c>
      <c r="Y22" s="122" t="e">
        <f t="shared" si="0"/>
        <v>#N/A</v>
      </c>
      <c r="Z22" s="122" t="e">
        <f t="shared" si="0"/>
        <v>#N/A</v>
      </c>
      <c r="AA22" s="122" t="e">
        <f t="shared" si="0"/>
        <v>#N/A</v>
      </c>
    </row>
    <row r="23" spans="1:27">
      <c r="B23" s="96" t="s">
        <v>158</v>
      </c>
      <c r="C23" s="91"/>
      <c r="D23" s="122" t="e">
        <f>D$6*D22</f>
        <v>#N/A</v>
      </c>
      <c r="E23" s="123" t="e">
        <f t="shared" ref="E23:AA23" si="1">E$6*E22</f>
        <v>#N/A</v>
      </c>
      <c r="F23" s="123" t="e">
        <f t="shared" si="1"/>
        <v>#N/A</v>
      </c>
      <c r="G23" s="123" t="e">
        <f t="shared" si="1"/>
        <v>#N/A</v>
      </c>
      <c r="H23" s="122" t="e">
        <f t="shared" si="1"/>
        <v>#N/A</v>
      </c>
      <c r="I23" s="123" t="e">
        <f t="shared" si="1"/>
        <v>#N/A</v>
      </c>
      <c r="J23" s="123" t="e">
        <f t="shared" si="1"/>
        <v>#N/A</v>
      </c>
      <c r="K23" s="123" t="e">
        <f t="shared" si="1"/>
        <v>#N/A</v>
      </c>
      <c r="L23" s="123" t="e">
        <f t="shared" si="1"/>
        <v>#N/A</v>
      </c>
      <c r="M23" s="123" t="e">
        <f t="shared" si="1"/>
        <v>#N/A</v>
      </c>
      <c r="N23" s="123" t="e">
        <f t="shared" si="1"/>
        <v>#N/A</v>
      </c>
      <c r="O23" s="123" t="e">
        <f t="shared" si="1"/>
        <v>#N/A</v>
      </c>
      <c r="P23" s="123" t="e">
        <f t="shared" si="1"/>
        <v>#N/A</v>
      </c>
      <c r="Q23" s="123" t="e">
        <f t="shared" si="1"/>
        <v>#N/A</v>
      </c>
      <c r="R23" s="123" t="e">
        <f t="shared" si="1"/>
        <v>#N/A</v>
      </c>
      <c r="S23" s="123" t="e">
        <f t="shared" si="1"/>
        <v>#N/A</v>
      </c>
      <c r="T23" s="123" t="e">
        <f t="shared" si="1"/>
        <v>#N/A</v>
      </c>
      <c r="U23" s="123" t="e">
        <f t="shared" si="1"/>
        <v>#N/A</v>
      </c>
      <c r="V23" s="122" t="e">
        <f t="shared" si="1"/>
        <v>#N/A</v>
      </c>
      <c r="W23" s="123" t="e">
        <f t="shared" si="1"/>
        <v>#N/A</v>
      </c>
      <c r="X23" s="123" t="e">
        <f t="shared" si="1"/>
        <v>#N/A</v>
      </c>
      <c r="Y23" s="123" t="e">
        <f t="shared" si="1"/>
        <v>#N/A</v>
      </c>
      <c r="Z23" s="123" t="e">
        <f t="shared" si="1"/>
        <v>#N/A</v>
      </c>
      <c r="AA23" s="123" t="e">
        <f t="shared" si="1"/>
        <v>#N/A</v>
      </c>
    </row>
    <row r="24" spans="1:27">
      <c r="A24" s="119"/>
    </row>
    <row r="25" spans="1:27">
      <c r="A25" s="119" t="s">
        <v>159</v>
      </c>
      <c r="D25" s="167"/>
    </row>
    <row r="26" spans="1:27">
      <c r="A26" s="118" t="e">
        <f t="shared" ref="A26:C40" si="2">A7</f>
        <v>#N/A</v>
      </c>
      <c r="B26" s="97" t="str">
        <f t="shared" si="2"/>
        <v>処遇改善等加算（本園/標準時間）単価</v>
      </c>
      <c r="C26" s="100">
        <f t="shared" si="2"/>
        <v>0</v>
      </c>
      <c r="D26" s="106" t="e">
        <f>ROUNDDOWN(VLOOKUP($A26&amp;D$1,単価23号[],認こ23号単価!$G$1,FALSE)*(加算率b+VLOOKUP($A26&amp;D$1,単価23号[],認こ23号単価!$H$1,FALSE)),-1)</f>
        <v>#N/A</v>
      </c>
      <c r="E26" s="115"/>
      <c r="F26" s="115"/>
      <c r="G26" s="115"/>
      <c r="H26" s="114" t="e">
        <f>ROUNDDOWN(VLOOKUP($A26&amp;H$1,単価23号[],認こ23号単価!$G$1,FALSE)*(加算率b+VLOOKUP($A26&amp;H$1,単価23号[],認こ23号単価!$H$1,FALSE)),-1)</f>
        <v>#N/A</v>
      </c>
      <c r="I26" s="115"/>
      <c r="J26" s="115"/>
      <c r="K26" s="115"/>
      <c r="L26" s="116" t="e">
        <f>ROUNDDOWN(VLOOKUP($A26&amp;L$1,単価23号[],認こ23号単価!$G$1,FALSE)*(加算率b+VLOOKUP($A26&amp;L$1,単価23号[],認こ23号単価!$H$1,FALSE)),-1)</f>
        <v>#N/A</v>
      </c>
      <c r="M26" s="115"/>
      <c r="N26" s="115"/>
      <c r="O26" s="115"/>
      <c r="P26" s="116" t="e">
        <f>ROUNDDOWN(VLOOKUP($A26&amp;P$1,単価23号[],認こ23号単価!$G$1,FALSE)*(加算率b+VLOOKUP($A26&amp;P$1,単価23号[],認こ23号単価!$H$1,FALSE)),-1)</f>
        <v>#N/A</v>
      </c>
      <c r="Q26" s="115"/>
      <c r="R26" s="115"/>
      <c r="S26" s="115"/>
      <c r="T26" s="116" t="e">
        <f>ROUNDDOWN(VLOOKUP($A26&amp;T$1,単価23号[],認こ23号単価!$G$1,FALSE)*(加算率b+VLOOKUP($A26&amp;T$1,単価23号[],認こ23号単価!$H$1,FALSE)),-1)</f>
        <v>#N/A</v>
      </c>
      <c r="U26" s="115"/>
      <c r="V26" s="117"/>
      <c r="W26" s="115"/>
      <c r="X26" s="116" t="e">
        <f>ROUNDDOWN(VLOOKUP($A26&amp;X$1,単価23号[],認こ23号単価!$G$1,FALSE)*(加算率b+VLOOKUP($A26&amp;X$1,単価23号[],認こ23号単価!$H$1,FALSE)),-1)</f>
        <v>#N/A</v>
      </c>
      <c r="Y26" s="115"/>
      <c r="Z26" s="115"/>
      <c r="AA26" s="115"/>
    </row>
    <row r="27" spans="1:27">
      <c r="A27" s="118" t="e">
        <f t="shared" si="2"/>
        <v>#N/A</v>
      </c>
      <c r="B27" s="98" t="str">
        <f t="shared" si="2"/>
        <v>処遇改善等加算（本園/短時間）単価</v>
      </c>
      <c r="C27" s="101">
        <f t="shared" si="2"/>
        <v>0</v>
      </c>
      <c r="D27" s="107"/>
      <c r="E27" s="109" t="e">
        <f>ROUNDDOWN(VLOOKUP($A27&amp;E$1,単価23号[],認こ23号単価!$I$1,FALSE)*(加算率b+VLOOKUP($A27&amp;E$1,単価23号[],認こ23号単価!$J$1,FALSE)),-1)</f>
        <v>#N/A</v>
      </c>
      <c r="F27" s="110"/>
      <c r="G27" s="110"/>
      <c r="H27" s="107"/>
      <c r="I27" s="109" t="e">
        <f>ROUNDDOWN(VLOOKUP($A27&amp;I$1,単価23号[],認こ23号単価!$I$1,FALSE)*(加算率b+VLOOKUP($A27&amp;I$1,単価23号[],認こ23号単価!$J$1,FALSE)),-1)</f>
        <v>#N/A</v>
      </c>
      <c r="J27" s="110"/>
      <c r="K27" s="110"/>
      <c r="L27" s="110"/>
      <c r="M27" s="109" t="e">
        <f>ROUNDDOWN(VLOOKUP($A27&amp;M$1,単価23号[],認こ23号単価!$I$1,FALSE)*(加算率b+VLOOKUP($A27&amp;M$1,単価23号[],認こ23号単価!$J$1,FALSE)),-1)</f>
        <v>#N/A</v>
      </c>
      <c r="N27" s="110"/>
      <c r="O27" s="110"/>
      <c r="P27" s="110"/>
      <c r="Q27" s="109" t="e">
        <f>ROUNDDOWN(VLOOKUP($A27&amp;Q$1,単価23号[],認こ23号単価!$I$1,FALSE)*(加算率b+VLOOKUP($A27&amp;Q$1,単価23号[],認こ23号単価!$J$1,FALSE)),-1)</f>
        <v>#N/A</v>
      </c>
      <c r="R27" s="110"/>
      <c r="S27" s="110"/>
      <c r="T27" s="110"/>
      <c r="U27" s="109" t="e">
        <f>ROUNDDOWN(VLOOKUP($A27&amp;U$1,単価23号[],認こ23号単価!$I$1,FALSE)*(加算率b+VLOOKUP($A27&amp;U$1,単価23号[],認こ23号単価!$J$1,FALSE)),-1)</f>
        <v>#N/A</v>
      </c>
      <c r="V27" s="107"/>
      <c r="W27" s="110"/>
      <c r="X27" s="110"/>
      <c r="Y27" s="109" t="e">
        <f>ROUNDDOWN(VLOOKUP($A27&amp;Y$1,単価23号[],認こ23号単価!$I$1,FALSE)*(加算率b+VLOOKUP($A27&amp;Y$1,単価23号[],認こ23号単価!$J$1,FALSE)),-1)</f>
        <v>#N/A</v>
      </c>
      <c r="Z27" s="110"/>
      <c r="AA27" s="110"/>
    </row>
    <row r="28" spans="1:27">
      <c r="A28" s="118" t="e">
        <f t="shared" si="2"/>
        <v>#N/A</v>
      </c>
      <c r="B28" s="98" t="str">
        <f t="shared" si="2"/>
        <v>処遇改善等加算（分園/標準時間）単価</v>
      </c>
      <c r="C28" s="101">
        <f t="shared" si="2"/>
        <v>0</v>
      </c>
      <c r="D28" s="107"/>
      <c r="E28" s="110"/>
      <c r="F28" s="106">
        <f>IFERROR(ROUNDDOWN(VLOOKUP($A28&amp;F$1,単価23号[],認こ23号単価!$G$1,FALSE)*(加算率b+VLOOKUP($A28&amp;F$1,単価23号[],認こ23号単価!$H$1,FALSE)),-1),0)</f>
        <v>0</v>
      </c>
      <c r="G28" s="110"/>
      <c r="H28" s="107"/>
      <c r="I28" s="110"/>
      <c r="J28" s="106">
        <f>IFERROR(ROUNDDOWN(VLOOKUP($A28&amp;J$1,単価23号[],認こ23号単価!$G$1,FALSE)*(加算率b+VLOOKUP($A28&amp;J$1,単価23号[],認こ23号単価!$H$1,FALSE)),-1),0)</f>
        <v>0</v>
      </c>
      <c r="K28" s="110"/>
      <c r="L28" s="110"/>
      <c r="M28" s="110"/>
      <c r="N28" s="106">
        <f>IFERROR(ROUNDDOWN(VLOOKUP($A28&amp;N$1,単価23号[],認こ23号単価!$G$1,FALSE)*(加算率b+VLOOKUP($A28&amp;N$1,単価23号[],認こ23号単価!$H$1,FALSE)),-1),0)</f>
        <v>0</v>
      </c>
      <c r="O28" s="110"/>
      <c r="P28" s="110"/>
      <c r="Q28" s="110"/>
      <c r="R28" s="106">
        <f>IFERROR(ROUNDDOWN(VLOOKUP($A28&amp;R$1,単価23号[],認こ23号単価!$G$1,FALSE)*(加算率b+VLOOKUP($A28&amp;R$1,単価23号[],認こ23号単価!$H$1,FALSE)),-1),0)</f>
        <v>0</v>
      </c>
      <c r="S28" s="110"/>
      <c r="T28" s="110"/>
      <c r="U28" s="110"/>
      <c r="V28" s="106">
        <f>IFERROR(ROUNDDOWN(VLOOKUP($A28&amp;V$1,単価23号[],認こ23号単価!$G$1,FALSE)*(加算率b+VLOOKUP($A28&amp;V$1,単価23号[],認こ23号単価!$H$1,FALSE)),-1),0)</f>
        <v>0</v>
      </c>
      <c r="W28" s="110"/>
      <c r="X28" s="110"/>
      <c r="Y28" s="110"/>
      <c r="Z28" s="106">
        <f>IFERROR(ROUNDDOWN(VLOOKUP($A28&amp;Z$1,単価23号[],認こ23号単価!$G$1,FALSE)*(加算率b+VLOOKUP($A28&amp;Z$1,単価23号[],認こ23号単価!$H$1,FALSE)),-1),0)</f>
        <v>0</v>
      </c>
      <c r="AA28" s="110"/>
    </row>
    <row r="29" spans="1:27">
      <c r="A29" s="118" t="e">
        <f t="shared" si="2"/>
        <v>#N/A</v>
      </c>
      <c r="B29" s="98" t="str">
        <f t="shared" si="2"/>
        <v>処遇改善等加算（分園/短時間）単価</v>
      </c>
      <c r="C29" s="101">
        <f t="shared" si="2"/>
        <v>0</v>
      </c>
      <c r="D29" s="107"/>
      <c r="E29" s="110"/>
      <c r="F29" s="110"/>
      <c r="G29" s="109">
        <f>IFERROR(ROUNDDOWN(VLOOKUP($A29&amp;G$1,単価23号[],認こ23号単価!$I$1,FALSE)*(加算率b+VLOOKUP($A29&amp;G$1,単価23号[],認こ23号単価!$J$1,FALSE)),-1),0)</f>
        <v>0</v>
      </c>
      <c r="H29" s="107"/>
      <c r="I29" s="110"/>
      <c r="J29" s="110"/>
      <c r="K29" s="109">
        <f>IFERROR(ROUNDDOWN(VLOOKUP($A29&amp;K$1,単価23号[],認こ23号単価!$I$1,FALSE)*(加算率b+VLOOKUP($A29&amp;K$1,単価23号[],認こ23号単価!$J$1,FALSE)),-1),0)</f>
        <v>0</v>
      </c>
      <c r="L29" s="110"/>
      <c r="M29" s="110"/>
      <c r="N29" s="110"/>
      <c r="O29" s="109">
        <f>IFERROR(ROUNDDOWN(VLOOKUP($A29&amp;O$1,単価23号[],認こ23号単価!$I$1,FALSE)*(加算率b+VLOOKUP($A29&amp;O$1,単価23号[],認こ23号単価!$J$1,FALSE)),-1),0)</f>
        <v>0</v>
      </c>
      <c r="P29" s="110"/>
      <c r="Q29" s="110"/>
      <c r="R29" s="110"/>
      <c r="S29" s="109">
        <f>IFERROR(ROUNDDOWN(VLOOKUP($A29&amp;S$1,単価23号[],認こ23号単価!$I$1,FALSE)*(加算率b+VLOOKUP($A29&amp;S$1,単価23号[],認こ23号単価!$J$1,FALSE)),-1),0)</f>
        <v>0</v>
      </c>
      <c r="T29" s="110"/>
      <c r="U29" s="110"/>
      <c r="V29" s="107"/>
      <c r="W29" s="109">
        <f>IFERROR(ROUNDDOWN(VLOOKUP($A29&amp;W$1,単価23号[],認こ23号単価!$I$1,FALSE)*(加算率b+VLOOKUP($A29&amp;W$1,単価23号[],認こ23号単価!$J$1,FALSE)),-1),0)</f>
        <v>0</v>
      </c>
      <c r="X29" s="110"/>
      <c r="Y29" s="110"/>
      <c r="Z29" s="110"/>
      <c r="AA29" s="109">
        <f>IFERROR(ROUNDDOWN(VLOOKUP($A29&amp;AA$1,単価23号[],認こ23号単価!$I$1,FALSE)*(加算率b+VLOOKUP($A29&amp;AA$1,単価23号[],認こ23号単価!$J$1,FALSE)),-1),0)</f>
        <v>0</v>
      </c>
    </row>
    <row r="30" spans="1:27">
      <c r="A30" s="118" t="e">
        <f t="shared" si="2"/>
        <v>#N/A</v>
      </c>
      <c r="B30" s="98" t="str">
        <f t="shared" si="2"/>
        <v>3歳児配置改善加算単価</v>
      </c>
      <c r="C30" s="101">
        <f t="shared" si="2"/>
        <v>0</v>
      </c>
      <c r="D30" s="107"/>
      <c r="E30" s="110"/>
      <c r="F30" s="110"/>
      <c r="G30" s="110"/>
      <c r="H30" s="107"/>
      <c r="I30" s="110"/>
      <c r="J30" s="110"/>
      <c r="K30" s="110"/>
      <c r="L30" s="110"/>
      <c r="M30" s="110"/>
      <c r="N30" s="110"/>
      <c r="O30" s="110"/>
      <c r="P30" s="109" t="e">
        <f>ROUNDDOWN(VLOOKUP($A30&amp;P$1,単価23号[],認こ23号単価!$K$1,FALSE)*(加算率b+VLOOKUP($A30&amp;P$1,単価23号[],認こ23号単価!$L$1,FALSE)),-1)*$C30</f>
        <v>#N/A</v>
      </c>
      <c r="Q30" s="109" t="e">
        <f>ROUNDDOWN(VLOOKUP($A30&amp;Q$1,単価23号[],認こ23号単価!$K$1,FALSE)*(加算率b+VLOOKUP($A30&amp;Q$1,単価23号[],認こ23号単価!$L$1,FALSE)),-1)*$C30</f>
        <v>#N/A</v>
      </c>
      <c r="R30" s="109" t="e">
        <f>ROUNDDOWN(VLOOKUP($A30&amp;R$1,単価23号[],認こ23号単価!$K$1,FALSE)*(加算率b+VLOOKUP($A30&amp;R$1,単価23号[],認こ23号単価!$L$1,FALSE)),-1)*$C30</f>
        <v>#N/A</v>
      </c>
      <c r="S30" s="109" t="e">
        <f>ROUNDDOWN(VLOOKUP($A30&amp;S$1,単価23号[],認こ23号単価!$K$1,FALSE)*(加算率b+VLOOKUP($A30&amp;S$1,単価23号[],認こ23号単価!$L$1,FALSE)),-1)*$C30</f>
        <v>#N/A</v>
      </c>
      <c r="T30" s="110"/>
      <c r="U30" s="110"/>
      <c r="V30" s="107"/>
      <c r="W30" s="110"/>
      <c r="X30" s="110"/>
      <c r="Y30" s="110"/>
      <c r="Z30" s="110"/>
      <c r="AA30" s="110"/>
    </row>
    <row r="31" spans="1:27">
      <c r="A31" s="118" t="e">
        <f t="shared" si="2"/>
        <v>#N/A</v>
      </c>
      <c r="B31" s="98" t="str">
        <f t="shared" si="2"/>
        <v>4歳以上児配置改善加算単価</v>
      </c>
      <c r="C31" s="101">
        <f t="shared" si="2"/>
        <v>0</v>
      </c>
      <c r="D31" s="107"/>
      <c r="E31" s="110"/>
      <c r="F31" s="110"/>
      <c r="G31" s="110"/>
      <c r="H31" s="107"/>
      <c r="I31" s="110"/>
      <c r="J31" s="110"/>
      <c r="K31" s="110"/>
      <c r="L31" s="110"/>
      <c r="M31" s="110"/>
      <c r="N31" s="110"/>
      <c r="O31" s="110"/>
      <c r="P31" s="110"/>
      <c r="Q31" s="110"/>
      <c r="R31" s="110"/>
      <c r="S31" s="110"/>
      <c r="T31" s="109" t="e">
        <f>ROUNDDOWN(VLOOKUP($A31&amp;T$1,単価23号[],認こ23号単価!$M$1,FALSE)*(加算率b+VLOOKUP($A31&amp;T$1,単価23号[],認こ23号単価!$N$1,FALSE)),-1)*$C31</f>
        <v>#N/A</v>
      </c>
      <c r="U31" s="109" t="e">
        <f>ROUNDDOWN(VLOOKUP($A31&amp;U$1,単価23号[],認こ23号単価!$M$1,FALSE)*(加算率b+VLOOKUP($A31&amp;U$1,単価23号[],認こ23号単価!$N$1,FALSE)),-1)*$C31</f>
        <v>#N/A</v>
      </c>
      <c r="V31" s="109" t="e">
        <f>ROUNDDOWN(VLOOKUP($A31&amp;V$1,単価23号[],認こ23号単価!$M$1,FALSE)*(加算率b+VLOOKUP($A31&amp;V$1,単価23号[],認こ23号単価!$N$1,FALSE)),-1)*$C31</f>
        <v>#N/A</v>
      </c>
      <c r="W31" s="109" t="e">
        <f>ROUNDDOWN(VLOOKUP($A31&amp;W$1,単価23号[],認こ23号単価!$M$1,FALSE)*(加算率b+VLOOKUP($A31&amp;W$1,単価23号[],認こ23号単価!$N$1,FALSE)),-1)*$C31</f>
        <v>#N/A</v>
      </c>
      <c r="X31" s="109" t="e">
        <f>ROUNDDOWN(VLOOKUP($A31&amp;X$1,単価23号[],認こ23号単価!$M$1,FALSE)*(加算率b+VLOOKUP($A31&amp;X$1,単価23号[],認こ23号単価!$N$1,FALSE)),-1)*$C31</f>
        <v>#N/A</v>
      </c>
      <c r="Y31" s="109" t="e">
        <f>ROUNDDOWN(VLOOKUP($A31&amp;Y$1,単価23号[],認こ23号単価!$M$1,FALSE)*(加算率b+VLOOKUP($A31&amp;Y$1,単価23号[],認こ23号単価!$N$1,FALSE)),-1)*$C31</f>
        <v>#N/A</v>
      </c>
      <c r="Z31" s="109" t="e">
        <f>ROUNDDOWN(VLOOKUP($A31&amp;Z$1,単価23号[],認こ23号単価!$M$1,FALSE)*(加算率b+VLOOKUP($A31&amp;Z$1,単価23号[],認こ23号単価!$N$1,FALSE)),-1)*$C31</f>
        <v>#N/A</v>
      </c>
      <c r="AA31" s="109" t="e">
        <f>ROUNDDOWN(VLOOKUP($A31&amp;AA$1,単価23号[],認こ23号単価!$M$1,FALSE)*(加算率b+VLOOKUP($A31&amp;AA$1,単価23号[],認こ23号単価!$N$1,FALSE)),-1)*$C31</f>
        <v>#N/A</v>
      </c>
    </row>
    <row r="32" spans="1:27">
      <c r="A32" s="118" t="e">
        <f t="shared" si="2"/>
        <v>#N/A</v>
      </c>
      <c r="B32" s="98" t="str">
        <f t="shared" si="2"/>
        <v>1歳児配置改善加算単価</v>
      </c>
      <c r="C32" s="101">
        <f t="shared" si="2"/>
        <v>0</v>
      </c>
      <c r="D32" s="107"/>
      <c r="E32" s="110"/>
      <c r="F32" s="110"/>
      <c r="G32" s="110"/>
      <c r="H32" s="109" t="e">
        <f>ROUNDDOWN(VLOOKUP($A32&amp;H$1,単価23号[],認こ23号単価!$O$1,FALSE)*(加算率b+VLOOKUP($A32&amp;H$1,単価23号[],認こ23号単価!$P$1,FALSE)),-1)*$C32</f>
        <v>#N/A</v>
      </c>
      <c r="I32" s="109" t="e">
        <f>ROUNDDOWN(VLOOKUP($A32&amp;I$1,単価23号[],認こ23号単価!$O$1,FALSE)*(加算率b+VLOOKUP($A32&amp;I$1,単価23号[],認こ23号単価!$P$1,FALSE)),-1)*$C32</f>
        <v>#N/A</v>
      </c>
      <c r="J32" s="109" t="e">
        <f>ROUNDDOWN(VLOOKUP($A32&amp;J$1,単価23号[],認こ23号単価!$O$1,FALSE)*(加算率b+VLOOKUP($A32&amp;J$1,単価23号[],認こ23号単価!$P$1,FALSE)),-1)*$C32</f>
        <v>#N/A</v>
      </c>
      <c r="K32" s="109" t="e">
        <f>ROUNDDOWN(VLOOKUP($A32&amp;K$1,単価23号[],認こ23号単価!$O$1,FALSE)*(加算率b+VLOOKUP($A32&amp;K$1,単価23号[],認こ23号単価!$P$1,FALSE)),-1)*$C32</f>
        <v>#N/A</v>
      </c>
      <c r="L32" s="110"/>
      <c r="M32" s="110"/>
      <c r="N32" s="110"/>
      <c r="O32" s="110"/>
      <c r="P32" s="110"/>
      <c r="Q32" s="110"/>
      <c r="R32" s="110"/>
      <c r="S32" s="110"/>
      <c r="T32" s="110"/>
      <c r="U32" s="110"/>
      <c r="V32" s="107"/>
      <c r="W32" s="110"/>
      <c r="X32" s="110"/>
      <c r="Y32" s="110"/>
      <c r="Z32" s="110"/>
      <c r="AA32" s="110"/>
    </row>
    <row r="33" spans="1:27">
      <c r="A33" s="118">
        <f t="shared" si="2"/>
        <v>1</v>
      </c>
      <c r="B33" s="98" t="str">
        <f t="shared" si="2"/>
        <v>休日保育加算単価</v>
      </c>
      <c r="C33" s="101">
        <f t="shared" si="2"/>
        <v>0</v>
      </c>
      <c r="D33" s="109" t="e">
        <f>ROUNDDOWN(VLOOKUP($A33,認こ23号単価!$AA$8:$AC$22,2,FALSE)*(加算率b+VLOOKUP($A33,認こ23号単価!$AA$8:$AC$22,3,FALSE))/'2_区分12加算額計算表'!$D$28,-1)*$C33</f>
        <v>#N/A</v>
      </c>
      <c r="E33" s="109" t="e">
        <f>ROUNDDOWN(VLOOKUP($A33,認こ23号単価!$AA$8:$AC$22,2,FALSE)*(加算率b+VLOOKUP($A33,認こ23号単価!$AA$8:$AC$22,3,FALSE))/'2_区分12加算額計算表'!$D$28,-1)*$C33</f>
        <v>#N/A</v>
      </c>
      <c r="F33" s="109" t="e">
        <f>ROUNDDOWN(VLOOKUP($A33,認こ23号単価!$AA$8:$AC$22,2,FALSE)*(加算率b+VLOOKUP($A33,認こ23号単価!$AA$8:$AC$22,3,FALSE))/'2_区分12加算額計算表'!$D$28,-1)*$C33</f>
        <v>#N/A</v>
      </c>
      <c r="G33" s="109" t="e">
        <f>ROUNDDOWN(VLOOKUP($A33,認こ23号単価!$AA$8:$AC$22,2,FALSE)*(加算率b+VLOOKUP($A33,認こ23号単価!$AA$8:$AC$22,3,FALSE))/'2_区分12加算額計算表'!$D$28,-1)*$C33</f>
        <v>#N/A</v>
      </c>
      <c r="H33" s="109" t="e">
        <f>ROUNDDOWN(VLOOKUP($A33,認こ23号単価!$AA$8:$AC$22,2,FALSE)*(加算率b+VLOOKUP($A33,認こ23号単価!$AA$8:$AC$22,3,FALSE))/'2_区分12加算額計算表'!$D$28,-1)*$C33</f>
        <v>#N/A</v>
      </c>
      <c r="I33" s="109" t="e">
        <f>ROUNDDOWN(VLOOKUP($A33,認こ23号単価!$AA$8:$AC$22,2,FALSE)*(加算率b+VLOOKUP($A33,認こ23号単価!$AA$8:$AC$22,3,FALSE))/'2_区分12加算額計算表'!$D$28,-1)*$C33</f>
        <v>#N/A</v>
      </c>
      <c r="J33" s="109" t="e">
        <f>ROUNDDOWN(VLOOKUP($A33,認こ23号単価!$AA$8:$AC$22,2,FALSE)*(加算率b+VLOOKUP($A33,認こ23号単価!$AA$8:$AC$22,3,FALSE))/'2_区分12加算額計算表'!$D$28,-1)*$C33</f>
        <v>#N/A</v>
      </c>
      <c r="K33" s="109" t="e">
        <f>ROUNDDOWN(VLOOKUP($A33,認こ23号単価!$AA$8:$AC$22,2,FALSE)*(加算率b+VLOOKUP($A33,認こ23号単価!$AA$8:$AC$22,3,FALSE))/'2_区分12加算額計算表'!$D$28,-1)*$C33</f>
        <v>#N/A</v>
      </c>
      <c r="L33" s="109" t="e">
        <f>ROUNDDOWN(VLOOKUP($A33,認こ23号単価!$AA$8:$AC$22,2,FALSE)*(加算率b+VLOOKUP($A33,認こ23号単価!$AA$8:$AC$22,3,FALSE))/'2_区分12加算額計算表'!$D$28,-1)*$C33</f>
        <v>#N/A</v>
      </c>
      <c r="M33" s="109" t="e">
        <f>ROUNDDOWN(VLOOKUP($A33,認こ23号単価!$AA$8:$AC$22,2,FALSE)*(加算率b+VLOOKUP($A33,認こ23号単価!$AA$8:$AC$22,3,FALSE))/'2_区分12加算額計算表'!$D$28,-1)*$C33</f>
        <v>#N/A</v>
      </c>
      <c r="N33" s="109" t="e">
        <f>ROUNDDOWN(VLOOKUP($A33,認こ23号単価!$AA$8:$AC$22,2,FALSE)*(加算率b+VLOOKUP($A33,認こ23号単価!$AA$8:$AC$22,3,FALSE))/'2_区分12加算額計算表'!$D$28,-1)*$C33</f>
        <v>#N/A</v>
      </c>
      <c r="O33" s="109" t="e">
        <f>ROUNDDOWN(VLOOKUP($A33,認こ23号単価!$AA$8:$AC$22,2,FALSE)*(加算率b+VLOOKUP($A33,認こ23号単価!$AA$8:$AC$22,3,FALSE))/'2_区分12加算額計算表'!$D$28,-1)*$C33</f>
        <v>#N/A</v>
      </c>
      <c r="P33" s="109" t="e">
        <f>ROUNDDOWN(VLOOKUP($A33,認こ23号単価!$AA$8:$AC$22,2,FALSE)*(加算率b+VLOOKUP($A33,認こ23号単価!$AA$8:$AC$22,3,FALSE))/'2_区分12加算額計算表'!$D$28,-1)*$C33</f>
        <v>#N/A</v>
      </c>
      <c r="Q33" s="109" t="e">
        <f>ROUNDDOWN(VLOOKUP($A33,認こ23号単価!$AA$8:$AC$22,2,FALSE)*(加算率b+VLOOKUP($A33,認こ23号単価!$AA$8:$AC$22,3,FALSE))/'2_区分12加算額計算表'!$D$28,-1)*$C33</f>
        <v>#N/A</v>
      </c>
      <c r="R33" s="109" t="e">
        <f>ROUNDDOWN(VLOOKUP($A33,認こ23号単価!$AA$8:$AC$22,2,FALSE)*(加算率b+VLOOKUP($A33,認こ23号単価!$AA$8:$AC$22,3,FALSE))/'2_区分12加算額計算表'!$D$28,-1)*$C33</f>
        <v>#N/A</v>
      </c>
      <c r="S33" s="109" t="e">
        <f>ROUNDDOWN(VLOOKUP($A33,認こ23号単価!$AA$8:$AC$22,2,FALSE)*(加算率b+VLOOKUP($A33,認こ23号単価!$AA$8:$AC$22,3,FALSE))/'2_区分12加算額計算表'!$D$28,-1)*$C33</f>
        <v>#N/A</v>
      </c>
      <c r="T33" s="109" t="e">
        <f>ROUNDDOWN(VLOOKUP($A33,認こ23号単価!$AA$8:$AC$22,2,FALSE)*(加算率b+VLOOKUP($A33,認こ23号単価!$AA$8:$AC$22,3,FALSE))/'2_区分12加算額計算表'!$D$28,-1)*$C33</f>
        <v>#N/A</v>
      </c>
      <c r="U33" s="109" t="e">
        <f>ROUNDDOWN(VLOOKUP($A33,認こ23号単価!$AA$8:$AC$22,2,FALSE)*(加算率b+VLOOKUP($A33,認こ23号単価!$AA$8:$AC$22,3,FALSE))/'2_区分12加算額計算表'!$D$28,-1)*$C33</f>
        <v>#N/A</v>
      </c>
      <c r="V33" s="109" t="e">
        <f>ROUNDDOWN(VLOOKUP($A33,認こ23号単価!$AA$8:$AC$22,2,FALSE)*(加算率b+VLOOKUP($A33,認こ23号単価!$AA$8:$AC$22,3,FALSE))/'2_区分12加算額計算表'!$D$28,-1)*$C33</f>
        <v>#N/A</v>
      </c>
      <c r="W33" s="109" t="e">
        <f>ROUNDDOWN(VLOOKUP($A33,認こ23号単価!$AA$8:$AC$22,2,FALSE)*(加算率b+VLOOKUP($A33,認こ23号単価!$AA$8:$AC$22,3,FALSE))/'2_区分12加算額計算表'!$D$28,-1)*$C33</f>
        <v>#N/A</v>
      </c>
      <c r="X33" s="109" t="e">
        <f>ROUNDDOWN(VLOOKUP($A33,認こ23号単価!$AA$8:$AC$22,2,FALSE)*(加算率b+VLOOKUP($A33,認こ23号単価!$AA$8:$AC$22,3,FALSE))/'2_区分12加算額計算表'!$D$28,-1)*$C33</f>
        <v>#N/A</v>
      </c>
      <c r="Y33" s="109" t="e">
        <f>ROUNDDOWN(VLOOKUP($A33,認こ23号単価!$AA$8:$AC$22,2,FALSE)*(加算率b+VLOOKUP($A33,認こ23号単価!$AA$8:$AC$22,3,FALSE))/'2_区分12加算額計算表'!$D$28,-1)*$C33</f>
        <v>#N/A</v>
      </c>
      <c r="Z33" s="109" t="e">
        <f>ROUNDDOWN(VLOOKUP($A33,認こ23号単価!$AA$8:$AC$22,2,FALSE)*(加算率b+VLOOKUP($A33,認こ23号単価!$AA$8:$AC$22,3,FALSE))/'2_区分12加算額計算表'!$D$28,-1)*$C33</f>
        <v>#N/A</v>
      </c>
      <c r="AA33" s="109" t="e">
        <f>ROUNDDOWN(VLOOKUP($A33,認こ23号単価!$AA$8:$AC$22,2,FALSE)*(加算率b+VLOOKUP($A33,認こ23号単価!$AA$8:$AC$22,3,FALSE))/'2_区分12加算額計算表'!$D$28,-1)*$C33</f>
        <v>#N/A</v>
      </c>
    </row>
    <row r="34" spans="1:27">
      <c r="A34" s="118" t="e">
        <f t="shared" si="2"/>
        <v>#N/A</v>
      </c>
      <c r="B34" s="98" t="str">
        <f t="shared" si="2"/>
        <v>夜間保育加算単価</v>
      </c>
      <c r="C34" s="101">
        <f t="shared" si="2"/>
        <v>0</v>
      </c>
      <c r="D34" s="109" t="e">
        <f>ROUNDDOWN(VLOOKUP($A34&amp;D$1,単価23号[],認こ23号単価!$Q$1,FALSE)*(加算率b+VLOOKUP($A34&amp;D$1,単価23号[],認こ23号単価!$R$1,FALSE)),-1)*$C34</f>
        <v>#N/A</v>
      </c>
      <c r="E34" s="109" t="e">
        <f>ROUNDDOWN(VLOOKUP($A34&amp;E$1,単価23号[],認こ23号単価!$Q$1,FALSE)*(加算率b+VLOOKUP($A34&amp;E$1,単価23号[],認こ23号単価!$R$1,FALSE)),-1)*$C34</f>
        <v>#N/A</v>
      </c>
      <c r="F34" s="109" t="e">
        <f>ROUNDDOWN(VLOOKUP($A34&amp;F$1,単価23号[],認こ23号単価!$Q$1,FALSE)*(加算率b+VLOOKUP($A34&amp;F$1,単価23号[],認こ23号単価!$R$1,FALSE)),-1)*$C34</f>
        <v>#N/A</v>
      </c>
      <c r="G34" s="109" t="e">
        <f>ROUNDDOWN(VLOOKUP($A34&amp;G$1,単価23号[],認こ23号単価!$Q$1,FALSE)*(加算率b+VLOOKUP($A34&amp;G$1,単価23号[],認こ23号単価!$R$1,FALSE)),-1)*$C34</f>
        <v>#N/A</v>
      </c>
      <c r="H34" s="109" t="e">
        <f>ROUNDDOWN(VLOOKUP($A34&amp;H$1,単価23号[],認こ23号単価!$Q$1,FALSE)*(加算率b+VLOOKUP($A34&amp;H$1,単価23号[],認こ23号単価!$R$1,FALSE)),-1)*$C34</f>
        <v>#N/A</v>
      </c>
      <c r="I34" s="109" t="e">
        <f>ROUNDDOWN(VLOOKUP($A34&amp;I$1,単価23号[],認こ23号単価!$Q$1,FALSE)*(加算率b+VLOOKUP($A34&amp;I$1,単価23号[],認こ23号単価!$R$1,FALSE)),-1)*$C34</f>
        <v>#N/A</v>
      </c>
      <c r="J34" s="109" t="e">
        <f>ROUNDDOWN(VLOOKUP($A34&amp;J$1,単価23号[],認こ23号単価!$Q$1,FALSE)*(加算率b+VLOOKUP($A34&amp;J$1,単価23号[],認こ23号単価!$R$1,FALSE)),-1)*$C34</f>
        <v>#N/A</v>
      </c>
      <c r="K34" s="109" t="e">
        <f>ROUNDDOWN(VLOOKUP($A34&amp;K$1,単価23号[],認こ23号単価!$Q$1,FALSE)*(加算率b+VLOOKUP($A34&amp;K$1,単価23号[],認こ23号単価!$R$1,FALSE)),-1)*$C34</f>
        <v>#N/A</v>
      </c>
      <c r="L34" s="109" t="e">
        <f>ROUNDDOWN(VLOOKUP($A34&amp;L$1,単価23号[],認こ23号単価!$Q$1,FALSE)*(加算率b+VLOOKUP($A34&amp;L$1,単価23号[],認こ23号単価!$R$1,FALSE)),-1)*$C34</f>
        <v>#N/A</v>
      </c>
      <c r="M34" s="109" t="e">
        <f>ROUNDDOWN(VLOOKUP($A34&amp;M$1,単価23号[],認こ23号単価!$Q$1,FALSE)*(加算率b+VLOOKUP($A34&amp;M$1,単価23号[],認こ23号単価!$R$1,FALSE)),-1)*$C34</f>
        <v>#N/A</v>
      </c>
      <c r="N34" s="109" t="e">
        <f>ROUNDDOWN(VLOOKUP($A34&amp;N$1,単価23号[],認こ23号単価!$Q$1,FALSE)*(加算率b+VLOOKUP($A34&amp;N$1,単価23号[],認こ23号単価!$R$1,FALSE)),-1)*$C34</f>
        <v>#N/A</v>
      </c>
      <c r="O34" s="109" t="e">
        <f>ROUNDDOWN(VLOOKUP($A34&amp;O$1,単価23号[],認こ23号単価!$Q$1,FALSE)*(加算率b+VLOOKUP($A34&amp;O$1,単価23号[],認こ23号単価!$R$1,FALSE)),-1)*$C34</f>
        <v>#N/A</v>
      </c>
      <c r="P34" s="109" t="e">
        <f>ROUNDDOWN(VLOOKUP($A34&amp;P$1,単価23号[],認こ23号単価!$Q$1,FALSE)*(加算率b+VLOOKUP($A34&amp;P$1,単価23号[],認こ23号単価!$R$1,FALSE)),-1)*$C34</f>
        <v>#N/A</v>
      </c>
      <c r="Q34" s="109" t="e">
        <f>ROUNDDOWN(VLOOKUP($A34&amp;Q$1,単価23号[],認こ23号単価!$Q$1,FALSE)*(加算率b+VLOOKUP($A34&amp;Q$1,単価23号[],認こ23号単価!$R$1,FALSE)),-1)*$C34</f>
        <v>#N/A</v>
      </c>
      <c r="R34" s="109" t="e">
        <f>ROUNDDOWN(VLOOKUP($A34&amp;R$1,単価23号[],認こ23号単価!$Q$1,FALSE)*(加算率b+VLOOKUP($A34&amp;R$1,単価23号[],認こ23号単価!$R$1,FALSE)),-1)*$C34</f>
        <v>#N/A</v>
      </c>
      <c r="S34" s="109" t="e">
        <f>ROUNDDOWN(VLOOKUP($A34&amp;S$1,単価23号[],認こ23号単価!$Q$1,FALSE)*(加算率b+VLOOKUP($A34&amp;S$1,単価23号[],認こ23号単価!$R$1,FALSE)),-1)*$C34</f>
        <v>#N/A</v>
      </c>
      <c r="T34" s="109" t="e">
        <f>ROUNDDOWN(VLOOKUP($A34&amp;T$1,単価23号[],認こ23号単価!$Q$1,FALSE)*(加算率b+VLOOKUP($A34&amp;T$1,単価23号[],認こ23号単価!$R$1,FALSE)),-1)*$C34</f>
        <v>#N/A</v>
      </c>
      <c r="U34" s="109" t="e">
        <f>ROUNDDOWN(VLOOKUP($A34&amp;U$1,単価23号[],認こ23号単価!$Q$1,FALSE)*(加算率b+VLOOKUP($A34&amp;U$1,単価23号[],認こ23号単価!$R$1,FALSE)),-1)*$C34</f>
        <v>#N/A</v>
      </c>
      <c r="V34" s="109" t="e">
        <f>ROUNDDOWN(VLOOKUP($A34&amp;V$1,単価23号[],認こ23号単価!$Q$1,FALSE)*(加算率b+VLOOKUP($A34&amp;V$1,単価23号[],認こ23号単価!$R$1,FALSE)),-1)*$C34</f>
        <v>#N/A</v>
      </c>
      <c r="W34" s="109" t="e">
        <f>ROUNDDOWN(VLOOKUP($A34&amp;W$1,単価23号[],認こ23号単価!$Q$1,FALSE)*(加算率b+VLOOKUP($A34&amp;W$1,単価23号[],認こ23号単価!$R$1,FALSE)),-1)*$C34</f>
        <v>#N/A</v>
      </c>
      <c r="X34" s="109" t="e">
        <f>ROUNDDOWN(VLOOKUP($A34&amp;X$1,単価23号[],認こ23号単価!$Q$1,FALSE)*(加算率b+VLOOKUP($A34&amp;X$1,単価23号[],認こ23号単価!$R$1,FALSE)),-1)*$C34</f>
        <v>#N/A</v>
      </c>
      <c r="Y34" s="109" t="e">
        <f>ROUNDDOWN(VLOOKUP($A34&amp;Y$1,単価23号[],認こ23号単価!$Q$1,FALSE)*(加算率b+VLOOKUP($A34&amp;Y$1,単価23号[],認こ23号単価!$R$1,FALSE)),-1)*$C34</f>
        <v>#N/A</v>
      </c>
      <c r="Z34" s="109" t="e">
        <f>ROUNDDOWN(VLOOKUP($A34&amp;Z$1,単価23号[],認こ23号単価!$Q$1,FALSE)*(加算率b+VLOOKUP($A34&amp;Z$1,単価23号[],認こ23号単価!$R$1,FALSE)),-1)*$C34</f>
        <v>#N/A</v>
      </c>
      <c r="AA34" s="109" t="e">
        <f>ROUNDDOWN(VLOOKUP($A34&amp;AA$1,単価23号[],認こ23号単価!$Q$1,FALSE)*(加算率b+VLOOKUP($A34&amp;AA$1,単価23号[],認こ23号単価!$R$1,FALSE)),-1)*$C34</f>
        <v>#N/A</v>
      </c>
    </row>
    <row r="35" spans="1:27">
      <c r="A35" s="118" t="e">
        <f t="shared" si="2"/>
        <v>#N/A</v>
      </c>
      <c r="B35" s="98" t="str">
        <f t="shared" si="2"/>
        <v>チーム保育加配加算単価</v>
      </c>
      <c r="C35" s="101">
        <f t="shared" si="2"/>
        <v>0</v>
      </c>
      <c r="D35" s="107"/>
      <c r="E35" s="110"/>
      <c r="F35" s="110"/>
      <c r="G35" s="110"/>
      <c r="H35" s="107"/>
      <c r="I35" s="110"/>
      <c r="J35" s="110"/>
      <c r="K35" s="110"/>
      <c r="L35" s="110"/>
      <c r="M35" s="110"/>
      <c r="N35" s="110"/>
      <c r="O35" s="110"/>
      <c r="P35" s="109" t="e">
        <f>ROUNDDOWN(VLOOKUP($A35,チーム保育加配[],認こ23号単価!$AG$1,FALSE)*(加算率b+VLOOKUP($A35,チーム保育加配[],認こ23号単価!$AH$1,FALSE)),-1)*$C35</f>
        <v>#N/A</v>
      </c>
      <c r="Q35" s="109" t="e">
        <f>ROUNDDOWN(VLOOKUP($A35,チーム保育加配[],認こ23号単価!$AG$1,FALSE)*(加算率b+VLOOKUP($A35,チーム保育加配[],認こ23号単価!$AH$1,FALSE)),-1)*$C35</f>
        <v>#N/A</v>
      </c>
      <c r="R35" s="109" t="e">
        <f>ROUNDDOWN(VLOOKUP($A35,チーム保育加配[],認こ23号単価!$AG$1,FALSE)*(加算率b+VLOOKUP($A35,チーム保育加配[],認こ23号単価!$AH$1,FALSE)),-1)*$C35</f>
        <v>#N/A</v>
      </c>
      <c r="S35" s="109" t="e">
        <f>ROUNDDOWN(VLOOKUP($A35,チーム保育加配[],認こ23号単価!$AG$1,FALSE)*(加算率b+VLOOKUP($A35,チーム保育加配[],認こ23号単価!$AH$1,FALSE)),-1)*$C35</f>
        <v>#N/A</v>
      </c>
      <c r="T35" s="109" t="e">
        <f>ROUNDDOWN(VLOOKUP($A35,チーム保育加配[],認こ23号単価!$AG$1,FALSE)*(加算率b+VLOOKUP($A35,チーム保育加配[],認こ23号単価!$AH$1,FALSE)),-1)*$C35</f>
        <v>#N/A</v>
      </c>
      <c r="U35" s="109" t="e">
        <f>ROUNDDOWN(VLOOKUP($A35,チーム保育加配[],認こ23号単価!$AG$1,FALSE)*(加算率b+VLOOKUP($A35,チーム保育加配[],認こ23号単価!$AH$1,FALSE)),-1)*$C35</f>
        <v>#N/A</v>
      </c>
      <c r="V35" s="109" t="e">
        <f>ROUNDDOWN(VLOOKUP($A35,チーム保育加配[],認こ23号単価!$AG$1,FALSE)*(加算率b+VLOOKUP($A35,チーム保育加配[],認こ23号単価!$AH$1,FALSE)),-1)*$C35</f>
        <v>#N/A</v>
      </c>
      <c r="W35" s="109" t="e">
        <f>ROUNDDOWN(VLOOKUP($A35,チーム保育加配[],認こ23号単価!$AG$1,FALSE)*(加算率b+VLOOKUP($A35,チーム保育加配[],認こ23号単価!$AH$1,FALSE)),-1)*$C35</f>
        <v>#N/A</v>
      </c>
      <c r="X35" s="109" t="e">
        <f>ROUNDDOWN(VLOOKUP($A35,チーム保育加配[],認こ23号単価!$AG$1,FALSE)*(加算率b+VLOOKUP($A35,チーム保育加配[],認こ23号単価!$AH$1,FALSE)),-1)*$C35</f>
        <v>#N/A</v>
      </c>
      <c r="Y35" s="109" t="e">
        <f>ROUNDDOWN(VLOOKUP($A35,チーム保育加配[],認こ23号単価!$AG$1,FALSE)*(加算率b+VLOOKUP($A35,チーム保育加配[],認こ23号単価!$AH$1,FALSE)),-1)*$C35</f>
        <v>#N/A</v>
      </c>
      <c r="Z35" s="109" t="e">
        <f>ROUNDDOWN(VLOOKUP($A35,チーム保育加配[],認こ23号単価!$AG$1,FALSE)*(加算率b+VLOOKUP($A35,チーム保育加配[],認こ23号単価!$AH$1,FALSE)),-1)*$C35</f>
        <v>#N/A</v>
      </c>
      <c r="AA35" s="109" t="e">
        <f>ROUNDDOWN(VLOOKUP($A35,チーム保育加配[],認こ23号単価!$AG$1,FALSE)*(加算率b+VLOOKUP($A35,チーム保育加配[],認こ23号単価!$AH$1,FALSE)),-1)*$C35</f>
        <v>#N/A</v>
      </c>
    </row>
    <row r="36" spans="1:27">
      <c r="A36" s="118">
        <f t="shared" si="2"/>
        <v>0</v>
      </c>
      <c r="B36" s="98" t="str">
        <f t="shared" si="2"/>
        <v>分園の調整</v>
      </c>
      <c r="C36" s="101">
        <f t="shared" si="2"/>
        <v>0</v>
      </c>
      <c r="D36" s="107"/>
      <c r="E36" s="110"/>
      <c r="F36" s="109">
        <f>ROUNDDOWN(SUM(F28:F29)/10,-1)*-1</f>
        <v>0</v>
      </c>
      <c r="G36" s="109">
        <f>ROUNDDOWN(SUM(G28:G29)/10,-1)*-1</f>
        <v>0</v>
      </c>
      <c r="H36" s="107"/>
      <c r="I36" s="110"/>
      <c r="J36" s="109">
        <f>ROUNDDOWN(SUM(J28:J29)/10,-1)*-1</f>
        <v>0</v>
      </c>
      <c r="K36" s="109">
        <f>ROUNDDOWN(SUM(K28:K29)/10,-1)*-1</f>
        <v>0</v>
      </c>
      <c r="L36" s="110"/>
      <c r="M36" s="110"/>
      <c r="N36" s="109">
        <f>ROUNDDOWN(SUM(N28:N29)/10,-1)*-1</f>
        <v>0</v>
      </c>
      <c r="O36" s="109">
        <f>ROUNDDOWN(SUM(O28:O29)/10,-1)*-1</f>
        <v>0</v>
      </c>
      <c r="P36" s="110"/>
      <c r="Q36" s="110"/>
      <c r="R36" s="109">
        <f>ROUNDDOWN(SUM(R28:R29)/10,-1)*-1</f>
        <v>0</v>
      </c>
      <c r="S36" s="109">
        <f>ROUNDDOWN(SUM(S28:S29)/10,-1)*-1</f>
        <v>0</v>
      </c>
      <c r="T36" s="110"/>
      <c r="U36" s="110"/>
      <c r="V36" s="113">
        <f>ROUNDDOWN(SUM(V28:V29)/10,-1)*-1</f>
        <v>0</v>
      </c>
      <c r="W36" s="109">
        <f>ROUNDDOWN(SUM(W28:W29)/10,-1)*-1</f>
        <v>0</v>
      </c>
      <c r="X36" s="110"/>
      <c r="Y36" s="110"/>
      <c r="Z36" s="109">
        <f>ROUNDDOWN(SUM(Z28:Z29)/10,-1)*-1</f>
        <v>0</v>
      </c>
      <c r="AA36" s="109">
        <f>ROUNDDOWN(SUM(AA28:AA29)/10,-1)*-1</f>
        <v>0</v>
      </c>
    </row>
    <row r="37" spans="1:27">
      <c r="A37" s="118" t="e">
        <f t="shared" si="2"/>
        <v>#N/A</v>
      </c>
      <c r="B37" s="98" t="str">
        <f t="shared" si="2"/>
        <v>主幹教諭等専任化なしの調整</v>
      </c>
      <c r="C37" s="101">
        <f t="shared" si="2"/>
        <v>0</v>
      </c>
      <c r="D37" s="109" t="e">
        <f>IF(VLOOKUP($A37&amp;D$1,単価23号[],認こ23号単価!$W$1,FALSE)*(加算率b+VLOOKUP($A37&amp;D$1,単価23号[],認こ23号単価!$X$1,FALSE))&gt;=10,
ROUNDDOWN(VLOOKUP($A37&amp;D$1,単価23号[],認こ23号単価!$W$1,FALSE)*(加算率b+VLOOKUP($A37&amp;D$1,単価23号[],認こ23号単価!$X$1,FALSE)),-1),
ROUNDDOWN(VLOOKUP($A37&amp;D$1,単価23号[],認こ23号単価!$W$1,FALSE)*(加算率b+VLOOKUP($A37&amp;D$1,単価23号[],認こ23号単価!$X$1,FALSE)),0))*-1*$C37</f>
        <v>#N/A</v>
      </c>
      <c r="E37" s="109" t="e">
        <f>IF(VLOOKUP($A37&amp;E$1,単価23号[],認こ23号単価!$W$1,FALSE)*(加算率b+VLOOKUP($A37&amp;E$1,単価23号[],認こ23号単価!$X$1,FALSE))&gt;=10,
ROUNDDOWN(VLOOKUP($A37&amp;E$1,単価23号[],認こ23号単価!$W$1,FALSE)*(加算率b+VLOOKUP($A37&amp;E$1,単価23号[],認こ23号単価!$X$1,FALSE)),-1),
ROUNDDOWN(VLOOKUP($A37&amp;E$1,単価23号[],認こ23号単価!$W$1,FALSE)*(加算率b+VLOOKUP($A37&amp;E$1,単価23号[],認こ23号単価!$X$1,FALSE)),0))*-1*$C37</f>
        <v>#N/A</v>
      </c>
      <c r="F37" s="109" t="e">
        <f>IF(VLOOKUP($A37&amp;F$1,単価23号[],認こ23号単価!$W$1,FALSE)*(加算率b+VLOOKUP($A37&amp;F$1,単価23号[],認こ23号単価!$X$1,FALSE))&gt;=10,
ROUNDDOWN(VLOOKUP($A37&amp;F$1,単価23号[],認こ23号単価!$W$1,FALSE)*(加算率b+VLOOKUP($A37&amp;F$1,単価23号[],認こ23号単価!$X$1,FALSE)),-1),
ROUNDDOWN(VLOOKUP($A37&amp;F$1,単価23号[],認こ23号単価!$W$1,FALSE)*(加算率b+VLOOKUP($A37&amp;F$1,単価23号[],認こ23号単価!$X$1,FALSE)),0))*-1*$C37</f>
        <v>#N/A</v>
      </c>
      <c r="G37" s="109" t="e">
        <f>IF(VLOOKUP($A37&amp;G$1,単価23号[],認こ23号単価!$W$1,FALSE)*(加算率b+VLOOKUP($A37&amp;G$1,単価23号[],認こ23号単価!$X$1,FALSE))&gt;=10,
ROUNDDOWN(VLOOKUP($A37&amp;G$1,単価23号[],認こ23号単価!$W$1,FALSE)*(加算率b+VLOOKUP($A37&amp;G$1,単価23号[],認こ23号単価!$X$1,FALSE)),-1),
ROUNDDOWN(VLOOKUP($A37&amp;G$1,単価23号[],認こ23号単価!$W$1,FALSE)*(加算率b+VLOOKUP($A37&amp;G$1,単価23号[],認こ23号単価!$X$1,FALSE)),0))*-1*$C37</f>
        <v>#N/A</v>
      </c>
      <c r="H37" s="109" t="e">
        <f>IF(VLOOKUP($A37&amp;H$1,単価23号[],認こ23号単価!$W$1,FALSE)*(加算率b+VLOOKUP($A37&amp;H$1,単価23号[],認こ23号単価!$X$1,FALSE))&gt;=10,
ROUNDDOWN(VLOOKUP($A37&amp;H$1,単価23号[],認こ23号単価!$W$1,FALSE)*(加算率b+VLOOKUP($A37&amp;H$1,単価23号[],認こ23号単価!$X$1,FALSE)),-1),
ROUNDDOWN(VLOOKUP($A37&amp;H$1,単価23号[],認こ23号単価!$W$1,FALSE)*(加算率b+VLOOKUP($A37&amp;H$1,単価23号[],認こ23号単価!$X$1,FALSE)),0))*-1*$C37</f>
        <v>#N/A</v>
      </c>
      <c r="I37" s="109" t="e">
        <f>IF(VLOOKUP($A37&amp;I$1,単価23号[],認こ23号単価!$W$1,FALSE)*(加算率b+VLOOKUP($A37&amp;I$1,単価23号[],認こ23号単価!$X$1,FALSE))&gt;=10,
ROUNDDOWN(VLOOKUP($A37&amp;I$1,単価23号[],認こ23号単価!$W$1,FALSE)*(加算率b+VLOOKUP($A37&amp;I$1,単価23号[],認こ23号単価!$X$1,FALSE)),-1),
ROUNDDOWN(VLOOKUP($A37&amp;I$1,単価23号[],認こ23号単価!$W$1,FALSE)*(加算率b+VLOOKUP($A37&amp;I$1,単価23号[],認こ23号単価!$X$1,FALSE)),0))*-1*$C37</f>
        <v>#N/A</v>
      </c>
      <c r="J37" s="109" t="e">
        <f>IF(VLOOKUP($A37&amp;J$1,単価23号[],認こ23号単価!$W$1,FALSE)*(加算率b+VLOOKUP($A37&amp;J$1,単価23号[],認こ23号単価!$X$1,FALSE))&gt;=10,
ROUNDDOWN(VLOOKUP($A37&amp;J$1,単価23号[],認こ23号単価!$W$1,FALSE)*(加算率b+VLOOKUP($A37&amp;J$1,単価23号[],認こ23号単価!$X$1,FALSE)),-1),
ROUNDDOWN(VLOOKUP($A37&amp;J$1,単価23号[],認こ23号単価!$W$1,FALSE)*(加算率b+VLOOKUP($A37&amp;J$1,単価23号[],認こ23号単価!$X$1,FALSE)),0))*-1*$C37</f>
        <v>#N/A</v>
      </c>
      <c r="K37" s="109" t="e">
        <f>IF(VLOOKUP($A37&amp;K$1,単価23号[],認こ23号単価!$W$1,FALSE)*(加算率b+VLOOKUP($A37&amp;K$1,単価23号[],認こ23号単価!$X$1,FALSE))&gt;=10,
ROUNDDOWN(VLOOKUP($A37&amp;K$1,単価23号[],認こ23号単価!$W$1,FALSE)*(加算率b+VLOOKUP($A37&amp;K$1,単価23号[],認こ23号単価!$X$1,FALSE)),-1),
ROUNDDOWN(VLOOKUP($A37&amp;K$1,単価23号[],認こ23号単価!$W$1,FALSE)*(加算率b+VLOOKUP($A37&amp;K$1,単価23号[],認こ23号単価!$X$1,FALSE)),0))*-1*$C37</f>
        <v>#N/A</v>
      </c>
      <c r="L37" s="109" t="e">
        <f>IF(VLOOKUP($A37&amp;L$1,単価23号[],認こ23号単価!$W$1,FALSE)*(加算率b+VLOOKUP($A37&amp;L$1,単価23号[],認こ23号単価!$X$1,FALSE))&gt;=10,
ROUNDDOWN(VLOOKUP($A37&amp;L$1,単価23号[],認こ23号単価!$W$1,FALSE)*(加算率b+VLOOKUP($A37&amp;L$1,単価23号[],認こ23号単価!$X$1,FALSE)),-1),
ROUNDDOWN(VLOOKUP($A37&amp;L$1,単価23号[],認こ23号単価!$W$1,FALSE)*(加算率b+VLOOKUP($A37&amp;L$1,単価23号[],認こ23号単価!$X$1,FALSE)),0))*-1*$C37</f>
        <v>#N/A</v>
      </c>
      <c r="M37" s="109" t="e">
        <f>IF(VLOOKUP($A37&amp;M$1,単価23号[],認こ23号単価!$W$1,FALSE)*(加算率b+VLOOKUP($A37&amp;M$1,単価23号[],認こ23号単価!$X$1,FALSE))&gt;=10,
ROUNDDOWN(VLOOKUP($A37&amp;M$1,単価23号[],認こ23号単価!$W$1,FALSE)*(加算率b+VLOOKUP($A37&amp;M$1,単価23号[],認こ23号単価!$X$1,FALSE)),-1),
ROUNDDOWN(VLOOKUP($A37&amp;M$1,単価23号[],認こ23号単価!$W$1,FALSE)*(加算率b+VLOOKUP($A37&amp;M$1,単価23号[],認こ23号単価!$X$1,FALSE)),0))*-1*$C37</f>
        <v>#N/A</v>
      </c>
      <c r="N37" s="109" t="e">
        <f>IF(VLOOKUP($A37&amp;N$1,単価23号[],認こ23号単価!$W$1,FALSE)*(加算率b+VLOOKUP($A37&amp;N$1,単価23号[],認こ23号単価!$X$1,FALSE))&gt;=10,
ROUNDDOWN(VLOOKUP($A37&amp;N$1,単価23号[],認こ23号単価!$W$1,FALSE)*(加算率b+VLOOKUP($A37&amp;N$1,単価23号[],認こ23号単価!$X$1,FALSE)),-1),
ROUNDDOWN(VLOOKUP($A37&amp;N$1,単価23号[],認こ23号単価!$W$1,FALSE)*(加算率b+VLOOKUP($A37&amp;N$1,単価23号[],認こ23号単価!$X$1,FALSE)),0))*-1*$C37</f>
        <v>#N/A</v>
      </c>
      <c r="O37" s="109" t="e">
        <f>IF(VLOOKUP($A37&amp;O$1,単価23号[],認こ23号単価!$W$1,FALSE)*(加算率b+VLOOKUP($A37&amp;O$1,単価23号[],認こ23号単価!$X$1,FALSE))&gt;=10,
ROUNDDOWN(VLOOKUP($A37&amp;O$1,単価23号[],認こ23号単価!$W$1,FALSE)*(加算率b+VLOOKUP($A37&amp;O$1,単価23号[],認こ23号単価!$X$1,FALSE)),-1),
ROUNDDOWN(VLOOKUP($A37&amp;O$1,単価23号[],認こ23号単価!$W$1,FALSE)*(加算率b+VLOOKUP($A37&amp;O$1,単価23号[],認こ23号単価!$X$1,FALSE)),0))*-1*$C37</f>
        <v>#N/A</v>
      </c>
      <c r="P37" s="109" t="e">
        <f>IF(VLOOKUP($A37&amp;P$1,単価23号[],認こ23号単価!$W$1,FALSE)*(加算率b+VLOOKUP($A37&amp;P$1,単価23号[],認こ23号単価!$X$1,FALSE))&gt;=10,
ROUNDDOWN(VLOOKUP($A37&amp;P$1,単価23号[],認こ23号単価!$W$1,FALSE)*(加算率b+VLOOKUP($A37&amp;P$1,単価23号[],認こ23号単価!$X$1,FALSE)),-1),
ROUNDDOWN(VLOOKUP($A37&amp;P$1,単価23号[],認こ23号単価!$W$1,FALSE)*(加算率b+VLOOKUP($A37&amp;P$1,単価23号[],認こ23号単価!$X$1,FALSE)),0))*-1*$C37</f>
        <v>#N/A</v>
      </c>
      <c r="Q37" s="109" t="e">
        <f>IF(VLOOKUP($A37&amp;Q$1,単価23号[],認こ23号単価!$W$1,FALSE)*(加算率b+VLOOKUP($A37&amp;Q$1,単価23号[],認こ23号単価!$X$1,FALSE))&gt;=10,
ROUNDDOWN(VLOOKUP($A37&amp;Q$1,単価23号[],認こ23号単価!$W$1,FALSE)*(加算率b+VLOOKUP($A37&amp;Q$1,単価23号[],認こ23号単価!$X$1,FALSE)),-1),
ROUNDDOWN(VLOOKUP($A37&amp;Q$1,単価23号[],認こ23号単価!$W$1,FALSE)*(加算率b+VLOOKUP($A37&amp;Q$1,単価23号[],認こ23号単価!$X$1,FALSE)),0))*-1*$C37</f>
        <v>#N/A</v>
      </c>
      <c r="R37" s="109" t="e">
        <f>IF(VLOOKUP($A37&amp;R$1,単価23号[],認こ23号単価!$W$1,FALSE)*(加算率b+VLOOKUP($A37&amp;R$1,単価23号[],認こ23号単価!$X$1,FALSE))&gt;=10,
ROUNDDOWN(VLOOKUP($A37&amp;R$1,単価23号[],認こ23号単価!$W$1,FALSE)*(加算率b+VLOOKUP($A37&amp;R$1,単価23号[],認こ23号単価!$X$1,FALSE)),-1),
ROUNDDOWN(VLOOKUP($A37&amp;R$1,単価23号[],認こ23号単価!$W$1,FALSE)*(加算率b+VLOOKUP($A37&amp;R$1,単価23号[],認こ23号単価!$X$1,FALSE)),0))*-1*$C37</f>
        <v>#N/A</v>
      </c>
      <c r="S37" s="109" t="e">
        <f>IF(VLOOKUP($A37&amp;S$1,単価23号[],認こ23号単価!$W$1,FALSE)*(加算率b+VLOOKUP($A37&amp;S$1,単価23号[],認こ23号単価!$X$1,FALSE))&gt;=10,
ROUNDDOWN(VLOOKUP($A37&amp;S$1,単価23号[],認こ23号単価!$W$1,FALSE)*(加算率b+VLOOKUP($A37&amp;S$1,単価23号[],認こ23号単価!$X$1,FALSE)),-1),
ROUNDDOWN(VLOOKUP($A37&amp;S$1,単価23号[],認こ23号単価!$W$1,FALSE)*(加算率b+VLOOKUP($A37&amp;S$1,単価23号[],認こ23号単価!$X$1,FALSE)),0))*-1*$C37</f>
        <v>#N/A</v>
      </c>
      <c r="T37" s="109" t="e">
        <f>IF(VLOOKUP($A37&amp;T$1,単価23号[],認こ23号単価!$W$1,FALSE)*(加算率b+VLOOKUP($A37&amp;T$1,単価23号[],認こ23号単価!$X$1,FALSE))&gt;=10,
ROUNDDOWN(VLOOKUP($A37&amp;T$1,単価23号[],認こ23号単価!$W$1,FALSE)*(加算率b+VLOOKUP($A37&amp;T$1,単価23号[],認こ23号単価!$X$1,FALSE)),-1),
ROUNDDOWN(VLOOKUP($A37&amp;T$1,単価23号[],認こ23号単価!$W$1,FALSE)*(加算率b+VLOOKUP($A37&amp;T$1,単価23号[],認こ23号単価!$X$1,FALSE)),0))*-1*$C37</f>
        <v>#N/A</v>
      </c>
      <c r="U37" s="109" t="e">
        <f>IF(VLOOKUP($A37&amp;U$1,単価23号[],認こ23号単価!$W$1,FALSE)*(加算率b+VLOOKUP($A37&amp;U$1,単価23号[],認こ23号単価!$X$1,FALSE))&gt;=10,
ROUNDDOWN(VLOOKUP($A37&amp;U$1,単価23号[],認こ23号単価!$W$1,FALSE)*(加算率b+VLOOKUP($A37&amp;U$1,単価23号[],認こ23号単価!$X$1,FALSE)),-1),
ROUNDDOWN(VLOOKUP($A37&amp;U$1,単価23号[],認こ23号単価!$W$1,FALSE)*(加算率b+VLOOKUP($A37&amp;U$1,単価23号[],認こ23号単価!$X$1,FALSE)),0))*-1*$C37</f>
        <v>#N/A</v>
      </c>
      <c r="V37" s="109" t="e">
        <f>IF(VLOOKUP($A37&amp;V$1,単価23号[],認こ23号単価!$W$1,FALSE)*(加算率b+VLOOKUP($A37&amp;V$1,単価23号[],認こ23号単価!$X$1,FALSE))&gt;=10,
ROUNDDOWN(VLOOKUP($A37&amp;V$1,単価23号[],認こ23号単価!$W$1,FALSE)*(加算率b+VLOOKUP($A37&amp;V$1,単価23号[],認こ23号単価!$X$1,FALSE)),-1),
ROUNDDOWN(VLOOKUP($A37&amp;V$1,単価23号[],認こ23号単価!$W$1,FALSE)*(加算率b+VLOOKUP($A37&amp;V$1,単価23号[],認こ23号単価!$X$1,FALSE)),0))*-1*$C37</f>
        <v>#N/A</v>
      </c>
      <c r="W37" s="109" t="e">
        <f>IF(VLOOKUP($A37&amp;W$1,単価23号[],認こ23号単価!$W$1,FALSE)*(加算率b+VLOOKUP($A37&amp;W$1,単価23号[],認こ23号単価!$X$1,FALSE))&gt;=10,
ROUNDDOWN(VLOOKUP($A37&amp;W$1,単価23号[],認こ23号単価!$W$1,FALSE)*(加算率b+VLOOKUP($A37&amp;W$1,単価23号[],認こ23号単価!$X$1,FALSE)),-1),
ROUNDDOWN(VLOOKUP($A37&amp;W$1,単価23号[],認こ23号単価!$W$1,FALSE)*(加算率b+VLOOKUP($A37&amp;W$1,単価23号[],認こ23号単価!$X$1,FALSE)),0))*-1*$C37</f>
        <v>#N/A</v>
      </c>
      <c r="X37" s="109" t="e">
        <f>IF(VLOOKUP($A37&amp;X$1,単価23号[],認こ23号単価!$W$1,FALSE)*(加算率b+VLOOKUP($A37&amp;X$1,単価23号[],認こ23号単価!$X$1,FALSE))&gt;=10,
ROUNDDOWN(VLOOKUP($A37&amp;X$1,単価23号[],認こ23号単価!$W$1,FALSE)*(加算率b+VLOOKUP($A37&amp;X$1,単価23号[],認こ23号単価!$X$1,FALSE)),-1),
ROUNDDOWN(VLOOKUP($A37&amp;X$1,単価23号[],認こ23号単価!$W$1,FALSE)*(加算率b+VLOOKUP($A37&amp;X$1,単価23号[],認こ23号単価!$X$1,FALSE)),0))*-1*$C37</f>
        <v>#N/A</v>
      </c>
      <c r="Y37" s="109" t="e">
        <f>IF(VLOOKUP($A37&amp;Y$1,単価23号[],認こ23号単価!$W$1,FALSE)*(加算率b+VLOOKUP($A37&amp;Y$1,単価23号[],認こ23号単価!$X$1,FALSE))&gt;=10,
ROUNDDOWN(VLOOKUP($A37&amp;Y$1,単価23号[],認こ23号単価!$W$1,FALSE)*(加算率b+VLOOKUP($A37&amp;Y$1,単価23号[],認こ23号単価!$X$1,FALSE)),-1),
ROUNDDOWN(VLOOKUP($A37&amp;Y$1,単価23号[],認こ23号単価!$W$1,FALSE)*(加算率b+VLOOKUP($A37&amp;Y$1,単価23号[],認こ23号単価!$X$1,FALSE)),0))*-1*$C37</f>
        <v>#N/A</v>
      </c>
      <c r="Z37" s="109" t="e">
        <f>IF(VLOOKUP($A37&amp;Z$1,単価23号[],認こ23号単価!$W$1,FALSE)*(加算率b+VLOOKUP($A37&amp;Z$1,単価23号[],認こ23号単価!$X$1,FALSE))&gt;=10,
ROUNDDOWN(VLOOKUP($A37&amp;Z$1,単価23号[],認こ23号単価!$W$1,FALSE)*(加算率b+VLOOKUP($A37&amp;Z$1,単価23号[],認こ23号単価!$X$1,FALSE)),-1),
ROUNDDOWN(VLOOKUP($A37&amp;Z$1,単価23号[],認こ23号単価!$W$1,FALSE)*(加算率b+VLOOKUP($A37&amp;Z$1,単価23号[],認こ23号単価!$X$1,FALSE)),0))*-1*$C37</f>
        <v>#N/A</v>
      </c>
      <c r="AA37" s="109" t="e">
        <f>IF(VLOOKUP($A37&amp;AA$1,単価23号[],認こ23号単価!$W$1,FALSE)*(加算率b+VLOOKUP($A37&amp;AA$1,単価23号[],認こ23号単価!$X$1,FALSE))&gt;=10,
ROUNDDOWN(VLOOKUP($A37&amp;AA$1,単価23号[],認こ23号単価!$W$1,FALSE)*(加算率b+VLOOKUP($A37&amp;AA$1,単価23号[],認こ23号単価!$X$1,FALSE)),-1),
ROUNDDOWN(VLOOKUP($A37&amp;AA$1,単価23号[],認こ23号単価!$W$1,FALSE)*(加算率b+VLOOKUP($A37&amp;AA$1,単価23号[],認こ23号単価!$X$1,FALSE)),0))*-1*$C37</f>
        <v>#N/A</v>
      </c>
    </row>
    <row r="38" spans="1:27">
      <c r="A38" s="118">
        <f t="shared" si="2"/>
        <v>1</v>
      </c>
      <c r="B38" s="98" t="str">
        <f t="shared" si="2"/>
        <v>療育支援加算単価</v>
      </c>
      <c r="C38" s="101">
        <f t="shared" si="2"/>
        <v>0</v>
      </c>
      <c r="D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E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F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G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H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I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J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K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L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M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N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O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P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Q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R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S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T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U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V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W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X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Y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Z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c r="AA38" s="109" t="e">
        <f>IF(VLOOKUP($A38,療育支援23号[],認こ23号単価!$AM$1,FALSE)*(加算率b+VLOOKUP($A38,療育支援23号[],認こ23号単価!$AN$1,FALSE))/'2_区分12加算額計算表'!$D$28&gt;=10,
ROUNDDOWN(VLOOKUP($A38,療育支援23号[],認こ23号単価!$AM$1,FALSE)*(加算率b+VLOOKUP($A38,療育支援23号[],認こ23号単価!$AN$1,FALSE))/'2_区分12加算額計算表'!$D$28,-1),
ROUNDDOWN(VLOOKUP($A38,療育支援23号[],認こ23号単価!$AM$1,FALSE)*(加算率b+VLOOKUP($A38,療育支援23号[],認こ23号単価!$AN$1,FALSE))/'2_区分12加算額計算表'!$D$28,0))*$C38</f>
        <v>#N/A</v>
      </c>
    </row>
    <row r="39" spans="1:27">
      <c r="A39" s="118">
        <f t="shared" si="2"/>
        <v>0</v>
      </c>
      <c r="B39" s="99" t="str">
        <f t="shared" si="2"/>
        <v>栄養管理加算単価</v>
      </c>
      <c r="C39" s="102">
        <f t="shared" si="2"/>
        <v>0</v>
      </c>
      <c r="D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E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F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G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H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I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J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K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L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M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N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O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P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Q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R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S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T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U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V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W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X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Y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Z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c r="AA39" s="111" t="e">
        <f>IF(VLOOKUP($A39,栄養管理23号[],認こ23号単価!$AR$1,FALSE)*(加算率b+VLOOKUP($A39,栄養管理23号[],認こ23号単価!$AS$1,FALSE))/'2_区分12加算額計算表'!$D$28&gt;=10,
ROUNDDOWN(VLOOKUP($A39,栄養管理23号[],認こ23号単価!$AR$1,FALSE)*(加算率b+VLOOKUP($A39,栄養管理23号[],認こ23号単価!$AS$1,FALSE))/'2_区分12加算額計算表'!$D$28,-1),
ROUNDDOWN(VLOOKUP($A39,栄養管理23号[],認こ23号単価!$AR$1,FALSE)*(加算率b+VLOOKUP($A39,栄養管理23号[],認こ23号単価!$AS$1,FALSE))/'2_区分12加算額計算表'!$D$28,0))*$C39</f>
        <v>#N/A</v>
      </c>
    </row>
    <row r="40" spans="1:27">
      <c r="A40" s="118" t="e">
        <f t="shared" si="2"/>
        <v>#N/A</v>
      </c>
      <c r="B40" s="94" t="str">
        <f t="shared" si="2"/>
        <v>土曜閉所減算単価</v>
      </c>
      <c r="C40" s="89" t="str">
        <f t="shared" si="2"/>
        <v>Q</v>
      </c>
      <c r="D40" s="109">
        <f>IF($C40="Q",0,ROUNDDOWN(SUM(D26:D32,D34)*VLOOKUP($A40&amp;D$1,単価23号[],認こ23号単価!$S$1+$C40,FALSE),-1))*-1</f>
        <v>0</v>
      </c>
      <c r="E40" s="109">
        <f>IF($C40="Q",0,ROUNDDOWN(SUM(E26:E32,E34)*VLOOKUP($A40&amp;E$1,単価23号[],認こ23号単価!$S$1+$C40,FALSE),-1))*-1</f>
        <v>0</v>
      </c>
      <c r="F40" s="109">
        <f>IF($C40="Q",0,ROUNDDOWN(SUM(F26:F32,F34)*VLOOKUP($A40&amp;F$1,単価23号[],認こ23号単価!$S$1+$C40,FALSE),-1))*-1</f>
        <v>0</v>
      </c>
      <c r="G40" s="109">
        <f>IF($C40="Q",0,ROUNDDOWN(SUM(G26:G32,G34)*VLOOKUP($A40&amp;G$1,単価23号[],認こ23号単価!$S$1+$C40,FALSE),-1))*-1</f>
        <v>0</v>
      </c>
      <c r="H40" s="109">
        <f>IF($C40="Q",0,ROUNDDOWN(SUM(H26:H32,H34)*VLOOKUP($A40&amp;H$1,単価23号[],認こ23号単価!$S$1+$C40,FALSE),-1))*-1</f>
        <v>0</v>
      </c>
      <c r="I40" s="109">
        <f>IF($C40="Q",0,ROUNDDOWN(SUM(I26:I32,I34)*VLOOKUP($A40&amp;I$1,単価23号[],認こ23号単価!$S$1+$C40,FALSE),-1))*-1</f>
        <v>0</v>
      </c>
      <c r="J40" s="109">
        <f>IF($C40="Q",0,ROUNDDOWN(SUM(J26:J32,J34)*VLOOKUP($A40&amp;J$1,単価23号[],認こ23号単価!$S$1+$C40,FALSE),-1))*-1</f>
        <v>0</v>
      </c>
      <c r="K40" s="109">
        <f>IF($C40="Q",0,ROUNDDOWN(SUM(K26:K32,K34)*VLOOKUP($A40&amp;K$1,単価23号[],認こ23号単価!$S$1+$C40,FALSE),-1))*-1</f>
        <v>0</v>
      </c>
      <c r="L40" s="109">
        <f>IF($C40="Q",0,ROUNDDOWN(SUM(L26:L32,L34)*VLOOKUP($A40&amp;L$1,単価23号[],認こ23号単価!$S$1+$C40,FALSE),-1))*-1</f>
        <v>0</v>
      </c>
      <c r="M40" s="109">
        <f>IF($C40="Q",0,ROUNDDOWN(SUM(M26:M32,M34)*VLOOKUP($A40&amp;M$1,単価23号[],認こ23号単価!$S$1+$C40,FALSE),-1))*-1</f>
        <v>0</v>
      </c>
      <c r="N40" s="109">
        <f>IF($C40="Q",0,ROUNDDOWN(SUM(N26:N32,N34)*VLOOKUP($A40&amp;N$1,単価23号[],認こ23号単価!$S$1+$C40,FALSE),-1))*-1</f>
        <v>0</v>
      </c>
      <c r="O40" s="109">
        <f>IF($C40="Q",0,ROUNDDOWN(SUM(O26:O32,O34)*VLOOKUP($A40&amp;O$1,単価23号[],認こ23号単価!$S$1+$C40,FALSE),-1))*-1</f>
        <v>0</v>
      </c>
      <c r="P40" s="109">
        <f>IF($C40="Q",0,ROUNDDOWN(SUM(P26:P32,P34)*VLOOKUP($A40&amp;P$1,単価23号[],認こ23号単価!$S$1+$C40,FALSE),-1))*-1</f>
        <v>0</v>
      </c>
      <c r="Q40" s="109">
        <f>IF($C40="Q",0,ROUNDDOWN(SUM(Q26:Q32,Q34)*VLOOKUP($A40&amp;Q$1,単価23号[],認こ23号単価!$S$1+$C40,FALSE),-1))*-1</f>
        <v>0</v>
      </c>
      <c r="R40" s="109">
        <f>IF($C40="Q",0,ROUNDDOWN(SUM(R26:R32,R34)*VLOOKUP($A40&amp;R$1,単価23号[],認こ23号単価!$S$1+$C40,FALSE),-1))*-1</f>
        <v>0</v>
      </c>
      <c r="S40" s="109">
        <f>IF($C40="Q",0,ROUNDDOWN(SUM(S26:S32,S34)*VLOOKUP($A40&amp;S$1,単価23号[],認こ23号単価!$S$1+$C40,FALSE),-1))*-1</f>
        <v>0</v>
      </c>
      <c r="T40" s="109">
        <f>IF($C40="Q",0,ROUNDDOWN(SUM(T26:T32,T34)*VLOOKUP($A40&amp;T$1,単価23号[],認こ23号単価!$S$1+$C40,FALSE),-1))*-1</f>
        <v>0</v>
      </c>
      <c r="U40" s="109">
        <f>IF($C40="Q",0,ROUNDDOWN(SUM(U26:U32,U34)*VLOOKUP($A40&amp;U$1,単価23号[],認こ23号単価!$S$1+$C40,FALSE),-1))*-1</f>
        <v>0</v>
      </c>
      <c r="V40" s="109">
        <f>IF($C40="Q",0,ROUNDDOWN(SUM(V26:V32,V34)*VLOOKUP($A40&amp;V$1,単価23号[],認こ23号単価!$S$1+$C40,FALSE),-1))*-1</f>
        <v>0</v>
      </c>
      <c r="W40" s="109">
        <f>IF($C40="Q",0,ROUNDDOWN(SUM(W26:W32,W34)*VLOOKUP($A40&amp;W$1,単価23号[],認こ23号単価!$S$1+$C40,FALSE),-1))*-1</f>
        <v>0</v>
      </c>
      <c r="X40" s="109">
        <f>IF($C40="Q",0,ROUNDDOWN(SUM(X26:X32,X34)*VLOOKUP($A40&amp;X$1,単価23号[],認こ23号単価!$S$1+$C40,FALSE),-1))*-1</f>
        <v>0</v>
      </c>
      <c r="Y40" s="109">
        <f>IF($C40="Q",0,ROUNDDOWN(SUM(Y26:Y32,Y34)*VLOOKUP($A40&amp;Y$1,単価23号[],認こ23号単価!$S$1+$C40,FALSE),-1))*-1</f>
        <v>0</v>
      </c>
      <c r="Z40" s="109">
        <f>IF($C40="Q",0,ROUNDDOWN(SUM(Z26:Z32,Z34)*VLOOKUP($A40&amp;Z$1,単価23号[],認こ23号単価!$S$1+$C40,FALSE),-1))*-1</f>
        <v>0</v>
      </c>
      <c r="AA40" s="109">
        <f>IF($C40="Q",0,ROUNDDOWN(SUM(AA26:AA32,AA34)*VLOOKUP($A40&amp;AA$1,単価23号[],認こ23号単価!$S$1+$C40,FALSE),-1))*-1</f>
        <v>0</v>
      </c>
    </row>
    <row r="41" spans="1:27">
      <c r="B41" s="72" t="str">
        <f>B22</f>
        <v>単価計（②）</v>
      </c>
      <c r="C41" s="74"/>
      <c r="D41" s="122" t="e">
        <f t="shared" ref="D41:AA41" si="3">SUM(D26:D40)</f>
        <v>#N/A</v>
      </c>
      <c r="E41" s="122" t="e">
        <f t="shared" si="3"/>
        <v>#N/A</v>
      </c>
      <c r="F41" s="122" t="e">
        <f t="shared" si="3"/>
        <v>#N/A</v>
      </c>
      <c r="G41" s="122" t="e">
        <f t="shared" si="3"/>
        <v>#N/A</v>
      </c>
      <c r="H41" s="122" t="e">
        <f t="shared" si="3"/>
        <v>#N/A</v>
      </c>
      <c r="I41" s="122" t="e">
        <f t="shared" si="3"/>
        <v>#N/A</v>
      </c>
      <c r="J41" s="122" t="e">
        <f t="shared" si="3"/>
        <v>#N/A</v>
      </c>
      <c r="K41" s="122" t="e">
        <f t="shared" si="3"/>
        <v>#N/A</v>
      </c>
      <c r="L41" s="122" t="e">
        <f t="shared" si="3"/>
        <v>#N/A</v>
      </c>
      <c r="M41" s="122" t="e">
        <f t="shared" si="3"/>
        <v>#N/A</v>
      </c>
      <c r="N41" s="122" t="e">
        <f t="shared" si="3"/>
        <v>#N/A</v>
      </c>
      <c r="O41" s="122" t="e">
        <f t="shared" si="3"/>
        <v>#N/A</v>
      </c>
      <c r="P41" s="122" t="e">
        <f t="shared" si="3"/>
        <v>#N/A</v>
      </c>
      <c r="Q41" s="122" t="e">
        <f t="shared" si="3"/>
        <v>#N/A</v>
      </c>
      <c r="R41" s="122" t="e">
        <f t="shared" si="3"/>
        <v>#N/A</v>
      </c>
      <c r="S41" s="122" t="e">
        <f t="shared" si="3"/>
        <v>#N/A</v>
      </c>
      <c r="T41" s="122" t="e">
        <f t="shared" si="3"/>
        <v>#N/A</v>
      </c>
      <c r="U41" s="122" t="e">
        <f t="shared" si="3"/>
        <v>#N/A</v>
      </c>
      <c r="V41" s="122" t="e">
        <f t="shared" si="3"/>
        <v>#N/A</v>
      </c>
      <c r="W41" s="122" t="e">
        <f t="shared" si="3"/>
        <v>#N/A</v>
      </c>
      <c r="X41" s="122" t="e">
        <f t="shared" si="3"/>
        <v>#N/A</v>
      </c>
      <c r="Y41" s="122" t="e">
        <f t="shared" si="3"/>
        <v>#N/A</v>
      </c>
      <c r="Z41" s="122" t="e">
        <f t="shared" si="3"/>
        <v>#N/A</v>
      </c>
      <c r="AA41" s="122" t="e">
        <f t="shared" si="3"/>
        <v>#N/A</v>
      </c>
    </row>
    <row r="42" spans="1:27">
      <c r="B42" s="72" t="str">
        <f>B23</f>
        <v>月額（①×②）</v>
      </c>
      <c r="C42" s="74"/>
      <c r="D42" s="122" t="e">
        <f t="shared" ref="D42:AA42" si="4">D$6*D41</f>
        <v>#N/A</v>
      </c>
      <c r="E42" s="123" t="e">
        <f t="shared" si="4"/>
        <v>#N/A</v>
      </c>
      <c r="F42" s="123" t="e">
        <f t="shared" si="4"/>
        <v>#N/A</v>
      </c>
      <c r="G42" s="123" t="e">
        <f t="shared" si="4"/>
        <v>#N/A</v>
      </c>
      <c r="H42" s="122" t="e">
        <f t="shared" si="4"/>
        <v>#N/A</v>
      </c>
      <c r="I42" s="123" t="e">
        <f t="shared" si="4"/>
        <v>#N/A</v>
      </c>
      <c r="J42" s="123" t="e">
        <f t="shared" si="4"/>
        <v>#N/A</v>
      </c>
      <c r="K42" s="123" t="e">
        <f t="shared" si="4"/>
        <v>#N/A</v>
      </c>
      <c r="L42" s="123" t="e">
        <f t="shared" si="4"/>
        <v>#N/A</v>
      </c>
      <c r="M42" s="123" t="e">
        <f t="shared" si="4"/>
        <v>#N/A</v>
      </c>
      <c r="N42" s="123" t="e">
        <f t="shared" si="4"/>
        <v>#N/A</v>
      </c>
      <c r="O42" s="123" t="e">
        <f t="shared" si="4"/>
        <v>#N/A</v>
      </c>
      <c r="P42" s="123" t="e">
        <f t="shared" si="4"/>
        <v>#N/A</v>
      </c>
      <c r="Q42" s="123" t="e">
        <f t="shared" si="4"/>
        <v>#N/A</v>
      </c>
      <c r="R42" s="123" t="e">
        <f t="shared" si="4"/>
        <v>#N/A</v>
      </c>
      <c r="S42" s="123" t="e">
        <f t="shared" si="4"/>
        <v>#N/A</v>
      </c>
      <c r="T42" s="123" t="e">
        <f t="shared" si="4"/>
        <v>#N/A</v>
      </c>
      <c r="U42" s="123" t="e">
        <f t="shared" si="4"/>
        <v>#N/A</v>
      </c>
      <c r="V42" s="122" t="e">
        <f t="shared" si="4"/>
        <v>#N/A</v>
      </c>
      <c r="W42" s="123" t="e">
        <f t="shared" si="4"/>
        <v>#N/A</v>
      </c>
      <c r="X42" s="123" t="e">
        <f t="shared" si="4"/>
        <v>#N/A</v>
      </c>
      <c r="Y42" s="123" t="e">
        <f t="shared" si="4"/>
        <v>#N/A</v>
      </c>
      <c r="Z42" s="123" t="e">
        <f t="shared" si="4"/>
        <v>#N/A</v>
      </c>
      <c r="AA42" s="123" t="e">
        <f t="shared" si="4"/>
        <v>#N/A</v>
      </c>
    </row>
  </sheetData>
  <sheetProtection algorithmName="SHA-512" hashValue="QyZPPcHjPUEKgVAwU5MMaa6hni1qhpr0kcD7oPZ5BLG1lIUbyYcrFYD7t26E45N6rrQgAaR1FsT2SCEN7ohDmg==" saltValue="Gl5Cql9a38+uSB1Bte7+SQ==" spinCount="100000" sheet="1" objects="1" scenarios="1"/>
  <phoneticPr fontId="4"/>
  <pageMargins left="0.7" right="0.7" top="0.75" bottom="0.75" header="0.3" footer="0.3"/>
  <pageSetup paperSize="9" scale="3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111D-A5E1-482E-9137-D2531BB4F87E}">
  <sheetPr>
    <tabColor theme="2" tint="-9.9978637043366805E-2"/>
    <pageSetUpPr fitToPage="1"/>
  </sheetPr>
  <dimension ref="B1:AK79"/>
  <sheetViews>
    <sheetView view="pageBreakPreview" zoomScale="70" zoomScaleNormal="85" zoomScaleSheetLayoutView="70" workbookViewId="0">
      <pane ySplit="7" topLeftCell="A8" activePane="bottomLeft" state="frozen"/>
      <selection pane="bottomLeft" activeCell="B1" sqref="B1"/>
    </sheetView>
  </sheetViews>
  <sheetFormatPr defaultColWidth="1.625" defaultRowHeight="15"/>
  <cols>
    <col min="1" max="1" width="1.625" style="2"/>
    <col min="2" max="2" width="15.875" style="2" customWidth="1"/>
    <col min="3" max="3" width="9" style="2" bestFit="1" customWidth="1"/>
    <col min="4" max="4" width="4" style="2" customWidth="1"/>
    <col min="5" max="5" width="5" style="2" customWidth="1"/>
    <col min="6" max="6" width="5.25" style="2" customWidth="1"/>
    <col min="7" max="29" width="6.5" style="2" customWidth="1"/>
    <col min="30" max="30" width="1.625" style="2"/>
    <col min="31" max="32" width="6.5" style="2" customWidth="1"/>
    <col min="33" max="33" width="1.625" style="2"/>
    <col min="34" max="34" width="11.625" style="2" customWidth="1"/>
    <col min="35" max="35" width="5.25" style="2" customWidth="1"/>
    <col min="36" max="37" width="7.5" style="2" customWidth="1"/>
    <col min="38" max="16384" width="1.625" style="2"/>
  </cols>
  <sheetData>
    <row r="1" spans="2:37">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Y1" s="2">
        <f>COLUMNS($F:Y)</f>
        <v>20</v>
      </c>
      <c r="Z1" s="2">
        <f>COLUMNS($F:Z)</f>
        <v>21</v>
      </c>
      <c r="AA1" s="2">
        <f>COLUMNS($F:AA)</f>
        <v>22</v>
      </c>
      <c r="AB1" s="2">
        <f>COLUMNS($F:AB)</f>
        <v>23</v>
      </c>
      <c r="AC1" s="2">
        <f>COLUMNS($F:AC)</f>
        <v>24</v>
      </c>
      <c r="AD1" s="2">
        <f>COLUMNS($F:AD)</f>
        <v>25</v>
      </c>
      <c r="AE1" s="2">
        <f>COLUMNS($F:AE)</f>
        <v>26</v>
      </c>
      <c r="AF1" s="2">
        <f>COLUMNS($F:AF)</f>
        <v>27</v>
      </c>
      <c r="AI1" s="2">
        <f>COLUMNS($AI:AI)</f>
        <v>1</v>
      </c>
      <c r="AJ1" s="2">
        <f>COLUMNS($AI:AJ)</f>
        <v>2</v>
      </c>
      <c r="AK1" s="2">
        <f>COLUMNS($AI:AK)</f>
        <v>3</v>
      </c>
    </row>
    <row r="2" spans="2:37">
      <c r="B2" s="1"/>
      <c r="F2" s="2" t="s">
        <v>264</v>
      </c>
      <c r="G2" s="2" t="s">
        <v>265</v>
      </c>
      <c r="H2" s="2" t="s">
        <v>266</v>
      </c>
      <c r="I2" s="2" t="s">
        <v>267</v>
      </c>
      <c r="J2" s="2" t="s">
        <v>268</v>
      </c>
      <c r="K2" s="2" t="s">
        <v>269</v>
      </c>
      <c r="L2" s="2" t="s">
        <v>270</v>
      </c>
      <c r="M2" s="2" t="s">
        <v>271</v>
      </c>
      <c r="N2" s="2" t="s">
        <v>272</v>
      </c>
      <c r="O2" s="2" t="s">
        <v>273</v>
      </c>
      <c r="P2" s="2" t="s">
        <v>274</v>
      </c>
      <c r="Q2" s="2" t="s">
        <v>275</v>
      </c>
      <c r="R2" s="2" t="s">
        <v>276</v>
      </c>
      <c r="S2" s="2" t="s">
        <v>277</v>
      </c>
      <c r="T2" s="2" t="s">
        <v>278</v>
      </c>
      <c r="U2" s="2" t="s">
        <v>279</v>
      </c>
      <c r="V2" s="2" t="s">
        <v>280</v>
      </c>
      <c r="W2" s="2" t="s">
        <v>281</v>
      </c>
      <c r="X2" s="2" t="s">
        <v>282</v>
      </c>
      <c r="Y2" s="2" t="s">
        <v>283</v>
      </c>
      <c r="Z2" s="2" t="s">
        <v>284</v>
      </c>
      <c r="AA2" s="2" t="s">
        <v>285</v>
      </c>
      <c r="AB2" s="2" t="s">
        <v>286</v>
      </c>
      <c r="AC2" s="2" t="s">
        <v>287</v>
      </c>
      <c r="AD2" s="2" t="s">
        <v>288</v>
      </c>
      <c r="AE2" s="2" t="s">
        <v>289</v>
      </c>
      <c r="AF2" s="2" t="s">
        <v>290</v>
      </c>
      <c r="AI2" s="2" t="s">
        <v>265</v>
      </c>
      <c r="AJ2" s="2" t="s">
        <v>266</v>
      </c>
      <c r="AK2" s="2" t="s">
        <v>267</v>
      </c>
    </row>
    <row r="3" spans="2:37">
      <c r="B3" s="3" t="s">
        <v>0</v>
      </c>
      <c r="C3" s="3"/>
      <c r="D3" s="3"/>
      <c r="E3" s="3"/>
      <c r="F3" s="3"/>
      <c r="G3" s="3"/>
      <c r="H3" s="3"/>
      <c r="I3" s="3"/>
      <c r="J3" s="3"/>
      <c r="K3" s="3"/>
      <c r="L3" s="3"/>
      <c r="M3" s="3"/>
      <c r="N3" s="3"/>
      <c r="O3" s="3"/>
      <c r="P3" s="3"/>
      <c r="Q3" s="3"/>
      <c r="R3" s="3"/>
      <c r="S3" s="3"/>
      <c r="T3" s="3"/>
      <c r="U3" s="3"/>
      <c r="V3" s="3"/>
      <c r="W3" s="3"/>
      <c r="X3" s="3"/>
      <c r="Y3" s="3"/>
      <c r="Z3" s="3"/>
      <c r="AA3" s="3"/>
      <c r="AB3" s="3"/>
      <c r="AC3" s="3"/>
      <c r="AD3" s="162"/>
      <c r="AE3" s="162"/>
      <c r="AF3" s="162"/>
      <c r="AH3" s="4" t="s">
        <v>1</v>
      </c>
      <c r="AI3" s="4"/>
      <c r="AJ3" s="4"/>
      <c r="AK3" s="4"/>
    </row>
    <row r="4" spans="2:37" ht="30">
      <c r="B4" s="2" t="s">
        <v>2</v>
      </c>
      <c r="AD4" s="162"/>
      <c r="AE4" s="147" t="s">
        <v>252</v>
      </c>
      <c r="AF4" s="126"/>
      <c r="AH4" s="2" t="s">
        <v>4</v>
      </c>
    </row>
    <row r="5" spans="2:37" ht="45">
      <c r="B5" s="12"/>
      <c r="C5" s="6"/>
      <c r="D5" s="7" t="s">
        <v>5</v>
      </c>
      <c r="E5" s="8" t="s">
        <v>6</v>
      </c>
      <c r="F5" s="5" t="s">
        <v>7</v>
      </c>
      <c r="G5" s="147" t="s">
        <v>8</v>
      </c>
      <c r="H5" s="126"/>
      <c r="I5" s="159" t="s">
        <v>223</v>
      </c>
      <c r="J5" s="147" t="s">
        <v>253</v>
      </c>
      <c r="K5" s="126"/>
      <c r="L5" s="147" t="s">
        <v>224</v>
      </c>
      <c r="M5" s="126"/>
      <c r="N5" s="147" t="s">
        <v>225</v>
      </c>
      <c r="O5" s="126"/>
      <c r="P5" s="147" t="s">
        <v>226</v>
      </c>
      <c r="Q5" s="126"/>
      <c r="R5" s="147" t="s">
        <v>227</v>
      </c>
      <c r="S5" s="126"/>
      <c r="T5" s="147" t="s">
        <v>228</v>
      </c>
      <c r="U5" s="126"/>
      <c r="V5" s="147" t="s">
        <v>230</v>
      </c>
      <c r="W5" s="126"/>
      <c r="X5" s="147" t="s">
        <v>231</v>
      </c>
      <c r="Y5" s="126"/>
      <c r="Z5" s="147" t="s">
        <v>232</v>
      </c>
      <c r="AA5" s="126"/>
      <c r="AB5" s="147" t="s">
        <v>255</v>
      </c>
      <c r="AC5" s="126"/>
      <c r="AD5" s="162"/>
      <c r="AE5" s="147" t="s">
        <v>229</v>
      </c>
      <c r="AF5" s="126"/>
      <c r="AH5" s="12" t="s">
        <v>14</v>
      </c>
      <c r="AI5" s="6"/>
      <c r="AJ5" s="13"/>
      <c r="AK5" s="14"/>
    </row>
    <row r="6" spans="2:37">
      <c r="B6" s="127"/>
      <c r="C6" s="128"/>
      <c r="D6" s="129" t="s">
        <v>16</v>
      </c>
      <c r="E6" s="130" t="s">
        <v>16</v>
      </c>
      <c r="F6" s="160"/>
      <c r="G6" s="148"/>
      <c r="H6" s="16" t="s">
        <v>19</v>
      </c>
      <c r="I6" s="16" t="s">
        <v>21</v>
      </c>
      <c r="J6" s="16" t="s">
        <v>21</v>
      </c>
      <c r="K6" s="16" t="s">
        <v>19</v>
      </c>
      <c r="L6" s="16" t="s">
        <v>21</v>
      </c>
      <c r="M6" s="16" t="s">
        <v>19</v>
      </c>
      <c r="N6" s="16" t="s">
        <v>21</v>
      </c>
      <c r="O6" s="16" t="s">
        <v>19</v>
      </c>
      <c r="P6" s="16" t="s">
        <v>21</v>
      </c>
      <c r="Q6" s="16" t="s">
        <v>19</v>
      </c>
      <c r="R6" s="16" t="s">
        <v>21</v>
      </c>
      <c r="S6" s="16" t="s">
        <v>19</v>
      </c>
      <c r="T6" s="16" t="s">
        <v>21</v>
      </c>
      <c r="U6" s="16" t="s">
        <v>19</v>
      </c>
      <c r="V6" s="16" t="s">
        <v>21</v>
      </c>
      <c r="W6" s="16" t="s">
        <v>19</v>
      </c>
      <c r="X6" s="16" t="s">
        <v>21</v>
      </c>
      <c r="Y6" s="16" t="s">
        <v>19</v>
      </c>
      <c r="Z6" s="16" t="s">
        <v>21</v>
      </c>
      <c r="AA6" s="16" t="s">
        <v>19</v>
      </c>
      <c r="AB6" s="16" t="s">
        <v>21</v>
      </c>
      <c r="AC6" s="16" t="s">
        <v>19</v>
      </c>
      <c r="AD6" s="162"/>
      <c r="AE6" s="162" t="s">
        <v>21</v>
      </c>
      <c r="AF6" s="162" t="s">
        <v>19</v>
      </c>
      <c r="AG6" s="17"/>
      <c r="AH6" s="15"/>
      <c r="AI6" s="18" t="s">
        <v>22</v>
      </c>
      <c r="AJ6" s="16" t="s">
        <v>21</v>
      </c>
      <c r="AK6" s="16" t="s">
        <v>19</v>
      </c>
    </row>
    <row r="7" spans="2:37">
      <c r="B7" s="131"/>
      <c r="C7" s="132"/>
      <c r="D7" s="131"/>
      <c r="E7" s="133"/>
      <c r="F7" s="132"/>
      <c r="G7" s="134"/>
      <c r="H7" s="134"/>
      <c r="I7" s="134"/>
      <c r="J7" s="134"/>
      <c r="K7" s="134"/>
      <c r="L7" s="134"/>
      <c r="M7" s="134"/>
      <c r="N7" s="134"/>
      <c r="O7" s="134"/>
      <c r="P7" s="134"/>
      <c r="Q7" s="134"/>
      <c r="R7" s="134"/>
      <c r="S7" s="134"/>
      <c r="T7" s="134"/>
      <c r="U7" s="134"/>
      <c r="V7" s="134"/>
      <c r="W7" s="134"/>
      <c r="X7" s="134"/>
      <c r="Y7" s="134"/>
      <c r="Z7" s="134"/>
      <c r="AA7" s="134"/>
      <c r="AB7" s="134"/>
      <c r="AC7" s="134"/>
      <c r="AD7" s="162"/>
      <c r="AE7" s="162"/>
      <c r="AF7" s="162"/>
      <c r="AG7" s="17"/>
      <c r="AH7" s="20"/>
      <c r="AI7" s="20"/>
      <c r="AJ7" s="20"/>
      <c r="AK7" s="20"/>
    </row>
    <row r="8" spans="2:37">
      <c r="B8" s="149" t="s">
        <v>177</v>
      </c>
      <c r="C8" s="150" t="s">
        <v>23</v>
      </c>
      <c r="D8" s="22" t="s">
        <v>123</v>
      </c>
      <c r="E8" s="23" t="s">
        <v>233</v>
      </c>
      <c r="F8" s="145" t="str">
        <f>D8&amp;E8</f>
        <v>Aa</v>
      </c>
      <c r="G8" s="53">
        <v>1380</v>
      </c>
      <c r="H8" s="43">
        <v>2.6</v>
      </c>
      <c r="I8" s="53">
        <v>80</v>
      </c>
      <c r="J8" s="53">
        <v>550</v>
      </c>
      <c r="K8" s="54">
        <v>2.2999999999999998</v>
      </c>
      <c r="L8" s="53">
        <v>0</v>
      </c>
      <c r="M8" s="54">
        <v>0</v>
      </c>
      <c r="N8" s="53">
        <v>30</v>
      </c>
      <c r="O8" s="54">
        <v>3.9</v>
      </c>
      <c r="P8" s="53">
        <v>0</v>
      </c>
      <c r="Q8" s="54">
        <v>0</v>
      </c>
      <c r="R8" s="53">
        <v>0</v>
      </c>
      <c r="S8" s="54">
        <v>0</v>
      </c>
      <c r="T8" s="53">
        <v>90</v>
      </c>
      <c r="U8" s="54">
        <v>9.1</v>
      </c>
      <c r="V8" s="53">
        <v>50</v>
      </c>
      <c r="W8" s="54">
        <v>16.3</v>
      </c>
      <c r="X8" s="53">
        <v>40</v>
      </c>
      <c r="Y8" s="54">
        <v>52.4</v>
      </c>
      <c r="Z8" s="53">
        <v>7</v>
      </c>
      <c r="AA8" s="54">
        <v>49.9</v>
      </c>
      <c r="AB8" s="53">
        <v>120</v>
      </c>
      <c r="AC8" s="54">
        <v>7.8</v>
      </c>
      <c r="AD8" s="162"/>
      <c r="AE8" s="162">
        <v>550</v>
      </c>
      <c r="AF8" s="162">
        <v>2.2999999999999998</v>
      </c>
      <c r="AG8" s="17"/>
      <c r="AH8" s="26" t="s">
        <v>25</v>
      </c>
      <c r="AI8" s="26">
        <v>1</v>
      </c>
      <c r="AJ8" s="26">
        <v>0</v>
      </c>
      <c r="AK8" s="138">
        <v>0</v>
      </c>
    </row>
    <row r="9" spans="2:37" ht="15.75" customHeight="1">
      <c r="B9" s="37"/>
      <c r="C9" s="142" t="s">
        <v>26</v>
      </c>
      <c r="D9" s="38" t="str">
        <f>D8</f>
        <v>A</v>
      </c>
      <c r="E9" s="39" t="s">
        <v>234</v>
      </c>
      <c r="F9" s="143" t="str">
        <f t="shared" ref="F9:F53" si="0">D9&amp;E9</f>
        <v>Ab</v>
      </c>
      <c r="G9" s="35">
        <v>1470</v>
      </c>
      <c r="H9" s="36">
        <v>2.6</v>
      </c>
      <c r="I9" s="40">
        <f>I8</f>
        <v>80</v>
      </c>
      <c r="J9" s="40">
        <f>J8</f>
        <v>550</v>
      </c>
      <c r="K9" s="48">
        <f>K8</f>
        <v>2.2999999999999998</v>
      </c>
      <c r="L9" s="35">
        <v>90</v>
      </c>
      <c r="M9" s="36">
        <v>2.6</v>
      </c>
      <c r="N9" s="35">
        <v>0</v>
      </c>
      <c r="O9" s="36">
        <v>0</v>
      </c>
      <c r="P9" s="35">
        <v>640</v>
      </c>
      <c r="Q9" s="36">
        <v>2.4</v>
      </c>
      <c r="R9" s="35">
        <v>550</v>
      </c>
      <c r="S9" s="36">
        <v>2.2999999999999998</v>
      </c>
      <c r="T9" s="40">
        <f t="shared" ref="T9:Z9" si="1">T8</f>
        <v>90</v>
      </c>
      <c r="U9" s="48">
        <f>U8</f>
        <v>9.1</v>
      </c>
      <c r="V9" s="40">
        <f t="shared" si="1"/>
        <v>50</v>
      </c>
      <c r="W9" s="48">
        <f>W8</f>
        <v>16.3</v>
      </c>
      <c r="X9" s="40">
        <f t="shared" si="1"/>
        <v>40</v>
      </c>
      <c r="Y9" s="48">
        <f>Y8</f>
        <v>52.4</v>
      </c>
      <c r="Z9" s="40">
        <f t="shared" si="1"/>
        <v>7</v>
      </c>
      <c r="AA9" s="48">
        <f>AA8</f>
        <v>49.9</v>
      </c>
      <c r="AB9" s="40">
        <f t="shared" ref="AB9" si="2">AB8</f>
        <v>120</v>
      </c>
      <c r="AC9" s="48">
        <f>AC8</f>
        <v>7.8</v>
      </c>
      <c r="AD9" s="162"/>
      <c r="AE9" s="162">
        <f>AE8</f>
        <v>550</v>
      </c>
      <c r="AF9" s="162">
        <f>AF8</f>
        <v>2.2999999999999998</v>
      </c>
      <c r="AG9" s="17"/>
      <c r="AH9" s="26" t="s">
        <v>29</v>
      </c>
      <c r="AI9" s="26">
        <v>2</v>
      </c>
      <c r="AJ9" s="32">
        <v>190</v>
      </c>
      <c r="AK9" s="33">
        <v>12.3</v>
      </c>
    </row>
    <row r="10" spans="2:37" ht="15.75" customHeight="1">
      <c r="B10" s="21" t="s">
        <v>254</v>
      </c>
      <c r="C10" s="42" t="str">
        <f>C$8</f>
        <v>４歳以上児</v>
      </c>
      <c r="D10" s="22" t="s">
        <v>34</v>
      </c>
      <c r="E10" s="151" t="str">
        <f>E$8</f>
        <v>a</v>
      </c>
      <c r="F10" s="137" t="str">
        <f>D10&amp;E10</f>
        <v>Ba</v>
      </c>
      <c r="G10" s="27">
        <v>930</v>
      </c>
      <c r="H10" s="43">
        <v>2.6</v>
      </c>
      <c r="I10" s="53">
        <v>50</v>
      </c>
      <c r="J10" s="53">
        <v>360</v>
      </c>
      <c r="K10" s="54">
        <v>2.4</v>
      </c>
      <c r="L10" s="152">
        <f t="shared" ref="L10:S10" si="3">L$8</f>
        <v>0</v>
      </c>
      <c r="M10" s="153">
        <f t="shared" si="3"/>
        <v>0</v>
      </c>
      <c r="N10" s="152">
        <f t="shared" si="3"/>
        <v>30</v>
      </c>
      <c r="O10" s="153">
        <f t="shared" si="3"/>
        <v>3.9</v>
      </c>
      <c r="P10" s="152">
        <f t="shared" si="3"/>
        <v>0</v>
      </c>
      <c r="Q10" s="153">
        <f t="shared" si="3"/>
        <v>0</v>
      </c>
      <c r="R10" s="152">
        <f t="shared" si="3"/>
        <v>0</v>
      </c>
      <c r="S10" s="153">
        <f t="shared" si="3"/>
        <v>0</v>
      </c>
      <c r="T10" s="53">
        <v>60</v>
      </c>
      <c r="U10" s="54">
        <v>9.1</v>
      </c>
      <c r="V10" s="53">
        <v>30</v>
      </c>
      <c r="W10" s="54">
        <v>18.100000000000001</v>
      </c>
      <c r="X10" s="53">
        <v>20</v>
      </c>
      <c r="Y10" s="54">
        <v>69.900000000000006</v>
      </c>
      <c r="Z10" s="53">
        <v>5</v>
      </c>
      <c r="AA10" s="54">
        <v>46.6</v>
      </c>
      <c r="AB10" s="53">
        <v>80</v>
      </c>
      <c r="AC10" s="54">
        <v>7.8</v>
      </c>
      <c r="AD10" s="162"/>
      <c r="AE10" s="162">
        <v>360</v>
      </c>
      <c r="AF10" s="162">
        <v>2.4</v>
      </c>
      <c r="AG10" s="17"/>
      <c r="AH10" s="66" t="s">
        <v>34</v>
      </c>
      <c r="AI10" s="66">
        <v>3</v>
      </c>
      <c r="AJ10" s="57">
        <v>130</v>
      </c>
      <c r="AK10" s="58">
        <v>13.4</v>
      </c>
    </row>
    <row r="11" spans="2:37" ht="15.75" customHeight="1">
      <c r="B11" s="37"/>
      <c r="C11" s="47" t="str">
        <f>C$9</f>
        <v>３歳児</v>
      </c>
      <c r="D11" s="38" t="str">
        <f>D10</f>
        <v>B</v>
      </c>
      <c r="E11" s="41" t="str">
        <f>E$9</f>
        <v>b</v>
      </c>
      <c r="F11" s="143" t="str">
        <f>D11&amp;E11</f>
        <v>Bb</v>
      </c>
      <c r="G11" s="35">
        <v>1020</v>
      </c>
      <c r="H11" s="36">
        <v>2.6</v>
      </c>
      <c r="I11" s="40">
        <f>I10</f>
        <v>50</v>
      </c>
      <c r="J11" s="40">
        <f>J10</f>
        <v>360</v>
      </c>
      <c r="K11" s="48">
        <f>K10</f>
        <v>2.4</v>
      </c>
      <c r="L11" s="40">
        <f t="shared" ref="L11:S11" si="4">L$9</f>
        <v>90</v>
      </c>
      <c r="M11" s="48">
        <f t="shared" si="4"/>
        <v>2.6</v>
      </c>
      <c r="N11" s="40">
        <f t="shared" si="4"/>
        <v>0</v>
      </c>
      <c r="O11" s="48">
        <f t="shared" si="4"/>
        <v>0</v>
      </c>
      <c r="P11" s="40">
        <f t="shared" si="4"/>
        <v>640</v>
      </c>
      <c r="Q11" s="48">
        <f t="shared" si="4"/>
        <v>2.4</v>
      </c>
      <c r="R11" s="40">
        <f t="shared" si="4"/>
        <v>550</v>
      </c>
      <c r="S11" s="48">
        <f t="shared" si="4"/>
        <v>2.2999999999999998</v>
      </c>
      <c r="T11" s="40">
        <f t="shared" ref="T11:Z11" si="5">T10</f>
        <v>60</v>
      </c>
      <c r="U11" s="48">
        <f>U10</f>
        <v>9.1</v>
      </c>
      <c r="V11" s="40">
        <f t="shared" si="5"/>
        <v>30</v>
      </c>
      <c r="W11" s="48">
        <f>W10</f>
        <v>18.100000000000001</v>
      </c>
      <c r="X11" s="40">
        <f t="shared" si="5"/>
        <v>20</v>
      </c>
      <c r="Y11" s="48">
        <f>Y10</f>
        <v>69.900000000000006</v>
      </c>
      <c r="Z11" s="40">
        <f t="shared" si="5"/>
        <v>5</v>
      </c>
      <c r="AA11" s="48">
        <f>AA10</f>
        <v>46.6</v>
      </c>
      <c r="AB11" s="40">
        <f t="shared" ref="AB11" si="6">AB10</f>
        <v>80</v>
      </c>
      <c r="AC11" s="48">
        <f>AC10</f>
        <v>7.8</v>
      </c>
      <c r="AD11" s="162"/>
      <c r="AE11" s="162">
        <f>AE10</f>
        <v>360</v>
      </c>
      <c r="AF11" s="162">
        <f>AF10</f>
        <v>2.4</v>
      </c>
      <c r="AG11" s="17"/>
    </row>
    <row r="12" spans="2:37" ht="15.75" customHeight="1">
      <c r="B12" s="21" t="s">
        <v>235</v>
      </c>
      <c r="C12" s="42" t="str">
        <f>C$8</f>
        <v>４歳以上児</v>
      </c>
      <c r="D12" s="22" t="s">
        <v>122</v>
      </c>
      <c r="E12" s="151" t="str">
        <f>E$8</f>
        <v>a</v>
      </c>
      <c r="F12" s="137" t="str">
        <f t="shared" si="0"/>
        <v>Ca</v>
      </c>
      <c r="G12" s="27">
        <v>700</v>
      </c>
      <c r="H12" s="43">
        <v>2.6</v>
      </c>
      <c r="I12" s="53">
        <v>40</v>
      </c>
      <c r="J12" s="53">
        <v>270</v>
      </c>
      <c r="K12" s="54">
        <v>2.4</v>
      </c>
      <c r="L12" s="152">
        <f t="shared" ref="L12:S12" si="7">L$8</f>
        <v>0</v>
      </c>
      <c r="M12" s="153">
        <f t="shared" si="7"/>
        <v>0</v>
      </c>
      <c r="N12" s="152">
        <f t="shared" si="7"/>
        <v>30</v>
      </c>
      <c r="O12" s="153">
        <f t="shared" si="7"/>
        <v>3.9</v>
      </c>
      <c r="P12" s="152">
        <f t="shared" si="7"/>
        <v>0</v>
      </c>
      <c r="Q12" s="153">
        <f t="shared" si="7"/>
        <v>0</v>
      </c>
      <c r="R12" s="152">
        <f t="shared" si="7"/>
        <v>0</v>
      </c>
      <c r="S12" s="153">
        <f t="shared" si="7"/>
        <v>0</v>
      </c>
      <c r="T12" s="53">
        <v>40</v>
      </c>
      <c r="U12" s="54">
        <v>10.199999999999999</v>
      </c>
      <c r="V12" s="53">
        <v>30</v>
      </c>
      <c r="W12" s="54">
        <v>13.6</v>
      </c>
      <c r="X12" s="53">
        <v>20</v>
      </c>
      <c r="Y12" s="54">
        <v>52.4</v>
      </c>
      <c r="Z12" s="53">
        <v>3</v>
      </c>
      <c r="AA12" s="54">
        <v>58.3</v>
      </c>
      <c r="AB12" s="53">
        <v>60</v>
      </c>
      <c r="AC12" s="54">
        <v>7.8</v>
      </c>
      <c r="AD12" s="162"/>
      <c r="AE12" s="162">
        <v>270</v>
      </c>
      <c r="AF12" s="162">
        <v>2.4</v>
      </c>
      <c r="AG12" s="17"/>
    </row>
    <row r="13" spans="2:37" ht="15.75" customHeight="1">
      <c r="B13" s="37"/>
      <c r="C13" s="47" t="str">
        <f>C$9</f>
        <v>３歳児</v>
      </c>
      <c r="D13" s="38" t="str">
        <f>D12</f>
        <v>C</v>
      </c>
      <c r="E13" s="41" t="str">
        <f>E$9</f>
        <v>b</v>
      </c>
      <c r="F13" s="143" t="str">
        <f t="shared" si="0"/>
        <v>Cb</v>
      </c>
      <c r="G13" s="35">
        <v>800</v>
      </c>
      <c r="H13" s="36">
        <v>2.5</v>
      </c>
      <c r="I13" s="40">
        <f>I12</f>
        <v>40</v>
      </c>
      <c r="J13" s="40">
        <f>J12</f>
        <v>270</v>
      </c>
      <c r="K13" s="48">
        <f>K12</f>
        <v>2.4</v>
      </c>
      <c r="L13" s="40">
        <f t="shared" ref="L13:S13" si="8">L$9</f>
        <v>90</v>
      </c>
      <c r="M13" s="48">
        <f t="shared" si="8"/>
        <v>2.6</v>
      </c>
      <c r="N13" s="40">
        <f t="shared" si="8"/>
        <v>0</v>
      </c>
      <c r="O13" s="48">
        <f t="shared" si="8"/>
        <v>0</v>
      </c>
      <c r="P13" s="40">
        <f t="shared" si="8"/>
        <v>640</v>
      </c>
      <c r="Q13" s="48">
        <f t="shared" si="8"/>
        <v>2.4</v>
      </c>
      <c r="R13" s="40">
        <f t="shared" si="8"/>
        <v>550</v>
      </c>
      <c r="S13" s="48">
        <f t="shared" si="8"/>
        <v>2.2999999999999998</v>
      </c>
      <c r="T13" s="40">
        <f t="shared" ref="T13:Z13" si="9">T12</f>
        <v>40</v>
      </c>
      <c r="U13" s="48">
        <f>U12</f>
        <v>10.199999999999999</v>
      </c>
      <c r="V13" s="40">
        <f t="shared" si="9"/>
        <v>30</v>
      </c>
      <c r="W13" s="48">
        <f>W12</f>
        <v>13.6</v>
      </c>
      <c r="X13" s="40">
        <f t="shared" si="9"/>
        <v>20</v>
      </c>
      <c r="Y13" s="48">
        <f>Y12</f>
        <v>52.4</v>
      </c>
      <c r="Z13" s="40">
        <f t="shared" si="9"/>
        <v>3</v>
      </c>
      <c r="AA13" s="48">
        <f>AA12</f>
        <v>58.3</v>
      </c>
      <c r="AB13" s="40">
        <f t="shared" ref="AB13" si="10">AB12</f>
        <v>60</v>
      </c>
      <c r="AC13" s="48">
        <f>AC12</f>
        <v>7.8</v>
      </c>
      <c r="AD13" s="162"/>
      <c r="AE13" s="162">
        <f>AE12</f>
        <v>270</v>
      </c>
      <c r="AF13" s="162">
        <f>AF12</f>
        <v>2.4</v>
      </c>
      <c r="AG13" s="17"/>
      <c r="AH13" s="17" t="s">
        <v>42</v>
      </c>
      <c r="AI13" s="17"/>
    </row>
    <row r="14" spans="2:37" ht="15.75" customHeight="1">
      <c r="B14" s="21" t="s">
        <v>236</v>
      </c>
      <c r="C14" s="42" t="str">
        <f>C$8</f>
        <v>４歳以上児</v>
      </c>
      <c r="D14" s="22" t="s">
        <v>121</v>
      </c>
      <c r="E14" s="151" t="str">
        <f>E$8</f>
        <v>a</v>
      </c>
      <c r="F14" s="137" t="str">
        <f>D14&amp;E14</f>
        <v>Da</v>
      </c>
      <c r="G14" s="27">
        <v>570</v>
      </c>
      <c r="H14" s="43">
        <v>2.5</v>
      </c>
      <c r="I14" s="53">
        <v>30</v>
      </c>
      <c r="J14" s="53">
        <v>220</v>
      </c>
      <c r="K14" s="54">
        <v>2.2999999999999998</v>
      </c>
      <c r="L14" s="152">
        <f t="shared" ref="L14:S14" si="11">L$8</f>
        <v>0</v>
      </c>
      <c r="M14" s="153">
        <f t="shared" si="11"/>
        <v>0</v>
      </c>
      <c r="N14" s="152">
        <f t="shared" si="11"/>
        <v>30</v>
      </c>
      <c r="O14" s="153">
        <f t="shared" si="11"/>
        <v>3.9</v>
      </c>
      <c r="P14" s="152">
        <f t="shared" si="11"/>
        <v>0</v>
      </c>
      <c r="Q14" s="153">
        <f t="shared" si="11"/>
        <v>0</v>
      </c>
      <c r="R14" s="152">
        <f t="shared" si="11"/>
        <v>0</v>
      </c>
      <c r="S14" s="153">
        <f t="shared" si="11"/>
        <v>0</v>
      </c>
      <c r="T14" s="53">
        <v>30</v>
      </c>
      <c r="U14" s="54">
        <v>10.9</v>
      </c>
      <c r="V14" s="53">
        <v>20</v>
      </c>
      <c r="W14" s="54">
        <v>16.3</v>
      </c>
      <c r="X14" s="53">
        <v>10</v>
      </c>
      <c r="Y14" s="54">
        <v>83.9</v>
      </c>
      <c r="Z14" s="53">
        <v>3</v>
      </c>
      <c r="AA14" s="54">
        <v>46.6</v>
      </c>
      <c r="AB14" s="53">
        <v>50</v>
      </c>
      <c r="AC14" s="54">
        <v>7.5</v>
      </c>
      <c r="AD14" s="162"/>
      <c r="AE14" s="162">
        <v>220</v>
      </c>
      <c r="AF14" s="162">
        <v>2.2999999999999998</v>
      </c>
      <c r="AG14" s="17"/>
      <c r="AH14" s="17"/>
      <c r="AI14" s="17"/>
      <c r="AJ14" s="18" t="s">
        <v>21</v>
      </c>
      <c r="AK14" s="18" t="s">
        <v>19</v>
      </c>
    </row>
    <row r="15" spans="2:37" ht="15.75" customHeight="1">
      <c r="B15" s="37"/>
      <c r="C15" s="47" t="str">
        <f>C$9</f>
        <v>３歳児</v>
      </c>
      <c r="D15" s="38" t="str">
        <f>D14</f>
        <v>D</v>
      </c>
      <c r="E15" s="41" t="str">
        <f>E$9</f>
        <v>b</v>
      </c>
      <c r="F15" s="143" t="str">
        <f>D15&amp;E15</f>
        <v>Db</v>
      </c>
      <c r="G15" s="35">
        <v>660</v>
      </c>
      <c r="H15" s="36">
        <v>2.5</v>
      </c>
      <c r="I15" s="40">
        <f>I14</f>
        <v>30</v>
      </c>
      <c r="J15" s="40">
        <f>J14</f>
        <v>220</v>
      </c>
      <c r="K15" s="48">
        <f>K14</f>
        <v>2.2999999999999998</v>
      </c>
      <c r="L15" s="40">
        <f t="shared" ref="L15:S15" si="12">L$9</f>
        <v>90</v>
      </c>
      <c r="M15" s="48">
        <f t="shared" si="12"/>
        <v>2.6</v>
      </c>
      <c r="N15" s="40">
        <f t="shared" si="12"/>
        <v>0</v>
      </c>
      <c r="O15" s="48">
        <f t="shared" si="12"/>
        <v>0</v>
      </c>
      <c r="P15" s="40">
        <f t="shared" si="12"/>
        <v>640</v>
      </c>
      <c r="Q15" s="48">
        <f t="shared" si="12"/>
        <v>2.4</v>
      </c>
      <c r="R15" s="40">
        <f t="shared" si="12"/>
        <v>550</v>
      </c>
      <c r="S15" s="48">
        <f t="shared" si="12"/>
        <v>2.2999999999999998</v>
      </c>
      <c r="T15" s="40">
        <f t="shared" ref="T15:Z15" si="13">T14</f>
        <v>30</v>
      </c>
      <c r="U15" s="48">
        <f>U14</f>
        <v>10.9</v>
      </c>
      <c r="V15" s="40">
        <f t="shared" si="13"/>
        <v>20</v>
      </c>
      <c r="W15" s="48">
        <f>W14</f>
        <v>16.3</v>
      </c>
      <c r="X15" s="40">
        <f t="shared" si="13"/>
        <v>10</v>
      </c>
      <c r="Y15" s="48">
        <f>Y14</f>
        <v>83.9</v>
      </c>
      <c r="Z15" s="40">
        <f t="shared" si="13"/>
        <v>3</v>
      </c>
      <c r="AA15" s="48">
        <f>AA14</f>
        <v>46.6</v>
      </c>
      <c r="AB15" s="40">
        <f t="shared" ref="AB15" si="14">AB14</f>
        <v>50</v>
      </c>
      <c r="AC15" s="48">
        <f>AC14</f>
        <v>7.5</v>
      </c>
      <c r="AD15" s="162"/>
      <c r="AE15" s="162">
        <f>AE14</f>
        <v>220</v>
      </c>
      <c r="AF15" s="162">
        <f>AF14</f>
        <v>2.2999999999999998</v>
      </c>
      <c r="AG15" s="17"/>
      <c r="AH15" s="46" t="s">
        <v>237</v>
      </c>
      <c r="AI15" s="49"/>
      <c r="AJ15" s="50">
        <v>840</v>
      </c>
      <c r="AK15" s="51">
        <v>9.6999999999999993</v>
      </c>
    </row>
    <row r="16" spans="2:37" ht="15.75" customHeight="1">
      <c r="B16" s="21" t="s">
        <v>50</v>
      </c>
      <c r="C16" s="42" t="str">
        <f>C$8</f>
        <v>４歳以上児</v>
      </c>
      <c r="D16" s="154" t="s">
        <v>183</v>
      </c>
      <c r="E16" s="151" t="str">
        <f>E$8</f>
        <v>a</v>
      </c>
      <c r="F16" s="137" t="str">
        <f t="shared" si="0"/>
        <v>Ea</v>
      </c>
      <c r="G16" s="27">
        <v>480</v>
      </c>
      <c r="H16" s="43">
        <v>2.5</v>
      </c>
      <c r="I16" s="53">
        <v>20</v>
      </c>
      <c r="J16" s="53">
        <v>180</v>
      </c>
      <c r="K16" s="54">
        <v>2.4</v>
      </c>
      <c r="L16" s="152">
        <f t="shared" ref="L16:S16" si="15">L$8</f>
        <v>0</v>
      </c>
      <c r="M16" s="153">
        <f t="shared" si="15"/>
        <v>0</v>
      </c>
      <c r="N16" s="152">
        <f t="shared" si="15"/>
        <v>30</v>
      </c>
      <c r="O16" s="153">
        <f t="shared" si="15"/>
        <v>3.9</v>
      </c>
      <c r="P16" s="152">
        <f t="shared" si="15"/>
        <v>0</v>
      </c>
      <c r="Q16" s="153">
        <f t="shared" si="15"/>
        <v>0</v>
      </c>
      <c r="R16" s="152">
        <f t="shared" si="15"/>
        <v>0</v>
      </c>
      <c r="S16" s="153">
        <f t="shared" si="15"/>
        <v>0</v>
      </c>
      <c r="T16" s="53">
        <v>30</v>
      </c>
      <c r="U16" s="54">
        <v>9.1</v>
      </c>
      <c r="V16" s="53">
        <v>20</v>
      </c>
      <c r="W16" s="54">
        <v>13.6</v>
      </c>
      <c r="X16" s="53">
        <v>10</v>
      </c>
      <c r="Y16" s="54">
        <v>69.900000000000006</v>
      </c>
      <c r="Z16" s="53">
        <v>2</v>
      </c>
      <c r="AA16" s="54">
        <v>58.3</v>
      </c>
      <c r="AB16" s="53">
        <v>40</v>
      </c>
      <c r="AC16" s="54">
        <v>7.8</v>
      </c>
      <c r="AD16" s="162"/>
      <c r="AE16" s="162">
        <v>180</v>
      </c>
      <c r="AF16" s="162">
        <v>2.4</v>
      </c>
      <c r="AG16" s="17"/>
      <c r="AH16" s="46" t="s">
        <v>238</v>
      </c>
      <c r="AI16" s="49"/>
      <c r="AJ16" s="35">
        <v>950</v>
      </c>
      <c r="AK16" s="36">
        <v>7.4</v>
      </c>
    </row>
    <row r="17" spans="2:37" ht="15.75" customHeight="1">
      <c r="B17" s="37"/>
      <c r="C17" s="47" t="str">
        <f>C$9</f>
        <v>３歳児</v>
      </c>
      <c r="D17" s="38" t="str">
        <f>D16</f>
        <v>E</v>
      </c>
      <c r="E17" s="41" t="str">
        <f>E$9</f>
        <v>b</v>
      </c>
      <c r="F17" s="143" t="str">
        <f t="shared" si="0"/>
        <v>Eb</v>
      </c>
      <c r="G17" s="35">
        <v>570</v>
      </c>
      <c r="H17" s="36">
        <v>2.5</v>
      </c>
      <c r="I17" s="40">
        <f>I16</f>
        <v>20</v>
      </c>
      <c r="J17" s="40">
        <f>J16</f>
        <v>180</v>
      </c>
      <c r="K17" s="48">
        <f>K16</f>
        <v>2.4</v>
      </c>
      <c r="L17" s="40">
        <f t="shared" ref="L17:S17" si="16">L$9</f>
        <v>90</v>
      </c>
      <c r="M17" s="48">
        <f t="shared" si="16"/>
        <v>2.6</v>
      </c>
      <c r="N17" s="40">
        <f t="shared" si="16"/>
        <v>0</v>
      </c>
      <c r="O17" s="48">
        <f t="shared" si="16"/>
        <v>0</v>
      </c>
      <c r="P17" s="40">
        <f t="shared" si="16"/>
        <v>640</v>
      </c>
      <c r="Q17" s="48">
        <f t="shared" si="16"/>
        <v>2.4</v>
      </c>
      <c r="R17" s="40">
        <f t="shared" si="16"/>
        <v>550</v>
      </c>
      <c r="S17" s="48">
        <f t="shared" si="16"/>
        <v>2.2999999999999998</v>
      </c>
      <c r="T17" s="40">
        <f t="shared" ref="T17:Z17" si="17">T16</f>
        <v>30</v>
      </c>
      <c r="U17" s="48">
        <f>U16</f>
        <v>9.1</v>
      </c>
      <c r="V17" s="40">
        <f t="shared" si="17"/>
        <v>20</v>
      </c>
      <c r="W17" s="48">
        <f>W16</f>
        <v>13.6</v>
      </c>
      <c r="X17" s="40">
        <f t="shared" si="17"/>
        <v>10</v>
      </c>
      <c r="Y17" s="48">
        <f>Y16</f>
        <v>69.900000000000006</v>
      </c>
      <c r="Z17" s="40">
        <f t="shared" si="17"/>
        <v>2</v>
      </c>
      <c r="AA17" s="48">
        <f>AA16</f>
        <v>58.3</v>
      </c>
      <c r="AB17" s="40">
        <f t="shared" ref="AB17" si="18">AB16</f>
        <v>40</v>
      </c>
      <c r="AC17" s="48">
        <f>AC16</f>
        <v>7.8</v>
      </c>
      <c r="AD17" s="162"/>
      <c r="AE17" s="162">
        <f>AE16</f>
        <v>180</v>
      </c>
      <c r="AF17" s="162">
        <f>AF16</f>
        <v>2.4</v>
      </c>
      <c r="AG17" s="17"/>
      <c r="AH17" s="46" t="s">
        <v>239</v>
      </c>
      <c r="AI17" s="49"/>
      <c r="AJ17" s="35">
        <v>750</v>
      </c>
      <c r="AK17" s="36">
        <v>9.3000000000000007</v>
      </c>
    </row>
    <row r="18" spans="2:37" ht="15.75" customHeight="1">
      <c r="B18" s="21" t="s">
        <v>56</v>
      </c>
      <c r="C18" s="42" t="str">
        <f>C$8</f>
        <v>４歳以上児</v>
      </c>
      <c r="D18" s="154" t="s">
        <v>185</v>
      </c>
      <c r="E18" s="151" t="str">
        <f>E$8</f>
        <v>a</v>
      </c>
      <c r="F18" s="137" t="str">
        <f>D18&amp;E18</f>
        <v>Fa</v>
      </c>
      <c r="G18" s="27">
        <v>440</v>
      </c>
      <c r="H18" s="43">
        <v>2.5</v>
      </c>
      <c r="I18" s="53">
        <v>20</v>
      </c>
      <c r="J18" s="53">
        <v>150</v>
      </c>
      <c r="K18" s="54">
        <v>2.4</v>
      </c>
      <c r="L18" s="152">
        <f t="shared" ref="L18:S18" si="19">L$8</f>
        <v>0</v>
      </c>
      <c r="M18" s="153">
        <f t="shared" si="19"/>
        <v>0</v>
      </c>
      <c r="N18" s="152">
        <f t="shared" si="19"/>
        <v>30</v>
      </c>
      <c r="O18" s="153">
        <f t="shared" si="19"/>
        <v>3.9</v>
      </c>
      <c r="P18" s="152">
        <f t="shared" si="19"/>
        <v>0</v>
      </c>
      <c r="Q18" s="153">
        <f t="shared" si="19"/>
        <v>0</v>
      </c>
      <c r="R18" s="152">
        <f t="shared" si="19"/>
        <v>0</v>
      </c>
      <c r="S18" s="153">
        <f t="shared" si="19"/>
        <v>0</v>
      </c>
      <c r="T18" s="53">
        <v>20</v>
      </c>
      <c r="U18" s="54">
        <v>11.7</v>
      </c>
      <c r="V18" s="53">
        <v>20</v>
      </c>
      <c r="W18" s="54">
        <v>11.7</v>
      </c>
      <c r="X18" s="53">
        <v>10</v>
      </c>
      <c r="Y18" s="54">
        <v>59.9</v>
      </c>
      <c r="Z18" s="53">
        <v>2</v>
      </c>
      <c r="AA18" s="54">
        <v>49.9</v>
      </c>
      <c r="AB18" s="53">
        <v>30</v>
      </c>
      <c r="AC18" s="54">
        <v>8.9</v>
      </c>
      <c r="AD18" s="162"/>
      <c r="AE18" s="162">
        <v>150</v>
      </c>
      <c r="AF18" s="162">
        <v>2.4</v>
      </c>
      <c r="AG18" s="17"/>
      <c r="AH18" s="46" t="s">
        <v>190</v>
      </c>
      <c r="AI18" s="49"/>
      <c r="AJ18" s="17"/>
      <c r="AK18" s="17"/>
    </row>
    <row r="19" spans="2:37" ht="15.75" customHeight="1">
      <c r="B19" s="37"/>
      <c r="C19" s="47" t="str">
        <f>C$9</f>
        <v>３歳児</v>
      </c>
      <c r="D19" s="38" t="str">
        <f>D18</f>
        <v>F</v>
      </c>
      <c r="E19" s="41" t="str">
        <f>E$9</f>
        <v>b</v>
      </c>
      <c r="F19" s="143" t="str">
        <f>D19&amp;E19</f>
        <v>Fb</v>
      </c>
      <c r="G19" s="35">
        <v>530</v>
      </c>
      <c r="H19" s="36">
        <v>2.5</v>
      </c>
      <c r="I19" s="40">
        <f>I18</f>
        <v>20</v>
      </c>
      <c r="J19" s="40">
        <f>J18</f>
        <v>150</v>
      </c>
      <c r="K19" s="48">
        <f>K18</f>
        <v>2.4</v>
      </c>
      <c r="L19" s="40">
        <f t="shared" ref="L19:S19" si="20">L$9</f>
        <v>90</v>
      </c>
      <c r="M19" s="48">
        <f t="shared" si="20"/>
        <v>2.6</v>
      </c>
      <c r="N19" s="40">
        <f t="shared" si="20"/>
        <v>0</v>
      </c>
      <c r="O19" s="48">
        <f t="shared" si="20"/>
        <v>0</v>
      </c>
      <c r="P19" s="40">
        <f t="shared" si="20"/>
        <v>640</v>
      </c>
      <c r="Q19" s="48">
        <f t="shared" si="20"/>
        <v>2.4</v>
      </c>
      <c r="R19" s="40">
        <f t="shared" si="20"/>
        <v>550</v>
      </c>
      <c r="S19" s="48">
        <f t="shared" si="20"/>
        <v>2.2999999999999998</v>
      </c>
      <c r="T19" s="40">
        <f t="shared" ref="T19:Z19" si="21">T18</f>
        <v>20</v>
      </c>
      <c r="U19" s="48">
        <f>U18</f>
        <v>11.7</v>
      </c>
      <c r="V19" s="40">
        <f t="shared" si="21"/>
        <v>20</v>
      </c>
      <c r="W19" s="48">
        <f>W18</f>
        <v>11.7</v>
      </c>
      <c r="X19" s="40">
        <f t="shared" si="21"/>
        <v>10</v>
      </c>
      <c r="Y19" s="48">
        <f>Y18</f>
        <v>59.9</v>
      </c>
      <c r="Z19" s="40">
        <f t="shared" si="21"/>
        <v>2</v>
      </c>
      <c r="AA19" s="48">
        <f>AA18</f>
        <v>49.9</v>
      </c>
      <c r="AB19" s="40">
        <f t="shared" ref="AB19" si="22">AB18</f>
        <v>30</v>
      </c>
      <c r="AC19" s="48">
        <f>AC18</f>
        <v>8.9</v>
      </c>
      <c r="AD19" s="162"/>
      <c r="AE19" s="162">
        <f>AE18</f>
        <v>150</v>
      </c>
      <c r="AF19" s="162">
        <f>AF18</f>
        <v>2.4</v>
      </c>
      <c r="AG19" s="17"/>
      <c r="AH19" s="46" t="s">
        <v>194</v>
      </c>
      <c r="AI19" s="49"/>
    </row>
    <row r="20" spans="2:37" ht="15.75" customHeight="1">
      <c r="B20" s="21" t="s">
        <v>57</v>
      </c>
      <c r="C20" s="42" t="str">
        <f>C$8</f>
        <v>４歳以上児</v>
      </c>
      <c r="D20" s="22" t="s">
        <v>187</v>
      </c>
      <c r="E20" s="151" t="str">
        <f>E$8</f>
        <v>a</v>
      </c>
      <c r="F20" s="137" t="str">
        <f t="shared" si="0"/>
        <v>Ga</v>
      </c>
      <c r="G20" s="27">
        <v>410</v>
      </c>
      <c r="H20" s="43">
        <v>2.5</v>
      </c>
      <c r="I20" s="53">
        <v>20</v>
      </c>
      <c r="J20" s="53">
        <v>130</v>
      </c>
      <c r="K20" s="54">
        <v>2.5</v>
      </c>
      <c r="L20" s="152">
        <f t="shared" ref="L20:S20" si="23">L$8</f>
        <v>0</v>
      </c>
      <c r="M20" s="153">
        <f t="shared" si="23"/>
        <v>0</v>
      </c>
      <c r="N20" s="152">
        <f t="shared" si="23"/>
        <v>30</v>
      </c>
      <c r="O20" s="153">
        <f t="shared" si="23"/>
        <v>3.9</v>
      </c>
      <c r="P20" s="152">
        <f t="shared" si="23"/>
        <v>0</v>
      </c>
      <c r="Q20" s="153">
        <f t="shared" si="23"/>
        <v>0</v>
      </c>
      <c r="R20" s="152">
        <f t="shared" si="23"/>
        <v>0</v>
      </c>
      <c r="S20" s="153">
        <f t="shared" si="23"/>
        <v>0</v>
      </c>
      <c r="T20" s="27">
        <v>0</v>
      </c>
      <c r="U20" s="54">
        <v>0</v>
      </c>
      <c r="V20" s="53">
        <v>20</v>
      </c>
      <c r="W20" s="54">
        <v>10.199999999999999</v>
      </c>
      <c r="X20" s="53">
        <v>10</v>
      </c>
      <c r="Y20" s="54">
        <v>52.4</v>
      </c>
      <c r="Z20" s="53">
        <v>1</v>
      </c>
      <c r="AA20" s="54">
        <v>87.4</v>
      </c>
      <c r="AB20" s="53">
        <v>30</v>
      </c>
      <c r="AC20" s="54">
        <v>7.8</v>
      </c>
      <c r="AD20" s="162"/>
      <c r="AE20" s="162">
        <v>130</v>
      </c>
      <c r="AF20" s="162">
        <v>2.5</v>
      </c>
      <c r="AG20" s="17"/>
      <c r="AH20" s="46" t="s">
        <v>49</v>
      </c>
      <c r="AI20" s="49"/>
    </row>
    <row r="21" spans="2:37" ht="15.75" customHeight="1">
      <c r="B21" s="37"/>
      <c r="C21" s="47" t="str">
        <f>C$9</f>
        <v>３歳児</v>
      </c>
      <c r="D21" s="38" t="str">
        <f>D20</f>
        <v>G</v>
      </c>
      <c r="E21" s="41" t="str">
        <f>E$9</f>
        <v>b</v>
      </c>
      <c r="F21" s="143" t="str">
        <f t="shared" si="0"/>
        <v>Gb</v>
      </c>
      <c r="G21" s="35">
        <v>500</v>
      </c>
      <c r="H21" s="36">
        <v>2.5</v>
      </c>
      <c r="I21" s="40">
        <f>I20</f>
        <v>20</v>
      </c>
      <c r="J21" s="40">
        <f>J20</f>
        <v>130</v>
      </c>
      <c r="K21" s="48">
        <f>K20</f>
        <v>2.5</v>
      </c>
      <c r="L21" s="40">
        <f t="shared" ref="L21:S21" si="24">L$9</f>
        <v>90</v>
      </c>
      <c r="M21" s="48">
        <f t="shared" si="24"/>
        <v>2.6</v>
      </c>
      <c r="N21" s="40">
        <f t="shared" si="24"/>
        <v>0</v>
      </c>
      <c r="O21" s="48">
        <f t="shared" si="24"/>
        <v>0</v>
      </c>
      <c r="P21" s="40">
        <f t="shared" si="24"/>
        <v>640</v>
      </c>
      <c r="Q21" s="48">
        <f t="shared" si="24"/>
        <v>2.4</v>
      </c>
      <c r="R21" s="40">
        <f t="shared" si="24"/>
        <v>550</v>
      </c>
      <c r="S21" s="48">
        <f t="shared" si="24"/>
        <v>2.2999999999999998</v>
      </c>
      <c r="T21" s="40">
        <f t="shared" ref="T21:Z21" si="25">T20</f>
        <v>0</v>
      </c>
      <c r="U21" s="48">
        <f>U20</f>
        <v>0</v>
      </c>
      <c r="V21" s="40">
        <f t="shared" si="25"/>
        <v>20</v>
      </c>
      <c r="W21" s="48">
        <f>W20</f>
        <v>10.199999999999999</v>
      </c>
      <c r="X21" s="40">
        <f t="shared" si="25"/>
        <v>10</v>
      </c>
      <c r="Y21" s="48">
        <f>Y20</f>
        <v>52.4</v>
      </c>
      <c r="Z21" s="40">
        <f t="shared" si="25"/>
        <v>1</v>
      </c>
      <c r="AA21" s="48">
        <f>AA20</f>
        <v>87.4</v>
      </c>
      <c r="AB21" s="40">
        <f t="shared" ref="AB21" si="26">AB20</f>
        <v>30</v>
      </c>
      <c r="AC21" s="48">
        <f>AC20</f>
        <v>7.8</v>
      </c>
      <c r="AD21" s="162"/>
      <c r="AE21" s="162">
        <f>AE20</f>
        <v>130</v>
      </c>
      <c r="AF21" s="162">
        <f>AF20</f>
        <v>2.5</v>
      </c>
      <c r="AG21" s="17"/>
      <c r="AH21" s="46" t="s">
        <v>52</v>
      </c>
      <c r="AI21" s="49"/>
    </row>
    <row r="22" spans="2:37" ht="15.75" customHeight="1">
      <c r="B22" s="21" t="s">
        <v>58</v>
      </c>
      <c r="C22" s="42" t="str">
        <f>C$8</f>
        <v>４歳以上児</v>
      </c>
      <c r="D22" s="22" t="s">
        <v>189</v>
      </c>
      <c r="E22" s="151" t="str">
        <f>E$8</f>
        <v>a</v>
      </c>
      <c r="F22" s="137" t="str">
        <f>D22&amp;E22</f>
        <v>Ha</v>
      </c>
      <c r="G22" s="27">
        <v>390</v>
      </c>
      <c r="H22" s="43">
        <v>2.4</v>
      </c>
      <c r="I22" s="53">
        <v>10</v>
      </c>
      <c r="J22" s="53">
        <v>120</v>
      </c>
      <c r="K22" s="54">
        <v>2.4</v>
      </c>
      <c r="L22" s="152">
        <f t="shared" ref="L22:S22" si="27">L$8</f>
        <v>0</v>
      </c>
      <c r="M22" s="153">
        <f t="shared" si="27"/>
        <v>0</v>
      </c>
      <c r="N22" s="152">
        <f t="shared" si="27"/>
        <v>30</v>
      </c>
      <c r="O22" s="153">
        <f t="shared" si="27"/>
        <v>3.9</v>
      </c>
      <c r="P22" s="152">
        <f t="shared" si="27"/>
        <v>0</v>
      </c>
      <c r="Q22" s="153">
        <f t="shared" si="27"/>
        <v>0</v>
      </c>
      <c r="R22" s="152">
        <f t="shared" si="27"/>
        <v>0</v>
      </c>
      <c r="S22" s="153">
        <f t="shared" si="27"/>
        <v>0</v>
      </c>
      <c r="T22" s="27">
        <v>0</v>
      </c>
      <c r="U22" s="54">
        <v>0</v>
      </c>
      <c r="V22" s="53">
        <v>10</v>
      </c>
      <c r="W22" s="54">
        <v>18.100000000000001</v>
      </c>
      <c r="X22" s="53">
        <v>9</v>
      </c>
      <c r="Y22" s="54">
        <v>51.8</v>
      </c>
      <c r="Z22" s="53">
        <v>1</v>
      </c>
      <c r="AA22" s="54">
        <v>77.7</v>
      </c>
      <c r="AB22" s="53">
        <v>20</v>
      </c>
      <c r="AC22" s="54">
        <v>10.4</v>
      </c>
      <c r="AD22" s="162"/>
      <c r="AE22" s="162">
        <v>120</v>
      </c>
      <c r="AF22" s="162">
        <v>2.4</v>
      </c>
      <c r="AG22" s="17"/>
      <c r="AH22" s="46" t="s">
        <v>54</v>
      </c>
      <c r="AI22" s="49"/>
    </row>
    <row r="23" spans="2:37" ht="15.75" customHeight="1">
      <c r="B23" s="37"/>
      <c r="C23" s="47" t="str">
        <f>C$9</f>
        <v>３歳児</v>
      </c>
      <c r="D23" s="38" t="str">
        <f>D22</f>
        <v>H</v>
      </c>
      <c r="E23" s="41" t="str">
        <f>E$9</f>
        <v>b</v>
      </c>
      <c r="F23" s="143" t="str">
        <f>D23&amp;E23</f>
        <v>Hb</v>
      </c>
      <c r="G23" s="35">
        <v>480</v>
      </c>
      <c r="H23" s="36">
        <v>2.5</v>
      </c>
      <c r="I23" s="40">
        <f>I22</f>
        <v>10</v>
      </c>
      <c r="J23" s="40">
        <f>J22</f>
        <v>120</v>
      </c>
      <c r="K23" s="48">
        <f>K22</f>
        <v>2.4</v>
      </c>
      <c r="L23" s="40">
        <f t="shared" ref="L23:S23" si="28">L$9</f>
        <v>90</v>
      </c>
      <c r="M23" s="48">
        <f t="shared" si="28"/>
        <v>2.6</v>
      </c>
      <c r="N23" s="40">
        <f t="shared" si="28"/>
        <v>0</v>
      </c>
      <c r="O23" s="48">
        <f t="shared" si="28"/>
        <v>0</v>
      </c>
      <c r="P23" s="40">
        <f t="shared" si="28"/>
        <v>640</v>
      </c>
      <c r="Q23" s="48">
        <f t="shared" si="28"/>
        <v>2.4</v>
      </c>
      <c r="R23" s="40">
        <f t="shared" si="28"/>
        <v>550</v>
      </c>
      <c r="S23" s="48">
        <f t="shared" si="28"/>
        <v>2.2999999999999998</v>
      </c>
      <c r="T23" s="40">
        <f t="shared" ref="T23:Z23" si="29">T22</f>
        <v>0</v>
      </c>
      <c r="U23" s="48">
        <f>U22</f>
        <v>0</v>
      </c>
      <c r="V23" s="40">
        <f t="shared" si="29"/>
        <v>10</v>
      </c>
      <c r="W23" s="48">
        <f>W22</f>
        <v>18.100000000000001</v>
      </c>
      <c r="X23" s="40">
        <f t="shared" si="29"/>
        <v>9</v>
      </c>
      <c r="Y23" s="48">
        <f>Y22</f>
        <v>51.8</v>
      </c>
      <c r="Z23" s="40">
        <f t="shared" si="29"/>
        <v>1</v>
      </c>
      <c r="AA23" s="48">
        <f>AA22</f>
        <v>77.7</v>
      </c>
      <c r="AB23" s="40">
        <f t="shared" ref="AB23" si="30">AB22</f>
        <v>20</v>
      </c>
      <c r="AC23" s="48">
        <f>AC22</f>
        <v>10.4</v>
      </c>
      <c r="AD23" s="162"/>
      <c r="AE23" s="162">
        <f>AE22</f>
        <v>120</v>
      </c>
      <c r="AF23" s="162">
        <f>AF22</f>
        <v>2.4</v>
      </c>
      <c r="AG23" s="17"/>
    </row>
    <row r="24" spans="2:37" ht="15.75" customHeight="1">
      <c r="B24" s="21" t="s">
        <v>59</v>
      </c>
      <c r="C24" s="42" t="str">
        <f>C$8</f>
        <v>４歳以上児</v>
      </c>
      <c r="D24" s="154" t="s">
        <v>193</v>
      </c>
      <c r="E24" s="151" t="str">
        <f>E$8</f>
        <v>a</v>
      </c>
      <c r="F24" s="137" t="str">
        <f t="shared" si="0"/>
        <v>Ia</v>
      </c>
      <c r="G24" s="27">
        <v>370</v>
      </c>
      <c r="H24" s="43">
        <v>2.4</v>
      </c>
      <c r="I24" s="53">
        <v>10</v>
      </c>
      <c r="J24" s="53">
        <v>110</v>
      </c>
      <c r="K24" s="54">
        <v>2.2999999999999998</v>
      </c>
      <c r="L24" s="152">
        <f t="shared" ref="L24:S24" si="31">L$8</f>
        <v>0</v>
      </c>
      <c r="M24" s="153">
        <f t="shared" si="31"/>
        <v>0</v>
      </c>
      <c r="N24" s="152">
        <f t="shared" si="31"/>
        <v>30</v>
      </c>
      <c r="O24" s="153">
        <f t="shared" si="31"/>
        <v>3.9</v>
      </c>
      <c r="P24" s="152">
        <f t="shared" si="31"/>
        <v>0</v>
      </c>
      <c r="Q24" s="153">
        <f t="shared" si="31"/>
        <v>0</v>
      </c>
      <c r="R24" s="152">
        <f t="shared" si="31"/>
        <v>0</v>
      </c>
      <c r="S24" s="153">
        <f t="shared" si="31"/>
        <v>0</v>
      </c>
      <c r="T24" s="27">
        <v>0</v>
      </c>
      <c r="U24" s="54">
        <v>0</v>
      </c>
      <c r="V24" s="53">
        <v>10</v>
      </c>
      <c r="W24" s="54">
        <v>16.3</v>
      </c>
      <c r="X24" s="53">
        <v>8</v>
      </c>
      <c r="Y24" s="54">
        <v>52.4</v>
      </c>
      <c r="Z24" s="53">
        <v>1</v>
      </c>
      <c r="AA24" s="54">
        <v>69.900000000000006</v>
      </c>
      <c r="AB24" s="53">
        <v>20</v>
      </c>
      <c r="AC24" s="54">
        <v>9.3000000000000007</v>
      </c>
      <c r="AD24" s="162"/>
      <c r="AE24" s="162">
        <v>110</v>
      </c>
      <c r="AF24" s="162">
        <v>2.2999999999999998</v>
      </c>
      <c r="AG24" s="17"/>
    </row>
    <row r="25" spans="2:37" ht="15.75" customHeight="1">
      <c r="B25" s="37"/>
      <c r="C25" s="47" t="str">
        <f>C$9</f>
        <v>３歳児</v>
      </c>
      <c r="D25" s="38" t="str">
        <f>D24</f>
        <v>I</v>
      </c>
      <c r="E25" s="41" t="str">
        <f>E$9</f>
        <v>b</v>
      </c>
      <c r="F25" s="143" t="str">
        <f t="shared" si="0"/>
        <v>Ib</v>
      </c>
      <c r="G25" s="35">
        <v>460</v>
      </c>
      <c r="H25" s="36">
        <v>2.5</v>
      </c>
      <c r="I25" s="40">
        <f>I24</f>
        <v>10</v>
      </c>
      <c r="J25" s="40">
        <f>J24</f>
        <v>110</v>
      </c>
      <c r="K25" s="48">
        <f>K24</f>
        <v>2.2999999999999998</v>
      </c>
      <c r="L25" s="40">
        <f t="shared" ref="L25:S25" si="32">L$9</f>
        <v>90</v>
      </c>
      <c r="M25" s="48">
        <f t="shared" si="32"/>
        <v>2.6</v>
      </c>
      <c r="N25" s="40">
        <f t="shared" si="32"/>
        <v>0</v>
      </c>
      <c r="O25" s="48">
        <f t="shared" si="32"/>
        <v>0</v>
      </c>
      <c r="P25" s="40">
        <f t="shared" si="32"/>
        <v>640</v>
      </c>
      <c r="Q25" s="48">
        <f t="shared" si="32"/>
        <v>2.4</v>
      </c>
      <c r="R25" s="40">
        <f t="shared" si="32"/>
        <v>550</v>
      </c>
      <c r="S25" s="48">
        <f t="shared" si="32"/>
        <v>2.2999999999999998</v>
      </c>
      <c r="T25" s="40">
        <f t="shared" ref="T25:Z25" si="33">T24</f>
        <v>0</v>
      </c>
      <c r="U25" s="48">
        <f>U24</f>
        <v>0</v>
      </c>
      <c r="V25" s="40">
        <f t="shared" si="33"/>
        <v>10</v>
      </c>
      <c r="W25" s="48">
        <f>W24</f>
        <v>16.3</v>
      </c>
      <c r="X25" s="40">
        <f t="shared" si="33"/>
        <v>8</v>
      </c>
      <c r="Y25" s="48">
        <f>Y24</f>
        <v>52.4</v>
      </c>
      <c r="Z25" s="40">
        <f t="shared" si="33"/>
        <v>1</v>
      </c>
      <c r="AA25" s="48">
        <f>AA24</f>
        <v>69.900000000000006</v>
      </c>
      <c r="AB25" s="40">
        <f t="shared" ref="AB25" si="34">AB24</f>
        <v>20</v>
      </c>
      <c r="AC25" s="48">
        <f>AC24</f>
        <v>9.3000000000000007</v>
      </c>
      <c r="AD25" s="162"/>
      <c r="AE25" s="162">
        <f>AE24</f>
        <v>110</v>
      </c>
      <c r="AF25" s="162">
        <f>AF24</f>
        <v>2.2999999999999998</v>
      </c>
      <c r="AG25" s="17"/>
    </row>
    <row r="26" spans="2:37" ht="15.75" customHeight="1">
      <c r="B26" s="21" t="s">
        <v>60</v>
      </c>
      <c r="C26" s="42" t="str">
        <f>C$8</f>
        <v>４歳以上児</v>
      </c>
      <c r="D26" s="154" t="s">
        <v>196</v>
      </c>
      <c r="E26" s="151" t="str">
        <f>E$8</f>
        <v>a</v>
      </c>
      <c r="F26" s="137" t="str">
        <f t="shared" si="0"/>
        <v>Ja</v>
      </c>
      <c r="G26" s="27">
        <v>350</v>
      </c>
      <c r="H26" s="43">
        <v>2.4</v>
      </c>
      <c r="I26" s="53">
        <v>10</v>
      </c>
      <c r="J26" s="53">
        <v>100</v>
      </c>
      <c r="K26" s="54">
        <v>2.2999999999999998</v>
      </c>
      <c r="L26" s="152">
        <f t="shared" ref="L26:S26" si="35">L$8</f>
        <v>0</v>
      </c>
      <c r="M26" s="153">
        <f t="shared" si="35"/>
        <v>0</v>
      </c>
      <c r="N26" s="152">
        <f t="shared" si="35"/>
        <v>30</v>
      </c>
      <c r="O26" s="153">
        <f t="shared" si="35"/>
        <v>3.9</v>
      </c>
      <c r="P26" s="152">
        <f t="shared" si="35"/>
        <v>0</v>
      </c>
      <c r="Q26" s="153">
        <f t="shared" si="35"/>
        <v>0</v>
      </c>
      <c r="R26" s="152">
        <f t="shared" si="35"/>
        <v>0</v>
      </c>
      <c r="S26" s="153">
        <f t="shared" si="35"/>
        <v>0</v>
      </c>
      <c r="T26" s="27">
        <v>0</v>
      </c>
      <c r="U26" s="54">
        <v>0</v>
      </c>
      <c r="V26" s="53">
        <v>10</v>
      </c>
      <c r="W26" s="54">
        <v>14.8</v>
      </c>
      <c r="X26" s="53">
        <v>8</v>
      </c>
      <c r="Y26" s="54">
        <v>47.7</v>
      </c>
      <c r="Z26" s="53">
        <v>1</v>
      </c>
      <c r="AA26" s="54">
        <v>63.5</v>
      </c>
      <c r="AB26" s="53">
        <v>20</v>
      </c>
      <c r="AC26" s="54">
        <v>8.5</v>
      </c>
      <c r="AD26" s="162"/>
      <c r="AE26" s="162">
        <v>100</v>
      </c>
      <c r="AF26" s="162">
        <v>2.2999999999999998</v>
      </c>
      <c r="AG26" s="17"/>
      <c r="AH26" s="2" t="s">
        <v>256</v>
      </c>
    </row>
    <row r="27" spans="2:37" ht="15.75" customHeight="1">
      <c r="B27" s="37"/>
      <c r="C27" s="47" t="str">
        <f>C$9</f>
        <v>３歳児</v>
      </c>
      <c r="D27" s="38" t="str">
        <f>D26</f>
        <v>J</v>
      </c>
      <c r="E27" s="41" t="str">
        <f>E$9</f>
        <v>b</v>
      </c>
      <c r="F27" s="143" t="str">
        <f t="shared" si="0"/>
        <v>Jb</v>
      </c>
      <c r="G27" s="35">
        <v>450</v>
      </c>
      <c r="H27" s="36">
        <v>2.4</v>
      </c>
      <c r="I27" s="40">
        <f>I26</f>
        <v>10</v>
      </c>
      <c r="J27" s="40">
        <f>J26</f>
        <v>100</v>
      </c>
      <c r="K27" s="48">
        <f>K26</f>
        <v>2.2999999999999998</v>
      </c>
      <c r="L27" s="40">
        <f t="shared" ref="L27:S27" si="36">L$9</f>
        <v>90</v>
      </c>
      <c r="M27" s="48">
        <f t="shared" si="36"/>
        <v>2.6</v>
      </c>
      <c r="N27" s="40">
        <f t="shared" si="36"/>
        <v>0</v>
      </c>
      <c r="O27" s="48">
        <f t="shared" si="36"/>
        <v>0</v>
      </c>
      <c r="P27" s="40">
        <f t="shared" si="36"/>
        <v>640</v>
      </c>
      <c r="Q27" s="48">
        <f t="shared" si="36"/>
        <v>2.4</v>
      </c>
      <c r="R27" s="40">
        <f t="shared" si="36"/>
        <v>550</v>
      </c>
      <c r="S27" s="48">
        <f t="shared" si="36"/>
        <v>2.2999999999999998</v>
      </c>
      <c r="T27" s="40">
        <f t="shared" ref="T27:Z27" si="37">T26</f>
        <v>0</v>
      </c>
      <c r="U27" s="48">
        <f>U26</f>
        <v>0</v>
      </c>
      <c r="V27" s="40">
        <f t="shared" si="37"/>
        <v>10</v>
      </c>
      <c r="W27" s="48">
        <f>W26</f>
        <v>14.8</v>
      </c>
      <c r="X27" s="40">
        <f t="shared" si="37"/>
        <v>8</v>
      </c>
      <c r="Y27" s="48">
        <f>Y26</f>
        <v>47.7</v>
      </c>
      <c r="Z27" s="40">
        <f t="shared" si="37"/>
        <v>1</v>
      </c>
      <c r="AA27" s="48">
        <f>AA26</f>
        <v>63.5</v>
      </c>
      <c r="AB27" s="40">
        <f t="shared" ref="AB27" si="38">AB26</f>
        <v>20</v>
      </c>
      <c r="AC27" s="48">
        <f>AC26</f>
        <v>8.5</v>
      </c>
      <c r="AD27" s="162"/>
      <c r="AE27" s="162">
        <f>AE26</f>
        <v>100</v>
      </c>
      <c r="AF27" s="162">
        <f>AF26</f>
        <v>2.2999999999999998</v>
      </c>
      <c r="AG27" s="17"/>
    </row>
    <row r="28" spans="2:37" ht="15.75" customHeight="1">
      <c r="B28" s="21" t="s">
        <v>61</v>
      </c>
      <c r="C28" s="42" t="str">
        <f>C$8</f>
        <v>４歳以上児</v>
      </c>
      <c r="D28" s="154" t="s">
        <v>198</v>
      </c>
      <c r="E28" s="151" t="str">
        <f>E$8</f>
        <v>a</v>
      </c>
      <c r="F28" s="137" t="str">
        <f t="shared" si="0"/>
        <v>Ka</v>
      </c>
      <c r="G28" s="27">
        <v>340</v>
      </c>
      <c r="H28" s="43">
        <v>2.4</v>
      </c>
      <c r="I28" s="53">
        <v>10</v>
      </c>
      <c r="J28" s="53">
        <v>90</v>
      </c>
      <c r="K28" s="54">
        <v>2.4</v>
      </c>
      <c r="L28" s="152">
        <f t="shared" ref="L28:S28" si="39">L$8</f>
        <v>0</v>
      </c>
      <c r="M28" s="153">
        <f t="shared" si="39"/>
        <v>0</v>
      </c>
      <c r="N28" s="152">
        <f t="shared" si="39"/>
        <v>30</v>
      </c>
      <c r="O28" s="153">
        <f t="shared" si="39"/>
        <v>3.9</v>
      </c>
      <c r="P28" s="152">
        <f t="shared" si="39"/>
        <v>0</v>
      </c>
      <c r="Q28" s="153">
        <f t="shared" si="39"/>
        <v>0</v>
      </c>
      <c r="R28" s="152">
        <f t="shared" si="39"/>
        <v>0</v>
      </c>
      <c r="S28" s="153">
        <f t="shared" si="39"/>
        <v>0</v>
      </c>
      <c r="T28" s="27">
        <v>0</v>
      </c>
      <c r="U28" s="54">
        <v>0</v>
      </c>
      <c r="V28" s="53">
        <v>10</v>
      </c>
      <c r="W28" s="54">
        <v>13.6</v>
      </c>
      <c r="X28" s="53">
        <v>7</v>
      </c>
      <c r="Y28" s="54">
        <v>49.9</v>
      </c>
      <c r="Z28" s="53">
        <v>1</v>
      </c>
      <c r="AA28" s="54">
        <v>58.3</v>
      </c>
      <c r="AB28" s="53">
        <v>20</v>
      </c>
      <c r="AC28" s="54">
        <v>7.8</v>
      </c>
      <c r="AD28" s="162"/>
      <c r="AE28" s="162">
        <v>90</v>
      </c>
      <c r="AF28" s="162">
        <v>2.4</v>
      </c>
      <c r="AG28" s="17"/>
    </row>
    <row r="29" spans="2:37" ht="15.75" customHeight="1">
      <c r="B29" s="37"/>
      <c r="C29" s="47" t="str">
        <f>C$9</f>
        <v>３歳児</v>
      </c>
      <c r="D29" s="38" t="str">
        <f>D28</f>
        <v>K</v>
      </c>
      <c r="E29" s="41" t="str">
        <f>E$9</f>
        <v>b</v>
      </c>
      <c r="F29" s="143" t="str">
        <f t="shared" si="0"/>
        <v>Kb</v>
      </c>
      <c r="G29" s="35">
        <v>430</v>
      </c>
      <c r="H29" s="36">
        <v>2.4</v>
      </c>
      <c r="I29" s="40">
        <f>I28</f>
        <v>10</v>
      </c>
      <c r="J29" s="40">
        <f>J28</f>
        <v>90</v>
      </c>
      <c r="K29" s="48">
        <f>K28</f>
        <v>2.4</v>
      </c>
      <c r="L29" s="40">
        <f t="shared" ref="L29:S29" si="40">L$9</f>
        <v>90</v>
      </c>
      <c r="M29" s="48">
        <f t="shared" si="40"/>
        <v>2.6</v>
      </c>
      <c r="N29" s="40">
        <f t="shared" si="40"/>
        <v>0</v>
      </c>
      <c r="O29" s="48">
        <f t="shared" si="40"/>
        <v>0</v>
      </c>
      <c r="P29" s="40">
        <f t="shared" si="40"/>
        <v>640</v>
      </c>
      <c r="Q29" s="48">
        <f t="shared" si="40"/>
        <v>2.4</v>
      </c>
      <c r="R29" s="40">
        <f t="shared" si="40"/>
        <v>550</v>
      </c>
      <c r="S29" s="48">
        <f t="shared" si="40"/>
        <v>2.2999999999999998</v>
      </c>
      <c r="T29" s="40">
        <f t="shared" ref="T29:Z29" si="41">T28</f>
        <v>0</v>
      </c>
      <c r="U29" s="48">
        <f>U28</f>
        <v>0</v>
      </c>
      <c r="V29" s="40">
        <f t="shared" si="41"/>
        <v>10</v>
      </c>
      <c r="W29" s="48">
        <f>W28</f>
        <v>13.6</v>
      </c>
      <c r="X29" s="40">
        <f t="shared" si="41"/>
        <v>7</v>
      </c>
      <c r="Y29" s="48">
        <f>Y28</f>
        <v>49.9</v>
      </c>
      <c r="Z29" s="40">
        <f t="shared" si="41"/>
        <v>1</v>
      </c>
      <c r="AA29" s="48">
        <f>AA28</f>
        <v>58.3</v>
      </c>
      <c r="AB29" s="40">
        <f t="shared" ref="AB29" si="42">AB28</f>
        <v>20</v>
      </c>
      <c r="AC29" s="48">
        <f>AC28</f>
        <v>7.8</v>
      </c>
      <c r="AD29" s="162"/>
      <c r="AE29" s="162">
        <f>AE28</f>
        <v>90</v>
      </c>
      <c r="AF29" s="162">
        <f>AF28</f>
        <v>2.4</v>
      </c>
      <c r="AG29" s="17"/>
    </row>
    <row r="30" spans="2:37" ht="15.75" customHeight="1">
      <c r="B30" s="21" t="s">
        <v>240</v>
      </c>
      <c r="C30" s="42" t="str">
        <f>C$8</f>
        <v>４歳以上児</v>
      </c>
      <c r="D30" s="22" t="s">
        <v>200</v>
      </c>
      <c r="E30" s="151" t="str">
        <f>E$8</f>
        <v>a</v>
      </c>
      <c r="F30" s="137" t="str">
        <f t="shared" si="0"/>
        <v>La</v>
      </c>
      <c r="G30" s="27">
        <v>310</v>
      </c>
      <c r="H30" s="43">
        <v>2.4</v>
      </c>
      <c r="I30" s="53">
        <v>10</v>
      </c>
      <c r="J30" s="53">
        <v>70</v>
      </c>
      <c r="K30" s="54">
        <v>2.4</v>
      </c>
      <c r="L30" s="152">
        <f t="shared" ref="L30:S30" si="43">L$8</f>
        <v>0</v>
      </c>
      <c r="M30" s="153">
        <f t="shared" si="43"/>
        <v>0</v>
      </c>
      <c r="N30" s="152">
        <f t="shared" si="43"/>
        <v>30</v>
      </c>
      <c r="O30" s="153">
        <f t="shared" si="43"/>
        <v>3.9</v>
      </c>
      <c r="P30" s="152">
        <f t="shared" si="43"/>
        <v>0</v>
      </c>
      <c r="Q30" s="153">
        <f t="shared" si="43"/>
        <v>0</v>
      </c>
      <c r="R30" s="152">
        <f t="shared" si="43"/>
        <v>0</v>
      </c>
      <c r="S30" s="153">
        <f t="shared" si="43"/>
        <v>0</v>
      </c>
      <c r="T30" s="27">
        <v>0</v>
      </c>
      <c r="U30" s="54">
        <v>0</v>
      </c>
      <c r="V30" s="53">
        <v>10</v>
      </c>
      <c r="W30" s="54">
        <v>10.9</v>
      </c>
      <c r="X30" s="53">
        <v>6</v>
      </c>
      <c r="Y30" s="54">
        <v>46.6</v>
      </c>
      <c r="Z30" s="53">
        <v>1</v>
      </c>
      <c r="AA30" s="54">
        <v>46.6</v>
      </c>
      <c r="AB30" s="53">
        <v>10</v>
      </c>
      <c r="AC30" s="54">
        <v>12.4</v>
      </c>
      <c r="AD30" s="162"/>
      <c r="AE30" s="162">
        <v>70</v>
      </c>
      <c r="AF30" s="162">
        <v>2.4</v>
      </c>
      <c r="AG30" s="17"/>
    </row>
    <row r="31" spans="2:37" ht="15.75" customHeight="1">
      <c r="B31" s="56"/>
      <c r="C31" s="47" t="str">
        <f>C$9</f>
        <v>３歳児</v>
      </c>
      <c r="D31" s="38" t="str">
        <f>D30</f>
        <v>L</v>
      </c>
      <c r="E31" s="41" t="str">
        <f>E$9</f>
        <v>b</v>
      </c>
      <c r="F31" s="143" t="str">
        <f t="shared" si="0"/>
        <v>Lb</v>
      </c>
      <c r="G31" s="35">
        <v>410</v>
      </c>
      <c r="H31" s="36">
        <v>2.4</v>
      </c>
      <c r="I31" s="40">
        <f>I30</f>
        <v>10</v>
      </c>
      <c r="J31" s="40">
        <f>J30</f>
        <v>70</v>
      </c>
      <c r="K31" s="48">
        <f>K30</f>
        <v>2.4</v>
      </c>
      <c r="L31" s="40">
        <f t="shared" ref="L31:S31" si="44">L$9</f>
        <v>90</v>
      </c>
      <c r="M31" s="48">
        <f t="shared" si="44"/>
        <v>2.6</v>
      </c>
      <c r="N31" s="40">
        <f t="shared" si="44"/>
        <v>0</v>
      </c>
      <c r="O31" s="48">
        <f t="shared" si="44"/>
        <v>0</v>
      </c>
      <c r="P31" s="40">
        <f t="shared" si="44"/>
        <v>640</v>
      </c>
      <c r="Q31" s="48">
        <f t="shared" si="44"/>
        <v>2.4</v>
      </c>
      <c r="R31" s="40">
        <f t="shared" si="44"/>
        <v>550</v>
      </c>
      <c r="S31" s="48">
        <f t="shared" si="44"/>
        <v>2.2999999999999998</v>
      </c>
      <c r="T31" s="40">
        <f t="shared" ref="T31:Z31" si="45">T30</f>
        <v>0</v>
      </c>
      <c r="U31" s="48">
        <f>U30</f>
        <v>0</v>
      </c>
      <c r="V31" s="40">
        <f t="shared" si="45"/>
        <v>10</v>
      </c>
      <c r="W31" s="48">
        <f>W30</f>
        <v>10.9</v>
      </c>
      <c r="X31" s="40">
        <f t="shared" si="45"/>
        <v>6</v>
      </c>
      <c r="Y31" s="48">
        <f>Y30</f>
        <v>46.6</v>
      </c>
      <c r="Z31" s="40">
        <f t="shared" si="45"/>
        <v>1</v>
      </c>
      <c r="AA31" s="48">
        <f>AA30</f>
        <v>46.6</v>
      </c>
      <c r="AB31" s="40">
        <f t="shared" ref="AB31" si="46">AB30</f>
        <v>10</v>
      </c>
      <c r="AC31" s="48">
        <f>AC30</f>
        <v>12.4</v>
      </c>
      <c r="AD31" s="162"/>
      <c r="AE31" s="162">
        <f>AE30</f>
        <v>70</v>
      </c>
      <c r="AF31" s="162">
        <f>AF30</f>
        <v>2.4</v>
      </c>
      <c r="AG31" s="17"/>
    </row>
    <row r="32" spans="2:37" ht="15.75" customHeight="1">
      <c r="B32" s="21" t="s">
        <v>241</v>
      </c>
      <c r="C32" s="42" t="str">
        <f>C$8</f>
        <v>４歳以上児</v>
      </c>
      <c r="D32" s="154" t="s">
        <v>202</v>
      </c>
      <c r="E32" s="151" t="str">
        <f>E$8</f>
        <v>a</v>
      </c>
      <c r="F32" s="137" t="str">
        <f t="shared" si="0"/>
        <v>Ma</v>
      </c>
      <c r="G32" s="27">
        <v>300</v>
      </c>
      <c r="H32" s="43">
        <v>2.2999999999999998</v>
      </c>
      <c r="I32" s="53">
        <v>9</v>
      </c>
      <c r="J32" s="53">
        <v>60</v>
      </c>
      <c r="K32" s="54">
        <v>2.4</v>
      </c>
      <c r="L32" s="152">
        <f t="shared" ref="L32:S32" si="47">L$8</f>
        <v>0</v>
      </c>
      <c r="M32" s="153">
        <f t="shared" si="47"/>
        <v>0</v>
      </c>
      <c r="N32" s="152">
        <f t="shared" si="47"/>
        <v>30</v>
      </c>
      <c r="O32" s="153">
        <f t="shared" si="47"/>
        <v>3.9</v>
      </c>
      <c r="P32" s="152">
        <f t="shared" si="47"/>
        <v>0</v>
      </c>
      <c r="Q32" s="153">
        <f t="shared" si="47"/>
        <v>0</v>
      </c>
      <c r="R32" s="152">
        <f t="shared" si="47"/>
        <v>0</v>
      </c>
      <c r="S32" s="153">
        <f t="shared" si="47"/>
        <v>0</v>
      </c>
      <c r="T32" s="27">
        <v>0</v>
      </c>
      <c r="U32" s="54">
        <v>0</v>
      </c>
      <c r="V32" s="53">
        <v>9</v>
      </c>
      <c r="W32" s="54">
        <v>10.1</v>
      </c>
      <c r="X32" s="53">
        <v>5</v>
      </c>
      <c r="Y32" s="54">
        <v>46.6</v>
      </c>
      <c r="Z32" s="53">
        <v>1</v>
      </c>
      <c r="AA32" s="54">
        <v>38.799999999999997</v>
      </c>
      <c r="AB32" s="53">
        <v>10</v>
      </c>
      <c r="AC32" s="54">
        <v>10.4</v>
      </c>
      <c r="AD32" s="162"/>
      <c r="AE32" s="162">
        <v>60</v>
      </c>
      <c r="AF32" s="162">
        <v>2.4</v>
      </c>
      <c r="AG32" s="17"/>
    </row>
    <row r="33" spans="2:33" ht="15.75" customHeight="1">
      <c r="B33" s="37"/>
      <c r="C33" s="47" t="str">
        <f>C$9</f>
        <v>３歳児</v>
      </c>
      <c r="D33" s="38" t="str">
        <f>D32</f>
        <v>M</v>
      </c>
      <c r="E33" s="41" t="str">
        <f>E$9</f>
        <v>b</v>
      </c>
      <c r="F33" s="143" t="str">
        <f t="shared" si="0"/>
        <v>Mb</v>
      </c>
      <c r="G33" s="35">
        <v>390</v>
      </c>
      <c r="H33" s="36">
        <v>2.4</v>
      </c>
      <c r="I33" s="40">
        <f>I32</f>
        <v>9</v>
      </c>
      <c r="J33" s="40">
        <f>J32</f>
        <v>60</v>
      </c>
      <c r="K33" s="48">
        <f>K32</f>
        <v>2.4</v>
      </c>
      <c r="L33" s="40">
        <f t="shared" ref="L33:S33" si="48">L$9</f>
        <v>90</v>
      </c>
      <c r="M33" s="48">
        <f t="shared" si="48"/>
        <v>2.6</v>
      </c>
      <c r="N33" s="40">
        <f t="shared" si="48"/>
        <v>0</v>
      </c>
      <c r="O33" s="48">
        <f t="shared" si="48"/>
        <v>0</v>
      </c>
      <c r="P33" s="40">
        <f t="shared" si="48"/>
        <v>640</v>
      </c>
      <c r="Q33" s="48">
        <f t="shared" si="48"/>
        <v>2.4</v>
      </c>
      <c r="R33" s="40">
        <f t="shared" si="48"/>
        <v>550</v>
      </c>
      <c r="S33" s="48">
        <f t="shared" si="48"/>
        <v>2.2999999999999998</v>
      </c>
      <c r="T33" s="40">
        <f t="shared" ref="T33:Z33" si="49">T32</f>
        <v>0</v>
      </c>
      <c r="U33" s="48">
        <f>U32</f>
        <v>0</v>
      </c>
      <c r="V33" s="40">
        <f t="shared" si="49"/>
        <v>9</v>
      </c>
      <c r="W33" s="48">
        <f>W32</f>
        <v>10.1</v>
      </c>
      <c r="X33" s="40">
        <f t="shared" si="49"/>
        <v>5</v>
      </c>
      <c r="Y33" s="48">
        <f>Y32</f>
        <v>46.6</v>
      </c>
      <c r="Z33" s="40">
        <f t="shared" si="49"/>
        <v>1</v>
      </c>
      <c r="AA33" s="48">
        <f>AA32</f>
        <v>38.799999999999997</v>
      </c>
      <c r="AB33" s="40">
        <f t="shared" ref="AB33" si="50">AB32</f>
        <v>10</v>
      </c>
      <c r="AC33" s="48">
        <f>AC32</f>
        <v>10.4</v>
      </c>
      <c r="AD33" s="162"/>
      <c r="AE33" s="162">
        <f>AE32</f>
        <v>60</v>
      </c>
      <c r="AF33" s="162">
        <f>AF32</f>
        <v>2.4</v>
      </c>
      <c r="AG33" s="17"/>
    </row>
    <row r="34" spans="2:33" ht="15.75" customHeight="1">
      <c r="B34" s="21" t="s">
        <v>242</v>
      </c>
      <c r="C34" s="42" t="str">
        <f>C$8</f>
        <v>４歳以上児</v>
      </c>
      <c r="D34" s="22" t="s">
        <v>204</v>
      </c>
      <c r="E34" s="151" t="str">
        <f>E$8</f>
        <v>a</v>
      </c>
      <c r="F34" s="137" t="str">
        <f t="shared" si="0"/>
        <v>Na</v>
      </c>
      <c r="G34" s="27">
        <v>290</v>
      </c>
      <c r="H34" s="43">
        <v>2.5</v>
      </c>
      <c r="I34" s="53">
        <v>7</v>
      </c>
      <c r="J34" s="53">
        <v>50</v>
      </c>
      <c r="K34" s="54">
        <v>2.4</v>
      </c>
      <c r="L34" s="152">
        <f t="shared" ref="L34:S34" si="51">L$8</f>
        <v>0</v>
      </c>
      <c r="M34" s="153">
        <f t="shared" si="51"/>
        <v>0</v>
      </c>
      <c r="N34" s="152">
        <f t="shared" si="51"/>
        <v>30</v>
      </c>
      <c r="O34" s="153">
        <f t="shared" si="51"/>
        <v>3.9</v>
      </c>
      <c r="P34" s="152">
        <f t="shared" si="51"/>
        <v>0</v>
      </c>
      <c r="Q34" s="153">
        <f t="shared" si="51"/>
        <v>0</v>
      </c>
      <c r="R34" s="152">
        <f t="shared" si="51"/>
        <v>0</v>
      </c>
      <c r="S34" s="153">
        <f t="shared" si="51"/>
        <v>0</v>
      </c>
      <c r="T34" s="27">
        <v>0</v>
      </c>
      <c r="U34" s="54">
        <v>0</v>
      </c>
      <c r="V34" s="53">
        <v>8</v>
      </c>
      <c r="W34" s="54">
        <v>9.6999999999999993</v>
      </c>
      <c r="X34" s="53">
        <v>4</v>
      </c>
      <c r="Y34" s="54">
        <v>49.9</v>
      </c>
      <c r="Z34" s="53">
        <v>1</v>
      </c>
      <c r="AA34" s="54">
        <v>33.299999999999997</v>
      </c>
      <c r="AB34" s="53">
        <v>10</v>
      </c>
      <c r="AC34" s="54">
        <v>8.9</v>
      </c>
      <c r="AD34" s="162"/>
      <c r="AE34" s="162">
        <v>50</v>
      </c>
      <c r="AF34" s="162">
        <v>2.4</v>
      </c>
      <c r="AG34" s="17"/>
    </row>
    <row r="35" spans="2:33" ht="15.75" customHeight="1">
      <c r="B35" s="56"/>
      <c r="C35" s="47" t="str">
        <f>C$9</f>
        <v>３歳児</v>
      </c>
      <c r="D35" s="38" t="str">
        <f>D34</f>
        <v>N</v>
      </c>
      <c r="E35" s="41" t="str">
        <f>E$9</f>
        <v>b</v>
      </c>
      <c r="F35" s="143" t="str">
        <f t="shared" si="0"/>
        <v>Nb</v>
      </c>
      <c r="G35" s="35">
        <v>380</v>
      </c>
      <c r="H35" s="36">
        <v>2.5</v>
      </c>
      <c r="I35" s="40">
        <f>I34</f>
        <v>7</v>
      </c>
      <c r="J35" s="40">
        <f>J34</f>
        <v>50</v>
      </c>
      <c r="K35" s="48">
        <f>K34</f>
        <v>2.4</v>
      </c>
      <c r="L35" s="40">
        <f t="shared" ref="L35:S35" si="52">L$9</f>
        <v>90</v>
      </c>
      <c r="M35" s="48">
        <f t="shared" si="52"/>
        <v>2.6</v>
      </c>
      <c r="N35" s="40">
        <f t="shared" si="52"/>
        <v>0</v>
      </c>
      <c r="O35" s="48">
        <f t="shared" si="52"/>
        <v>0</v>
      </c>
      <c r="P35" s="40">
        <f t="shared" si="52"/>
        <v>640</v>
      </c>
      <c r="Q35" s="48">
        <f t="shared" si="52"/>
        <v>2.4</v>
      </c>
      <c r="R35" s="40">
        <f t="shared" si="52"/>
        <v>550</v>
      </c>
      <c r="S35" s="48">
        <f t="shared" si="52"/>
        <v>2.2999999999999998</v>
      </c>
      <c r="T35" s="40">
        <f t="shared" ref="T35:Z35" si="53">T34</f>
        <v>0</v>
      </c>
      <c r="U35" s="48">
        <f>U34</f>
        <v>0</v>
      </c>
      <c r="V35" s="40">
        <f t="shared" si="53"/>
        <v>8</v>
      </c>
      <c r="W35" s="48">
        <f>W34</f>
        <v>9.6999999999999993</v>
      </c>
      <c r="X35" s="40">
        <f t="shared" si="53"/>
        <v>4</v>
      </c>
      <c r="Y35" s="48">
        <f>Y34</f>
        <v>49.9</v>
      </c>
      <c r="Z35" s="40">
        <f t="shared" si="53"/>
        <v>1</v>
      </c>
      <c r="AA35" s="48">
        <f>AA34</f>
        <v>33.299999999999997</v>
      </c>
      <c r="AB35" s="40">
        <f t="shared" ref="AB35" si="54">AB34</f>
        <v>10</v>
      </c>
      <c r="AC35" s="48">
        <f>AC34</f>
        <v>8.9</v>
      </c>
      <c r="AD35" s="162"/>
      <c r="AE35" s="162">
        <f>AE34</f>
        <v>50</v>
      </c>
      <c r="AF35" s="162">
        <f>AF34</f>
        <v>2.4</v>
      </c>
      <c r="AG35" s="17"/>
    </row>
    <row r="36" spans="2:33" ht="15.75" customHeight="1">
      <c r="B36" s="21" t="s">
        <v>243</v>
      </c>
      <c r="C36" s="42" t="str">
        <f>C$8</f>
        <v>４歳以上児</v>
      </c>
      <c r="D36" s="154" t="s">
        <v>206</v>
      </c>
      <c r="E36" s="151" t="str">
        <f>E$8</f>
        <v>a</v>
      </c>
      <c r="F36" s="137" t="str">
        <f t="shared" si="0"/>
        <v>Oa</v>
      </c>
      <c r="G36" s="27">
        <v>280</v>
      </c>
      <c r="H36" s="43">
        <v>2.5</v>
      </c>
      <c r="I36" s="53">
        <v>6</v>
      </c>
      <c r="J36" s="53">
        <v>40</v>
      </c>
      <c r="K36" s="54">
        <v>2.7</v>
      </c>
      <c r="L36" s="152">
        <f t="shared" ref="L36:S36" si="55">L$8</f>
        <v>0</v>
      </c>
      <c r="M36" s="153">
        <f t="shared" si="55"/>
        <v>0</v>
      </c>
      <c r="N36" s="152">
        <f t="shared" si="55"/>
        <v>30</v>
      </c>
      <c r="O36" s="153">
        <f t="shared" si="55"/>
        <v>3.9</v>
      </c>
      <c r="P36" s="152">
        <f t="shared" si="55"/>
        <v>0</v>
      </c>
      <c r="Q36" s="153">
        <f t="shared" si="55"/>
        <v>0</v>
      </c>
      <c r="R36" s="152">
        <f t="shared" si="55"/>
        <v>0</v>
      </c>
      <c r="S36" s="153">
        <f t="shared" si="55"/>
        <v>0</v>
      </c>
      <c r="T36" s="27">
        <v>0</v>
      </c>
      <c r="U36" s="54">
        <v>0</v>
      </c>
      <c r="V36" s="53">
        <v>7</v>
      </c>
      <c r="W36" s="54">
        <v>9.6999999999999993</v>
      </c>
      <c r="X36" s="53">
        <v>4</v>
      </c>
      <c r="Y36" s="54">
        <v>43.7</v>
      </c>
      <c r="Z36" s="53">
        <v>1</v>
      </c>
      <c r="AA36" s="54">
        <v>29.1</v>
      </c>
      <c r="AB36" s="53">
        <v>11</v>
      </c>
      <c r="AC36" s="54">
        <v>7.1</v>
      </c>
      <c r="AD36" s="162"/>
      <c r="AE36" s="162">
        <v>40</v>
      </c>
      <c r="AF36" s="162">
        <v>2.7</v>
      </c>
      <c r="AG36" s="17"/>
    </row>
    <row r="37" spans="2:33" ht="15.75" customHeight="1">
      <c r="B37" s="37"/>
      <c r="C37" s="47" t="str">
        <f>C$9</f>
        <v>３歳児</v>
      </c>
      <c r="D37" s="38" t="str">
        <f>D36</f>
        <v>O</v>
      </c>
      <c r="E37" s="41" t="str">
        <f>E$9</f>
        <v>b</v>
      </c>
      <c r="F37" s="143" t="str">
        <f t="shared" si="0"/>
        <v>Ob</v>
      </c>
      <c r="G37" s="35">
        <v>370</v>
      </c>
      <c r="H37" s="36">
        <v>2.5</v>
      </c>
      <c r="I37" s="40">
        <f>I36</f>
        <v>6</v>
      </c>
      <c r="J37" s="40">
        <f>J36</f>
        <v>40</v>
      </c>
      <c r="K37" s="48">
        <f>K36</f>
        <v>2.7</v>
      </c>
      <c r="L37" s="40">
        <f t="shared" ref="L37:S37" si="56">L$9</f>
        <v>90</v>
      </c>
      <c r="M37" s="48">
        <f t="shared" si="56"/>
        <v>2.6</v>
      </c>
      <c r="N37" s="40">
        <f t="shared" si="56"/>
        <v>0</v>
      </c>
      <c r="O37" s="48">
        <f t="shared" si="56"/>
        <v>0</v>
      </c>
      <c r="P37" s="40">
        <f t="shared" si="56"/>
        <v>640</v>
      </c>
      <c r="Q37" s="48">
        <f t="shared" si="56"/>
        <v>2.4</v>
      </c>
      <c r="R37" s="40">
        <f t="shared" si="56"/>
        <v>550</v>
      </c>
      <c r="S37" s="48">
        <f t="shared" si="56"/>
        <v>2.2999999999999998</v>
      </c>
      <c r="T37" s="40">
        <f t="shared" ref="T37:Z37" si="57">T36</f>
        <v>0</v>
      </c>
      <c r="U37" s="48">
        <f>U36</f>
        <v>0</v>
      </c>
      <c r="V37" s="40">
        <f t="shared" si="57"/>
        <v>7</v>
      </c>
      <c r="W37" s="48">
        <f>W36</f>
        <v>9.6999999999999993</v>
      </c>
      <c r="X37" s="40">
        <f t="shared" si="57"/>
        <v>4</v>
      </c>
      <c r="Y37" s="48">
        <f>Y36</f>
        <v>43.7</v>
      </c>
      <c r="Z37" s="40">
        <f t="shared" si="57"/>
        <v>1</v>
      </c>
      <c r="AA37" s="48">
        <f>AA36</f>
        <v>29.1</v>
      </c>
      <c r="AB37" s="40">
        <f t="shared" ref="AB37" si="58">AB36</f>
        <v>11</v>
      </c>
      <c r="AC37" s="48">
        <f>AC36</f>
        <v>7.1</v>
      </c>
      <c r="AD37" s="162"/>
      <c r="AE37" s="162">
        <f>AE36</f>
        <v>40</v>
      </c>
      <c r="AF37" s="162">
        <f>AF36</f>
        <v>2.7</v>
      </c>
      <c r="AG37" s="17"/>
    </row>
    <row r="38" spans="2:33" ht="15.75" customHeight="1">
      <c r="B38" s="21" t="s">
        <v>244</v>
      </c>
      <c r="C38" s="42" t="str">
        <f>C$8</f>
        <v>４歳以上児</v>
      </c>
      <c r="D38" s="22" t="s">
        <v>208</v>
      </c>
      <c r="E38" s="151" t="str">
        <f>E$8</f>
        <v>a</v>
      </c>
      <c r="F38" s="137" t="str">
        <f t="shared" si="0"/>
        <v>Pa</v>
      </c>
      <c r="G38" s="27">
        <v>270</v>
      </c>
      <c r="H38" s="43">
        <v>2.4</v>
      </c>
      <c r="I38" s="53">
        <v>6</v>
      </c>
      <c r="J38" s="53">
        <v>40</v>
      </c>
      <c r="K38" s="54">
        <v>2.4</v>
      </c>
      <c r="L38" s="152">
        <f t="shared" ref="L38:S38" si="59">L$8</f>
        <v>0</v>
      </c>
      <c r="M38" s="153">
        <f t="shared" si="59"/>
        <v>0</v>
      </c>
      <c r="N38" s="152">
        <f t="shared" si="59"/>
        <v>30</v>
      </c>
      <c r="O38" s="153">
        <f t="shared" si="59"/>
        <v>3.9</v>
      </c>
      <c r="P38" s="152">
        <f t="shared" si="59"/>
        <v>0</v>
      </c>
      <c r="Q38" s="153">
        <f t="shared" si="59"/>
        <v>0</v>
      </c>
      <c r="R38" s="152">
        <f t="shared" si="59"/>
        <v>0</v>
      </c>
      <c r="S38" s="153">
        <f t="shared" si="59"/>
        <v>0</v>
      </c>
      <c r="T38" s="53">
        <v>7</v>
      </c>
      <c r="U38" s="54">
        <v>8.6</v>
      </c>
      <c r="V38" s="53">
        <v>6</v>
      </c>
      <c r="W38" s="54">
        <v>10.1</v>
      </c>
      <c r="X38" s="53">
        <v>4</v>
      </c>
      <c r="Y38" s="54">
        <v>38.799999999999997</v>
      </c>
      <c r="Z38" s="53">
        <v>1</v>
      </c>
      <c r="AA38" s="54">
        <v>25.9</v>
      </c>
      <c r="AB38" s="53">
        <v>10</v>
      </c>
      <c r="AC38" s="54">
        <v>6.9</v>
      </c>
      <c r="AD38" s="162"/>
      <c r="AE38" s="162">
        <v>40</v>
      </c>
      <c r="AF38" s="162">
        <v>2.4</v>
      </c>
      <c r="AG38" s="17"/>
    </row>
    <row r="39" spans="2:33" ht="15.75" customHeight="1">
      <c r="B39" s="56"/>
      <c r="C39" s="47" t="str">
        <f>C$9</f>
        <v>３歳児</v>
      </c>
      <c r="D39" s="38" t="str">
        <f>D38</f>
        <v>P</v>
      </c>
      <c r="E39" s="41" t="str">
        <f>E$9</f>
        <v>b</v>
      </c>
      <c r="F39" s="143" t="str">
        <f t="shared" si="0"/>
        <v>Pb</v>
      </c>
      <c r="G39" s="35">
        <v>360</v>
      </c>
      <c r="H39" s="36">
        <v>2.5</v>
      </c>
      <c r="I39" s="40">
        <f>I38</f>
        <v>6</v>
      </c>
      <c r="J39" s="40">
        <f>J38</f>
        <v>40</v>
      </c>
      <c r="K39" s="48">
        <f>K38</f>
        <v>2.4</v>
      </c>
      <c r="L39" s="40">
        <f t="shared" ref="L39:S39" si="60">L$9</f>
        <v>90</v>
      </c>
      <c r="M39" s="48">
        <f t="shared" si="60"/>
        <v>2.6</v>
      </c>
      <c r="N39" s="40">
        <f t="shared" si="60"/>
        <v>0</v>
      </c>
      <c r="O39" s="48">
        <f t="shared" si="60"/>
        <v>0</v>
      </c>
      <c r="P39" s="40">
        <f t="shared" si="60"/>
        <v>640</v>
      </c>
      <c r="Q39" s="48">
        <f t="shared" si="60"/>
        <v>2.4</v>
      </c>
      <c r="R39" s="40">
        <f t="shared" si="60"/>
        <v>550</v>
      </c>
      <c r="S39" s="48">
        <f t="shared" si="60"/>
        <v>2.2999999999999998</v>
      </c>
      <c r="T39" s="40">
        <f t="shared" ref="T39:Z39" si="61">T38</f>
        <v>7</v>
      </c>
      <c r="U39" s="48">
        <f>U38</f>
        <v>8.6</v>
      </c>
      <c r="V39" s="40">
        <f t="shared" si="61"/>
        <v>6</v>
      </c>
      <c r="W39" s="48">
        <f>W38</f>
        <v>10.1</v>
      </c>
      <c r="X39" s="40">
        <f t="shared" si="61"/>
        <v>4</v>
      </c>
      <c r="Y39" s="48">
        <f>Y38</f>
        <v>38.799999999999997</v>
      </c>
      <c r="Z39" s="40">
        <f t="shared" si="61"/>
        <v>1</v>
      </c>
      <c r="AA39" s="48">
        <f>AA38</f>
        <v>25.9</v>
      </c>
      <c r="AB39" s="40">
        <f t="shared" ref="AB39" si="62">AB38</f>
        <v>10</v>
      </c>
      <c r="AC39" s="48">
        <f>AC38</f>
        <v>6.9</v>
      </c>
      <c r="AD39" s="162"/>
      <c r="AE39" s="162">
        <f>AE38</f>
        <v>40</v>
      </c>
      <c r="AF39" s="162">
        <f>AF38</f>
        <v>2.4</v>
      </c>
      <c r="AG39" s="17"/>
    </row>
    <row r="40" spans="2:33" ht="15.75" customHeight="1">
      <c r="B40" s="21" t="s">
        <v>245</v>
      </c>
      <c r="C40" s="42" t="str">
        <f>C$8</f>
        <v>４歳以上児</v>
      </c>
      <c r="D40" s="154" t="s">
        <v>210</v>
      </c>
      <c r="E40" s="151" t="str">
        <f>E$8</f>
        <v>a</v>
      </c>
      <c r="F40" s="137" t="str">
        <f t="shared" si="0"/>
        <v>Qa</v>
      </c>
      <c r="G40" s="27">
        <v>260</v>
      </c>
      <c r="H40" s="43">
        <v>2.4</v>
      </c>
      <c r="I40" s="53">
        <v>5</v>
      </c>
      <c r="J40" s="53">
        <v>30</v>
      </c>
      <c r="K40" s="54">
        <v>2.8</v>
      </c>
      <c r="L40" s="152">
        <f t="shared" ref="L40:S40" si="63">L$8</f>
        <v>0</v>
      </c>
      <c r="M40" s="153">
        <f t="shared" si="63"/>
        <v>0</v>
      </c>
      <c r="N40" s="152">
        <f t="shared" si="63"/>
        <v>30</v>
      </c>
      <c r="O40" s="153">
        <f t="shared" si="63"/>
        <v>3.9</v>
      </c>
      <c r="P40" s="152">
        <f t="shared" si="63"/>
        <v>0</v>
      </c>
      <c r="Q40" s="153">
        <f t="shared" si="63"/>
        <v>0</v>
      </c>
      <c r="R40" s="152">
        <f t="shared" si="63"/>
        <v>0</v>
      </c>
      <c r="S40" s="153">
        <f t="shared" si="63"/>
        <v>0</v>
      </c>
      <c r="T40" s="53">
        <v>6</v>
      </c>
      <c r="U40" s="54">
        <v>9.1</v>
      </c>
      <c r="V40" s="53">
        <v>5</v>
      </c>
      <c r="W40" s="54">
        <v>10.9</v>
      </c>
      <c r="X40" s="53">
        <v>3</v>
      </c>
      <c r="Y40" s="54">
        <v>46.6</v>
      </c>
      <c r="Z40" s="53">
        <v>1</v>
      </c>
      <c r="AA40" s="54">
        <v>23.3</v>
      </c>
      <c r="AB40" s="53">
        <v>9</v>
      </c>
      <c r="AC40" s="54">
        <v>6.9</v>
      </c>
      <c r="AD40" s="162"/>
      <c r="AE40" s="162">
        <v>30</v>
      </c>
      <c r="AF40" s="162">
        <v>2.8</v>
      </c>
      <c r="AG40" s="17"/>
    </row>
    <row r="41" spans="2:33" ht="15.75" customHeight="1">
      <c r="B41" s="37"/>
      <c r="C41" s="47" t="str">
        <f>C$9</f>
        <v>３歳児</v>
      </c>
      <c r="D41" s="38" t="str">
        <f>D40</f>
        <v>Q</v>
      </c>
      <c r="E41" s="41" t="str">
        <f>E$9</f>
        <v>b</v>
      </c>
      <c r="F41" s="143" t="str">
        <f t="shared" si="0"/>
        <v>Qb</v>
      </c>
      <c r="G41" s="35">
        <v>360</v>
      </c>
      <c r="H41" s="36">
        <v>2.4</v>
      </c>
      <c r="I41" s="40">
        <f>I40</f>
        <v>5</v>
      </c>
      <c r="J41" s="40">
        <f>J40</f>
        <v>30</v>
      </c>
      <c r="K41" s="48">
        <f>K40</f>
        <v>2.8</v>
      </c>
      <c r="L41" s="40">
        <f t="shared" ref="L41:S41" si="64">L$9</f>
        <v>90</v>
      </c>
      <c r="M41" s="48">
        <f t="shared" si="64"/>
        <v>2.6</v>
      </c>
      <c r="N41" s="40">
        <f t="shared" si="64"/>
        <v>0</v>
      </c>
      <c r="O41" s="48">
        <f t="shared" si="64"/>
        <v>0</v>
      </c>
      <c r="P41" s="40">
        <f t="shared" si="64"/>
        <v>640</v>
      </c>
      <c r="Q41" s="48">
        <f t="shared" si="64"/>
        <v>2.4</v>
      </c>
      <c r="R41" s="40">
        <f t="shared" si="64"/>
        <v>550</v>
      </c>
      <c r="S41" s="48">
        <f t="shared" si="64"/>
        <v>2.2999999999999998</v>
      </c>
      <c r="T41" s="40">
        <f t="shared" ref="T41:Z41" si="65">T40</f>
        <v>6</v>
      </c>
      <c r="U41" s="48">
        <f>U40</f>
        <v>9.1</v>
      </c>
      <c r="V41" s="40">
        <f t="shared" si="65"/>
        <v>5</v>
      </c>
      <c r="W41" s="48">
        <f>W40</f>
        <v>10.9</v>
      </c>
      <c r="X41" s="40">
        <f t="shared" si="65"/>
        <v>3</v>
      </c>
      <c r="Y41" s="48">
        <f>Y40</f>
        <v>46.6</v>
      </c>
      <c r="Z41" s="40">
        <f t="shared" si="65"/>
        <v>1</v>
      </c>
      <c r="AA41" s="48">
        <f>AA40</f>
        <v>23.3</v>
      </c>
      <c r="AB41" s="40">
        <f t="shared" ref="AB41" si="66">AB40</f>
        <v>9</v>
      </c>
      <c r="AC41" s="48">
        <f>AC40</f>
        <v>6.9</v>
      </c>
      <c r="AD41" s="162"/>
      <c r="AE41" s="162">
        <f>AE40</f>
        <v>30</v>
      </c>
      <c r="AF41" s="162">
        <f>AF40</f>
        <v>2.8</v>
      </c>
      <c r="AG41" s="17"/>
    </row>
    <row r="42" spans="2:33" ht="15.75" customHeight="1">
      <c r="B42" s="21" t="s">
        <v>246</v>
      </c>
      <c r="C42" s="42" t="str">
        <f>C$8</f>
        <v>４歳以上児</v>
      </c>
      <c r="D42" s="22" t="s">
        <v>212</v>
      </c>
      <c r="E42" s="151" t="str">
        <f>E$8</f>
        <v>a</v>
      </c>
      <c r="F42" s="137" t="str">
        <f t="shared" si="0"/>
        <v>Ra</v>
      </c>
      <c r="G42" s="27">
        <v>260</v>
      </c>
      <c r="H42" s="43">
        <v>2.2999999999999998</v>
      </c>
      <c r="I42" s="53">
        <v>4</v>
      </c>
      <c r="J42" s="53">
        <v>30</v>
      </c>
      <c r="K42" s="54">
        <v>2.4</v>
      </c>
      <c r="L42" s="152">
        <f t="shared" ref="L42:S42" si="67">L$8</f>
        <v>0</v>
      </c>
      <c r="M42" s="153">
        <f t="shared" si="67"/>
        <v>0</v>
      </c>
      <c r="N42" s="152">
        <f t="shared" si="67"/>
        <v>30</v>
      </c>
      <c r="O42" s="153">
        <f t="shared" si="67"/>
        <v>3.9</v>
      </c>
      <c r="P42" s="152">
        <f t="shared" si="67"/>
        <v>0</v>
      </c>
      <c r="Q42" s="153">
        <f t="shared" si="67"/>
        <v>0</v>
      </c>
      <c r="R42" s="152">
        <f t="shared" si="67"/>
        <v>0</v>
      </c>
      <c r="S42" s="153">
        <f t="shared" si="67"/>
        <v>0</v>
      </c>
      <c r="T42" s="53">
        <v>5</v>
      </c>
      <c r="U42" s="54">
        <v>9.1</v>
      </c>
      <c r="V42" s="53">
        <v>5</v>
      </c>
      <c r="W42" s="54">
        <v>16.8</v>
      </c>
      <c r="X42" s="53">
        <v>3</v>
      </c>
      <c r="Y42" s="54">
        <v>58.3</v>
      </c>
      <c r="Z42" s="53">
        <v>1</v>
      </c>
      <c r="AA42" s="54">
        <v>32.4</v>
      </c>
      <c r="AB42" s="53">
        <v>7</v>
      </c>
      <c r="AC42" s="54">
        <v>7.4</v>
      </c>
      <c r="AD42" s="162"/>
      <c r="AE42" s="162">
        <v>30</v>
      </c>
      <c r="AF42" s="162">
        <v>2.4</v>
      </c>
    </row>
    <row r="43" spans="2:33" ht="15.75" customHeight="1">
      <c r="B43" s="56"/>
      <c r="C43" s="47" t="str">
        <f>C$9</f>
        <v>３歳児</v>
      </c>
      <c r="D43" s="38" t="str">
        <f>D42</f>
        <v>R</v>
      </c>
      <c r="E43" s="41" t="str">
        <f>E$9</f>
        <v>b</v>
      </c>
      <c r="F43" s="143" t="str">
        <f t="shared" si="0"/>
        <v>Rb</v>
      </c>
      <c r="G43" s="35">
        <v>350</v>
      </c>
      <c r="H43" s="36">
        <v>2.4</v>
      </c>
      <c r="I43" s="40">
        <f>I42</f>
        <v>4</v>
      </c>
      <c r="J43" s="40">
        <f>J42</f>
        <v>30</v>
      </c>
      <c r="K43" s="48">
        <f>K42</f>
        <v>2.4</v>
      </c>
      <c r="L43" s="40">
        <f t="shared" ref="L43:S43" si="68">L$9</f>
        <v>90</v>
      </c>
      <c r="M43" s="48">
        <f t="shared" si="68"/>
        <v>2.6</v>
      </c>
      <c r="N43" s="40">
        <f t="shared" si="68"/>
        <v>0</v>
      </c>
      <c r="O43" s="48">
        <f t="shared" si="68"/>
        <v>0</v>
      </c>
      <c r="P43" s="40">
        <f t="shared" si="68"/>
        <v>640</v>
      </c>
      <c r="Q43" s="48">
        <f t="shared" si="68"/>
        <v>2.4</v>
      </c>
      <c r="R43" s="40">
        <f t="shared" si="68"/>
        <v>550</v>
      </c>
      <c r="S43" s="48">
        <f t="shared" si="68"/>
        <v>2.2999999999999998</v>
      </c>
      <c r="T43" s="40">
        <f t="shared" ref="T43:Z43" si="69">T42</f>
        <v>5</v>
      </c>
      <c r="U43" s="48">
        <f>U42</f>
        <v>9.1</v>
      </c>
      <c r="V43" s="40">
        <f t="shared" si="69"/>
        <v>5</v>
      </c>
      <c r="W43" s="48">
        <f>W42</f>
        <v>16.8</v>
      </c>
      <c r="X43" s="40">
        <f t="shared" si="69"/>
        <v>3</v>
      </c>
      <c r="Y43" s="48">
        <f>Y42</f>
        <v>58.3</v>
      </c>
      <c r="Z43" s="40">
        <f t="shared" si="69"/>
        <v>1</v>
      </c>
      <c r="AA43" s="48">
        <f>AA42</f>
        <v>32.4</v>
      </c>
      <c r="AB43" s="40">
        <f t="shared" ref="AB43" si="70">AB42</f>
        <v>7</v>
      </c>
      <c r="AC43" s="48">
        <f>AC42</f>
        <v>7.4</v>
      </c>
      <c r="AD43" s="162"/>
      <c r="AE43" s="162">
        <f>AE42</f>
        <v>30</v>
      </c>
      <c r="AF43" s="162">
        <f>AF42</f>
        <v>2.4</v>
      </c>
    </row>
    <row r="44" spans="2:33" ht="15.75" customHeight="1">
      <c r="B44" s="21" t="s">
        <v>247</v>
      </c>
      <c r="C44" s="42" t="str">
        <f>C$8</f>
        <v>４歳以上児</v>
      </c>
      <c r="D44" s="154" t="s">
        <v>214</v>
      </c>
      <c r="E44" s="151" t="str">
        <f>E$8</f>
        <v>a</v>
      </c>
      <c r="F44" s="137" t="str">
        <f t="shared" si="0"/>
        <v>Sa</v>
      </c>
      <c r="G44" s="27">
        <v>250</v>
      </c>
      <c r="H44" s="43">
        <v>2.2999999999999998</v>
      </c>
      <c r="I44" s="53">
        <v>3</v>
      </c>
      <c r="J44" s="53">
        <v>20</v>
      </c>
      <c r="K44" s="54">
        <v>3.1</v>
      </c>
      <c r="L44" s="152">
        <f t="shared" ref="L44:S44" si="71">L$8</f>
        <v>0</v>
      </c>
      <c r="M44" s="153">
        <f t="shared" si="71"/>
        <v>0</v>
      </c>
      <c r="N44" s="152">
        <f t="shared" si="71"/>
        <v>30</v>
      </c>
      <c r="O44" s="153">
        <f t="shared" si="71"/>
        <v>3.9</v>
      </c>
      <c r="P44" s="152">
        <f t="shared" si="71"/>
        <v>0</v>
      </c>
      <c r="Q44" s="153">
        <f t="shared" si="71"/>
        <v>0</v>
      </c>
      <c r="R44" s="152">
        <f t="shared" si="71"/>
        <v>0</v>
      </c>
      <c r="S44" s="153">
        <f t="shared" si="71"/>
        <v>0</v>
      </c>
      <c r="T44" s="53">
        <v>4</v>
      </c>
      <c r="U44" s="54">
        <v>9.6999999999999993</v>
      </c>
      <c r="V44" s="53">
        <v>5</v>
      </c>
      <c r="W44" s="54">
        <v>14.4</v>
      </c>
      <c r="X44" s="53">
        <v>2</v>
      </c>
      <c r="Y44" s="54">
        <v>74.900000000000006</v>
      </c>
      <c r="Z44" s="53">
        <v>1</v>
      </c>
      <c r="AA44" s="54">
        <v>27.7</v>
      </c>
      <c r="AB44" s="53">
        <v>6</v>
      </c>
      <c r="AC44" s="54">
        <v>7.4</v>
      </c>
      <c r="AD44" s="162"/>
      <c r="AE44" s="162">
        <v>20</v>
      </c>
      <c r="AF44" s="162">
        <v>3.1</v>
      </c>
    </row>
    <row r="45" spans="2:33" ht="15.75" customHeight="1">
      <c r="B45" s="37"/>
      <c r="C45" s="47" t="str">
        <f>C$9</f>
        <v>３歳児</v>
      </c>
      <c r="D45" s="38" t="str">
        <f>D44</f>
        <v>S</v>
      </c>
      <c r="E45" s="41" t="str">
        <f>E$9</f>
        <v>b</v>
      </c>
      <c r="F45" s="143" t="str">
        <f t="shared" si="0"/>
        <v>Sb</v>
      </c>
      <c r="G45" s="35">
        <v>340</v>
      </c>
      <c r="H45" s="36">
        <v>2.4</v>
      </c>
      <c r="I45" s="40">
        <f>I44</f>
        <v>3</v>
      </c>
      <c r="J45" s="40">
        <f>J44</f>
        <v>20</v>
      </c>
      <c r="K45" s="48">
        <f>K44</f>
        <v>3.1</v>
      </c>
      <c r="L45" s="40">
        <f t="shared" ref="L45:S45" si="72">L$9</f>
        <v>90</v>
      </c>
      <c r="M45" s="48">
        <f t="shared" si="72"/>
        <v>2.6</v>
      </c>
      <c r="N45" s="40">
        <f t="shared" si="72"/>
        <v>0</v>
      </c>
      <c r="O45" s="48">
        <f t="shared" si="72"/>
        <v>0</v>
      </c>
      <c r="P45" s="40">
        <f t="shared" si="72"/>
        <v>640</v>
      </c>
      <c r="Q45" s="48">
        <f t="shared" si="72"/>
        <v>2.4</v>
      </c>
      <c r="R45" s="40">
        <f t="shared" si="72"/>
        <v>550</v>
      </c>
      <c r="S45" s="48">
        <f t="shared" si="72"/>
        <v>2.2999999999999998</v>
      </c>
      <c r="T45" s="40">
        <f t="shared" ref="T45:Z45" si="73">T44</f>
        <v>4</v>
      </c>
      <c r="U45" s="48">
        <f>U44</f>
        <v>9.6999999999999993</v>
      </c>
      <c r="V45" s="40">
        <f t="shared" si="73"/>
        <v>5</v>
      </c>
      <c r="W45" s="48">
        <f>W44</f>
        <v>14.4</v>
      </c>
      <c r="X45" s="40">
        <f t="shared" si="73"/>
        <v>2</v>
      </c>
      <c r="Y45" s="48">
        <f>Y44</f>
        <v>74.900000000000006</v>
      </c>
      <c r="Z45" s="40">
        <f t="shared" si="73"/>
        <v>1</v>
      </c>
      <c r="AA45" s="48">
        <f>AA44</f>
        <v>27.7</v>
      </c>
      <c r="AB45" s="40">
        <f t="shared" ref="AB45" si="74">AB44</f>
        <v>6</v>
      </c>
      <c r="AC45" s="48">
        <f>AC44</f>
        <v>7.4</v>
      </c>
      <c r="AD45" s="162"/>
      <c r="AE45" s="162">
        <f>AE44</f>
        <v>20</v>
      </c>
      <c r="AF45" s="162">
        <f>AF44</f>
        <v>3.1</v>
      </c>
    </row>
    <row r="46" spans="2:33" ht="15.75" customHeight="1">
      <c r="B46" s="21" t="s">
        <v>248</v>
      </c>
      <c r="C46" s="42" t="str">
        <f>C$8</f>
        <v>４歳以上児</v>
      </c>
      <c r="D46" s="22" t="s">
        <v>216</v>
      </c>
      <c r="E46" s="151" t="str">
        <f>E$8</f>
        <v>a</v>
      </c>
      <c r="F46" s="137" t="str">
        <f t="shared" si="0"/>
        <v>Ta</v>
      </c>
      <c r="G46" s="27">
        <v>240</v>
      </c>
      <c r="H46" s="43">
        <v>2.2999999999999998</v>
      </c>
      <c r="I46" s="53">
        <v>3</v>
      </c>
      <c r="J46" s="53">
        <v>20</v>
      </c>
      <c r="K46" s="54">
        <v>2.7</v>
      </c>
      <c r="L46" s="152">
        <f t="shared" ref="L46:S46" si="75">L$8</f>
        <v>0</v>
      </c>
      <c r="M46" s="153">
        <f t="shared" si="75"/>
        <v>0</v>
      </c>
      <c r="N46" s="152">
        <f t="shared" si="75"/>
        <v>30</v>
      </c>
      <c r="O46" s="153">
        <f t="shared" si="75"/>
        <v>3.9</v>
      </c>
      <c r="P46" s="152">
        <f t="shared" si="75"/>
        <v>0</v>
      </c>
      <c r="Q46" s="153">
        <f t="shared" si="75"/>
        <v>0</v>
      </c>
      <c r="R46" s="152">
        <f t="shared" si="75"/>
        <v>0</v>
      </c>
      <c r="S46" s="153">
        <f t="shared" si="75"/>
        <v>0</v>
      </c>
      <c r="T46" s="53">
        <v>4</v>
      </c>
      <c r="U46" s="54">
        <v>8.5</v>
      </c>
      <c r="V46" s="53">
        <v>5</v>
      </c>
      <c r="W46" s="54">
        <v>12.6</v>
      </c>
      <c r="X46" s="53">
        <v>2</v>
      </c>
      <c r="Y46" s="54">
        <v>65.5</v>
      </c>
      <c r="Z46" s="53">
        <v>1</v>
      </c>
      <c r="AA46" s="54">
        <v>24.3</v>
      </c>
      <c r="AB46" s="53">
        <v>5</v>
      </c>
      <c r="AC46" s="54">
        <v>7.8</v>
      </c>
      <c r="AD46" s="162"/>
      <c r="AE46" s="162">
        <v>20</v>
      </c>
      <c r="AF46" s="162">
        <v>2.7</v>
      </c>
    </row>
    <row r="47" spans="2:33" ht="15.75" customHeight="1">
      <c r="B47" s="56"/>
      <c r="C47" s="47" t="str">
        <f>C$9</f>
        <v>３歳児</v>
      </c>
      <c r="D47" s="38" t="str">
        <f>D46</f>
        <v>T</v>
      </c>
      <c r="E47" s="41" t="str">
        <f>E$9</f>
        <v>b</v>
      </c>
      <c r="F47" s="143" t="str">
        <f t="shared" si="0"/>
        <v>Tb</v>
      </c>
      <c r="G47" s="35">
        <v>330</v>
      </c>
      <c r="H47" s="36">
        <v>2.4</v>
      </c>
      <c r="I47" s="40">
        <f>I46</f>
        <v>3</v>
      </c>
      <c r="J47" s="40">
        <f>J46</f>
        <v>20</v>
      </c>
      <c r="K47" s="48">
        <f>K46</f>
        <v>2.7</v>
      </c>
      <c r="L47" s="40">
        <f t="shared" ref="L47:S47" si="76">L$9</f>
        <v>90</v>
      </c>
      <c r="M47" s="48">
        <f t="shared" si="76"/>
        <v>2.6</v>
      </c>
      <c r="N47" s="40">
        <f t="shared" si="76"/>
        <v>0</v>
      </c>
      <c r="O47" s="48">
        <f t="shared" si="76"/>
        <v>0</v>
      </c>
      <c r="P47" s="40">
        <f t="shared" si="76"/>
        <v>640</v>
      </c>
      <c r="Q47" s="48">
        <f t="shared" si="76"/>
        <v>2.4</v>
      </c>
      <c r="R47" s="40">
        <f t="shared" si="76"/>
        <v>550</v>
      </c>
      <c r="S47" s="48">
        <f t="shared" si="76"/>
        <v>2.2999999999999998</v>
      </c>
      <c r="T47" s="40">
        <f t="shared" ref="T47:Z47" si="77">T46</f>
        <v>4</v>
      </c>
      <c r="U47" s="48">
        <f>U46</f>
        <v>8.5</v>
      </c>
      <c r="V47" s="40">
        <f t="shared" si="77"/>
        <v>5</v>
      </c>
      <c r="W47" s="48">
        <f>W46</f>
        <v>12.6</v>
      </c>
      <c r="X47" s="40">
        <f t="shared" si="77"/>
        <v>2</v>
      </c>
      <c r="Y47" s="48">
        <f>Y46</f>
        <v>65.5</v>
      </c>
      <c r="Z47" s="40">
        <f t="shared" si="77"/>
        <v>1</v>
      </c>
      <c r="AA47" s="48">
        <f>AA46</f>
        <v>24.3</v>
      </c>
      <c r="AB47" s="40">
        <f t="shared" ref="AB47" si="78">AB46</f>
        <v>5</v>
      </c>
      <c r="AC47" s="48">
        <f>AC46</f>
        <v>7.8</v>
      </c>
      <c r="AD47" s="162"/>
      <c r="AE47" s="162">
        <f>AE46</f>
        <v>20</v>
      </c>
      <c r="AF47" s="162">
        <f>AF46</f>
        <v>2.7</v>
      </c>
    </row>
    <row r="48" spans="2:33" ht="15.75" customHeight="1">
      <c r="B48" s="21" t="s">
        <v>249</v>
      </c>
      <c r="C48" s="42" t="str">
        <f>C$8</f>
        <v>４歳以上児</v>
      </c>
      <c r="D48" s="154" t="s">
        <v>218</v>
      </c>
      <c r="E48" s="151" t="str">
        <f>E$8</f>
        <v>a</v>
      </c>
      <c r="F48" s="137" t="str">
        <f t="shared" si="0"/>
        <v>Ua</v>
      </c>
      <c r="G48" s="27">
        <v>240</v>
      </c>
      <c r="H48" s="43">
        <v>2.2999999999999998</v>
      </c>
      <c r="I48" s="53">
        <v>3</v>
      </c>
      <c r="J48" s="53">
        <v>20</v>
      </c>
      <c r="K48" s="54">
        <v>2.4</v>
      </c>
      <c r="L48" s="152">
        <f t="shared" ref="L48:S48" si="79">L$8</f>
        <v>0</v>
      </c>
      <c r="M48" s="153">
        <f t="shared" si="79"/>
        <v>0</v>
      </c>
      <c r="N48" s="152">
        <f t="shared" si="79"/>
        <v>30</v>
      </c>
      <c r="O48" s="153">
        <f t="shared" si="79"/>
        <v>3.9</v>
      </c>
      <c r="P48" s="152">
        <f t="shared" si="79"/>
        <v>0</v>
      </c>
      <c r="Q48" s="153">
        <f t="shared" si="79"/>
        <v>0</v>
      </c>
      <c r="R48" s="152">
        <f t="shared" si="79"/>
        <v>0</v>
      </c>
      <c r="S48" s="153">
        <f t="shared" si="79"/>
        <v>0</v>
      </c>
      <c r="T48" s="53">
        <v>3</v>
      </c>
      <c r="U48" s="54">
        <v>10.1</v>
      </c>
      <c r="V48" s="53">
        <v>5</v>
      </c>
      <c r="W48" s="54">
        <v>11.2</v>
      </c>
      <c r="X48" s="53">
        <v>2</v>
      </c>
      <c r="Y48" s="54">
        <v>58.3</v>
      </c>
      <c r="Z48" s="53">
        <v>1</v>
      </c>
      <c r="AA48" s="54">
        <v>21.6</v>
      </c>
      <c r="AB48" s="53">
        <v>5</v>
      </c>
      <c r="AC48" s="54">
        <v>6.9</v>
      </c>
      <c r="AD48" s="162"/>
      <c r="AE48" s="162">
        <v>20</v>
      </c>
      <c r="AF48" s="162">
        <v>2.4</v>
      </c>
    </row>
    <row r="49" spans="2:32" ht="15.75" customHeight="1">
      <c r="B49" s="37"/>
      <c r="C49" s="47" t="str">
        <f>C$9</f>
        <v>３歳児</v>
      </c>
      <c r="D49" s="38" t="str">
        <f>D48</f>
        <v>U</v>
      </c>
      <c r="E49" s="41" t="str">
        <f>E$9</f>
        <v>b</v>
      </c>
      <c r="F49" s="143" t="str">
        <f t="shared" si="0"/>
        <v>Ub</v>
      </c>
      <c r="G49" s="35">
        <v>330</v>
      </c>
      <c r="H49" s="36">
        <v>2.4</v>
      </c>
      <c r="I49" s="40">
        <f>I48</f>
        <v>3</v>
      </c>
      <c r="J49" s="40">
        <f>J48</f>
        <v>20</v>
      </c>
      <c r="K49" s="48">
        <f>K48</f>
        <v>2.4</v>
      </c>
      <c r="L49" s="40">
        <f t="shared" ref="L49:S49" si="80">L$9</f>
        <v>90</v>
      </c>
      <c r="M49" s="48">
        <f t="shared" si="80"/>
        <v>2.6</v>
      </c>
      <c r="N49" s="40">
        <f t="shared" si="80"/>
        <v>0</v>
      </c>
      <c r="O49" s="48">
        <f t="shared" si="80"/>
        <v>0</v>
      </c>
      <c r="P49" s="40">
        <f t="shared" si="80"/>
        <v>640</v>
      </c>
      <c r="Q49" s="48">
        <f t="shared" si="80"/>
        <v>2.4</v>
      </c>
      <c r="R49" s="40">
        <f t="shared" si="80"/>
        <v>550</v>
      </c>
      <c r="S49" s="48">
        <f t="shared" si="80"/>
        <v>2.2999999999999998</v>
      </c>
      <c r="T49" s="40">
        <f t="shared" ref="T49:Z49" si="81">T48</f>
        <v>3</v>
      </c>
      <c r="U49" s="48">
        <f>U48</f>
        <v>10.1</v>
      </c>
      <c r="V49" s="40">
        <f t="shared" si="81"/>
        <v>5</v>
      </c>
      <c r="W49" s="48">
        <f>W48</f>
        <v>11.2</v>
      </c>
      <c r="X49" s="40">
        <f t="shared" si="81"/>
        <v>2</v>
      </c>
      <c r="Y49" s="48">
        <f>Y48</f>
        <v>58.3</v>
      </c>
      <c r="Z49" s="40">
        <f t="shared" si="81"/>
        <v>1</v>
      </c>
      <c r="AA49" s="48">
        <f>AA48</f>
        <v>21.6</v>
      </c>
      <c r="AB49" s="40">
        <f t="shared" ref="AB49" si="82">AB48</f>
        <v>5</v>
      </c>
      <c r="AC49" s="48">
        <f>AC48</f>
        <v>6.9</v>
      </c>
      <c r="AD49" s="162"/>
      <c r="AE49" s="162">
        <f>AE48</f>
        <v>20</v>
      </c>
      <c r="AF49" s="162">
        <f>AF48</f>
        <v>2.4</v>
      </c>
    </row>
    <row r="50" spans="2:32" ht="15.75" customHeight="1">
      <c r="B50" s="21" t="s">
        <v>250</v>
      </c>
      <c r="C50" s="42" t="str">
        <f>C$8</f>
        <v>４歳以上児</v>
      </c>
      <c r="D50" s="22" t="s">
        <v>220</v>
      </c>
      <c r="E50" s="151" t="str">
        <f>E$8</f>
        <v>a</v>
      </c>
      <c r="F50" s="137" t="str">
        <f t="shared" si="0"/>
        <v>Va</v>
      </c>
      <c r="G50" s="27">
        <v>240</v>
      </c>
      <c r="H50" s="43">
        <v>2.2000000000000002</v>
      </c>
      <c r="I50" s="53">
        <v>2</v>
      </c>
      <c r="J50" s="53">
        <v>10</v>
      </c>
      <c r="K50" s="54">
        <v>4.3</v>
      </c>
      <c r="L50" s="152">
        <f t="shared" ref="L50:S50" si="83">L$8</f>
        <v>0</v>
      </c>
      <c r="M50" s="153">
        <f t="shared" si="83"/>
        <v>0</v>
      </c>
      <c r="N50" s="152">
        <f t="shared" si="83"/>
        <v>30</v>
      </c>
      <c r="O50" s="153">
        <f t="shared" si="83"/>
        <v>3.9</v>
      </c>
      <c r="P50" s="152">
        <f t="shared" si="83"/>
        <v>0</v>
      </c>
      <c r="Q50" s="153">
        <f t="shared" si="83"/>
        <v>0</v>
      </c>
      <c r="R50" s="152">
        <f t="shared" si="83"/>
        <v>0</v>
      </c>
      <c r="S50" s="153">
        <f t="shared" si="83"/>
        <v>0</v>
      </c>
      <c r="T50" s="53">
        <v>3</v>
      </c>
      <c r="U50" s="54">
        <v>9.1</v>
      </c>
      <c r="V50" s="53">
        <v>5</v>
      </c>
      <c r="W50" s="54">
        <v>10.1</v>
      </c>
      <c r="X50" s="53">
        <v>2</v>
      </c>
      <c r="Y50" s="54">
        <v>52.4</v>
      </c>
      <c r="Z50" s="53">
        <v>1</v>
      </c>
      <c r="AA50" s="54">
        <v>19.399999999999999</v>
      </c>
      <c r="AB50" s="53">
        <v>4</v>
      </c>
      <c r="AC50" s="54">
        <v>7.8</v>
      </c>
      <c r="AD50" s="162"/>
      <c r="AE50" s="162">
        <v>10</v>
      </c>
      <c r="AF50" s="162">
        <v>4.3</v>
      </c>
    </row>
    <row r="51" spans="2:32" ht="15.75" customHeight="1">
      <c r="B51" s="56"/>
      <c r="C51" s="47" t="str">
        <f>C$9</f>
        <v>３歳児</v>
      </c>
      <c r="D51" s="38" t="str">
        <f>D50</f>
        <v>V</v>
      </c>
      <c r="E51" s="41" t="str">
        <f>E$9</f>
        <v>b</v>
      </c>
      <c r="F51" s="143" t="str">
        <f t="shared" si="0"/>
        <v>Vb</v>
      </c>
      <c r="G51" s="35">
        <v>330</v>
      </c>
      <c r="H51" s="36">
        <v>2.2999999999999998</v>
      </c>
      <c r="I51" s="40">
        <f>I50</f>
        <v>2</v>
      </c>
      <c r="J51" s="40">
        <f>J50</f>
        <v>10</v>
      </c>
      <c r="K51" s="48">
        <f>K50</f>
        <v>4.3</v>
      </c>
      <c r="L51" s="40">
        <f t="shared" ref="L51:S51" si="84">L$9</f>
        <v>90</v>
      </c>
      <c r="M51" s="48">
        <f t="shared" si="84"/>
        <v>2.6</v>
      </c>
      <c r="N51" s="40">
        <f t="shared" si="84"/>
        <v>0</v>
      </c>
      <c r="O51" s="48">
        <f t="shared" si="84"/>
        <v>0</v>
      </c>
      <c r="P51" s="40">
        <f t="shared" si="84"/>
        <v>640</v>
      </c>
      <c r="Q51" s="48">
        <f t="shared" si="84"/>
        <v>2.4</v>
      </c>
      <c r="R51" s="40">
        <f t="shared" si="84"/>
        <v>550</v>
      </c>
      <c r="S51" s="48">
        <f t="shared" si="84"/>
        <v>2.2999999999999998</v>
      </c>
      <c r="T51" s="40">
        <f t="shared" ref="T51:Z51" si="85">T50</f>
        <v>3</v>
      </c>
      <c r="U51" s="48">
        <f>U50</f>
        <v>9.1</v>
      </c>
      <c r="V51" s="40">
        <f t="shared" si="85"/>
        <v>5</v>
      </c>
      <c r="W51" s="48">
        <f>W50</f>
        <v>10.1</v>
      </c>
      <c r="X51" s="40">
        <f t="shared" si="85"/>
        <v>2</v>
      </c>
      <c r="Y51" s="48">
        <f>Y50</f>
        <v>52.4</v>
      </c>
      <c r="Z51" s="40">
        <f t="shared" si="85"/>
        <v>1</v>
      </c>
      <c r="AA51" s="48">
        <f>AA50</f>
        <v>19.399999999999999</v>
      </c>
      <c r="AB51" s="40">
        <f t="shared" ref="AB51" si="86">AB50</f>
        <v>4</v>
      </c>
      <c r="AC51" s="48">
        <f>AC50</f>
        <v>7.8</v>
      </c>
      <c r="AD51" s="162"/>
      <c r="AE51" s="162">
        <f>AE50</f>
        <v>10</v>
      </c>
      <c r="AF51" s="162">
        <f>AF50</f>
        <v>4.3</v>
      </c>
    </row>
    <row r="52" spans="2:32" ht="15.75" customHeight="1">
      <c r="B52" s="21" t="s">
        <v>251</v>
      </c>
      <c r="C52" s="42" t="str">
        <f>C$8</f>
        <v>４歳以上児</v>
      </c>
      <c r="D52" s="154" t="s">
        <v>222</v>
      </c>
      <c r="E52" s="151" t="str">
        <f>E$8</f>
        <v>a</v>
      </c>
      <c r="F52" s="137" t="str">
        <f t="shared" si="0"/>
        <v>Wa</v>
      </c>
      <c r="G52" s="27">
        <v>230</v>
      </c>
      <c r="H52" s="43">
        <v>2.2999999999999998</v>
      </c>
      <c r="I52" s="53">
        <v>2</v>
      </c>
      <c r="J52" s="53">
        <v>0</v>
      </c>
      <c r="K52" s="54">
        <v>0</v>
      </c>
      <c r="L52" s="152">
        <f t="shared" ref="L52:S52" si="87">L$8</f>
        <v>0</v>
      </c>
      <c r="M52" s="153">
        <f t="shared" si="87"/>
        <v>0</v>
      </c>
      <c r="N52" s="152">
        <f t="shared" si="87"/>
        <v>30</v>
      </c>
      <c r="O52" s="153">
        <f t="shared" si="87"/>
        <v>3.9</v>
      </c>
      <c r="P52" s="152">
        <f t="shared" si="87"/>
        <v>0</v>
      </c>
      <c r="Q52" s="153">
        <f t="shared" si="87"/>
        <v>0</v>
      </c>
      <c r="R52" s="152">
        <f t="shared" si="87"/>
        <v>0</v>
      </c>
      <c r="S52" s="153">
        <f t="shared" si="87"/>
        <v>0</v>
      </c>
      <c r="T52" s="53">
        <v>3</v>
      </c>
      <c r="U52" s="54">
        <v>8.1999999999999993</v>
      </c>
      <c r="V52" s="53">
        <v>5</v>
      </c>
      <c r="W52" s="54">
        <v>9.1999999999999993</v>
      </c>
      <c r="X52" s="53">
        <v>2</v>
      </c>
      <c r="Y52" s="54">
        <v>47.7</v>
      </c>
      <c r="Z52" s="53">
        <v>1</v>
      </c>
      <c r="AA52" s="54">
        <v>17.7</v>
      </c>
      <c r="AB52" s="53">
        <v>4</v>
      </c>
      <c r="AC52" s="54">
        <v>7.1</v>
      </c>
      <c r="AD52" s="162"/>
      <c r="AE52" s="162">
        <v>10</v>
      </c>
      <c r="AF52" s="162">
        <v>3.9</v>
      </c>
    </row>
    <row r="53" spans="2:32" ht="15.75" customHeight="1">
      <c r="B53" s="37"/>
      <c r="C53" s="47" t="str">
        <f>C$9</f>
        <v>３歳児</v>
      </c>
      <c r="D53" s="38" t="str">
        <f>D52</f>
        <v>W</v>
      </c>
      <c r="E53" s="41" t="str">
        <f>E$9</f>
        <v>b</v>
      </c>
      <c r="F53" s="161" t="str">
        <f t="shared" si="0"/>
        <v>Wb</v>
      </c>
      <c r="G53" s="57">
        <v>320</v>
      </c>
      <c r="H53" s="58">
        <v>2.4</v>
      </c>
      <c r="I53" s="59">
        <f>I52</f>
        <v>2</v>
      </c>
      <c r="J53" s="59">
        <f>J52</f>
        <v>0</v>
      </c>
      <c r="K53" s="60">
        <f>K52</f>
        <v>0</v>
      </c>
      <c r="L53" s="59">
        <f t="shared" ref="L53:S53" si="88">L$9</f>
        <v>90</v>
      </c>
      <c r="M53" s="60">
        <f t="shared" si="88"/>
        <v>2.6</v>
      </c>
      <c r="N53" s="59">
        <f t="shared" si="88"/>
        <v>0</v>
      </c>
      <c r="O53" s="60">
        <f t="shared" si="88"/>
        <v>0</v>
      </c>
      <c r="P53" s="59">
        <f t="shared" si="88"/>
        <v>640</v>
      </c>
      <c r="Q53" s="60">
        <f t="shared" si="88"/>
        <v>2.4</v>
      </c>
      <c r="R53" s="59">
        <f t="shared" si="88"/>
        <v>550</v>
      </c>
      <c r="S53" s="60">
        <f t="shared" si="88"/>
        <v>2.2999999999999998</v>
      </c>
      <c r="T53" s="59">
        <f t="shared" ref="T53:Z53" si="89">T52</f>
        <v>3</v>
      </c>
      <c r="U53" s="60">
        <f>U52</f>
        <v>8.1999999999999993</v>
      </c>
      <c r="V53" s="59">
        <f t="shared" si="89"/>
        <v>5</v>
      </c>
      <c r="W53" s="60">
        <f>W52</f>
        <v>9.1999999999999993</v>
      </c>
      <c r="X53" s="59">
        <f t="shared" si="89"/>
        <v>2</v>
      </c>
      <c r="Y53" s="60">
        <f>Y52</f>
        <v>47.7</v>
      </c>
      <c r="Z53" s="59">
        <f t="shared" si="89"/>
        <v>1</v>
      </c>
      <c r="AA53" s="60">
        <f>AA52</f>
        <v>17.7</v>
      </c>
      <c r="AB53" s="59">
        <f t="shared" ref="AB53" si="90">AB52</f>
        <v>4</v>
      </c>
      <c r="AC53" s="60">
        <f>AC52</f>
        <v>7.1</v>
      </c>
      <c r="AD53" s="162"/>
      <c r="AE53" s="162">
        <f>AE52</f>
        <v>10</v>
      </c>
      <c r="AF53" s="162">
        <f>AF52</f>
        <v>3.9</v>
      </c>
    </row>
    <row r="54" spans="2:32" ht="15.75" customHeight="1"/>
    <row r="55" spans="2:32" ht="15.75" customHeight="1"/>
    <row r="56" spans="2:32" ht="15.75" customHeight="1"/>
    <row r="57" spans="2:32" ht="15.75" customHeight="1"/>
    <row r="58" spans="2:32" ht="15.75" customHeight="1"/>
    <row r="59" spans="2:32" ht="15.75" customHeight="1"/>
    <row r="60" spans="2:32" ht="15.75" customHeight="1"/>
    <row r="61" spans="2:32" ht="15.75" customHeight="1"/>
    <row r="62" spans="2:32" ht="15.75" customHeight="1"/>
    <row r="63" spans="2:32" ht="15.75" customHeight="1"/>
    <row r="64" spans="2:3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sheetData>
  <sheetProtection algorithmName="SHA-512" hashValue="wihhXjo/rwHQYSeQCacwsabfiGvBQEKTsKus7CE/8jlosg/oJBlN9X3SWUmp/1pr5zSQB02JrZYKNj7SdS+9VA==" saltValue="X68L+1tdc+9L4m73Zmd5Ug==" spinCount="100000" sheet="1" objects="1" scenarios="1"/>
  <phoneticPr fontId="4"/>
  <pageMargins left="0.70866141732283472" right="0.70866141732283472" top="0.74803149606299213" bottom="0.74803149606299213" header="0.31496062992125984" footer="0.31496062992125984"/>
  <pageSetup paperSize="9" scale="46" orientation="landscape"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2D66-F137-4813-BAE7-84D5CC6643E4}">
  <sheetPr>
    <tabColor theme="2" tint="-9.9978637043366805E-2"/>
    <pageSetUpPr fitToPage="1"/>
  </sheetPr>
  <dimension ref="B1:AS99"/>
  <sheetViews>
    <sheetView view="pageBreakPreview" zoomScale="70" zoomScaleNormal="85" zoomScaleSheetLayoutView="70" workbookViewId="0">
      <pane ySplit="7" topLeftCell="A8" activePane="bottomLeft" state="frozen"/>
      <selection pane="bottomLeft" activeCell="AG8" sqref="AG8"/>
    </sheetView>
  </sheetViews>
  <sheetFormatPr defaultColWidth="1.625" defaultRowHeight="15"/>
  <cols>
    <col min="1" max="1" width="1.625" style="2"/>
    <col min="2" max="2" width="15.875" style="2" customWidth="1"/>
    <col min="3" max="3" width="9" style="2" bestFit="1" customWidth="1"/>
    <col min="4" max="4" width="4" style="2" customWidth="1"/>
    <col min="5" max="5" width="5" style="2" customWidth="1"/>
    <col min="6" max="6" width="5.25" style="2" customWidth="1"/>
    <col min="7" max="24" width="7.375" style="2" customWidth="1"/>
    <col min="25" max="25" width="1.625" style="2"/>
    <col min="26" max="26" width="12.125" style="2" customWidth="1"/>
    <col min="27" max="27" width="5.25" style="2" customWidth="1"/>
    <col min="28" max="29" width="7.5" style="2" customWidth="1"/>
    <col min="30" max="30" width="1.625" style="2"/>
    <col min="31" max="31" width="12.125" style="2" customWidth="1"/>
    <col min="32" max="32" width="5.25" style="2" customWidth="1"/>
    <col min="33" max="34" width="7.5" style="2" customWidth="1"/>
    <col min="35" max="35" width="1.625" style="2"/>
    <col min="36" max="36" width="11.625" style="2" customWidth="1"/>
    <col min="37" max="37" width="5.25" style="2" customWidth="1"/>
    <col min="38" max="40" width="7.5" style="2" customWidth="1"/>
    <col min="41" max="41" width="1.625" style="2"/>
    <col min="42" max="42" width="11.625" style="2" customWidth="1"/>
    <col min="43" max="43" width="5.25" style="2" customWidth="1"/>
    <col min="44" max="45" width="7.5" style="2" customWidth="1"/>
    <col min="46" max="16384" width="1.625" style="2"/>
  </cols>
  <sheetData>
    <row r="1" spans="2:45">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Z1" s="2">
        <f>COLUMNS($Z:Z)</f>
        <v>1</v>
      </c>
      <c r="AA1" s="2">
        <f>COLUMNS($Z:AA)</f>
        <v>2</v>
      </c>
      <c r="AB1" s="2">
        <f>COLUMNS($Z:AB)</f>
        <v>3</v>
      </c>
      <c r="AC1" s="2">
        <f>COLUMNS($Z:AC)</f>
        <v>4</v>
      </c>
      <c r="AF1" s="2">
        <f>COLUMNS($AF:AF)</f>
        <v>1</v>
      </c>
      <c r="AG1" s="2">
        <f>COLUMNS($AF:AG)</f>
        <v>2</v>
      </c>
      <c r="AH1" s="2">
        <f>COLUMNS($AF:AH)</f>
        <v>3</v>
      </c>
      <c r="AK1" s="2">
        <f>COLUMNS($AK:AK)</f>
        <v>1</v>
      </c>
      <c r="AL1" s="2">
        <f>COLUMNS($AK:AL)</f>
        <v>2</v>
      </c>
      <c r="AM1" s="2">
        <f>COLUMNS($AK:AM)</f>
        <v>3</v>
      </c>
      <c r="AN1" s="2">
        <f>COLUMNS($AK:AN)</f>
        <v>4</v>
      </c>
      <c r="AQ1" s="2">
        <f>COLUMNS($AQ:AQ)</f>
        <v>1</v>
      </c>
      <c r="AR1" s="2">
        <f>COLUMNS($AQ:AR)</f>
        <v>2</v>
      </c>
      <c r="AS1" s="2">
        <f>COLUMNS($AQ:AS)</f>
        <v>3</v>
      </c>
    </row>
    <row r="2" spans="2:45">
      <c r="B2" s="1"/>
      <c r="F2" s="2" t="s">
        <v>264</v>
      </c>
      <c r="G2" s="2" t="s">
        <v>265</v>
      </c>
      <c r="H2" s="2" t="s">
        <v>266</v>
      </c>
      <c r="I2" s="2" t="s">
        <v>267</v>
      </c>
      <c r="J2" s="2" t="s">
        <v>268</v>
      </c>
      <c r="K2" s="2" t="s">
        <v>269</v>
      </c>
      <c r="L2" s="2" t="s">
        <v>270</v>
      </c>
      <c r="M2" s="2" t="s">
        <v>271</v>
      </c>
      <c r="N2" s="2" t="s">
        <v>272</v>
      </c>
      <c r="O2" s="2" t="s">
        <v>273</v>
      </c>
      <c r="P2" s="2" t="s">
        <v>274</v>
      </c>
      <c r="Q2" s="2" t="s">
        <v>275</v>
      </c>
      <c r="R2" s="2" t="s">
        <v>276</v>
      </c>
      <c r="S2" s="2" t="s">
        <v>281</v>
      </c>
      <c r="T2" s="2" t="s">
        <v>282</v>
      </c>
      <c r="U2" s="2" t="s">
        <v>283</v>
      </c>
      <c r="V2" s="2" t="s">
        <v>284</v>
      </c>
      <c r="W2" s="2" t="s">
        <v>285</v>
      </c>
      <c r="X2" s="2" t="s">
        <v>286</v>
      </c>
      <c r="Z2" s="2" t="s">
        <v>264</v>
      </c>
      <c r="AA2" s="2" t="s">
        <v>265</v>
      </c>
      <c r="AB2" s="2" t="s">
        <v>266</v>
      </c>
      <c r="AC2" s="2" t="s">
        <v>267</v>
      </c>
      <c r="AF2" s="2" t="s">
        <v>264</v>
      </c>
      <c r="AG2" s="2" t="s">
        <v>265</v>
      </c>
      <c r="AH2" s="2" t="s">
        <v>266</v>
      </c>
      <c r="AK2" s="2" t="s">
        <v>264</v>
      </c>
      <c r="AL2" s="2" t="s">
        <v>265</v>
      </c>
      <c r="AM2" s="2" t="s">
        <v>266</v>
      </c>
      <c r="AN2" s="2" t="s">
        <v>267</v>
      </c>
      <c r="AQ2" s="2" t="s">
        <v>264</v>
      </c>
      <c r="AR2" s="2" t="s">
        <v>265</v>
      </c>
      <c r="AS2" s="2" t="s">
        <v>266</v>
      </c>
    </row>
    <row r="3" spans="2:45">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J3" s="4" t="s">
        <v>1</v>
      </c>
      <c r="AK3" s="4"/>
      <c r="AL3" s="4"/>
      <c r="AM3" s="4"/>
      <c r="AN3" s="4"/>
      <c r="AO3" s="4"/>
      <c r="AP3" s="4"/>
      <c r="AQ3" s="4"/>
      <c r="AR3" s="4"/>
      <c r="AS3" s="4"/>
    </row>
    <row r="4" spans="2:45">
      <c r="B4" s="2" t="s">
        <v>2</v>
      </c>
      <c r="Z4" s="2" t="s">
        <v>3</v>
      </c>
      <c r="AJ4" s="2" t="s">
        <v>4</v>
      </c>
    </row>
    <row r="5" spans="2:45" ht="30">
      <c r="B5" s="12"/>
      <c r="C5" s="6"/>
      <c r="D5" s="7" t="s">
        <v>5</v>
      </c>
      <c r="E5" s="8" t="s">
        <v>6</v>
      </c>
      <c r="F5" s="5" t="s">
        <v>7</v>
      </c>
      <c r="G5" s="11" t="s">
        <v>8</v>
      </c>
      <c r="H5" s="11"/>
      <c r="I5" s="11"/>
      <c r="J5" s="10"/>
      <c r="K5" s="9" t="s">
        <v>9</v>
      </c>
      <c r="L5" s="10"/>
      <c r="M5" s="9" t="s">
        <v>10</v>
      </c>
      <c r="N5" s="10"/>
      <c r="O5" s="9" t="s">
        <v>174</v>
      </c>
      <c r="P5" s="10"/>
      <c r="Q5" s="9" t="s">
        <v>11</v>
      </c>
      <c r="R5" s="10"/>
      <c r="S5" s="10" t="s">
        <v>257</v>
      </c>
      <c r="T5" s="10"/>
      <c r="U5" s="10"/>
      <c r="V5" s="10"/>
      <c r="W5" s="9" t="s">
        <v>262</v>
      </c>
      <c r="X5" s="10"/>
      <c r="Z5" s="12" t="s">
        <v>13</v>
      </c>
      <c r="AA5" s="6"/>
      <c r="AB5" s="13"/>
      <c r="AC5" s="14"/>
      <c r="AE5" s="12" t="s">
        <v>175</v>
      </c>
      <c r="AF5" s="6"/>
      <c r="AG5" s="13"/>
      <c r="AH5" s="14"/>
      <c r="AJ5" s="12" t="s">
        <v>14</v>
      </c>
      <c r="AK5" s="6"/>
      <c r="AL5" s="13"/>
      <c r="AM5" s="13"/>
      <c r="AN5" s="14"/>
      <c r="AP5" s="12" t="s">
        <v>15</v>
      </c>
      <c r="AQ5" s="6"/>
      <c r="AR5" s="13"/>
      <c r="AS5" s="14"/>
    </row>
    <row r="6" spans="2:45">
      <c r="B6" s="127"/>
      <c r="C6" s="128"/>
      <c r="D6" s="129" t="s">
        <v>16</v>
      </c>
      <c r="E6" s="130" t="s">
        <v>16</v>
      </c>
      <c r="F6" s="160"/>
      <c r="G6" s="16" t="s">
        <v>17</v>
      </c>
      <c r="H6" s="16" t="s">
        <v>19</v>
      </c>
      <c r="I6" s="16" t="s">
        <v>18</v>
      </c>
      <c r="J6" s="16" t="s">
        <v>19</v>
      </c>
      <c r="K6" s="16" t="s">
        <v>21</v>
      </c>
      <c r="L6" s="16" t="s">
        <v>19</v>
      </c>
      <c r="M6" s="16" t="s">
        <v>21</v>
      </c>
      <c r="N6" s="16" t="s">
        <v>19</v>
      </c>
      <c r="O6" s="16" t="s">
        <v>21</v>
      </c>
      <c r="P6" s="16" t="s">
        <v>19</v>
      </c>
      <c r="Q6" s="16" t="s">
        <v>21</v>
      </c>
      <c r="R6" s="16" t="s">
        <v>19</v>
      </c>
      <c r="S6" s="16" t="s">
        <v>258</v>
      </c>
      <c r="T6" s="16" t="s">
        <v>259</v>
      </c>
      <c r="U6" s="16" t="s">
        <v>260</v>
      </c>
      <c r="V6" s="16" t="s">
        <v>261</v>
      </c>
      <c r="W6" s="16" t="s">
        <v>21</v>
      </c>
      <c r="X6" s="16" t="s">
        <v>19</v>
      </c>
      <c r="Y6" s="17"/>
      <c r="Z6" s="15"/>
      <c r="AA6" s="18" t="s">
        <v>22</v>
      </c>
      <c r="AB6" s="16" t="s">
        <v>21</v>
      </c>
      <c r="AC6" s="16" t="s">
        <v>19</v>
      </c>
      <c r="AD6" s="17"/>
      <c r="AE6" s="15" t="s">
        <v>176</v>
      </c>
      <c r="AF6" s="18" t="s">
        <v>22</v>
      </c>
      <c r="AG6" s="16" t="s">
        <v>21</v>
      </c>
      <c r="AH6" s="16" t="s">
        <v>19</v>
      </c>
      <c r="AJ6" s="15"/>
      <c r="AK6" s="18" t="s">
        <v>22</v>
      </c>
      <c r="AL6" s="15" t="s">
        <v>20</v>
      </c>
      <c r="AM6" s="16" t="s">
        <v>21</v>
      </c>
      <c r="AN6" s="16" t="s">
        <v>19</v>
      </c>
      <c r="AO6" s="17"/>
      <c r="AP6" s="15"/>
      <c r="AQ6" s="18" t="s">
        <v>22</v>
      </c>
      <c r="AR6" s="16" t="s">
        <v>21</v>
      </c>
      <c r="AS6" s="16" t="s">
        <v>19</v>
      </c>
    </row>
    <row r="7" spans="2:45">
      <c r="B7" s="131"/>
      <c r="C7" s="132"/>
      <c r="D7" s="131"/>
      <c r="E7" s="133"/>
      <c r="F7" s="132"/>
      <c r="G7" s="134"/>
      <c r="H7" s="134"/>
      <c r="I7" s="134"/>
      <c r="J7" s="134"/>
      <c r="K7" s="134"/>
      <c r="L7" s="134"/>
      <c r="M7" s="134"/>
      <c r="N7" s="134"/>
      <c r="O7" s="134"/>
      <c r="P7" s="134"/>
      <c r="Q7" s="134"/>
      <c r="R7" s="134"/>
      <c r="S7" s="134"/>
      <c r="T7" s="134"/>
      <c r="U7" s="134"/>
      <c r="V7" s="134"/>
      <c r="W7" s="134"/>
      <c r="X7" s="134"/>
      <c r="Y7" s="17"/>
      <c r="Z7" s="20"/>
      <c r="AA7" s="20"/>
      <c r="AB7" s="20"/>
      <c r="AC7" s="20"/>
      <c r="AD7" s="17"/>
      <c r="AE7" s="20"/>
      <c r="AF7" s="20"/>
      <c r="AG7" s="20"/>
      <c r="AH7" s="20"/>
      <c r="AJ7" s="20"/>
      <c r="AK7" s="20"/>
      <c r="AL7" s="19"/>
      <c r="AM7" s="20"/>
      <c r="AN7" s="20"/>
      <c r="AO7" s="17"/>
      <c r="AP7" s="20"/>
      <c r="AQ7" s="20"/>
      <c r="AR7" s="20"/>
      <c r="AS7" s="20"/>
    </row>
    <row r="8" spans="2:45">
      <c r="B8" s="135" t="s">
        <v>177</v>
      </c>
      <c r="C8" s="136" t="s">
        <v>23</v>
      </c>
      <c r="D8" s="22">
        <v>0</v>
      </c>
      <c r="E8" s="23" t="s">
        <v>24</v>
      </c>
      <c r="F8" s="137" t="str">
        <f>D8&amp;E8</f>
        <v>0A</v>
      </c>
      <c r="G8" s="27">
        <v>2720</v>
      </c>
      <c r="H8" s="43">
        <v>3.1</v>
      </c>
      <c r="I8" s="27">
        <v>2130</v>
      </c>
      <c r="J8" s="43">
        <v>3.1</v>
      </c>
      <c r="K8" s="27">
        <v>0</v>
      </c>
      <c r="L8" s="43">
        <v>0</v>
      </c>
      <c r="M8" s="27">
        <v>30</v>
      </c>
      <c r="N8" s="43">
        <v>3.8</v>
      </c>
      <c r="O8" s="27">
        <v>0</v>
      </c>
      <c r="P8" s="43">
        <v>0</v>
      </c>
      <c r="Q8" s="27">
        <v>530</v>
      </c>
      <c r="R8" s="43">
        <v>5.8</v>
      </c>
      <c r="S8" s="155">
        <v>0.01</v>
      </c>
      <c r="T8" s="155">
        <v>0.02</v>
      </c>
      <c r="U8" s="155">
        <v>0.03</v>
      </c>
      <c r="V8" s="155">
        <v>0.04</v>
      </c>
      <c r="W8" s="27">
        <v>140</v>
      </c>
      <c r="X8" s="43">
        <v>4.9000000000000004</v>
      </c>
      <c r="Y8" s="17"/>
      <c r="Z8" s="26" t="s">
        <v>25</v>
      </c>
      <c r="AA8" s="26">
        <v>1</v>
      </c>
      <c r="AB8" s="26">
        <v>0</v>
      </c>
      <c r="AC8" s="138">
        <v>0</v>
      </c>
      <c r="AD8" s="17"/>
      <c r="AE8" s="26" t="s">
        <v>178</v>
      </c>
      <c r="AF8" s="26" t="s">
        <v>123</v>
      </c>
      <c r="AG8" s="27">
        <v>550</v>
      </c>
      <c r="AH8" s="43">
        <v>2.2999999999999998</v>
      </c>
      <c r="AJ8" s="26" t="s">
        <v>25</v>
      </c>
      <c r="AK8" s="26">
        <v>1</v>
      </c>
      <c r="AL8" s="26">
        <v>0</v>
      </c>
      <c r="AM8" s="26">
        <v>0</v>
      </c>
      <c r="AN8" s="138">
        <v>0</v>
      </c>
      <c r="AO8" s="17"/>
      <c r="AP8" s="26" t="s">
        <v>25</v>
      </c>
      <c r="AQ8" s="26">
        <v>0</v>
      </c>
      <c r="AR8" s="26">
        <v>0</v>
      </c>
      <c r="AS8" s="138">
        <v>0</v>
      </c>
    </row>
    <row r="9" spans="2:45" ht="15.75" customHeight="1">
      <c r="B9" s="21"/>
      <c r="C9" s="139" t="s">
        <v>26</v>
      </c>
      <c r="D9" s="28">
        <f>D8</f>
        <v>0</v>
      </c>
      <c r="E9" s="29" t="s">
        <v>27</v>
      </c>
      <c r="F9" s="140" t="str">
        <f t="shared" ref="F9:F92" si="0">D9&amp;E9</f>
        <v>0B</v>
      </c>
      <c r="G9" s="32">
        <v>2800</v>
      </c>
      <c r="H9" s="33">
        <v>3.1</v>
      </c>
      <c r="I9" s="32">
        <v>2210</v>
      </c>
      <c r="J9" s="33">
        <v>3.1</v>
      </c>
      <c r="K9" s="32">
        <v>80</v>
      </c>
      <c r="L9" s="33">
        <v>2.8</v>
      </c>
      <c r="M9" s="32">
        <v>0</v>
      </c>
      <c r="N9" s="33">
        <v>0</v>
      </c>
      <c r="O9" s="32">
        <v>0</v>
      </c>
      <c r="P9" s="33">
        <v>0</v>
      </c>
      <c r="Q9" s="30">
        <f>Q8</f>
        <v>530</v>
      </c>
      <c r="R9" s="45">
        <f>R8</f>
        <v>5.8</v>
      </c>
      <c r="S9" s="120">
        <f t="shared" ref="S9:X9" si="1">S8</f>
        <v>0.01</v>
      </c>
      <c r="T9" s="120">
        <f t="shared" si="1"/>
        <v>0.02</v>
      </c>
      <c r="U9" s="120">
        <f t="shared" si="1"/>
        <v>0.03</v>
      </c>
      <c r="V9" s="120">
        <f t="shared" si="1"/>
        <v>0.04</v>
      </c>
      <c r="W9" s="30">
        <f t="shared" si="1"/>
        <v>140</v>
      </c>
      <c r="X9" s="45">
        <f t="shared" si="1"/>
        <v>4.9000000000000004</v>
      </c>
      <c r="Y9" s="17"/>
      <c r="Z9" s="26" t="s">
        <v>28</v>
      </c>
      <c r="AA9" s="26">
        <v>2</v>
      </c>
      <c r="AB9" s="32">
        <v>2950</v>
      </c>
      <c r="AC9" s="33">
        <v>1.9</v>
      </c>
      <c r="AD9" s="17"/>
      <c r="AE9" s="26" t="s">
        <v>179</v>
      </c>
      <c r="AF9" s="26" t="s">
        <v>34</v>
      </c>
      <c r="AG9" s="32">
        <v>360</v>
      </c>
      <c r="AH9" s="33">
        <v>2.4</v>
      </c>
      <c r="AJ9" s="26" t="s">
        <v>29</v>
      </c>
      <c r="AK9" s="26">
        <v>2</v>
      </c>
      <c r="AL9" s="32">
        <v>26950</v>
      </c>
      <c r="AM9" s="32">
        <v>260</v>
      </c>
      <c r="AN9" s="33">
        <v>8.6999999999999993</v>
      </c>
      <c r="AO9" s="17"/>
      <c r="AP9" s="26" t="s">
        <v>30</v>
      </c>
      <c r="AQ9" s="26">
        <v>1</v>
      </c>
      <c r="AR9" s="32">
        <v>880</v>
      </c>
      <c r="AS9" s="33">
        <v>7.7</v>
      </c>
    </row>
    <row r="10" spans="2:45" ht="15.75" customHeight="1">
      <c r="B10" s="21"/>
      <c r="C10" s="139" t="s">
        <v>31</v>
      </c>
      <c r="D10" s="28">
        <f>D8</f>
        <v>0</v>
      </c>
      <c r="E10" s="29" t="s">
        <v>32</v>
      </c>
      <c r="F10" s="140" t="str">
        <f t="shared" si="0"/>
        <v>0C</v>
      </c>
      <c r="G10" s="32">
        <v>3420</v>
      </c>
      <c r="H10" s="33">
        <v>3.1</v>
      </c>
      <c r="I10" s="32">
        <v>2820</v>
      </c>
      <c r="J10" s="33">
        <v>3</v>
      </c>
      <c r="K10" s="32">
        <v>0</v>
      </c>
      <c r="L10" s="33">
        <v>0</v>
      </c>
      <c r="M10" s="32">
        <v>0</v>
      </c>
      <c r="N10" s="33">
        <v>0</v>
      </c>
      <c r="O10" s="32">
        <v>170</v>
      </c>
      <c r="P10" s="33">
        <v>2.7</v>
      </c>
      <c r="Q10" s="30">
        <f>Q8</f>
        <v>530</v>
      </c>
      <c r="R10" s="45">
        <f>R8</f>
        <v>5.8</v>
      </c>
      <c r="S10" s="120">
        <f t="shared" ref="S10:X10" si="2">S8</f>
        <v>0.01</v>
      </c>
      <c r="T10" s="120">
        <f t="shared" si="2"/>
        <v>0.02</v>
      </c>
      <c r="U10" s="120">
        <f t="shared" si="2"/>
        <v>0.03</v>
      </c>
      <c r="V10" s="120">
        <f t="shared" si="2"/>
        <v>0.04</v>
      </c>
      <c r="W10" s="30">
        <f t="shared" si="2"/>
        <v>140</v>
      </c>
      <c r="X10" s="45">
        <f t="shared" si="2"/>
        <v>4.9000000000000004</v>
      </c>
      <c r="Y10" s="17"/>
      <c r="Z10" s="26" t="s">
        <v>33</v>
      </c>
      <c r="AA10" s="26">
        <v>3</v>
      </c>
      <c r="AB10" s="32">
        <v>3160</v>
      </c>
      <c r="AC10" s="33">
        <v>1.8</v>
      </c>
      <c r="AD10" s="17"/>
      <c r="AE10" s="26" t="s">
        <v>180</v>
      </c>
      <c r="AF10" s="26" t="s">
        <v>122</v>
      </c>
      <c r="AG10" s="32">
        <v>270</v>
      </c>
      <c r="AH10" s="33">
        <v>2.4</v>
      </c>
      <c r="AJ10" s="34" t="s">
        <v>34</v>
      </c>
      <c r="AK10" s="66">
        <v>3</v>
      </c>
      <c r="AL10" s="57">
        <v>17960</v>
      </c>
      <c r="AM10" s="57">
        <v>170</v>
      </c>
      <c r="AN10" s="58">
        <v>10</v>
      </c>
      <c r="AO10" s="17"/>
      <c r="AP10" s="26" t="s">
        <v>35</v>
      </c>
      <c r="AQ10" s="26">
        <v>2</v>
      </c>
      <c r="AR10" s="32">
        <v>500</v>
      </c>
      <c r="AS10" s="33">
        <v>0</v>
      </c>
    </row>
    <row r="11" spans="2:45" ht="15.75" customHeight="1">
      <c r="B11" s="37"/>
      <c r="C11" s="142" t="s">
        <v>36</v>
      </c>
      <c r="D11" s="38">
        <f>D8</f>
        <v>0</v>
      </c>
      <c r="E11" s="39" t="s">
        <v>37</v>
      </c>
      <c r="F11" s="143" t="str">
        <f t="shared" si="0"/>
        <v>0D</v>
      </c>
      <c r="G11" s="35">
        <v>4310</v>
      </c>
      <c r="H11" s="36">
        <v>3</v>
      </c>
      <c r="I11" s="35">
        <v>3710</v>
      </c>
      <c r="J11" s="36">
        <v>3</v>
      </c>
      <c r="K11" s="35">
        <v>0</v>
      </c>
      <c r="L11" s="36">
        <v>0</v>
      </c>
      <c r="M11" s="35">
        <v>0</v>
      </c>
      <c r="N11" s="36">
        <v>0</v>
      </c>
      <c r="O11" s="35">
        <v>0</v>
      </c>
      <c r="P11" s="36">
        <v>0</v>
      </c>
      <c r="Q11" s="40">
        <f>Q8</f>
        <v>530</v>
      </c>
      <c r="R11" s="48">
        <f>R8</f>
        <v>5.8</v>
      </c>
      <c r="S11" s="156">
        <f t="shared" ref="S11:X11" si="3">S8</f>
        <v>0.01</v>
      </c>
      <c r="T11" s="156">
        <f t="shared" si="3"/>
        <v>0.02</v>
      </c>
      <c r="U11" s="156">
        <f t="shared" si="3"/>
        <v>0.03</v>
      </c>
      <c r="V11" s="156">
        <f t="shared" si="3"/>
        <v>0.04</v>
      </c>
      <c r="W11" s="40">
        <f t="shared" si="3"/>
        <v>140</v>
      </c>
      <c r="X11" s="48">
        <f t="shared" si="3"/>
        <v>4.9000000000000004</v>
      </c>
      <c r="Y11" s="17"/>
      <c r="Z11" s="26" t="s">
        <v>38</v>
      </c>
      <c r="AA11" s="26">
        <v>4</v>
      </c>
      <c r="AB11" s="32">
        <v>3590</v>
      </c>
      <c r="AC11" s="33">
        <v>1.9</v>
      </c>
      <c r="AD11" s="17"/>
      <c r="AE11" s="26" t="s">
        <v>181</v>
      </c>
      <c r="AF11" s="26" t="s">
        <v>121</v>
      </c>
      <c r="AG11" s="32">
        <v>220</v>
      </c>
      <c r="AH11" s="33">
        <v>2.2999999999999998</v>
      </c>
      <c r="AO11" s="17"/>
      <c r="AP11" s="34" t="s">
        <v>39</v>
      </c>
      <c r="AQ11" s="66">
        <v>3</v>
      </c>
      <c r="AR11" s="57">
        <v>0</v>
      </c>
      <c r="AS11" s="58">
        <v>0</v>
      </c>
    </row>
    <row r="12" spans="2:45" ht="15.75" customHeight="1">
      <c r="B12" s="21" t="s">
        <v>462</v>
      </c>
      <c r="C12" s="42" t="str">
        <f>C$8</f>
        <v>４歳以上児</v>
      </c>
      <c r="D12" s="22">
        <v>1</v>
      </c>
      <c r="E12" s="25" t="str">
        <f>E$8</f>
        <v>A</v>
      </c>
      <c r="F12" s="137" t="str">
        <f t="shared" si="0"/>
        <v>1A</v>
      </c>
      <c r="G12" s="27">
        <v>1880</v>
      </c>
      <c r="H12" s="43">
        <v>3.1</v>
      </c>
      <c r="I12" s="27">
        <v>1490</v>
      </c>
      <c r="J12" s="43">
        <v>3.1</v>
      </c>
      <c r="K12" s="24">
        <f t="shared" ref="K12:P12" si="4">K$8</f>
        <v>0</v>
      </c>
      <c r="L12" s="55">
        <f t="shared" si="4"/>
        <v>0</v>
      </c>
      <c r="M12" s="24">
        <f t="shared" si="4"/>
        <v>30</v>
      </c>
      <c r="N12" s="55">
        <f t="shared" si="4"/>
        <v>3.8</v>
      </c>
      <c r="O12" s="24">
        <f t="shared" si="4"/>
        <v>0</v>
      </c>
      <c r="P12" s="55">
        <f t="shared" si="4"/>
        <v>0</v>
      </c>
      <c r="Q12" s="27">
        <v>350</v>
      </c>
      <c r="R12" s="43">
        <v>5.8</v>
      </c>
      <c r="S12" s="155">
        <v>0.01</v>
      </c>
      <c r="T12" s="155">
        <v>0.02</v>
      </c>
      <c r="U12" s="155">
        <v>0.04</v>
      </c>
      <c r="V12" s="155">
        <v>0.05</v>
      </c>
      <c r="W12" s="27">
        <v>90</v>
      </c>
      <c r="X12" s="43">
        <v>5</v>
      </c>
      <c r="Y12" s="17"/>
      <c r="Z12" s="26" t="s">
        <v>40</v>
      </c>
      <c r="AA12" s="26">
        <v>5</v>
      </c>
      <c r="AB12" s="32">
        <v>4010</v>
      </c>
      <c r="AC12" s="33">
        <v>2</v>
      </c>
      <c r="AD12" s="17"/>
      <c r="AE12" s="26" t="s">
        <v>182</v>
      </c>
      <c r="AF12" s="26" t="s">
        <v>183</v>
      </c>
      <c r="AG12" s="32">
        <v>180</v>
      </c>
      <c r="AH12" s="33">
        <v>2.4</v>
      </c>
      <c r="AO12" s="17"/>
      <c r="AP12" s="17"/>
      <c r="AQ12" s="17"/>
      <c r="AR12" s="17"/>
      <c r="AS12" s="17"/>
    </row>
    <row r="13" spans="2:45" ht="15.75" customHeight="1">
      <c r="B13" s="21"/>
      <c r="C13" s="44" t="str">
        <f>C$9</f>
        <v>３歳児</v>
      </c>
      <c r="D13" s="28">
        <f>D12</f>
        <v>1</v>
      </c>
      <c r="E13" s="31" t="str">
        <f>E$9</f>
        <v>B</v>
      </c>
      <c r="F13" s="140" t="str">
        <f t="shared" si="0"/>
        <v>1B</v>
      </c>
      <c r="G13" s="32">
        <v>1960</v>
      </c>
      <c r="H13" s="33">
        <v>3.1</v>
      </c>
      <c r="I13" s="32">
        <v>1570</v>
      </c>
      <c r="J13" s="33">
        <v>3.1</v>
      </c>
      <c r="K13" s="30">
        <f t="shared" ref="K13:P13" si="5">K$9</f>
        <v>80</v>
      </c>
      <c r="L13" s="45">
        <f t="shared" si="5"/>
        <v>2.8</v>
      </c>
      <c r="M13" s="30">
        <f t="shared" si="5"/>
        <v>0</v>
      </c>
      <c r="N13" s="45">
        <f t="shared" si="5"/>
        <v>0</v>
      </c>
      <c r="O13" s="30">
        <f t="shared" si="5"/>
        <v>0</v>
      </c>
      <c r="P13" s="45">
        <f t="shared" si="5"/>
        <v>0</v>
      </c>
      <c r="Q13" s="30">
        <f>Q12</f>
        <v>350</v>
      </c>
      <c r="R13" s="45">
        <f>R12</f>
        <v>5.8</v>
      </c>
      <c r="S13" s="120">
        <f t="shared" ref="S13:X13" si="6">S12</f>
        <v>0.01</v>
      </c>
      <c r="T13" s="120">
        <f t="shared" si="6"/>
        <v>0.02</v>
      </c>
      <c r="U13" s="120">
        <f t="shared" si="6"/>
        <v>0.04</v>
      </c>
      <c r="V13" s="120">
        <f t="shared" si="6"/>
        <v>0.05</v>
      </c>
      <c r="W13" s="30">
        <f t="shared" si="6"/>
        <v>90</v>
      </c>
      <c r="X13" s="45">
        <f t="shared" si="6"/>
        <v>5</v>
      </c>
      <c r="Y13" s="17"/>
      <c r="Z13" s="26" t="s">
        <v>41</v>
      </c>
      <c r="AA13" s="26">
        <v>6</v>
      </c>
      <c r="AB13" s="32">
        <v>4440</v>
      </c>
      <c r="AC13" s="33">
        <v>2</v>
      </c>
      <c r="AD13" s="17"/>
      <c r="AE13" s="26" t="s">
        <v>184</v>
      </c>
      <c r="AF13" s="26" t="s">
        <v>185</v>
      </c>
      <c r="AG13" s="32">
        <v>150</v>
      </c>
      <c r="AH13" s="33">
        <v>2.4</v>
      </c>
      <c r="AJ13" s="17" t="s">
        <v>42</v>
      </c>
      <c r="AK13" s="17"/>
      <c r="AL13" s="17"/>
      <c r="AO13" s="17"/>
      <c r="AP13" s="17"/>
      <c r="AQ13" s="17"/>
      <c r="AR13" s="17"/>
      <c r="AS13" s="17"/>
    </row>
    <row r="14" spans="2:45" ht="15.75" customHeight="1">
      <c r="B14" s="21"/>
      <c r="C14" s="44" t="str">
        <f>C$10</f>
        <v>１、２歳児</v>
      </c>
      <c r="D14" s="28">
        <f>D12</f>
        <v>1</v>
      </c>
      <c r="E14" s="31" t="str">
        <f>E$10</f>
        <v>C</v>
      </c>
      <c r="F14" s="140" t="str">
        <f t="shared" si="0"/>
        <v>1C</v>
      </c>
      <c r="G14" s="32">
        <v>2580</v>
      </c>
      <c r="H14" s="33">
        <v>3</v>
      </c>
      <c r="I14" s="32">
        <v>2180</v>
      </c>
      <c r="J14" s="33">
        <v>3</v>
      </c>
      <c r="K14" s="30">
        <f t="shared" ref="K14:P14" si="7">K$10</f>
        <v>0</v>
      </c>
      <c r="L14" s="45">
        <f t="shared" si="7"/>
        <v>0</v>
      </c>
      <c r="M14" s="30">
        <f t="shared" si="7"/>
        <v>0</v>
      </c>
      <c r="N14" s="45">
        <f t="shared" si="7"/>
        <v>0</v>
      </c>
      <c r="O14" s="30">
        <f t="shared" si="7"/>
        <v>170</v>
      </c>
      <c r="P14" s="45">
        <f t="shared" si="7"/>
        <v>2.7</v>
      </c>
      <c r="Q14" s="30">
        <f>Q12</f>
        <v>350</v>
      </c>
      <c r="R14" s="45">
        <f>R12</f>
        <v>5.8</v>
      </c>
      <c r="S14" s="120">
        <f t="shared" ref="S14:X14" si="8">S12</f>
        <v>0.01</v>
      </c>
      <c r="T14" s="120">
        <f t="shared" si="8"/>
        <v>0.02</v>
      </c>
      <c r="U14" s="120">
        <f t="shared" si="8"/>
        <v>0.04</v>
      </c>
      <c r="V14" s="120">
        <f t="shared" si="8"/>
        <v>0.05</v>
      </c>
      <c r="W14" s="30">
        <f t="shared" si="8"/>
        <v>90</v>
      </c>
      <c r="X14" s="45">
        <f t="shared" si="8"/>
        <v>5</v>
      </c>
      <c r="Y14" s="17"/>
      <c r="Z14" s="26" t="s">
        <v>43</v>
      </c>
      <c r="AA14" s="26">
        <v>7</v>
      </c>
      <c r="AB14" s="32">
        <v>4870</v>
      </c>
      <c r="AC14" s="33">
        <v>1.9</v>
      </c>
      <c r="AD14" s="17"/>
      <c r="AE14" s="26" t="s">
        <v>186</v>
      </c>
      <c r="AF14" s="26" t="s">
        <v>187</v>
      </c>
      <c r="AG14" s="32">
        <v>130</v>
      </c>
      <c r="AH14" s="33">
        <v>2.5</v>
      </c>
      <c r="AJ14" s="17"/>
      <c r="AK14" s="17"/>
      <c r="AL14" s="18" t="s">
        <v>20</v>
      </c>
      <c r="AO14" s="17"/>
      <c r="AP14" s="17"/>
      <c r="AQ14" s="17"/>
      <c r="AR14" s="17"/>
      <c r="AS14" s="17"/>
    </row>
    <row r="15" spans="2:45" ht="15.75" customHeight="1">
      <c r="B15" s="37"/>
      <c r="C15" s="47" t="str">
        <f>C$11</f>
        <v>乳児</v>
      </c>
      <c r="D15" s="38">
        <f>D12</f>
        <v>1</v>
      </c>
      <c r="E15" s="41" t="str">
        <f>E$11</f>
        <v>D</v>
      </c>
      <c r="F15" s="143" t="str">
        <f t="shared" si="0"/>
        <v>1D</v>
      </c>
      <c r="G15" s="35">
        <v>3470</v>
      </c>
      <c r="H15" s="36">
        <v>3</v>
      </c>
      <c r="I15" s="35">
        <v>3070</v>
      </c>
      <c r="J15" s="36">
        <v>2.9</v>
      </c>
      <c r="K15" s="40">
        <f t="shared" ref="K15:P15" si="9">K$11</f>
        <v>0</v>
      </c>
      <c r="L15" s="48">
        <f t="shared" si="9"/>
        <v>0</v>
      </c>
      <c r="M15" s="40">
        <f t="shared" si="9"/>
        <v>0</v>
      </c>
      <c r="N15" s="48">
        <f t="shared" si="9"/>
        <v>0</v>
      </c>
      <c r="O15" s="40">
        <f t="shared" si="9"/>
        <v>0</v>
      </c>
      <c r="P15" s="48">
        <f t="shared" si="9"/>
        <v>0</v>
      </c>
      <c r="Q15" s="40">
        <f>Q12</f>
        <v>350</v>
      </c>
      <c r="R15" s="48">
        <f>R12</f>
        <v>5.8</v>
      </c>
      <c r="S15" s="156">
        <f t="shared" ref="S15:X15" si="10">S12</f>
        <v>0.01</v>
      </c>
      <c r="T15" s="156">
        <f t="shared" si="10"/>
        <v>0.02</v>
      </c>
      <c r="U15" s="156">
        <f t="shared" si="10"/>
        <v>0.04</v>
      </c>
      <c r="V15" s="156">
        <f t="shared" si="10"/>
        <v>0.05</v>
      </c>
      <c r="W15" s="40">
        <f t="shared" si="10"/>
        <v>90</v>
      </c>
      <c r="X15" s="48">
        <f t="shared" si="10"/>
        <v>5</v>
      </c>
      <c r="Y15" s="17"/>
      <c r="Z15" s="26" t="s">
        <v>44</v>
      </c>
      <c r="AA15" s="26">
        <v>8</v>
      </c>
      <c r="AB15" s="32">
        <v>5290</v>
      </c>
      <c r="AC15" s="33">
        <v>1.9</v>
      </c>
      <c r="AD15" s="17"/>
      <c r="AE15" s="26" t="s">
        <v>188</v>
      </c>
      <c r="AF15" s="26" t="s">
        <v>189</v>
      </c>
      <c r="AG15" s="32">
        <v>120</v>
      </c>
      <c r="AH15" s="33">
        <v>2.4</v>
      </c>
      <c r="AJ15" s="46" t="s">
        <v>190</v>
      </c>
      <c r="AK15" s="49"/>
      <c r="AL15" s="35">
        <v>50420</v>
      </c>
      <c r="AO15" s="17"/>
      <c r="AP15" s="17"/>
      <c r="AQ15" s="17"/>
      <c r="AR15" s="17"/>
      <c r="AS15" s="17"/>
    </row>
    <row r="16" spans="2:45" ht="15.75" customHeight="1">
      <c r="B16" s="21" t="s">
        <v>191</v>
      </c>
      <c r="C16" s="42" t="str">
        <f>C$8</f>
        <v>４歳以上児</v>
      </c>
      <c r="D16" s="22">
        <v>2</v>
      </c>
      <c r="E16" s="25" t="str">
        <f>E$8</f>
        <v>A</v>
      </c>
      <c r="F16" s="137" t="str">
        <f>D16&amp;E16</f>
        <v>2A</v>
      </c>
      <c r="G16" s="27">
        <v>1460</v>
      </c>
      <c r="H16" s="43">
        <v>3.1</v>
      </c>
      <c r="I16" s="27">
        <v>1170</v>
      </c>
      <c r="J16" s="43">
        <v>3</v>
      </c>
      <c r="K16" s="24">
        <f t="shared" ref="K16:P16" si="11">K$8</f>
        <v>0</v>
      </c>
      <c r="L16" s="55">
        <f t="shared" si="11"/>
        <v>0</v>
      </c>
      <c r="M16" s="24">
        <f t="shared" si="11"/>
        <v>30</v>
      </c>
      <c r="N16" s="55">
        <f t="shared" si="11"/>
        <v>3.8</v>
      </c>
      <c r="O16" s="24">
        <f t="shared" si="11"/>
        <v>0</v>
      </c>
      <c r="P16" s="55">
        <f t="shared" si="11"/>
        <v>0</v>
      </c>
      <c r="Q16" s="27">
        <v>260</v>
      </c>
      <c r="R16" s="43">
        <v>5.9</v>
      </c>
      <c r="S16" s="155">
        <v>0.01</v>
      </c>
      <c r="T16" s="155">
        <v>0.03</v>
      </c>
      <c r="U16" s="155">
        <v>0.04</v>
      </c>
      <c r="V16" s="155">
        <v>0.05</v>
      </c>
      <c r="W16" s="27">
        <v>70</v>
      </c>
      <c r="X16" s="43">
        <v>4.9000000000000004</v>
      </c>
      <c r="Y16" s="17"/>
      <c r="Z16" s="26" t="s">
        <v>46</v>
      </c>
      <c r="AA16" s="26">
        <v>9</v>
      </c>
      <c r="AB16" s="32">
        <v>5720</v>
      </c>
      <c r="AC16" s="33">
        <v>2</v>
      </c>
      <c r="AD16" s="17"/>
      <c r="AE16" s="26" t="s">
        <v>192</v>
      </c>
      <c r="AF16" s="26" t="s">
        <v>193</v>
      </c>
      <c r="AG16" s="32">
        <v>110</v>
      </c>
      <c r="AH16" s="33">
        <v>2.2999999999999998</v>
      </c>
      <c r="AJ16" s="46" t="s">
        <v>194</v>
      </c>
      <c r="AK16" s="49"/>
      <c r="AL16" s="35">
        <v>6300</v>
      </c>
      <c r="AM16" s="17"/>
      <c r="AN16" s="17"/>
      <c r="AO16" s="17"/>
      <c r="AP16" s="17"/>
      <c r="AQ16" s="17"/>
      <c r="AR16" s="17"/>
      <c r="AS16" s="17"/>
    </row>
    <row r="17" spans="2:45" ht="15.75" customHeight="1">
      <c r="B17" s="21"/>
      <c r="C17" s="44" t="str">
        <f>C$9</f>
        <v>３歳児</v>
      </c>
      <c r="D17" s="28">
        <f>D16</f>
        <v>2</v>
      </c>
      <c r="E17" s="31" t="str">
        <f>E$9</f>
        <v>B</v>
      </c>
      <c r="F17" s="140" t="str">
        <f>D17&amp;E17</f>
        <v>2B</v>
      </c>
      <c r="G17" s="32">
        <v>1540</v>
      </c>
      <c r="H17" s="33">
        <v>3.1</v>
      </c>
      <c r="I17" s="32">
        <v>1250</v>
      </c>
      <c r="J17" s="33">
        <v>3</v>
      </c>
      <c r="K17" s="30">
        <f t="shared" ref="K17:P17" si="12">K$9</f>
        <v>80</v>
      </c>
      <c r="L17" s="45">
        <f t="shared" si="12"/>
        <v>2.8</v>
      </c>
      <c r="M17" s="30">
        <f t="shared" si="12"/>
        <v>0</v>
      </c>
      <c r="N17" s="45">
        <f t="shared" si="12"/>
        <v>0</v>
      </c>
      <c r="O17" s="30">
        <f t="shared" si="12"/>
        <v>0</v>
      </c>
      <c r="P17" s="45">
        <f t="shared" si="12"/>
        <v>0</v>
      </c>
      <c r="Q17" s="30">
        <f>Q16</f>
        <v>260</v>
      </c>
      <c r="R17" s="45">
        <f>R16</f>
        <v>5.9</v>
      </c>
      <c r="S17" s="120">
        <f t="shared" ref="S17:X17" si="13">S16</f>
        <v>0.01</v>
      </c>
      <c r="T17" s="120">
        <f t="shared" si="13"/>
        <v>0.03</v>
      </c>
      <c r="U17" s="120">
        <f t="shared" si="13"/>
        <v>0.04</v>
      </c>
      <c r="V17" s="120">
        <f t="shared" si="13"/>
        <v>0.05</v>
      </c>
      <c r="W17" s="30">
        <f t="shared" si="13"/>
        <v>70</v>
      </c>
      <c r="X17" s="45">
        <f t="shared" si="13"/>
        <v>4.9000000000000004</v>
      </c>
      <c r="Y17" s="17"/>
      <c r="Z17" s="26" t="s">
        <v>47</v>
      </c>
      <c r="AA17" s="26">
        <v>10</v>
      </c>
      <c r="AB17" s="32">
        <v>6140</v>
      </c>
      <c r="AC17" s="33">
        <v>2</v>
      </c>
      <c r="AD17" s="17"/>
      <c r="AE17" s="26" t="s">
        <v>195</v>
      </c>
      <c r="AF17" s="26" t="s">
        <v>196</v>
      </c>
      <c r="AG17" s="32">
        <v>100</v>
      </c>
      <c r="AH17" s="33">
        <v>2.2999999999999998</v>
      </c>
      <c r="AJ17" s="46" t="s">
        <v>49</v>
      </c>
      <c r="AK17" s="49"/>
      <c r="AL17" s="35">
        <v>120</v>
      </c>
      <c r="AM17" s="17"/>
      <c r="AN17" s="17"/>
      <c r="AO17" s="17"/>
      <c r="AP17" s="17"/>
      <c r="AQ17" s="17"/>
      <c r="AR17" s="17"/>
      <c r="AS17" s="17"/>
    </row>
    <row r="18" spans="2:45" ht="15.75" customHeight="1">
      <c r="B18" s="21"/>
      <c r="C18" s="44" t="str">
        <f>C$10</f>
        <v>１、２歳児</v>
      </c>
      <c r="D18" s="28">
        <f>D16</f>
        <v>2</v>
      </c>
      <c r="E18" s="31" t="str">
        <f>E$10</f>
        <v>C</v>
      </c>
      <c r="F18" s="140" t="str">
        <f>D18&amp;E18</f>
        <v>2C</v>
      </c>
      <c r="G18" s="32">
        <v>2160</v>
      </c>
      <c r="H18" s="33">
        <v>3</v>
      </c>
      <c r="I18" s="32">
        <v>1860</v>
      </c>
      <c r="J18" s="33">
        <v>2.9</v>
      </c>
      <c r="K18" s="30">
        <f t="shared" ref="K18:P18" si="14">K$10</f>
        <v>0</v>
      </c>
      <c r="L18" s="45">
        <f t="shared" si="14"/>
        <v>0</v>
      </c>
      <c r="M18" s="30">
        <f t="shared" si="14"/>
        <v>0</v>
      </c>
      <c r="N18" s="45">
        <f t="shared" si="14"/>
        <v>0</v>
      </c>
      <c r="O18" s="30">
        <f t="shared" si="14"/>
        <v>170</v>
      </c>
      <c r="P18" s="45">
        <f t="shared" si="14"/>
        <v>2.7</v>
      </c>
      <c r="Q18" s="30">
        <f>Q16</f>
        <v>260</v>
      </c>
      <c r="R18" s="45">
        <f>R16</f>
        <v>5.9</v>
      </c>
      <c r="S18" s="120">
        <f t="shared" ref="S18:X18" si="15">S16</f>
        <v>0.01</v>
      </c>
      <c r="T18" s="120">
        <f t="shared" si="15"/>
        <v>0.03</v>
      </c>
      <c r="U18" s="120">
        <f t="shared" si="15"/>
        <v>0.04</v>
      </c>
      <c r="V18" s="120">
        <f t="shared" si="15"/>
        <v>0.05</v>
      </c>
      <c r="W18" s="30">
        <f t="shared" si="15"/>
        <v>70</v>
      </c>
      <c r="X18" s="45">
        <f t="shared" si="15"/>
        <v>4.9000000000000004</v>
      </c>
      <c r="Y18" s="17"/>
      <c r="Z18" s="26" t="s">
        <v>151</v>
      </c>
      <c r="AA18" s="26">
        <v>11</v>
      </c>
      <c r="AB18" s="32">
        <v>6570</v>
      </c>
      <c r="AC18" s="33">
        <v>1.9</v>
      </c>
      <c r="AD18" s="17"/>
      <c r="AE18" s="26" t="s">
        <v>197</v>
      </c>
      <c r="AF18" s="26" t="s">
        <v>198</v>
      </c>
      <c r="AG18" s="32">
        <v>90</v>
      </c>
      <c r="AH18" s="33">
        <v>2.4</v>
      </c>
      <c r="AJ18" s="46" t="s">
        <v>52</v>
      </c>
      <c r="AK18" s="49"/>
      <c r="AL18" s="35">
        <v>100000</v>
      </c>
      <c r="AM18" s="17"/>
      <c r="AN18" s="17"/>
      <c r="AO18" s="17"/>
      <c r="AP18" s="17"/>
      <c r="AQ18" s="17"/>
      <c r="AR18" s="17"/>
      <c r="AS18" s="17"/>
    </row>
    <row r="19" spans="2:45" ht="15.75" customHeight="1">
      <c r="B19" s="37"/>
      <c r="C19" s="47" t="str">
        <f>C$11</f>
        <v>乳児</v>
      </c>
      <c r="D19" s="38">
        <f>D16</f>
        <v>2</v>
      </c>
      <c r="E19" s="41" t="str">
        <f>E$11</f>
        <v>D</v>
      </c>
      <c r="F19" s="143" t="str">
        <f>D19&amp;E19</f>
        <v>2D</v>
      </c>
      <c r="G19" s="35">
        <v>3050</v>
      </c>
      <c r="H19" s="36">
        <v>2.9</v>
      </c>
      <c r="I19" s="35">
        <v>2750</v>
      </c>
      <c r="J19" s="36">
        <v>2.9</v>
      </c>
      <c r="K19" s="40">
        <f t="shared" ref="K19:P19" si="16">K$11</f>
        <v>0</v>
      </c>
      <c r="L19" s="48">
        <f t="shared" si="16"/>
        <v>0</v>
      </c>
      <c r="M19" s="40">
        <f t="shared" si="16"/>
        <v>0</v>
      </c>
      <c r="N19" s="48">
        <f t="shared" si="16"/>
        <v>0</v>
      </c>
      <c r="O19" s="40">
        <f t="shared" si="16"/>
        <v>0</v>
      </c>
      <c r="P19" s="48">
        <f t="shared" si="16"/>
        <v>0</v>
      </c>
      <c r="Q19" s="40">
        <f>Q16</f>
        <v>260</v>
      </c>
      <c r="R19" s="48">
        <f>R16</f>
        <v>5.9</v>
      </c>
      <c r="S19" s="156">
        <f t="shared" ref="S19:X19" si="17">S16</f>
        <v>0.01</v>
      </c>
      <c r="T19" s="156">
        <f t="shared" si="17"/>
        <v>0.03</v>
      </c>
      <c r="U19" s="156">
        <f t="shared" si="17"/>
        <v>0.04</v>
      </c>
      <c r="V19" s="156">
        <f t="shared" si="17"/>
        <v>0.05</v>
      </c>
      <c r="W19" s="40">
        <f t="shared" si="17"/>
        <v>70</v>
      </c>
      <c r="X19" s="48">
        <f t="shared" si="17"/>
        <v>4.9000000000000004</v>
      </c>
      <c r="Y19" s="17"/>
      <c r="Z19" s="26" t="s">
        <v>48</v>
      </c>
      <c r="AA19" s="26">
        <v>12</v>
      </c>
      <c r="AB19" s="32">
        <v>7000</v>
      </c>
      <c r="AC19" s="33">
        <v>1.9</v>
      </c>
      <c r="AD19" s="17"/>
      <c r="AE19" s="26" t="s">
        <v>199</v>
      </c>
      <c r="AF19" s="26" t="s">
        <v>200</v>
      </c>
      <c r="AG19" s="32">
        <v>70</v>
      </c>
      <c r="AH19" s="33">
        <v>2.4</v>
      </c>
      <c r="AJ19" s="46" t="s">
        <v>54</v>
      </c>
      <c r="AK19" s="49"/>
      <c r="AL19" s="35">
        <v>75000</v>
      </c>
      <c r="AM19" s="17"/>
      <c r="AN19" s="17"/>
      <c r="AO19" s="17"/>
      <c r="AP19" s="17"/>
      <c r="AQ19" s="17"/>
      <c r="AR19" s="17"/>
      <c r="AS19" s="17"/>
    </row>
    <row r="20" spans="2:45" ht="15.75" customHeight="1">
      <c r="B20" s="52" t="s">
        <v>45</v>
      </c>
      <c r="C20" s="42" t="str">
        <f>C$8</f>
        <v>４歳以上児</v>
      </c>
      <c r="D20" s="22">
        <v>3</v>
      </c>
      <c r="E20" s="25" t="str">
        <f>E$8</f>
        <v>A</v>
      </c>
      <c r="F20" s="145" t="str">
        <f t="shared" si="0"/>
        <v>3A</v>
      </c>
      <c r="G20" s="27">
        <v>1230</v>
      </c>
      <c r="H20" s="43">
        <v>3.2</v>
      </c>
      <c r="I20" s="27">
        <v>990</v>
      </c>
      <c r="J20" s="43">
        <v>3.2</v>
      </c>
      <c r="K20" s="24">
        <f t="shared" ref="K20:P20" si="18">K$8</f>
        <v>0</v>
      </c>
      <c r="L20" s="55">
        <f t="shared" si="18"/>
        <v>0</v>
      </c>
      <c r="M20" s="24">
        <f t="shared" si="18"/>
        <v>30</v>
      </c>
      <c r="N20" s="55">
        <f t="shared" si="18"/>
        <v>3.8</v>
      </c>
      <c r="O20" s="24">
        <f t="shared" si="18"/>
        <v>0</v>
      </c>
      <c r="P20" s="55">
        <f t="shared" si="18"/>
        <v>0</v>
      </c>
      <c r="Q20" s="27">
        <v>210</v>
      </c>
      <c r="R20" s="43">
        <v>5.8</v>
      </c>
      <c r="S20" s="155">
        <v>0.01</v>
      </c>
      <c r="T20" s="155">
        <v>0.03</v>
      </c>
      <c r="U20" s="155">
        <v>0.04</v>
      </c>
      <c r="V20" s="155">
        <v>0.05</v>
      </c>
      <c r="W20" s="27">
        <v>50</v>
      </c>
      <c r="X20" s="43">
        <v>5.4</v>
      </c>
      <c r="Y20" s="17"/>
      <c r="Z20" s="26" t="s">
        <v>51</v>
      </c>
      <c r="AA20" s="26">
        <v>13</v>
      </c>
      <c r="AB20" s="32">
        <v>7420</v>
      </c>
      <c r="AC20" s="33">
        <v>2</v>
      </c>
      <c r="AD20" s="17"/>
      <c r="AE20" s="26" t="s">
        <v>201</v>
      </c>
      <c r="AF20" s="26" t="s">
        <v>202</v>
      </c>
      <c r="AG20" s="32">
        <v>60</v>
      </c>
      <c r="AH20" s="33">
        <v>2.4</v>
      </c>
      <c r="AM20" s="17"/>
      <c r="AN20" s="17"/>
      <c r="AO20" s="17"/>
      <c r="AP20" s="17"/>
      <c r="AQ20" s="17"/>
      <c r="AR20" s="17"/>
      <c r="AS20" s="17"/>
    </row>
    <row r="21" spans="2:45" ht="15.75" customHeight="1">
      <c r="B21" s="21"/>
      <c r="C21" s="44" t="str">
        <f>C$9</f>
        <v>３歳児</v>
      </c>
      <c r="D21" s="28">
        <f>D20</f>
        <v>3</v>
      </c>
      <c r="E21" s="31" t="str">
        <f>E$9</f>
        <v>B</v>
      </c>
      <c r="F21" s="140" t="str">
        <f t="shared" si="0"/>
        <v>3B</v>
      </c>
      <c r="G21" s="32">
        <v>1310</v>
      </c>
      <c r="H21" s="33">
        <v>3.1</v>
      </c>
      <c r="I21" s="32">
        <v>1070</v>
      </c>
      <c r="J21" s="33">
        <v>3.1</v>
      </c>
      <c r="K21" s="30">
        <f t="shared" ref="K21:P21" si="19">K$9</f>
        <v>80</v>
      </c>
      <c r="L21" s="45">
        <f t="shared" si="19"/>
        <v>2.8</v>
      </c>
      <c r="M21" s="30">
        <f t="shared" si="19"/>
        <v>0</v>
      </c>
      <c r="N21" s="45">
        <f t="shared" si="19"/>
        <v>0</v>
      </c>
      <c r="O21" s="30">
        <f t="shared" si="19"/>
        <v>0</v>
      </c>
      <c r="P21" s="45">
        <f t="shared" si="19"/>
        <v>0</v>
      </c>
      <c r="Q21" s="30">
        <f>Q20</f>
        <v>210</v>
      </c>
      <c r="R21" s="45">
        <f>R20</f>
        <v>5.8</v>
      </c>
      <c r="S21" s="120">
        <f t="shared" ref="S21:X21" si="20">S20</f>
        <v>0.01</v>
      </c>
      <c r="T21" s="120">
        <f t="shared" si="20"/>
        <v>0.03</v>
      </c>
      <c r="U21" s="120">
        <f t="shared" si="20"/>
        <v>0.04</v>
      </c>
      <c r="V21" s="120">
        <f t="shared" si="20"/>
        <v>0.05</v>
      </c>
      <c r="W21" s="30">
        <f t="shared" si="20"/>
        <v>50</v>
      </c>
      <c r="X21" s="45">
        <f t="shared" si="20"/>
        <v>5.4</v>
      </c>
      <c r="Y21" s="17"/>
      <c r="Z21" s="26" t="s">
        <v>53</v>
      </c>
      <c r="AA21" s="26">
        <v>14</v>
      </c>
      <c r="AB21" s="32">
        <v>7850</v>
      </c>
      <c r="AC21" s="33">
        <v>2</v>
      </c>
      <c r="AD21" s="17"/>
      <c r="AE21" s="26" t="s">
        <v>203</v>
      </c>
      <c r="AF21" s="26" t="s">
        <v>204</v>
      </c>
      <c r="AG21" s="32">
        <v>50</v>
      </c>
      <c r="AH21" s="33">
        <v>2.4</v>
      </c>
      <c r="AO21" s="17"/>
      <c r="AP21" s="17"/>
      <c r="AQ21" s="17"/>
      <c r="AR21" s="17"/>
      <c r="AS21" s="17"/>
    </row>
    <row r="22" spans="2:45" ht="15.75" customHeight="1">
      <c r="B22" s="21"/>
      <c r="C22" s="44" t="str">
        <f>C$10</f>
        <v>１、２歳児</v>
      </c>
      <c r="D22" s="28">
        <f>D20</f>
        <v>3</v>
      </c>
      <c r="E22" s="31" t="str">
        <f>E$10</f>
        <v>C</v>
      </c>
      <c r="F22" s="140" t="str">
        <f t="shared" si="0"/>
        <v>3C</v>
      </c>
      <c r="G22" s="32">
        <v>1930</v>
      </c>
      <c r="H22" s="33">
        <v>3</v>
      </c>
      <c r="I22" s="32">
        <v>1690</v>
      </c>
      <c r="J22" s="33">
        <v>3</v>
      </c>
      <c r="K22" s="30">
        <f t="shared" ref="K22:P22" si="21">K$10</f>
        <v>0</v>
      </c>
      <c r="L22" s="45">
        <f t="shared" si="21"/>
        <v>0</v>
      </c>
      <c r="M22" s="30">
        <f t="shared" si="21"/>
        <v>0</v>
      </c>
      <c r="N22" s="45">
        <f t="shared" si="21"/>
        <v>0</v>
      </c>
      <c r="O22" s="30">
        <f t="shared" si="21"/>
        <v>170</v>
      </c>
      <c r="P22" s="45">
        <f t="shared" si="21"/>
        <v>2.7</v>
      </c>
      <c r="Q22" s="30">
        <f>Q20</f>
        <v>210</v>
      </c>
      <c r="R22" s="45">
        <f>R20</f>
        <v>5.8</v>
      </c>
      <c r="S22" s="120">
        <f t="shared" ref="S22:X22" si="22">S20</f>
        <v>0.01</v>
      </c>
      <c r="T22" s="120">
        <f t="shared" si="22"/>
        <v>0.03</v>
      </c>
      <c r="U22" s="120">
        <f t="shared" si="22"/>
        <v>0.04</v>
      </c>
      <c r="V22" s="120">
        <f t="shared" si="22"/>
        <v>0.05</v>
      </c>
      <c r="W22" s="30">
        <f t="shared" si="22"/>
        <v>50</v>
      </c>
      <c r="X22" s="45">
        <f t="shared" si="22"/>
        <v>5.4</v>
      </c>
      <c r="Y22" s="17"/>
      <c r="Z22" s="66" t="s">
        <v>55</v>
      </c>
      <c r="AA22" s="66">
        <v>15</v>
      </c>
      <c r="AB22" s="57">
        <v>8270</v>
      </c>
      <c r="AC22" s="58">
        <v>2.1</v>
      </c>
      <c r="AD22" s="17"/>
      <c r="AE22" s="26" t="s">
        <v>205</v>
      </c>
      <c r="AF22" s="26" t="s">
        <v>206</v>
      </c>
      <c r="AG22" s="32">
        <v>40</v>
      </c>
      <c r="AH22" s="33">
        <v>2.7</v>
      </c>
      <c r="AO22" s="17"/>
      <c r="AP22" s="17"/>
      <c r="AQ22" s="17"/>
      <c r="AR22" s="17"/>
      <c r="AS22" s="17"/>
    </row>
    <row r="23" spans="2:45" ht="15.75" customHeight="1">
      <c r="B23" s="56"/>
      <c r="C23" s="47" t="str">
        <f>C$11</f>
        <v>乳児</v>
      </c>
      <c r="D23" s="38">
        <f>D20</f>
        <v>3</v>
      </c>
      <c r="E23" s="41" t="str">
        <f>E$11</f>
        <v>D</v>
      </c>
      <c r="F23" s="143" t="str">
        <f t="shared" si="0"/>
        <v>3D</v>
      </c>
      <c r="G23" s="35">
        <v>2820</v>
      </c>
      <c r="H23" s="36">
        <v>2.9</v>
      </c>
      <c r="I23" s="35">
        <v>2580</v>
      </c>
      <c r="J23" s="36">
        <v>2.9</v>
      </c>
      <c r="K23" s="40">
        <f t="shared" ref="K23:P23" si="23">K$11</f>
        <v>0</v>
      </c>
      <c r="L23" s="48">
        <f t="shared" si="23"/>
        <v>0</v>
      </c>
      <c r="M23" s="40">
        <f t="shared" si="23"/>
        <v>0</v>
      </c>
      <c r="N23" s="48">
        <f t="shared" si="23"/>
        <v>0</v>
      </c>
      <c r="O23" s="40">
        <f t="shared" si="23"/>
        <v>0</v>
      </c>
      <c r="P23" s="48">
        <f t="shared" si="23"/>
        <v>0</v>
      </c>
      <c r="Q23" s="40">
        <f>Q20</f>
        <v>210</v>
      </c>
      <c r="R23" s="48">
        <f>R20</f>
        <v>5.8</v>
      </c>
      <c r="S23" s="156">
        <f t="shared" ref="S23:X23" si="24">S20</f>
        <v>0.01</v>
      </c>
      <c r="T23" s="156">
        <f t="shared" si="24"/>
        <v>0.03</v>
      </c>
      <c r="U23" s="156">
        <f t="shared" si="24"/>
        <v>0.04</v>
      </c>
      <c r="V23" s="156">
        <f t="shared" si="24"/>
        <v>0.05</v>
      </c>
      <c r="W23" s="40">
        <f t="shared" si="24"/>
        <v>50</v>
      </c>
      <c r="X23" s="48">
        <f t="shared" si="24"/>
        <v>5.4</v>
      </c>
      <c r="Y23" s="17"/>
      <c r="Z23" s="17"/>
      <c r="AA23" s="17"/>
      <c r="AB23" s="17"/>
      <c r="AC23" s="17"/>
      <c r="AD23" s="17"/>
      <c r="AE23" s="26" t="s">
        <v>207</v>
      </c>
      <c r="AF23" s="26" t="s">
        <v>208</v>
      </c>
      <c r="AG23" s="32">
        <v>40</v>
      </c>
      <c r="AH23" s="33">
        <v>2.4</v>
      </c>
      <c r="AO23" s="17"/>
      <c r="AP23" s="17"/>
      <c r="AQ23" s="17"/>
      <c r="AR23" s="17"/>
      <c r="AS23" s="17"/>
    </row>
    <row r="24" spans="2:45" ht="15.75" customHeight="1">
      <c r="B24" s="52" t="s">
        <v>50</v>
      </c>
      <c r="C24" s="42" t="str">
        <f>C$8</f>
        <v>４歳以上児</v>
      </c>
      <c r="D24" s="22">
        <v>4</v>
      </c>
      <c r="E24" s="25" t="str">
        <f>E$8</f>
        <v>A</v>
      </c>
      <c r="F24" s="145" t="str">
        <f>D24&amp;E24</f>
        <v>4A</v>
      </c>
      <c r="G24" s="27">
        <v>1060</v>
      </c>
      <c r="H24" s="43">
        <v>3.1</v>
      </c>
      <c r="I24" s="27">
        <v>860</v>
      </c>
      <c r="J24" s="43">
        <v>3.1</v>
      </c>
      <c r="K24" s="24">
        <f t="shared" ref="K24:P24" si="25">K$8</f>
        <v>0</v>
      </c>
      <c r="L24" s="55">
        <f t="shared" si="25"/>
        <v>0</v>
      </c>
      <c r="M24" s="24">
        <f t="shared" si="25"/>
        <v>30</v>
      </c>
      <c r="N24" s="55">
        <f t="shared" si="25"/>
        <v>3.8</v>
      </c>
      <c r="O24" s="24">
        <f t="shared" si="25"/>
        <v>0</v>
      </c>
      <c r="P24" s="55">
        <f t="shared" si="25"/>
        <v>0</v>
      </c>
      <c r="Q24" s="27">
        <v>170</v>
      </c>
      <c r="R24" s="43">
        <v>6</v>
      </c>
      <c r="S24" s="155">
        <v>0.01</v>
      </c>
      <c r="T24" s="155">
        <v>0.03</v>
      </c>
      <c r="U24" s="155">
        <v>0.04</v>
      </c>
      <c r="V24" s="155">
        <v>0.05</v>
      </c>
      <c r="W24" s="27">
        <v>40</v>
      </c>
      <c r="X24" s="43">
        <v>5.7</v>
      </c>
      <c r="Y24" s="17"/>
      <c r="Z24" s="17"/>
      <c r="AA24" s="17"/>
      <c r="AB24" s="17"/>
      <c r="AC24" s="17"/>
      <c r="AD24" s="17"/>
      <c r="AE24" s="26" t="s">
        <v>209</v>
      </c>
      <c r="AF24" s="26" t="s">
        <v>210</v>
      </c>
      <c r="AG24" s="32">
        <v>30</v>
      </c>
      <c r="AH24" s="33">
        <v>2.8</v>
      </c>
      <c r="AO24" s="17"/>
      <c r="AP24" s="17"/>
      <c r="AQ24" s="17"/>
      <c r="AR24" s="17"/>
      <c r="AS24" s="17"/>
    </row>
    <row r="25" spans="2:45" ht="15.75" customHeight="1">
      <c r="B25" s="21"/>
      <c r="C25" s="44" t="str">
        <f>C$9</f>
        <v>３歳児</v>
      </c>
      <c r="D25" s="28">
        <f>D24</f>
        <v>4</v>
      </c>
      <c r="E25" s="31" t="str">
        <f>E$9</f>
        <v>B</v>
      </c>
      <c r="F25" s="140" t="str">
        <f>D25&amp;E25</f>
        <v>4B</v>
      </c>
      <c r="G25" s="32">
        <v>1140</v>
      </c>
      <c r="H25" s="33">
        <v>3.1</v>
      </c>
      <c r="I25" s="32">
        <v>940</v>
      </c>
      <c r="J25" s="33">
        <v>3.1</v>
      </c>
      <c r="K25" s="30">
        <f t="shared" ref="K25:P25" si="26">K$9</f>
        <v>80</v>
      </c>
      <c r="L25" s="45">
        <f t="shared" si="26"/>
        <v>2.8</v>
      </c>
      <c r="M25" s="30">
        <f t="shared" si="26"/>
        <v>0</v>
      </c>
      <c r="N25" s="45">
        <f t="shared" si="26"/>
        <v>0</v>
      </c>
      <c r="O25" s="30">
        <f t="shared" si="26"/>
        <v>0</v>
      </c>
      <c r="P25" s="45">
        <f t="shared" si="26"/>
        <v>0</v>
      </c>
      <c r="Q25" s="30">
        <f>Q24</f>
        <v>170</v>
      </c>
      <c r="R25" s="45">
        <f>R24</f>
        <v>6</v>
      </c>
      <c r="S25" s="120">
        <f t="shared" ref="S25:X25" si="27">S24</f>
        <v>0.01</v>
      </c>
      <c r="T25" s="120">
        <f t="shared" si="27"/>
        <v>0.03</v>
      </c>
      <c r="U25" s="120">
        <f t="shared" si="27"/>
        <v>0.04</v>
      </c>
      <c r="V25" s="120">
        <f t="shared" si="27"/>
        <v>0.05</v>
      </c>
      <c r="W25" s="30">
        <f t="shared" si="27"/>
        <v>40</v>
      </c>
      <c r="X25" s="45">
        <f t="shared" si="27"/>
        <v>5.7</v>
      </c>
      <c r="Y25" s="17"/>
      <c r="Z25" s="17"/>
      <c r="AA25" s="17"/>
      <c r="AB25" s="17"/>
      <c r="AC25" s="17"/>
      <c r="AD25" s="17"/>
      <c r="AE25" s="26" t="s">
        <v>211</v>
      </c>
      <c r="AF25" s="26" t="s">
        <v>212</v>
      </c>
      <c r="AG25" s="32">
        <v>30</v>
      </c>
      <c r="AH25" s="33">
        <v>2.4</v>
      </c>
      <c r="AO25" s="17"/>
      <c r="AP25" s="17"/>
      <c r="AQ25" s="17"/>
      <c r="AR25" s="17"/>
      <c r="AS25" s="17"/>
    </row>
    <row r="26" spans="2:45" ht="15.75" customHeight="1">
      <c r="B26" s="21"/>
      <c r="C26" s="44" t="str">
        <f>C$10</f>
        <v>１、２歳児</v>
      </c>
      <c r="D26" s="28">
        <f>D24</f>
        <v>4</v>
      </c>
      <c r="E26" s="31" t="str">
        <f>E$10</f>
        <v>C</v>
      </c>
      <c r="F26" s="140" t="str">
        <f>D26&amp;E26</f>
        <v>4C</v>
      </c>
      <c r="G26" s="32">
        <v>1750</v>
      </c>
      <c r="H26" s="33">
        <v>3</v>
      </c>
      <c r="I26" s="32">
        <v>1560</v>
      </c>
      <c r="J26" s="33">
        <v>3</v>
      </c>
      <c r="K26" s="30">
        <f t="shared" ref="K26:P26" si="28">K$10</f>
        <v>0</v>
      </c>
      <c r="L26" s="45">
        <f t="shared" si="28"/>
        <v>0</v>
      </c>
      <c r="M26" s="30">
        <f t="shared" si="28"/>
        <v>0</v>
      </c>
      <c r="N26" s="45">
        <f t="shared" si="28"/>
        <v>0</v>
      </c>
      <c r="O26" s="30">
        <f t="shared" si="28"/>
        <v>170</v>
      </c>
      <c r="P26" s="45">
        <f t="shared" si="28"/>
        <v>2.7</v>
      </c>
      <c r="Q26" s="30">
        <f>Q24</f>
        <v>170</v>
      </c>
      <c r="R26" s="45">
        <f>R24</f>
        <v>6</v>
      </c>
      <c r="S26" s="120">
        <f t="shared" ref="S26:X26" si="29">S24</f>
        <v>0.01</v>
      </c>
      <c r="T26" s="120">
        <f t="shared" si="29"/>
        <v>0.03</v>
      </c>
      <c r="U26" s="120">
        <f t="shared" si="29"/>
        <v>0.04</v>
      </c>
      <c r="V26" s="120">
        <f t="shared" si="29"/>
        <v>0.05</v>
      </c>
      <c r="W26" s="30">
        <f t="shared" si="29"/>
        <v>40</v>
      </c>
      <c r="X26" s="45">
        <f t="shared" si="29"/>
        <v>5.7</v>
      </c>
      <c r="Y26" s="17"/>
      <c r="Z26" s="17"/>
      <c r="AA26" s="17"/>
      <c r="AB26" s="17"/>
      <c r="AC26" s="17"/>
      <c r="AD26" s="17"/>
      <c r="AE26" s="26" t="s">
        <v>213</v>
      </c>
      <c r="AF26" s="26" t="s">
        <v>214</v>
      </c>
      <c r="AG26" s="32">
        <v>20</v>
      </c>
      <c r="AH26" s="33">
        <v>2.1</v>
      </c>
      <c r="AO26" s="17"/>
      <c r="AP26" s="17"/>
      <c r="AQ26" s="17"/>
      <c r="AR26" s="17"/>
      <c r="AS26" s="17"/>
    </row>
    <row r="27" spans="2:45" ht="15.75" customHeight="1">
      <c r="B27" s="56"/>
      <c r="C27" s="47" t="str">
        <f>C$11</f>
        <v>乳児</v>
      </c>
      <c r="D27" s="38">
        <f>D24</f>
        <v>4</v>
      </c>
      <c r="E27" s="41" t="str">
        <f>E$11</f>
        <v>D</v>
      </c>
      <c r="F27" s="143" t="str">
        <f>D27&amp;E27</f>
        <v>4D</v>
      </c>
      <c r="G27" s="35">
        <v>2640</v>
      </c>
      <c r="H27" s="36">
        <v>2.9</v>
      </c>
      <c r="I27" s="35">
        <v>2450</v>
      </c>
      <c r="J27" s="36">
        <v>2.9</v>
      </c>
      <c r="K27" s="40">
        <f t="shared" ref="K27:P27" si="30">K$11</f>
        <v>0</v>
      </c>
      <c r="L27" s="48">
        <f t="shared" si="30"/>
        <v>0</v>
      </c>
      <c r="M27" s="40">
        <f t="shared" si="30"/>
        <v>0</v>
      </c>
      <c r="N27" s="48">
        <f t="shared" si="30"/>
        <v>0</v>
      </c>
      <c r="O27" s="40">
        <f t="shared" si="30"/>
        <v>0</v>
      </c>
      <c r="P27" s="48">
        <f t="shared" si="30"/>
        <v>0</v>
      </c>
      <c r="Q27" s="40">
        <f>Q24</f>
        <v>170</v>
      </c>
      <c r="R27" s="48">
        <f>R24</f>
        <v>6</v>
      </c>
      <c r="S27" s="156">
        <f t="shared" ref="S27:X27" si="31">S24</f>
        <v>0.01</v>
      </c>
      <c r="T27" s="156">
        <f t="shared" si="31"/>
        <v>0.03</v>
      </c>
      <c r="U27" s="156">
        <f t="shared" si="31"/>
        <v>0.04</v>
      </c>
      <c r="V27" s="156">
        <f t="shared" si="31"/>
        <v>0.05</v>
      </c>
      <c r="W27" s="40">
        <f t="shared" si="31"/>
        <v>40</v>
      </c>
      <c r="X27" s="48">
        <f t="shared" si="31"/>
        <v>5.7</v>
      </c>
      <c r="Y27" s="17"/>
      <c r="Z27" s="17"/>
      <c r="AA27" s="17"/>
      <c r="AB27" s="17"/>
      <c r="AC27" s="17"/>
      <c r="AD27" s="17"/>
      <c r="AE27" s="26" t="s">
        <v>215</v>
      </c>
      <c r="AF27" s="26" t="s">
        <v>216</v>
      </c>
      <c r="AG27" s="32">
        <v>20</v>
      </c>
      <c r="AH27" s="33">
        <v>2.7</v>
      </c>
      <c r="AO27" s="17"/>
      <c r="AP27" s="17"/>
      <c r="AQ27" s="17"/>
      <c r="AR27" s="17"/>
      <c r="AS27" s="17"/>
    </row>
    <row r="28" spans="2:45" ht="15.75" customHeight="1">
      <c r="B28" s="52" t="s">
        <v>56</v>
      </c>
      <c r="C28" s="42" t="str">
        <f>C$8</f>
        <v>４歳以上児</v>
      </c>
      <c r="D28" s="22">
        <v>5</v>
      </c>
      <c r="E28" s="25" t="str">
        <f>E$8</f>
        <v>A</v>
      </c>
      <c r="F28" s="145" t="str">
        <f t="shared" si="0"/>
        <v>5A</v>
      </c>
      <c r="G28" s="27">
        <v>930</v>
      </c>
      <c r="H28" s="43">
        <v>3</v>
      </c>
      <c r="I28" s="27">
        <v>760</v>
      </c>
      <c r="J28" s="43">
        <v>3</v>
      </c>
      <c r="K28" s="24">
        <f t="shared" ref="K28:P28" si="32">K$8</f>
        <v>0</v>
      </c>
      <c r="L28" s="55">
        <f t="shared" si="32"/>
        <v>0</v>
      </c>
      <c r="M28" s="24">
        <f t="shared" si="32"/>
        <v>30</v>
      </c>
      <c r="N28" s="55">
        <f t="shared" si="32"/>
        <v>3.8</v>
      </c>
      <c r="O28" s="24">
        <f t="shared" si="32"/>
        <v>0</v>
      </c>
      <c r="P28" s="55">
        <f t="shared" si="32"/>
        <v>0</v>
      </c>
      <c r="Q28" s="27">
        <v>150</v>
      </c>
      <c r="R28" s="43">
        <v>5.8</v>
      </c>
      <c r="S28" s="155">
        <v>0.01</v>
      </c>
      <c r="T28" s="155">
        <v>0.03</v>
      </c>
      <c r="U28" s="155">
        <v>0.04</v>
      </c>
      <c r="V28" s="155">
        <v>0.05</v>
      </c>
      <c r="W28" s="27">
        <v>40</v>
      </c>
      <c r="X28" s="43">
        <v>4.9000000000000004</v>
      </c>
      <c r="Y28" s="17"/>
      <c r="Z28" s="17"/>
      <c r="AA28" s="17"/>
      <c r="AB28" s="17"/>
      <c r="AC28" s="17"/>
      <c r="AD28" s="17"/>
      <c r="AE28" s="26" t="s">
        <v>217</v>
      </c>
      <c r="AF28" s="26" t="s">
        <v>218</v>
      </c>
      <c r="AG28" s="32">
        <v>20</v>
      </c>
      <c r="AH28" s="33">
        <v>2.4</v>
      </c>
      <c r="AO28" s="17"/>
      <c r="AP28" s="17"/>
      <c r="AQ28" s="17"/>
      <c r="AR28" s="17"/>
      <c r="AS28" s="17"/>
    </row>
    <row r="29" spans="2:45" ht="15.75" customHeight="1">
      <c r="B29" s="21"/>
      <c r="C29" s="44" t="str">
        <f>C$9</f>
        <v>３歳児</v>
      </c>
      <c r="D29" s="28">
        <f>D28</f>
        <v>5</v>
      </c>
      <c r="E29" s="31" t="str">
        <f>E$9</f>
        <v>B</v>
      </c>
      <c r="F29" s="140" t="str">
        <f t="shared" si="0"/>
        <v>5B</v>
      </c>
      <c r="G29" s="32">
        <v>1010</v>
      </c>
      <c r="H29" s="33">
        <v>3</v>
      </c>
      <c r="I29" s="32">
        <v>840</v>
      </c>
      <c r="J29" s="33">
        <v>3</v>
      </c>
      <c r="K29" s="30">
        <f t="shared" ref="K29:P29" si="33">K$9</f>
        <v>80</v>
      </c>
      <c r="L29" s="45">
        <f t="shared" si="33"/>
        <v>2.8</v>
      </c>
      <c r="M29" s="30">
        <f t="shared" si="33"/>
        <v>0</v>
      </c>
      <c r="N29" s="45">
        <f t="shared" si="33"/>
        <v>0</v>
      </c>
      <c r="O29" s="30">
        <f t="shared" si="33"/>
        <v>0</v>
      </c>
      <c r="P29" s="45">
        <f t="shared" si="33"/>
        <v>0</v>
      </c>
      <c r="Q29" s="30">
        <f>Q28</f>
        <v>150</v>
      </c>
      <c r="R29" s="45">
        <f>R28</f>
        <v>5.8</v>
      </c>
      <c r="S29" s="120">
        <f t="shared" ref="S29:X29" si="34">S28</f>
        <v>0.01</v>
      </c>
      <c r="T29" s="120">
        <f t="shared" si="34"/>
        <v>0.03</v>
      </c>
      <c r="U29" s="120">
        <f t="shared" si="34"/>
        <v>0.04</v>
      </c>
      <c r="V29" s="120">
        <f t="shared" si="34"/>
        <v>0.05</v>
      </c>
      <c r="W29" s="30">
        <f t="shared" si="34"/>
        <v>40</v>
      </c>
      <c r="X29" s="45">
        <f t="shared" si="34"/>
        <v>4.9000000000000004</v>
      </c>
      <c r="Y29" s="17"/>
      <c r="AA29" s="17"/>
      <c r="AB29" s="17"/>
      <c r="AC29" s="17"/>
      <c r="AD29" s="17"/>
      <c r="AE29" s="26" t="s">
        <v>219</v>
      </c>
      <c r="AF29" s="26" t="s">
        <v>220</v>
      </c>
      <c r="AG29" s="32">
        <v>10</v>
      </c>
      <c r="AH29" s="33">
        <v>4.3</v>
      </c>
      <c r="AO29" s="17"/>
      <c r="AP29" s="17"/>
      <c r="AQ29" s="17"/>
      <c r="AR29" s="17"/>
      <c r="AS29" s="17"/>
    </row>
    <row r="30" spans="2:45" ht="15.75" customHeight="1">
      <c r="B30" s="21"/>
      <c r="C30" s="44" t="str">
        <f>C$10</f>
        <v>１、２歳児</v>
      </c>
      <c r="D30" s="28">
        <f>D28</f>
        <v>5</v>
      </c>
      <c r="E30" s="31" t="str">
        <f>E$10</f>
        <v>C</v>
      </c>
      <c r="F30" s="140" t="str">
        <f t="shared" si="0"/>
        <v>5C</v>
      </c>
      <c r="G30" s="32">
        <v>1630</v>
      </c>
      <c r="H30" s="33">
        <v>2.9</v>
      </c>
      <c r="I30" s="32">
        <v>1460</v>
      </c>
      <c r="J30" s="33">
        <v>2.9</v>
      </c>
      <c r="K30" s="30">
        <f t="shared" ref="K30:P30" si="35">K$10</f>
        <v>0</v>
      </c>
      <c r="L30" s="45">
        <f t="shared" si="35"/>
        <v>0</v>
      </c>
      <c r="M30" s="30">
        <f t="shared" si="35"/>
        <v>0</v>
      </c>
      <c r="N30" s="45">
        <f t="shared" si="35"/>
        <v>0</v>
      </c>
      <c r="O30" s="30">
        <f t="shared" si="35"/>
        <v>170</v>
      </c>
      <c r="P30" s="45">
        <f t="shared" si="35"/>
        <v>2.7</v>
      </c>
      <c r="Q30" s="30">
        <f>Q28</f>
        <v>150</v>
      </c>
      <c r="R30" s="45">
        <f>R28</f>
        <v>5.8</v>
      </c>
      <c r="S30" s="120">
        <f t="shared" ref="S30:X30" si="36">S28</f>
        <v>0.01</v>
      </c>
      <c r="T30" s="120">
        <f t="shared" si="36"/>
        <v>0.03</v>
      </c>
      <c r="U30" s="120">
        <f t="shared" si="36"/>
        <v>0.04</v>
      </c>
      <c r="V30" s="120">
        <f t="shared" si="36"/>
        <v>0.05</v>
      </c>
      <c r="W30" s="30">
        <f t="shared" si="36"/>
        <v>40</v>
      </c>
      <c r="X30" s="45">
        <f t="shared" si="36"/>
        <v>4.9000000000000004</v>
      </c>
      <c r="Y30" s="17"/>
      <c r="AA30" s="17"/>
      <c r="AB30" s="17"/>
      <c r="AC30" s="17"/>
      <c r="AD30" s="17"/>
      <c r="AE30" s="34" t="s">
        <v>221</v>
      </c>
      <c r="AF30" s="66" t="s">
        <v>222</v>
      </c>
      <c r="AG30" s="57">
        <v>10</v>
      </c>
      <c r="AH30" s="58">
        <v>3.9</v>
      </c>
      <c r="AO30" s="17"/>
      <c r="AP30" s="17"/>
      <c r="AQ30" s="17"/>
      <c r="AR30" s="17"/>
      <c r="AS30" s="17"/>
    </row>
    <row r="31" spans="2:45" ht="15.75" customHeight="1">
      <c r="B31" s="56"/>
      <c r="C31" s="47" t="str">
        <f>C$11</f>
        <v>乳児</v>
      </c>
      <c r="D31" s="38">
        <f>D28</f>
        <v>5</v>
      </c>
      <c r="E31" s="41" t="str">
        <f>E$11</f>
        <v>D</v>
      </c>
      <c r="F31" s="143" t="str">
        <f t="shared" si="0"/>
        <v>5D</v>
      </c>
      <c r="G31" s="35">
        <v>2520</v>
      </c>
      <c r="H31" s="36">
        <v>2.9</v>
      </c>
      <c r="I31" s="35">
        <v>2350</v>
      </c>
      <c r="J31" s="36">
        <v>2.9</v>
      </c>
      <c r="K31" s="40">
        <f t="shared" ref="K31:P31" si="37">K$11</f>
        <v>0</v>
      </c>
      <c r="L31" s="48">
        <f t="shared" si="37"/>
        <v>0</v>
      </c>
      <c r="M31" s="40">
        <f t="shared" si="37"/>
        <v>0</v>
      </c>
      <c r="N31" s="48">
        <f t="shared" si="37"/>
        <v>0</v>
      </c>
      <c r="O31" s="40">
        <f t="shared" si="37"/>
        <v>0</v>
      </c>
      <c r="P31" s="48">
        <f t="shared" si="37"/>
        <v>0</v>
      </c>
      <c r="Q31" s="40">
        <f>Q28</f>
        <v>150</v>
      </c>
      <c r="R31" s="48">
        <f>R28</f>
        <v>5.8</v>
      </c>
      <c r="S31" s="156">
        <f t="shared" ref="S31:X31" si="38">S28</f>
        <v>0.01</v>
      </c>
      <c r="T31" s="156">
        <f t="shared" si="38"/>
        <v>0.03</v>
      </c>
      <c r="U31" s="156">
        <f t="shared" si="38"/>
        <v>0.04</v>
      </c>
      <c r="V31" s="156">
        <f t="shared" si="38"/>
        <v>0.05</v>
      </c>
      <c r="W31" s="40">
        <f t="shared" si="38"/>
        <v>40</v>
      </c>
      <c r="X31" s="48">
        <f t="shared" si="38"/>
        <v>4.9000000000000004</v>
      </c>
      <c r="Y31" s="17"/>
      <c r="AA31" s="17"/>
      <c r="AB31" s="17"/>
      <c r="AC31" s="17"/>
      <c r="AD31" s="17"/>
      <c r="AE31" s="17"/>
      <c r="AF31" s="17"/>
      <c r="AG31" s="17"/>
      <c r="AH31" s="17"/>
      <c r="AO31" s="17"/>
      <c r="AP31" s="17"/>
      <c r="AQ31" s="17"/>
      <c r="AR31" s="17"/>
      <c r="AS31" s="17"/>
    </row>
    <row r="32" spans="2:45" ht="15.75" customHeight="1">
      <c r="B32" s="52" t="s">
        <v>57</v>
      </c>
      <c r="C32" s="42" t="str">
        <f>C$8</f>
        <v>４歳以上児</v>
      </c>
      <c r="D32" s="22">
        <v>6</v>
      </c>
      <c r="E32" s="25" t="str">
        <f>E$8</f>
        <v>A</v>
      </c>
      <c r="F32" s="145" t="str">
        <f>D32&amp;E32</f>
        <v>6A</v>
      </c>
      <c r="G32" s="27">
        <v>850</v>
      </c>
      <c r="H32" s="43">
        <v>3</v>
      </c>
      <c r="I32" s="27">
        <v>700</v>
      </c>
      <c r="J32" s="43">
        <v>3</v>
      </c>
      <c r="K32" s="24">
        <f t="shared" ref="K32:P32" si="39">K$8</f>
        <v>0</v>
      </c>
      <c r="L32" s="55">
        <f t="shared" si="39"/>
        <v>0</v>
      </c>
      <c r="M32" s="24">
        <f t="shared" si="39"/>
        <v>30</v>
      </c>
      <c r="N32" s="55">
        <f t="shared" si="39"/>
        <v>3.8</v>
      </c>
      <c r="O32" s="24">
        <f t="shared" si="39"/>
        <v>0</v>
      </c>
      <c r="P32" s="55">
        <f t="shared" si="39"/>
        <v>0</v>
      </c>
      <c r="Q32" s="27">
        <v>130</v>
      </c>
      <c r="R32" s="43">
        <v>5.9</v>
      </c>
      <c r="S32" s="155">
        <v>0.01</v>
      </c>
      <c r="T32" s="155">
        <v>0.03</v>
      </c>
      <c r="U32" s="155">
        <v>0.04</v>
      </c>
      <c r="V32" s="155">
        <v>0.05</v>
      </c>
      <c r="W32" s="27">
        <v>30</v>
      </c>
      <c r="X32" s="43">
        <v>5.7</v>
      </c>
      <c r="Y32" s="17"/>
      <c r="Z32" s="17"/>
      <c r="AA32" s="17"/>
      <c r="AB32" s="17"/>
      <c r="AC32" s="17"/>
      <c r="AD32" s="17"/>
      <c r="AE32" s="17"/>
      <c r="AF32" s="17"/>
      <c r="AG32" s="17"/>
      <c r="AH32" s="17"/>
      <c r="AO32" s="17"/>
      <c r="AP32" s="17"/>
      <c r="AQ32" s="17"/>
      <c r="AR32" s="17"/>
      <c r="AS32" s="17"/>
    </row>
    <row r="33" spans="2:45" ht="15.75" customHeight="1">
      <c r="B33" s="21"/>
      <c r="C33" s="44" t="str">
        <f>C$9</f>
        <v>３歳児</v>
      </c>
      <c r="D33" s="28">
        <f>D32</f>
        <v>6</v>
      </c>
      <c r="E33" s="31" t="str">
        <f>E$9</f>
        <v>B</v>
      </c>
      <c r="F33" s="140" t="str">
        <f>D33&amp;E33</f>
        <v>6B</v>
      </c>
      <c r="G33" s="32">
        <v>930</v>
      </c>
      <c r="H33" s="33">
        <v>3</v>
      </c>
      <c r="I33" s="32">
        <v>780</v>
      </c>
      <c r="J33" s="33">
        <v>3</v>
      </c>
      <c r="K33" s="30">
        <f t="shared" ref="K33:P33" si="40">K$9</f>
        <v>80</v>
      </c>
      <c r="L33" s="45">
        <f t="shared" si="40"/>
        <v>2.8</v>
      </c>
      <c r="M33" s="30">
        <f t="shared" si="40"/>
        <v>0</v>
      </c>
      <c r="N33" s="45">
        <f t="shared" si="40"/>
        <v>0</v>
      </c>
      <c r="O33" s="30">
        <f t="shared" si="40"/>
        <v>0</v>
      </c>
      <c r="P33" s="45">
        <f t="shared" si="40"/>
        <v>0</v>
      </c>
      <c r="Q33" s="30">
        <f>Q32</f>
        <v>130</v>
      </c>
      <c r="R33" s="45">
        <f>R32</f>
        <v>5.9</v>
      </c>
      <c r="S33" s="120">
        <f t="shared" ref="S33:X33" si="41">S32</f>
        <v>0.01</v>
      </c>
      <c r="T33" s="120">
        <f t="shared" si="41"/>
        <v>0.03</v>
      </c>
      <c r="U33" s="120">
        <f t="shared" si="41"/>
        <v>0.04</v>
      </c>
      <c r="V33" s="120">
        <f t="shared" si="41"/>
        <v>0.05</v>
      </c>
      <c r="W33" s="30">
        <f t="shared" si="41"/>
        <v>30</v>
      </c>
      <c r="X33" s="45">
        <f t="shared" si="41"/>
        <v>5.7</v>
      </c>
      <c r="Y33" s="17"/>
      <c r="AA33" s="17"/>
      <c r="AB33" s="17"/>
      <c r="AC33" s="17"/>
      <c r="AD33" s="17"/>
      <c r="AE33" s="17"/>
      <c r="AF33" s="17"/>
      <c r="AG33" s="17"/>
      <c r="AH33" s="17"/>
      <c r="AO33" s="17"/>
      <c r="AP33" s="17"/>
      <c r="AQ33" s="17"/>
      <c r="AR33" s="17"/>
      <c r="AS33" s="17"/>
    </row>
    <row r="34" spans="2:45" ht="15.75" customHeight="1">
      <c r="B34" s="21"/>
      <c r="C34" s="44" t="str">
        <f>C$10</f>
        <v>１、２歳児</v>
      </c>
      <c r="D34" s="28">
        <f>D32</f>
        <v>6</v>
      </c>
      <c r="E34" s="31" t="str">
        <f>E$10</f>
        <v>C</v>
      </c>
      <c r="F34" s="140" t="str">
        <f>D34&amp;E34</f>
        <v>6C</v>
      </c>
      <c r="G34" s="32">
        <v>1540</v>
      </c>
      <c r="H34" s="33">
        <v>2.9</v>
      </c>
      <c r="I34" s="32">
        <v>1390</v>
      </c>
      <c r="J34" s="33">
        <v>2.9</v>
      </c>
      <c r="K34" s="30">
        <f t="shared" ref="K34:P34" si="42">K$10</f>
        <v>0</v>
      </c>
      <c r="L34" s="45">
        <f t="shared" si="42"/>
        <v>0</v>
      </c>
      <c r="M34" s="30">
        <f t="shared" si="42"/>
        <v>0</v>
      </c>
      <c r="N34" s="45">
        <f t="shared" si="42"/>
        <v>0</v>
      </c>
      <c r="O34" s="30">
        <f t="shared" si="42"/>
        <v>170</v>
      </c>
      <c r="P34" s="45">
        <f t="shared" si="42"/>
        <v>2.7</v>
      </c>
      <c r="Q34" s="30">
        <f>Q32</f>
        <v>130</v>
      </c>
      <c r="R34" s="45">
        <f>R32</f>
        <v>5.9</v>
      </c>
      <c r="S34" s="120">
        <f t="shared" ref="S34:X34" si="43">S32</f>
        <v>0.01</v>
      </c>
      <c r="T34" s="120">
        <f t="shared" si="43"/>
        <v>0.03</v>
      </c>
      <c r="U34" s="120">
        <f t="shared" si="43"/>
        <v>0.04</v>
      </c>
      <c r="V34" s="120">
        <f t="shared" si="43"/>
        <v>0.05</v>
      </c>
      <c r="W34" s="30">
        <f t="shared" si="43"/>
        <v>30</v>
      </c>
      <c r="X34" s="45">
        <f t="shared" si="43"/>
        <v>5.7</v>
      </c>
      <c r="Y34" s="17"/>
      <c r="Z34" s="2" t="s">
        <v>263</v>
      </c>
      <c r="AA34" s="17"/>
      <c r="AB34" s="17"/>
      <c r="AC34" s="17"/>
      <c r="AD34" s="17"/>
      <c r="AE34" s="17"/>
      <c r="AF34" s="17"/>
      <c r="AG34" s="17"/>
      <c r="AH34" s="17"/>
      <c r="AO34" s="17"/>
      <c r="AP34" s="17"/>
      <c r="AQ34" s="17"/>
      <c r="AR34" s="17"/>
      <c r="AS34" s="17"/>
    </row>
    <row r="35" spans="2:45" ht="15.75" customHeight="1">
      <c r="B35" s="56"/>
      <c r="C35" s="47" t="str">
        <f>C$11</f>
        <v>乳児</v>
      </c>
      <c r="D35" s="38">
        <f>D32</f>
        <v>6</v>
      </c>
      <c r="E35" s="41" t="str">
        <f>E$11</f>
        <v>D</v>
      </c>
      <c r="F35" s="143" t="str">
        <f>D35&amp;E35</f>
        <v>6D</v>
      </c>
      <c r="G35" s="35">
        <v>2430</v>
      </c>
      <c r="H35" s="36">
        <v>2.9</v>
      </c>
      <c r="I35" s="35">
        <v>2280</v>
      </c>
      <c r="J35" s="36">
        <v>2.9</v>
      </c>
      <c r="K35" s="40">
        <f t="shared" ref="K35:P35" si="44">K$11</f>
        <v>0</v>
      </c>
      <c r="L35" s="48">
        <f t="shared" si="44"/>
        <v>0</v>
      </c>
      <c r="M35" s="40">
        <f t="shared" si="44"/>
        <v>0</v>
      </c>
      <c r="N35" s="48">
        <f t="shared" si="44"/>
        <v>0</v>
      </c>
      <c r="O35" s="40">
        <f t="shared" si="44"/>
        <v>0</v>
      </c>
      <c r="P35" s="48">
        <f t="shared" si="44"/>
        <v>0</v>
      </c>
      <c r="Q35" s="40">
        <f>Q32</f>
        <v>130</v>
      </c>
      <c r="R35" s="48">
        <f>R32</f>
        <v>5.9</v>
      </c>
      <c r="S35" s="156">
        <f t="shared" ref="S35:X35" si="45">S32</f>
        <v>0.01</v>
      </c>
      <c r="T35" s="156">
        <f t="shared" si="45"/>
        <v>0.03</v>
      </c>
      <c r="U35" s="156">
        <f t="shared" si="45"/>
        <v>0.04</v>
      </c>
      <c r="V35" s="156">
        <f t="shared" si="45"/>
        <v>0.05</v>
      </c>
      <c r="W35" s="40">
        <f t="shared" si="45"/>
        <v>30</v>
      </c>
      <c r="X35" s="48">
        <f t="shared" si="45"/>
        <v>5.7</v>
      </c>
      <c r="Y35" s="17"/>
      <c r="AA35" s="17"/>
      <c r="AB35" s="17"/>
      <c r="AC35" s="17"/>
      <c r="AD35" s="17"/>
      <c r="AE35" s="17"/>
      <c r="AF35" s="17"/>
      <c r="AG35" s="17"/>
      <c r="AH35" s="17"/>
      <c r="AO35" s="17"/>
      <c r="AP35" s="17"/>
      <c r="AQ35" s="17"/>
      <c r="AR35" s="17"/>
      <c r="AS35" s="17"/>
    </row>
    <row r="36" spans="2:45" ht="15.75" customHeight="1">
      <c r="B36" s="52" t="s">
        <v>58</v>
      </c>
      <c r="C36" s="42" t="str">
        <f>C$8</f>
        <v>４歳以上児</v>
      </c>
      <c r="D36" s="22">
        <v>7</v>
      </c>
      <c r="E36" s="25" t="str">
        <f>E$8</f>
        <v>A</v>
      </c>
      <c r="F36" s="145" t="str">
        <f t="shared" si="0"/>
        <v>7A</v>
      </c>
      <c r="G36" s="27">
        <v>860</v>
      </c>
      <c r="H36" s="43">
        <v>3</v>
      </c>
      <c r="I36" s="27">
        <v>720</v>
      </c>
      <c r="J36" s="43">
        <v>2.9</v>
      </c>
      <c r="K36" s="24">
        <f t="shared" ref="K36:P36" si="46">K$8</f>
        <v>0</v>
      </c>
      <c r="L36" s="55">
        <f t="shared" si="46"/>
        <v>0</v>
      </c>
      <c r="M36" s="24">
        <f t="shared" si="46"/>
        <v>30</v>
      </c>
      <c r="N36" s="55">
        <f t="shared" si="46"/>
        <v>3.8</v>
      </c>
      <c r="O36" s="24">
        <f t="shared" si="46"/>
        <v>0</v>
      </c>
      <c r="P36" s="55">
        <f t="shared" si="46"/>
        <v>0</v>
      </c>
      <c r="Q36" s="27">
        <v>110</v>
      </c>
      <c r="R36" s="43">
        <v>6.2</v>
      </c>
      <c r="S36" s="155">
        <v>0.01</v>
      </c>
      <c r="T36" s="155">
        <v>0.03</v>
      </c>
      <c r="U36" s="155">
        <v>0.04</v>
      </c>
      <c r="V36" s="155">
        <v>0.05</v>
      </c>
      <c r="W36" s="27">
        <v>30</v>
      </c>
      <c r="X36" s="43">
        <v>5</v>
      </c>
      <c r="Y36" s="17"/>
      <c r="Z36" s="17"/>
      <c r="AA36" s="17"/>
      <c r="AB36" s="17"/>
      <c r="AC36" s="17"/>
      <c r="AD36" s="17"/>
      <c r="AE36" s="17"/>
      <c r="AF36" s="17"/>
      <c r="AG36" s="17"/>
      <c r="AH36" s="17"/>
      <c r="AO36" s="17"/>
      <c r="AP36" s="17"/>
      <c r="AQ36" s="17"/>
      <c r="AR36" s="17"/>
      <c r="AS36" s="17"/>
    </row>
    <row r="37" spans="2:45" ht="15.75" customHeight="1">
      <c r="B37" s="21"/>
      <c r="C37" s="44" t="str">
        <f>C$9</f>
        <v>３歳児</v>
      </c>
      <c r="D37" s="28">
        <f>D36</f>
        <v>7</v>
      </c>
      <c r="E37" s="31" t="str">
        <f>E$9</f>
        <v>B</v>
      </c>
      <c r="F37" s="140" t="str">
        <f t="shared" si="0"/>
        <v>7B</v>
      </c>
      <c r="G37" s="32">
        <v>940</v>
      </c>
      <c r="H37" s="33">
        <v>2.9</v>
      </c>
      <c r="I37" s="32">
        <v>800</v>
      </c>
      <c r="J37" s="33">
        <v>2.9</v>
      </c>
      <c r="K37" s="30">
        <f t="shared" ref="K37:P37" si="47">K$9</f>
        <v>80</v>
      </c>
      <c r="L37" s="45">
        <f t="shared" si="47"/>
        <v>2.8</v>
      </c>
      <c r="M37" s="30">
        <f t="shared" si="47"/>
        <v>0</v>
      </c>
      <c r="N37" s="45">
        <f t="shared" si="47"/>
        <v>0</v>
      </c>
      <c r="O37" s="30">
        <f t="shared" si="47"/>
        <v>0</v>
      </c>
      <c r="P37" s="45">
        <f t="shared" si="47"/>
        <v>0</v>
      </c>
      <c r="Q37" s="30">
        <f>Q36</f>
        <v>110</v>
      </c>
      <c r="R37" s="45">
        <f>R36</f>
        <v>6.2</v>
      </c>
      <c r="S37" s="120">
        <f t="shared" ref="S37:X37" si="48">S36</f>
        <v>0.01</v>
      </c>
      <c r="T37" s="120">
        <f t="shared" si="48"/>
        <v>0.03</v>
      </c>
      <c r="U37" s="120">
        <f t="shared" si="48"/>
        <v>0.04</v>
      </c>
      <c r="V37" s="120">
        <f t="shared" si="48"/>
        <v>0.05</v>
      </c>
      <c r="W37" s="30">
        <f t="shared" si="48"/>
        <v>30</v>
      </c>
      <c r="X37" s="45">
        <f t="shared" si="48"/>
        <v>5</v>
      </c>
      <c r="Y37" s="17"/>
      <c r="AA37" s="17"/>
      <c r="AB37" s="17"/>
      <c r="AC37" s="17"/>
      <c r="AD37" s="17"/>
      <c r="AE37" s="17"/>
      <c r="AF37" s="17"/>
      <c r="AG37" s="17"/>
      <c r="AH37" s="17"/>
      <c r="AO37" s="17"/>
      <c r="AP37" s="17"/>
      <c r="AQ37" s="17"/>
      <c r="AR37" s="17"/>
      <c r="AS37" s="17"/>
    </row>
    <row r="38" spans="2:45" ht="15.75" customHeight="1">
      <c r="B38" s="21"/>
      <c r="C38" s="44" t="str">
        <f>C$10</f>
        <v>１、２歳児</v>
      </c>
      <c r="D38" s="28">
        <f>D36</f>
        <v>7</v>
      </c>
      <c r="E38" s="31" t="str">
        <f>E$10</f>
        <v>C</v>
      </c>
      <c r="F38" s="140" t="str">
        <f t="shared" si="0"/>
        <v>7C</v>
      </c>
      <c r="G38" s="32">
        <v>1550</v>
      </c>
      <c r="H38" s="33">
        <v>2.9</v>
      </c>
      <c r="I38" s="32">
        <v>1420</v>
      </c>
      <c r="J38" s="33">
        <v>2.8</v>
      </c>
      <c r="K38" s="30">
        <f t="shared" ref="K38:P38" si="49">K$10</f>
        <v>0</v>
      </c>
      <c r="L38" s="45">
        <f t="shared" si="49"/>
        <v>0</v>
      </c>
      <c r="M38" s="30">
        <f t="shared" si="49"/>
        <v>0</v>
      </c>
      <c r="N38" s="45">
        <f t="shared" si="49"/>
        <v>0</v>
      </c>
      <c r="O38" s="30">
        <f t="shared" si="49"/>
        <v>170</v>
      </c>
      <c r="P38" s="45">
        <f t="shared" si="49"/>
        <v>2.7</v>
      </c>
      <c r="Q38" s="30">
        <f>Q36</f>
        <v>110</v>
      </c>
      <c r="R38" s="45">
        <f>R36</f>
        <v>6.2</v>
      </c>
      <c r="S38" s="120">
        <f t="shared" ref="S38:X38" si="50">S36</f>
        <v>0.01</v>
      </c>
      <c r="T38" s="120">
        <f t="shared" si="50"/>
        <v>0.03</v>
      </c>
      <c r="U38" s="120">
        <f t="shared" si="50"/>
        <v>0.04</v>
      </c>
      <c r="V38" s="120">
        <f t="shared" si="50"/>
        <v>0.05</v>
      </c>
      <c r="W38" s="30">
        <f t="shared" si="50"/>
        <v>30</v>
      </c>
      <c r="X38" s="45">
        <f t="shared" si="50"/>
        <v>5</v>
      </c>
      <c r="Y38" s="17"/>
      <c r="AA38" s="17"/>
      <c r="AB38" s="17"/>
      <c r="AC38" s="17"/>
      <c r="AD38" s="17"/>
      <c r="AE38" s="17"/>
      <c r="AF38" s="17"/>
      <c r="AG38" s="17"/>
      <c r="AH38" s="17"/>
      <c r="AO38" s="17"/>
      <c r="AP38" s="17"/>
      <c r="AQ38" s="17"/>
      <c r="AR38" s="17"/>
      <c r="AS38" s="17"/>
    </row>
    <row r="39" spans="2:45" ht="15.75" customHeight="1">
      <c r="B39" s="56"/>
      <c r="C39" s="47" t="str">
        <f>C$11</f>
        <v>乳児</v>
      </c>
      <c r="D39" s="38">
        <f>D36</f>
        <v>7</v>
      </c>
      <c r="E39" s="41" t="str">
        <f>E$11</f>
        <v>D</v>
      </c>
      <c r="F39" s="143" t="str">
        <f t="shared" si="0"/>
        <v>7D</v>
      </c>
      <c r="G39" s="35">
        <v>2440</v>
      </c>
      <c r="H39" s="36">
        <v>2.9</v>
      </c>
      <c r="I39" s="35">
        <v>2310</v>
      </c>
      <c r="J39" s="36">
        <v>2.8</v>
      </c>
      <c r="K39" s="40">
        <f t="shared" ref="K39:P39" si="51">K$11</f>
        <v>0</v>
      </c>
      <c r="L39" s="48">
        <f t="shared" si="51"/>
        <v>0</v>
      </c>
      <c r="M39" s="40">
        <f t="shared" si="51"/>
        <v>0</v>
      </c>
      <c r="N39" s="48">
        <f t="shared" si="51"/>
        <v>0</v>
      </c>
      <c r="O39" s="40">
        <f t="shared" si="51"/>
        <v>0</v>
      </c>
      <c r="P39" s="48">
        <f t="shared" si="51"/>
        <v>0</v>
      </c>
      <c r="Q39" s="40">
        <f>Q36</f>
        <v>110</v>
      </c>
      <c r="R39" s="48">
        <f>R36</f>
        <v>6.2</v>
      </c>
      <c r="S39" s="156">
        <f t="shared" ref="S39:X39" si="52">S36</f>
        <v>0.01</v>
      </c>
      <c r="T39" s="156">
        <f t="shared" si="52"/>
        <v>0.03</v>
      </c>
      <c r="U39" s="156">
        <f t="shared" si="52"/>
        <v>0.04</v>
      </c>
      <c r="V39" s="156">
        <f t="shared" si="52"/>
        <v>0.05</v>
      </c>
      <c r="W39" s="40">
        <f t="shared" si="52"/>
        <v>30</v>
      </c>
      <c r="X39" s="48">
        <f t="shared" si="52"/>
        <v>5</v>
      </c>
      <c r="Y39" s="17"/>
      <c r="AA39" s="17"/>
      <c r="AB39" s="17"/>
      <c r="AC39" s="17"/>
      <c r="AD39" s="17"/>
      <c r="AE39" s="17"/>
      <c r="AF39" s="17"/>
      <c r="AG39" s="17"/>
      <c r="AH39" s="17"/>
      <c r="AO39" s="17"/>
      <c r="AP39" s="17"/>
      <c r="AQ39" s="17"/>
      <c r="AR39" s="17"/>
      <c r="AS39" s="17"/>
    </row>
    <row r="40" spans="2:45" ht="15.75" customHeight="1">
      <c r="B40" s="52" t="s">
        <v>59</v>
      </c>
      <c r="C40" s="42" t="str">
        <f>C$8</f>
        <v>４歳以上児</v>
      </c>
      <c r="D40" s="22">
        <v>8</v>
      </c>
      <c r="E40" s="25" t="str">
        <f>E$8</f>
        <v>A</v>
      </c>
      <c r="F40" s="145" t="str">
        <f>D40&amp;E40</f>
        <v>8A</v>
      </c>
      <c r="G40" s="27">
        <v>780</v>
      </c>
      <c r="H40" s="43">
        <v>3</v>
      </c>
      <c r="I40" s="27">
        <v>660</v>
      </c>
      <c r="J40" s="43">
        <v>2.9</v>
      </c>
      <c r="K40" s="24">
        <f t="shared" ref="K40:P40" si="53">K$8</f>
        <v>0</v>
      </c>
      <c r="L40" s="55">
        <f t="shared" si="53"/>
        <v>0</v>
      </c>
      <c r="M40" s="24">
        <f t="shared" si="53"/>
        <v>30</v>
      </c>
      <c r="N40" s="55">
        <f t="shared" si="53"/>
        <v>3.8</v>
      </c>
      <c r="O40" s="24">
        <f t="shared" si="53"/>
        <v>0</v>
      </c>
      <c r="P40" s="55">
        <f t="shared" si="53"/>
        <v>0</v>
      </c>
      <c r="Q40" s="27">
        <v>100</v>
      </c>
      <c r="R40" s="43">
        <v>6.1</v>
      </c>
      <c r="S40" s="155">
        <v>0.01</v>
      </c>
      <c r="T40" s="155">
        <v>0.03</v>
      </c>
      <c r="U40" s="155">
        <v>0.04</v>
      </c>
      <c r="V40" s="155">
        <v>0.05</v>
      </c>
      <c r="W40" s="27">
        <v>30</v>
      </c>
      <c r="X40" s="43">
        <v>4.5</v>
      </c>
      <c r="Y40" s="17"/>
      <c r="Z40" s="17"/>
      <c r="AA40" s="17"/>
      <c r="AB40" s="17"/>
      <c r="AC40" s="17"/>
      <c r="AD40" s="17"/>
      <c r="AE40" s="17"/>
      <c r="AF40" s="17"/>
      <c r="AG40" s="17"/>
      <c r="AH40" s="17"/>
      <c r="AO40" s="17"/>
      <c r="AP40" s="17"/>
      <c r="AQ40" s="17"/>
      <c r="AR40" s="17"/>
      <c r="AS40" s="17"/>
    </row>
    <row r="41" spans="2:45" ht="15.75" customHeight="1">
      <c r="B41" s="21"/>
      <c r="C41" s="44" t="str">
        <f>C$9</f>
        <v>３歳児</v>
      </c>
      <c r="D41" s="28">
        <f>D40</f>
        <v>8</v>
      </c>
      <c r="E41" s="31" t="str">
        <f>E$9</f>
        <v>B</v>
      </c>
      <c r="F41" s="140" t="str">
        <f>D41&amp;E41</f>
        <v>8B</v>
      </c>
      <c r="G41" s="32">
        <v>860</v>
      </c>
      <c r="H41" s="33">
        <v>2.9</v>
      </c>
      <c r="I41" s="32">
        <v>740</v>
      </c>
      <c r="J41" s="33">
        <v>2.9</v>
      </c>
      <c r="K41" s="30">
        <f t="shared" ref="K41:P41" si="54">K$9</f>
        <v>80</v>
      </c>
      <c r="L41" s="45">
        <f t="shared" si="54"/>
        <v>2.8</v>
      </c>
      <c r="M41" s="30">
        <f t="shared" si="54"/>
        <v>0</v>
      </c>
      <c r="N41" s="45">
        <f t="shared" si="54"/>
        <v>0</v>
      </c>
      <c r="O41" s="30">
        <f t="shared" si="54"/>
        <v>0</v>
      </c>
      <c r="P41" s="45">
        <f t="shared" si="54"/>
        <v>0</v>
      </c>
      <c r="Q41" s="30">
        <f>Q40</f>
        <v>100</v>
      </c>
      <c r="R41" s="45">
        <f>R40</f>
        <v>6.1</v>
      </c>
      <c r="S41" s="120">
        <f t="shared" ref="S41:X41" si="55">S40</f>
        <v>0.01</v>
      </c>
      <c r="T41" s="120">
        <f t="shared" si="55"/>
        <v>0.03</v>
      </c>
      <c r="U41" s="120">
        <f t="shared" si="55"/>
        <v>0.04</v>
      </c>
      <c r="V41" s="120">
        <f t="shared" si="55"/>
        <v>0.05</v>
      </c>
      <c r="W41" s="30">
        <f t="shared" si="55"/>
        <v>30</v>
      </c>
      <c r="X41" s="45">
        <f t="shared" si="55"/>
        <v>4.5</v>
      </c>
      <c r="Y41" s="17"/>
      <c r="AA41" s="17"/>
      <c r="AB41" s="17"/>
      <c r="AC41" s="17"/>
      <c r="AD41" s="17"/>
      <c r="AE41" s="17"/>
      <c r="AF41" s="17"/>
      <c r="AG41" s="17"/>
      <c r="AH41" s="17"/>
      <c r="AO41" s="17"/>
      <c r="AP41" s="17"/>
      <c r="AQ41" s="17"/>
      <c r="AR41" s="17"/>
      <c r="AS41" s="17"/>
    </row>
    <row r="42" spans="2:45" ht="15.75" customHeight="1">
      <c r="B42" s="21"/>
      <c r="C42" s="44" t="str">
        <f>C$10</f>
        <v>１、２歳児</v>
      </c>
      <c r="D42" s="28">
        <f>D40</f>
        <v>8</v>
      </c>
      <c r="E42" s="31" t="str">
        <f>E$10</f>
        <v>C</v>
      </c>
      <c r="F42" s="140" t="str">
        <f>D42&amp;E42</f>
        <v>8C</v>
      </c>
      <c r="G42" s="32">
        <v>1470</v>
      </c>
      <c r="H42" s="33">
        <v>2.9</v>
      </c>
      <c r="I42" s="32">
        <v>1350</v>
      </c>
      <c r="J42" s="33">
        <v>2.9</v>
      </c>
      <c r="K42" s="30">
        <f t="shared" ref="K42:P42" si="56">K$10</f>
        <v>0</v>
      </c>
      <c r="L42" s="45">
        <f t="shared" si="56"/>
        <v>0</v>
      </c>
      <c r="M42" s="30">
        <f t="shared" si="56"/>
        <v>0</v>
      </c>
      <c r="N42" s="45">
        <f t="shared" si="56"/>
        <v>0</v>
      </c>
      <c r="O42" s="30">
        <f t="shared" si="56"/>
        <v>170</v>
      </c>
      <c r="P42" s="45">
        <f t="shared" si="56"/>
        <v>2.7</v>
      </c>
      <c r="Q42" s="30">
        <f>Q40</f>
        <v>100</v>
      </c>
      <c r="R42" s="45">
        <f>R40</f>
        <v>6.1</v>
      </c>
      <c r="S42" s="120">
        <f t="shared" ref="S42:X42" si="57">S40</f>
        <v>0.01</v>
      </c>
      <c r="T42" s="120">
        <f t="shared" si="57"/>
        <v>0.03</v>
      </c>
      <c r="U42" s="120">
        <f t="shared" si="57"/>
        <v>0.04</v>
      </c>
      <c r="V42" s="120">
        <f t="shared" si="57"/>
        <v>0.05</v>
      </c>
      <c r="W42" s="30">
        <f t="shared" si="57"/>
        <v>30</v>
      </c>
      <c r="X42" s="45">
        <f t="shared" si="57"/>
        <v>4.5</v>
      </c>
      <c r="Y42" s="17"/>
      <c r="Z42" s="17"/>
      <c r="AA42" s="17"/>
      <c r="AB42" s="17"/>
      <c r="AC42" s="17"/>
      <c r="AD42" s="17"/>
      <c r="AE42" s="17"/>
      <c r="AF42" s="17"/>
      <c r="AG42" s="17"/>
      <c r="AH42" s="17"/>
      <c r="AO42" s="17"/>
      <c r="AP42" s="17"/>
      <c r="AQ42" s="17"/>
      <c r="AR42" s="17"/>
      <c r="AS42" s="17"/>
    </row>
    <row r="43" spans="2:45" ht="15.75" customHeight="1">
      <c r="B43" s="56"/>
      <c r="C43" s="47" t="str">
        <f>C$11</f>
        <v>乳児</v>
      </c>
      <c r="D43" s="38">
        <f>D40</f>
        <v>8</v>
      </c>
      <c r="E43" s="41" t="str">
        <f>E$11</f>
        <v>D</v>
      </c>
      <c r="F43" s="143" t="str">
        <f>D43&amp;E43</f>
        <v>8D</v>
      </c>
      <c r="G43" s="35">
        <v>2360</v>
      </c>
      <c r="H43" s="36">
        <v>2.9</v>
      </c>
      <c r="I43" s="35">
        <v>2240</v>
      </c>
      <c r="J43" s="36">
        <v>2.8</v>
      </c>
      <c r="K43" s="40">
        <f t="shared" ref="K43:P43" si="58">K$11</f>
        <v>0</v>
      </c>
      <c r="L43" s="48">
        <f t="shared" si="58"/>
        <v>0</v>
      </c>
      <c r="M43" s="40">
        <f t="shared" si="58"/>
        <v>0</v>
      </c>
      <c r="N43" s="48">
        <f t="shared" si="58"/>
        <v>0</v>
      </c>
      <c r="O43" s="40">
        <f t="shared" si="58"/>
        <v>0</v>
      </c>
      <c r="P43" s="48">
        <f t="shared" si="58"/>
        <v>0</v>
      </c>
      <c r="Q43" s="40">
        <f>Q40</f>
        <v>100</v>
      </c>
      <c r="R43" s="48">
        <f>R40</f>
        <v>6.1</v>
      </c>
      <c r="S43" s="156">
        <f t="shared" ref="S43:X43" si="59">S40</f>
        <v>0.01</v>
      </c>
      <c r="T43" s="156">
        <f t="shared" si="59"/>
        <v>0.03</v>
      </c>
      <c r="U43" s="156">
        <f t="shared" si="59"/>
        <v>0.04</v>
      </c>
      <c r="V43" s="156">
        <f t="shared" si="59"/>
        <v>0.05</v>
      </c>
      <c r="W43" s="40">
        <f t="shared" si="59"/>
        <v>30</v>
      </c>
      <c r="X43" s="48">
        <f t="shared" si="59"/>
        <v>4.5</v>
      </c>
      <c r="Y43" s="17"/>
      <c r="Z43" s="17"/>
      <c r="AA43" s="17"/>
      <c r="AB43" s="17"/>
      <c r="AC43" s="17"/>
      <c r="AD43" s="17"/>
      <c r="AE43" s="17"/>
      <c r="AF43" s="17"/>
      <c r="AG43" s="17"/>
      <c r="AH43" s="17"/>
      <c r="AO43" s="17"/>
      <c r="AP43" s="17"/>
      <c r="AQ43" s="17"/>
      <c r="AR43" s="17"/>
      <c r="AS43" s="17"/>
    </row>
    <row r="44" spans="2:45" ht="15.75" customHeight="1">
      <c r="B44" s="52" t="s">
        <v>60</v>
      </c>
      <c r="C44" s="42" t="str">
        <f>C$8</f>
        <v>４歳以上児</v>
      </c>
      <c r="D44" s="22">
        <v>9</v>
      </c>
      <c r="E44" s="25" t="str">
        <f>E$8</f>
        <v>A</v>
      </c>
      <c r="F44" s="145" t="str">
        <f t="shared" si="0"/>
        <v>9A</v>
      </c>
      <c r="G44" s="27">
        <v>720</v>
      </c>
      <c r="H44" s="43">
        <v>3</v>
      </c>
      <c r="I44" s="27">
        <v>620</v>
      </c>
      <c r="J44" s="43">
        <v>2.9</v>
      </c>
      <c r="K44" s="24">
        <f t="shared" ref="K44:P44" si="60">K$8</f>
        <v>0</v>
      </c>
      <c r="L44" s="55">
        <f t="shared" si="60"/>
        <v>0</v>
      </c>
      <c r="M44" s="24">
        <f t="shared" si="60"/>
        <v>30</v>
      </c>
      <c r="N44" s="55">
        <f t="shared" si="60"/>
        <v>3.8</v>
      </c>
      <c r="O44" s="24">
        <f t="shared" si="60"/>
        <v>0</v>
      </c>
      <c r="P44" s="55">
        <f t="shared" si="60"/>
        <v>0</v>
      </c>
      <c r="Q44" s="27">
        <v>90</v>
      </c>
      <c r="R44" s="43">
        <v>6.2</v>
      </c>
      <c r="S44" s="155">
        <v>0.01</v>
      </c>
      <c r="T44" s="155">
        <v>0.03</v>
      </c>
      <c r="U44" s="155">
        <v>0.04</v>
      </c>
      <c r="V44" s="155">
        <v>0.05</v>
      </c>
      <c r="W44" s="27">
        <v>20</v>
      </c>
      <c r="X44" s="43">
        <v>6.2</v>
      </c>
      <c r="Y44" s="17"/>
      <c r="Z44" s="17"/>
      <c r="AA44" s="17"/>
      <c r="AB44" s="17"/>
      <c r="AC44" s="17"/>
      <c r="AD44" s="17"/>
      <c r="AE44" s="17"/>
      <c r="AF44" s="17"/>
      <c r="AG44" s="17"/>
      <c r="AH44" s="17"/>
      <c r="AO44" s="17"/>
      <c r="AP44" s="17"/>
      <c r="AQ44" s="17"/>
      <c r="AR44" s="17"/>
      <c r="AS44" s="17"/>
    </row>
    <row r="45" spans="2:45" ht="15.75" customHeight="1">
      <c r="B45" s="21"/>
      <c r="C45" s="44" t="str">
        <f>C$9</f>
        <v>３歳児</v>
      </c>
      <c r="D45" s="28">
        <f>D44</f>
        <v>9</v>
      </c>
      <c r="E45" s="31" t="str">
        <f>E$9</f>
        <v>B</v>
      </c>
      <c r="F45" s="140" t="str">
        <f t="shared" si="0"/>
        <v>9B</v>
      </c>
      <c r="G45" s="32">
        <v>800</v>
      </c>
      <c r="H45" s="33">
        <v>3</v>
      </c>
      <c r="I45" s="32">
        <v>700</v>
      </c>
      <c r="J45" s="33">
        <v>2.9</v>
      </c>
      <c r="K45" s="30">
        <f t="shared" ref="K45:P45" si="61">K$9</f>
        <v>80</v>
      </c>
      <c r="L45" s="45">
        <f t="shared" si="61"/>
        <v>2.8</v>
      </c>
      <c r="M45" s="30">
        <f t="shared" si="61"/>
        <v>0</v>
      </c>
      <c r="N45" s="45">
        <f t="shared" si="61"/>
        <v>0</v>
      </c>
      <c r="O45" s="30">
        <f t="shared" si="61"/>
        <v>0</v>
      </c>
      <c r="P45" s="45">
        <f t="shared" si="61"/>
        <v>0</v>
      </c>
      <c r="Q45" s="30">
        <f>Q44</f>
        <v>90</v>
      </c>
      <c r="R45" s="45">
        <f>R44</f>
        <v>6.2</v>
      </c>
      <c r="S45" s="120">
        <f t="shared" ref="S45:X45" si="62">S44</f>
        <v>0.01</v>
      </c>
      <c r="T45" s="120">
        <f t="shared" si="62"/>
        <v>0.03</v>
      </c>
      <c r="U45" s="120">
        <f t="shared" si="62"/>
        <v>0.04</v>
      </c>
      <c r="V45" s="120">
        <f t="shared" si="62"/>
        <v>0.05</v>
      </c>
      <c r="W45" s="30">
        <f t="shared" si="62"/>
        <v>20</v>
      </c>
      <c r="X45" s="45">
        <f t="shared" si="62"/>
        <v>6.2</v>
      </c>
      <c r="Y45" s="17"/>
      <c r="Z45" s="17"/>
      <c r="AA45" s="17"/>
      <c r="AB45" s="17"/>
      <c r="AC45" s="17"/>
      <c r="AD45" s="17"/>
      <c r="AE45" s="17"/>
      <c r="AF45" s="17"/>
      <c r="AG45" s="17"/>
      <c r="AH45" s="17"/>
      <c r="AO45" s="17"/>
      <c r="AP45" s="17"/>
      <c r="AQ45" s="17"/>
      <c r="AR45" s="17"/>
      <c r="AS45" s="17"/>
    </row>
    <row r="46" spans="2:45" ht="15.75" customHeight="1">
      <c r="B46" s="21"/>
      <c r="C46" s="44" t="str">
        <f>C$10</f>
        <v>１、２歳児</v>
      </c>
      <c r="D46" s="28">
        <f>D44</f>
        <v>9</v>
      </c>
      <c r="E46" s="31" t="str">
        <f>E$10</f>
        <v>C</v>
      </c>
      <c r="F46" s="140" t="str">
        <f t="shared" si="0"/>
        <v>9C</v>
      </c>
      <c r="G46" s="32">
        <v>1420</v>
      </c>
      <c r="H46" s="33">
        <v>2.9</v>
      </c>
      <c r="I46" s="32">
        <v>1310</v>
      </c>
      <c r="J46" s="33">
        <v>2.8</v>
      </c>
      <c r="K46" s="30">
        <f t="shared" ref="K46:P46" si="63">K$10</f>
        <v>0</v>
      </c>
      <c r="L46" s="45">
        <f t="shared" si="63"/>
        <v>0</v>
      </c>
      <c r="M46" s="30">
        <f t="shared" si="63"/>
        <v>0</v>
      </c>
      <c r="N46" s="45">
        <f t="shared" si="63"/>
        <v>0</v>
      </c>
      <c r="O46" s="30">
        <f t="shared" si="63"/>
        <v>170</v>
      </c>
      <c r="P46" s="45">
        <f t="shared" si="63"/>
        <v>2.7</v>
      </c>
      <c r="Q46" s="30">
        <f>Q44</f>
        <v>90</v>
      </c>
      <c r="R46" s="45">
        <f>R44</f>
        <v>6.2</v>
      </c>
      <c r="S46" s="120">
        <f t="shared" ref="S46:X46" si="64">S44</f>
        <v>0.01</v>
      </c>
      <c r="T46" s="120">
        <f t="shared" si="64"/>
        <v>0.03</v>
      </c>
      <c r="U46" s="120">
        <f t="shared" si="64"/>
        <v>0.04</v>
      </c>
      <c r="V46" s="120">
        <f t="shared" si="64"/>
        <v>0.05</v>
      </c>
      <c r="W46" s="30">
        <f t="shared" si="64"/>
        <v>20</v>
      </c>
      <c r="X46" s="45">
        <f t="shared" si="64"/>
        <v>6.2</v>
      </c>
      <c r="Y46" s="17"/>
      <c r="Z46" s="17"/>
      <c r="AA46" s="17"/>
      <c r="AB46" s="17"/>
      <c r="AC46" s="17"/>
      <c r="AD46" s="17"/>
      <c r="AE46" s="17"/>
      <c r="AF46" s="17"/>
      <c r="AG46" s="17"/>
      <c r="AH46" s="17"/>
      <c r="AO46" s="17"/>
      <c r="AP46" s="17"/>
      <c r="AQ46" s="17"/>
      <c r="AR46" s="17"/>
      <c r="AS46" s="17"/>
    </row>
    <row r="47" spans="2:45" ht="15.75" customHeight="1">
      <c r="B47" s="56"/>
      <c r="C47" s="47" t="str">
        <f>C$11</f>
        <v>乳児</v>
      </c>
      <c r="D47" s="38">
        <f>D44</f>
        <v>9</v>
      </c>
      <c r="E47" s="41" t="str">
        <f>E$11</f>
        <v>D</v>
      </c>
      <c r="F47" s="143" t="str">
        <f t="shared" si="0"/>
        <v>9D</v>
      </c>
      <c r="G47" s="35">
        <v>2310</v>
      </c>
      <c r="H47" s="36">
        <v>2.8</v>
      </c>
      <c r="I47" s="35">
        <v>2200</v>
      </c>
      <c r="J47" s="36">
        <v>2.8</v>
      </c>
      <c r="K47" s="40">
        <f t="shared" ref="K47:P47" si="65">K$11</f>
        <v>0</v>
      </c>
      <c r="L47" s="48">
        <f t="shared" si="65"/>
        <v>0</v>
      </c>
      <c r="M47" s="40">
        <f t="shared" si="65"/>
        <v>0</v>
      </c>
      <c r="N47" s="48">
        <f t="shared" si="65"/>
        <v>0</v>
      </c>
      <c r="O47" s="40">
        <f t="shared" si="65"/>
        <v>0</v>
      </c>
      <c r="P47" s="48">
        <f t="shared" si="65"/>
        <v>0</v>
      </c>
      <c r="Q47" s="40">
        <f>Q44</f>
        <v>90</v>
      </c>
      <c r="R47" s="48">
        <f>R44</f>
        <v>6.2</v>
      </c>
      <c r="S47" s="156">
        <f t="shared" ref="S47:X47" si="66">S44</f>
        <v>0.01</v>
      </c>
      <c r="T47" s="156">
        <f t="shared" si="66"/>
        <v>0.03</v>
      </c>
      <c r="U47" s="156">
        <f t="shared" si="66"/>
        <v>0.04</v>
      </c>
      <c r="V47" s="156">
        <f t="shared" si="66"/>
        <v>0.05</v>
      </c>
      <c r="W47" s="40">
        <f t="shared" si="66"/>
        <v>20</v>
      </c>
      <c r="X47" s="48">
        <f t="shared" si="66"/>
        <v>6.2</v>
      </c>
      <c r="Y47" s="17"/>
      <c r="Z47" s="17"/>
      <c r="AA47" s="17"/>
      <c r="AB47" s="17"/>
      <c r="AC47" s="17"/>
      <c r="AD47" s="17"/>
      <c r="AE47" s="17"/>
      <c r="AF47" s="17"/>
      <c r="AG47" s="17"/>
      <c r="AH47" s="17"/>
      <c r="AO47" s="17"/>
      <c r="AP47" s="17"/>
      <c r="AQ47" s="17"/>
      <c r="AR47" s="17"/>
      <c r="AS47" s="17"/>
    </row>
    <row r="48" spans="2:45" ht="15.75" customHeight="1">
      <c r="B48" s="52" t="s">
        <v>61</v>
      </c>
      <c r="C48" s="42" t="str">
        <f>C$8</f>
        <v>４歳以上児</v>
      </c>
      <c r="D48" s="22">
        <v>10</v>
      </c>
      <c r="E48" s="25" t="str">
        <f>E$8</f>
        <v>A</v>
      </c>
      <c r="F48" s="145" t="str">
        <f>D48&amp;E48</f>
        <v>10A</v>
      </c>
      <c r="G48" s="27">
        <v>680</v>
      </c>
      <c r="H48" s="43">
        <v>2.9</v>
      </c>
      <c r="I48" s="27">
        <v>580</v>
      </c>
      <c r="J48" s="43">
        <v>2.9</v>
      </c>
      <c r="K48" s="24">
        <f t="shared" ref="K48:P48" si="67">K$8</f>
        <v>0</v>
      </c>
      <c r="L48" s="55">
        <f t="shared" si="67"/>
        <v>0</v>
      </c>
      <c r="M48" s="24">
        <f t="shared" si="67"/>
        <v>30</v>
      </c>
      <c r="N48" s="55">
        <f t="shared" si="67"/>
        <v>3.8</v>
      </c>
      <c r="O48" s="24">
        <f t="shared" si="67"/>
        <v>0</v>
      </c>
      <c r="P48" s="55">
        <f t="shared" si="67"/>
        <v>0</v>
      </c>
      <c r="Q48" s="27">
        <v>80</v>
      </c>
      <c r="R48" s="43">
        <v>6.4</v>
      </c>
      <c r="S48" s="155">
        <v>0.01</v>
      </c>
      <c r="T48" s="155">
        <v>0.03</v>
      </c>
      <c r="U48" s="155">
        <v>0.04</v>
      </c>
      <c r="V48" s="155">
        <v>0.05</v>
      </c>
      <c r="W48" s="27">
        <v>20</v>
      </c>
      <c r="X48" s="43">
        <v>5.7</v>
      </c>
      <c r="Y48" s="17"/>
      <c r="Z48" s="17"/>
      <c r="AA48" s="17"/>
      <c r="AB48" s="17"/>
      <c r="AC48" s="17"/>
      <c r="AD48" s="17"/>
      <c r="AE48" s="17"/>
      <c r="AF48" s="17"/>
      <c r="AG48" s="17"/>
      <c r="AH48" s="17"/>
      <c r="AO48" s="17"/>
      <c r="AP48" s="17"/>
      <c r="AQ48" s="17"/>
      <c r="AR48" s="17"/>
      <c r="AS48" s="17"/>
    </row>
    <row r="49" spans="2:45" ht="15.75" customHeight="1">
      <c r="B49" s="21"/>
      <c r="C49" s="44" t="str">
        <f>C$9</f>
        <v>３歳児</v>
      </c>
      <c r="D49" s="28">
        <f>D48</f>
        <v>10</v>
      </c>
      <c r="E49" s="31" t="str">
        <f>E$9</f>
        <v>B</v>
      </c>
      <c r="F49" s="140" t="str">
        <f>D49&amp;E49</f>
        <v>10B</v>
      </c>
      <c r="G49" s="32">
        <v>760</v>
      </c>
      <c r="H49" s="33">
        <v>2.9</v>
      </c>
      <c r="I49" s="32">
        <v>660</v>
      </c>
      <c r="J49" s="33">
        <v>2.9</v>
      </c>
      <c r="K49" s="30">
        <f t="shared" ref="K49:P49" si="68">K$9</f>
        <v>80</v>
      </c>
      <c r="L49" s="45">
        <f t="shared" si="68"/>
        <v>2.8</v>
      </c>
      <c r="M49" s="30">
        <f t="shared" si="68"/>
        <v>0</v>
      </c>
      <c r="N49" s="45">
        <f t="shared" si="68"/>
        <v>0</v>
      </c>
      <c r="O49" s="30">
        <f t="shared" si="68"/>
        <v>0</v>
      </c>
      <c r="P49" s="45">
        <f t="shared" si="68"/>
        <v>0</v>
      </c>
      <c r="Q49" s="30">
        <f>Q48</f>
        <v>80</v>
      </c>
      <c r="R49" s="45">
        <f>R48</f>
        <v>6.4</v>
      </c>
      <c r="S49" s="120">
        <f t="shared" ref="S49:X49" si="69">S48</f>
        <v>0.01</v>
      </c>
      <c r="T49" s="120">
        <f t="shared" si="69"/>
        <v>0.03</v>
      </c>
      <c r="U49" s="120">
        <f t="shared" si="69"/>
        <v>0.04</v>
      </c>
      <c r="V49" s="120">
        <f t="shared" si="69"/>
        <v>0.05</v>
      </c>
      <c r="W49" s="30">
        <f t="shared" si="69"/>
        <v>20</v>
      </c>
      <c r="X49" s="45">
        <f t="shared" si="69"/>
        <v>5.7</v>
      </c>
      <c r="Y49" s="17"/>
      <c r="Z49" s="17"/>
      <c r="AA49" s="17"/>
      <c r="AB49" s="17"/>
      <c r="AC49" s="17"/>
      <c r="AD49" s="17"/>
      <c r="AE49" s="17"/>
      <c r="AF49" s="17"/>
      <c r="AG49" s="17"/>
      <c r="AH49" s="17"/>
      <c r="AO49" s="17"/>
      <c r="AP49" s="17"/>
      <c r="AQ49" s="17"/>
      <c r="AR49" s="17"/>
      <c r="AS49" s="17"/>
    </row>
    <row r="50" spans="2:45" ht="15.75" customHeight="1">
      <c r="B50" s="21"/>
      <c r="C50" s="44" t="str">
        <f>C$10</f>
        <v>１、２歳児</v>
      </c>
      <c r="D50" s="28">
        <f>D48</f>
        <v>10</v>
      </c>
      <c r="E50" s="31" t="str">
        <f>E$10</f>
        <v>C</v>
      </c>
      <c r="F50" s="140" t="str">
        <f>D50&amp;E50</f>
        <v>10C</v>
      </c>
      <c r="G50" s="32">
        <v>1370</v>
      </c>
      <c r="H50" s="33">
        <v>2.9</v>
      </c>
      <c r="I50" s="32">
        <v>1270</v>
      </c>
      <c r="J50" s="33">
        <v>2.8</v>
      </c>
      <c r="K50" s="30">
        <f t="shared" ref="K50:P50" si="70">K$10</f>
        <v>0</v>
      </c>
      <c r="L50" s="45">
        <f t="shared" si="70"/>
        <v>0</v>
      </c>
      <c r="M50" s="30">
        <f t="shared" si="70"/>
        <v>0</v>
      </c>
      <c r="N50" s="45">
        <f t="shared" si="70"/>
        <v>0</v>
      </c>
      <c r="O50" s="30">
        <f t="shared" si="70"/>
        <v>170</v>
      </c>
      <c r="P50" s="45">
        <f t="shared" si="70"/>
        <v>2.7</v>
      </c>
      <c r="Q50" s="30">
        <f>Q48</f>
        <v>80</v>
      </c>
      <c r="R50" s="45">
        <f>R48</f>
        <v>6.4</v>
      </c>
      <c r="S50" s="120">
        <f t="shared" ref="S50:X50" si="71">S48</f>
        <v>0.01</v>
      </c>
      <c r="T50" s="120">
        <f t="shared" si="71"/>
        <v>0.03</v>
      </c>
      <c r="U50" s="120">
        <f t="shared" si="71"/>
        <v>0.04</v>
      </c>
      <c r="V50" s="120">
        <f t="shared" si="71"/>
        <v>0.05</v>
      </c>
      <c r="W50" s="30">
        <f t="shared" si="71"/>
        <v>20</v>
      </c>
      <c r="X50" s="45">
        <f t="shared" si="71"/>
        <v>5.7</v>
      </c>
      <c r="Y50" s="17"/>
      <c r="Z50" s="17"/>
      <c r="AA50" s="17"/>
      <c r="AB50" s="17"/>
      <c r="AC50" s="17"/>
      <c r="AD50" s="17"/>
      <c r="AE50" s="17"/>
      <c r="AF50" s="17"/>
      <c r="AG50" s="17"/>
      <c r="AH50" s="17"/>
      <c r="AO50" s="17"/>
      <c r="AP50" s="17"/>
      <c r="AQ50" s="17"/>
      <c r="AR50" s="17"/>
      <c r="AS50" s="17"/>
    </row>
    <row r="51" spans="2:45" ht="15.75" customHeight="1">
      <c r="B51" s="56"/>
      <c r="C51" s="47" t="str">
        <f>C$11</f>
        <v>乳児</v>
      </c>
      <c r="D51" s="38">
        <f>D48</f>
        <v>10</v>
      </c>
      <c r="E51" s="41" t="str">
        <f>E$11</f>
        <v>D</v>
      </c>
      <c r="F51" s="143" t="str">
        <f>D51&amp;E51</f>
        <v>10D</v>
      </c>
      <c r="G51" s="35">
        <v>2260</v>
      </c>
      <c r="H51" s="36">
        <v>2.8</v>
      </c>
      <c r="I51" s="35">
        <v>2160</v>
      </c>
      <c r="J51" s="36">
        <v>2.8</v>
      </c>
      <c r="K51" s="40">
        <f t="shared" ref="K51:P51" si="72">K$11</f>
        <v>0</v>
      </c>
      <c r="L51" s="48">
        <f t="shared" si="72"/>
        <v>0</v>
      </c>
      <c r="M51" s="40">
        <f t="shared" si="72"/>
        <v>0</v>
      </c>
      <c r="N51" s="48">
        <f t="shared" si="72"/>
        <v>0</v>
      </c>
      <c r="O51" s="40">
        <f t="shared" si="72"/>
        <v>0</v>
      </c>
      <c r="P51" s="48">
        <f t="shared" si="72"/>
        <v>0</v>
      </c>
      <c r="Q51" s="40">
        <f>Q48</f>
        <v>80</v>
      </c>
      <c r="R51" s="48">
        <f>R48</f>
        <v>6.4</v>
      </c>
      <c r="S51" s="156">
        <f t="shared" ref="S51:X51" si="73">S48</f>
        <v>0.01</v>
      </c>
      <c r="T51" s="156">
        <f t="shared" si="73"/>
        <v>0.03</v>
      </c>
      <c r="U51" s="156">
        <f t="shared" si="73"/>
        <v>0.04</v>
      </c>
      <c r="V51" s="156">
        <f t="shared" si="73"/>
        <v>0.05</v>
      </c>
      <c r="W51" s="40">
        <f t="shared" si="73"/>
        <v>20</v>
      </c>
      <c r="X51" s="48">
        <f t="shared" si="73"/>
        <v>5.7</v>
      </c>
      <c r="Y51" s="17"/>
      <c r="Z51" s="17"/>
      <c r="AA51" s="17"/>
      <c r="AB51" s="17"/>
      <c r="AC51" s="17"/>
      <c r="AD51" s="17"/>
      <c r="AE51" s="17"/>
      <c r="AF51" s="17"/>
      <c r="AG51" s="17"/>
      <c r="AH51" s="17"/>
      <c r="AO51" s="17"/>
      <c r="AP51" s="17"/>
      <c r="AQ51" s="17"/>
      <c r="AR51" s="17"/>
      <c r="AS51" s="17"/>
    </row>
    <row r="52" spans="2:45" ht="15.75" customHeight="1">
      <c r="B52" s="52" t="s">
        <v>62</v>
      </c>
      <c r="C52" s="42" t="str">
        <f>C$8</f>
        <v>４歳以上児</v>
      </c>
      <c r="D52" s="22">
        <v>11</v>
      </c>
      <c r="E52" s="25" t="str">
        <f>E$8</f>
        <v>A</v>
      </c>
      <c r="F52" s="145" t="str">
        <f t="shared" si="0"/>
        <v>11A</v>
      </c>
      <c r="G52" s="27">
        <v>610</v>
      </c>
      <c r="H52" s="43">
        <v>2.9</v>
      </c>
      <c r="I52" s="27">
        <v>520</v>
      </c>
      <c r="J52" s="43">
        <v>2.9</v>
      </c>
      <c r="K52" s="24">
        <f t="shared" ref="K52:P52" si="74">K$8</f>
        <v>0</v>
      </c>
      <c r="L52" s="55">
        <f t="shared" si="74"/>
        <v>0</v>
      </c>
      <c r="M52" s="24">
        <f t="shared" si="74"/>
        <v>30</v>
      </c>
      <c r="N52" s="55">
        <f t="shared" si="74"/>
        <v>3.8</v>
      </c>
      <c r="O52" s="24">
        <f t="shared" si="74"/>
        <v>0</v>
      </c>
      <c r="P52" s="55">
        <f t="shared" si="74"/>
        <v>0</v>
      </c>
      <c r="Q52" s="27">
        <v>70</v>
      </c>
      <c r="R52" s="43">
        <v>5.5</v>
      </c>
      <c r="S52" s="155">
        <v>0.01</v>
      </c>
      <c r="T52" s="155">
        <v>0.03</v>
      </c>
      <c r="U52" s="155">
        <v>0.04</v>
      </c>
      <c r="V52" s="155">
        <v>0.06</v>
      </c>
      <c r="W52" s="27">
        <v>20</v>
      </c>
      <c r="X52" s="43">
        <v>4.9000000000000004</v>
      </c>
      <c r="Y52" s="17"/>
      <c r="Z52" s="17"/>
      <c r="AA52" s="17"/>
      <c r="AB52" s="17"/>
      <c r="AC52" s="17"/>
      <c r="AD52" s="17"/>
      <c r="AE52" s="17"/>
      <c r="AF52" s="17"/>
      <c r="AG52" s="17"/>
      <c r="AH52" s="17"/>
      <c r="AO52" s="17"/>
      <c r="AP52" s="17"/>
      <c r="AQ52" s="17"/>
      <c r="AR52" s="17"/>
      <c r="AS52" s="17"/>
    </row>
    <row r="53" spans="2:45" ht="15.75" customHeight="1">
      <c r="B53" s="21"/>
      <c r="C53" s="44" t="str">
        <f>C$9</f>
        <v>３歳児</v>
      </c>
      <c r="D53" s="28">
        <f>D52</f>
        <v>11</v>
      </c>
      <c r="E53" s="31" t="str">
        <f>E$9</f>
        <v>B</v>
      </c>
      <c r="F53" s="140" t="str">
        <f t="shared" si="0"/>
        <v>11B</v>
      </c>
      <c r="G53" s="32">
        <v>690</v>
      </c>
      <c r="H53" s="33">
        <v>2.9</v>
      </c>
      <c r="I53" s="32">
        <v>600</v>
      </c>
      <c r="J53" s="33">
        <v>2.9</v>
      </c>
      <c r="K53" s="30">
        <f t="shared" ref="K53:P53" si="75">K$9</f>
        <v>80</v>
      </c>
      <c r="L53" s="45">
        <f t="shared" si="75"/>
        <v>2.8</v>
      </c>
      <c r="M53" s="30">
        <f t="shared" si="75"/>
        <v>0</v>
      </c>
      <c r="N53" s="45">
        <f t="shared" si="75"/>
        <v>0</v>
      </c>
      <c r="O53" s="30">
        <f t="shared" si="75"/>
        <v>0</v>
      </c>
      <c r="P53" s="45">
        <f t="shared" si="75"/>
        <v>0</v>
      </c>
      <c r="Q53" s="30">
        <f>Q52</f>
        <v>70</v>
      </c>
      <c r="R53" s="45">
        <f>R52</f>
        <v>5.5</v>
      </c>
      <c r="S53" s="120">
        <f t="shared" ref="S53:X53" si="76">S52</f>
        <v>0.01</v>
      </c>
      <c r="T53" s="120">
        <f t="shared" si="76"/>
        <v>0.03</v>
      </c>
      <c r="U53" s="120">
        <f t="shared" si="76"/>
        <v>0.04</v>
      </c>
      <c r="V53" s="120">
        <f t="shared" si="76"/>
        <v>0.06</v>
      </c>
      <c r="W53" s="30">
        <f t="shared" si="76"/>
        <v>20</v>
      </c>
      <c r="X53" s="45">
        <f t="shared" si="76"/>
        <v>4.9000000000000004</v>
      </c>
      <c r="Y53" s="17"/>
      <c r="Z53" s="17"/>
      <c r="AA53" s="17"/>
      <c r="AB53" s="17"/>
      <c r="AC53" s="17"/>
      <c r="AD53" s="17"/>
      <c r="AE53" s="17"/>
      <c r="AF53" s="17"/>
      <c r="AG53" s="17"/>
      <c r="AH53" s="17"/>
      <c r="AO53" s="17"/>
      <c r="AP53" s="17"/>
      <c r="AQ53" s="17"/>
      <c r="AR53" s="17"/>
      <c r="AS53" s="17"/>
    </row>
    <row r="54" spans="2:45" ht="15.75" customHeight="1">
      <c r="B54" s="21"/>
      <c r="C54" s="44" t="str">
        <f>C$10</f>
        <v>１、２歳児</v>
      </c>
      <c r="D54" s="28">
        <f>D52</f>
        <v>11</v>
      </c>
      <c r="E54" s="31" t="str">
        <f>E$10</f>
        <v>C</v>
      </c>
      <c r="F54" s="140" t="str">
        <f t="shared" si="0"/>
        <v>11C</v>
      </c>
      <c r="G54" s="32">
        <v>1300</v>
      </c>
      <c r="H54" s="33">
        <v>2.9</v>
      </c>
      <c r="I54" s="32">
        <v>1220</v>
      </c>
      <c r="J54" s="33">
        <v>2.8</v>
      </c>
      <c r="K54" s="30">
        <f t="shared" ref="K54:P54" si="77">K$10</f>
        <v>0</v>
      </c>
      <c r="L54" s="45">
        <f t="shared" si="77"/>
        <v>0</v>
      </c>
      <c r="M54" s="30">
        <f t="shared" si="77"/>
        <v>0</v>
      </c>
      <c r="N54" s="45">
        <f t="shared" si="77"/>
        <v>0</v>
      </c>
      <c r="O54" s="30">
        <f t="shared" si="77"/>
        <v>170</v>
      </c>
      <c r="P54" s="45">
        <f t="shared" si="77"/>
        <v>2.7</v>
      </c>
      <c r="Q54" s="30">
        <f>Q52</f>
        <v>70</v>
      </c>
      <c r="R54" s="45">
        <f>R52</f>
        <v>5.5</v>
      </c>
      <c r="S54" s="120">
        <f t="shared" ref="S54:X54" si="78">S52</f>
        <v>0.01</v>
      </c>
      <c r="T54" s="120">
        <f t="shared" si="78"/>
        <v>0.03</v>
      </c>
      <c r="U54" s="120">
        <f t="shared" si="78"/>
        <v>0.04</v>
      </c>
      <c r="V54" s="120">
        <f t="shared" si="78"/>
        <v>0.06</v>
      </c>
      <c r="W54" s="30">
        <f t="shared" si="78"/>
        <v>20</v>
      </c>
      <c r="X54" s="45">
        <f t="shared" si="78"/>
        <v>4.9000000000000004</v>
      </c>
      <c r="Y54" s="17"/>
      <c r="Z54" s="17"/>
      <c r="AA54" s="17"/>
      <c r="AB54" s="17"/>
      <c r="AC54" s="17"/>
      <c r="AD54" s="17"/>
      <c r="AE54" s="17"/>
      <c r="AF54" s="17"/>
      <c r="AG54" s="17"/>
      <c r="AH54" s="17"/>
      <c r="AO54" s="17"/>
      <c r="AP54" s="17"/>
      <c r="AQ54" s="17"/>
      <c r="AR54" s="17"/>
      <c r="AS54" s="17"/>
    </row>
    <row r="55" spans="2:45" ht="15.75" customHeight="1">
      <c r="B55" s="56"/>
      <c r="C55" s="47" t="str">
        <f>C$11</f>
        <v>乳児</v>
      </c>
      <c r="D55" s="38">
        <f>D52</f>
        <v>11</v>
      </c>
      <c r="E55" s="41" t="str">
        <f>E$11</f>
        <v>D</v>
      </c>
      <c r="F55" s="143" t="str">
        <f t="shared" si="0"/>
        <v>11D</v>
      </c>
      <c r="G55" s="35">
        <v>2190</v>
      </c>
      <c r="H55" s="36">
        <v>2.8</v>
      </c>
      <c r="I55" s="35">
        <v>2110</v>
      </c>
      <c r="J55" s="36">
        <v>2.8</v>
      </c>
      <c r="K55" s="40">
        <f t="shared" ref="K55:P55" si="79">K$11</f>
        <v>0</v>
      </c>
      <c r="L55" s="48">
        <f t="shared" si="79"/>
        <v>0</v>
      </c>
      <c r="M55" s="40">
        <f t="shared" si="79"/>
        <v>0</v>
      </c>
      <c r="N55" s="48">
        <f t="shared" si="79"/>
        <v>0</v>
      </c>
      <c r="O55" s="40">
        <f t="shared" si="79"/>
        <v>0</v>
      </c>
      <c r="P55" s="48">
        <f t="shared" si="79"/>
        <v>0</v>
      </c>
      <c r="Q55" s="40">
        <f>Q52</f>
        <v>70</v>
      </c>
      <c r="R55" s="48">
        <f>R52</f>
        <v>5.5</v>
      </c>
      <c r="S55" s="156">
        <f t="shared" ref="S55:X55" si="80">S52</f>
        <v>0.01</v>
      </c>
      <c r="T55" s="156">
        <f t="shared" si="80"/>
        <v>0.03</v>
      </c>
      <c r="U55" s="156">
        <f t="shared" si="80"/>
        <v>0.04</v>
      </c>
      <c r="V55" s="156">
        <f t="shared" si="80"/>
        <v>0.06</v>
      </c>
      <c r="W55" s="40">
        <f t="shared" si="80"/>
        <v>20</v>
      </c>
      <c r="X55" s="48">
        <f t="shared" si="80"/>
        <v>4.9000000000000004</v>
      </c>
      <c r="Y55" s="17"/>
      <c r="Z55" s="17"/>
      <c r="AA55" s="17"/>
      <c r="AB55" s="17"/>
      <c r="AC55" s="17"/>
      <c r="AD55" s="17"/>
      <c r="AE55" s="17"/>
      <c r="AF55" s="17"/>
      <c r="AG55" s="17"/>
      <c r="AH55" s="17"/>
      <c r="AO55" s="17"/>
      <c r="AP55" s="17"/>
      <c r="AQ55" s="17"/>
      <c r="AR55" s="17"/>
      <c r="AS55" s="17"/>
    </row>
    <row r="56" spans="2:45" ht="15.75" customHeight="1">
      <c r="B56" s="52" t="s">
        <v>63</v>
      </c>
      <c r="C56" s="42" t="str">
        <f>C$8</f>
        <v>４歳以上児</v>
      </c>
      <c r="D56" s="22">
        <v>12</v>
      </c>
      <c r="E56" s="25" t="str">
        <f>E$8</f>
        <v>A</v>
      </c>
      <c r="F56" s="145" t="str">
        <f t="shared" si="0"/>
        <v>12A</v>
      </c>
      <c r="G56" s="27">
        <v>550</v>
      </c>
      <c r="H56" s="43">
        <v>3</v>
      </c>
      <c r="I56" s="27">
        <v>480</v>
      </c>
      <c r="J56" s="43">
        <v>2.9</v>
      </c>
      <c r="K56" s="24">
        <f t="shared" ref="K56:P56" si="81">K$8</f>
        <v>0</v>
      </c>
      <c r="L56" s="55">
        <f t="shared" si="81"/>
        <v>0</v>
      </c>
      <c r="M56" s="24">
        <f t="shared" si="81"/>
        <v>30</v>
      </c>
      <c r="N56" s="55">
        <f t="shared" si="81"/>
        <v>3.8</v>
      </c>
      <c r="O56" s="24">
        <f t="shared" si="81"/>
        <v>0</v>
      </c>
      <c r="P56" s="55">
        <f t="shared" si="81"/>
        <v>0</v>
      </c>
      <c r="Q56" s="27">
        <v>60</v>
      </c>
      <c r="R56" s="43">
        <v>6.4</v>
      </c>
      <c r="S56" s="155">
        <v>0.01</v>
      </c>
      <c r="T56" s="155">
        <v>0.03</v>
      </c>
      <c r="U56" s="155">
        <v>0.04</v>
      </c>
      <c r="V56" s="155">
        <v>0.06</v>
      </c>
      <c r="W56" s="27">
        <v>10</v>
      </c>
      <c r="X56" s="43">
        <v>8.5</v>
      </c>
      <c r="Y56" s="17"/>
      <c r="Z56" s="17"/>
      <c r="AA56" s="17"/>
      <c r="AB56" s="17"/>
      <c r="AC56" s="17"/>
      <c r="AD56" s="17"/>
      <c r="AE56" s="17"/>
      <c r="AF56" s="17"/>
      <c r="AG56" s="17"/>
      <c r="AH56" s="17"/>
      <c r="AO56" s="17"/>
      <c r="AP56" s="17"/>
      <c r="AQ56" s="17"/>
      <c r="AR56" s="17"/>
      <c r="AS56" s="17"/>
    </row>
    <row r="57" spans="2:45" ht="15.75" customHeight="1">
      <c r="B57" s="21"/>
      <c r="C57" s="44" t="str">
        <f>C$9</f>
        <v>３歳児</v>
      </c>
      <c r="D57" s="28">
        <f>D56</f>
        <v>12</v>
      </c>
      <c r="E57" s="31" t="str">
        <f>E$9</f>
        <v>B</v>
      </c>
      <c r="F57" s="140" t="str">
        <f t="shared" si="0"/>
        <v>12B</v>
      </c>
      <c r="G57" s="32">
        <v>630</v>
      </c>
      <c r="H57" s="33">
        <v>2.9</v>
      </c>
      <c r="I57" s="32">
        <v>560</v>
      </c>
      <c r="J57" s="33">
        <v>2.9</v>
      </c>
      <c r="K57" s="30">
        <f t="shared" ref="K57:P57" si="82">K$9</f>
        <v>80</v>
      </c>
      <c r="L57" s="45">
        <f t="shared" si="82"/>
        <v>2.8</v>
      </c>
      <c r="M57" s="30">
        <f t="shared" si="82"/>
        <v>0</v>
      </c>
      <c r="N57" s="45">
        <f t="shared" si="82"/>
        <v>0</v>
      </c>
      <c r="O57" s="30">
        <f t="shared" si="82"/>
        <v>0</v>
      </c>
      <c r="P57" s="45">
        <f t="shared" si="82"/>
        <v>0</v>
      </c>
      <c r="Q57" s="30">
        <f>Q56</f>
        <v>60</v>
      </c>
      <c r="R57" s="45">
        <f>R56</f>
        <v>6.4</v>
      </c>
      <c r="S57" s="120">
        <f t="shared" ref="S57:X57" si="83">S56</f>
        <v>0.01</v>
      </c>
      <c r="T57" s="120">
        <f t="shared" si="83"/>
        <v>0.03</v>
      </c>
      <c r="U57" s="120">
        <f t="shared" si="83"/>
        <v>0.04</v>
      </c>
      <c r="V57" s="120">
        <f t="shared" si="83"/>
        <v>0.06</v>
      </c>
      <c r="W57" s="30">
        <f t="shared" si="83"/>
        <v>10</v>
      </c>
      <c r="X57" s="45">
        <f t="shared" si="83"/>
        <v>8.5</v>
      </c>
      <c r="Y57" s="17"/>
      <c r="Z57" s="17"/>
      <c r="AA57" s="17"/>
      <c r="AB57" s="17"/>
      <c r="AC57" s="17"/>
      <c r="AD57" s="17"/>
      <c r="AE57" s="17"/>
      <c r="AF57" s="17"/>
      <c r="AG57" s="17"/>
      <c r="AH57" s="17"/>
      <c r="AO57" s="17"/>
      <c r="AP57" s="17"/>
      <c r="AQ57" s="17"/>
      <c r="AR57" s="17"/>
      <c r="AS57" s="17"/>
    </row>
    <row r="58" spans="2:45" ht="15.75" customHeight="1">
      <c r="B58" s="21"/>
      <c r="C58" s="44" t="str">
        <f>C$10</f>
        <v>１、２歳児</v>
      </c>
      <c r="D58" s="28">
        <f>D56</f>
        <v>12</v>
      </c>
      <c r="E58" s="31" t="str">
        <f>E$10</f>
        <v>C</v>
      </c>
      <c r="F58" s="140" t="str">
        <f t="shared" si="0"/>
        <v>12C</v>
      </c>
      <c r="G58" s="32">
        <v>1250</v>
      </c>
      <c r="H58" s="33">
        <v>2.8</v>
      </c>
      <c r="I58" s="32">
        <v>1170</v>
      </c>
      <c r="J58" s="33">
        <v>2.8</v>
      </c>
      <c r="K58" s="30">
        <f t="shared" ref="K58:P58" si="84">K$10</f>
        <v>0</v>
      </c>
      <c r="L58" s="45">
        <f t="shared" si="84"/>
        <v>0</v>
      </c>
      <c r="M58" s="30">
        <f t="shared" si="84"/>
        <v>0</v>
      </c>
      <c r="N58" s="45">
        <f t="shared" si="84"/>
        <v>0</v>
      </c>
      <c r="O58" s="30">
        <f t="shared" si="84"/>
        <v>170</v>
      </c>
      <c r="P58" s="45">
        <f t="shared" si="84"/>
        <v>2.7</v>
      </c>
      <c r="Q58" s="30">
        <f>Q56</f>
        <v>60</v>
      </c>
      <c r="R58" s="45">
        <f>R56</f>
        <v>6.4</v>
      </c>
      <c r="S58" s="120">
        <f t="shared" ref="S58:X58" si="85">S56</f>
        <v>0.01</v>
      </c>
      <c r="T58" s="120">
        <f t="shared" si="85"/>
        <v>0.03</v>
      </c>
      <c r="U58" s="120">
        <f t="shared" si="85"/>
        <v>0.04</v>
      </c>
      <c r="V58" s="120">
        <f t="shared" si="85"/>
        <v>0.06</v>
      </c>
      <c r="W58" s="30">
        <f t="shared" si="85"/>
        <v>10</v>
      </c>
      <c r="X58" s="45">
        <f t="shared" si="85"/>
        <v>8.5</v>
      </c>
      <c r="Y58" s="17"/>
      <c r="Z58" s="17"/>
      <c r="AA58" s="17"/>
      <c r="AB58" s="17"/>
      <c r="AC58" s="17"/>
      <c r="AD58" s="17"/>
      <c r="AE58" s="17"/>
      <c r="AF58" s="17"/>
      <c r="AG58" s="17"/>
      <c r="AH58" s="17"/>
      <c r="AO58" s="17"/>
      <c r="AP58" s="17"/>
      <c r="AQ58" s="17"/>
      <c r="AR58" s="17"/>
      <c r="AS58" s="17"/>
    </row>
    <row r="59" spans="2:45" ht="15.75" customHeight="1">
      <c r="B59" s="56"/>
      <c r="C59" s="47" t="str">
        <f>C$11</f>
        <v>乳児</v>
      </c>
      <c r="D59" s="38">
        <f>D56</f>
        <v>12</v>
      </c>
      <c r="E59" s="41" t="str">
        <f>E$11</f>
        <v>D</v>
      </c>
      <c r="F59" s="143" t="str">
        <f t="shared" si="0"/>
        <v>12D</v>
      </c>
      <c r="G59" s="35">
        <v>2140</v>
      </c>
      <c r="H59" s="36">
        <v>2.8</v>
      </c>
      <c r="I59" s="35">
        <v>2060</v>
      </c>
      <c r="J59" s="36">
        <v>2.8</v>
      </c>
      <c r="K59" s="40">
        <f t="shared" ref="K59:P59" si="86">K$11</f>
        <v>0</v>
      </c>
      <c r="L59" s="48">
        <f t="shared" si="86"/>
        <v>0</v>
      </c>
      <c r="M59" s="40">
        <f t="shared" si="86"/>
        <v>0</v>
      </c>
      <c r="N59" s="48">
        <f t="shared" si="86"/>
        <v>0</v>
      </c>
      <c r="O59" s="40">
        <f t="shared" si="86"/>
        <v>0</v>
      </c>
      <c r="P59" s="48">
        <f t="shared" si="86"/>
        <v>0</v>
      </c>
      <c r="Q59" s="40">
        <f>Q56</f>
        <v>60</v>
      </c>
      <c r="R59" s="48">
        <f>R56</f>
        <v>6.4</v>
      </c>
      <c r="S59" s="156">
        <f t="shared" ref="S59:X59" si="87">S56</f>
        <v>0.01</v>
      </c>
      <c r="T59" s="156">
        <f t="shared" si="87"/>
        <v>0.03</v>
      </c>
      <c r="U59" s="156">
        <f t="shared" si="87"/>
        <v>0.04</v>
      </c>
      <c r="V59" s="156">
        <f t="shared" si="87"/>
        <v>0.06</v>
      </c>
      <c r="W59" s="40">
        <f t="shared" si="87"/>
        <v>10</v>
      </c>
      <c r="X59" s="48">
        <f t="shared" si="87"/>
        <v>8.5</v>
      </c>
      <c r="Y59" s="17"/>
      <c r="Z59" s="17"/>
      <c r="AA59" s="17"/>
      <c r="AB59" s="17"/>
      <c r="AC59" s="17"/>
      <c r="AD59" s="17"/>
      <c r="AE59" s="17"/>
      <c r="AF59" s="17"/>
      <c r="AG59" s="17"/>
      <c r="AH59" s="17"/>
      <c r="AO59" s="17"/>
      <c r="AP59" s="17"/>
      <c r="AQ59" s="17"/>
      <c r="AR59" s="17"/>
      <c r="AS59" s="17"/>
    </row>
    <row r="60" spans="2:45" ht="15.75" customHeight="1">
      <c r="B60" s="52" t="s">
        <v>64</v>
      </c>
      <c r="C60" s="42" t="str">
        <f>C$8</f>
        <v>４歳以上児</v>
      </c>
      <c r="D60" s="22">
        <v>13</v>
      </c>
      <c r="E60" s="25" t="str">
        <f>E$8</f>
        <v>A</v>
      </c>
      <c r="F60" s="145" t="str">
        <f t="shared" si="0"/>
        <v>13A</v>
      </c>
      <c r="G60" s="27">
        <v>510</v>
      </c>
      <c r="H60" s="43">
        <v>2.9</v>
      </c>
      <c r="I60" s="27">
        <v>450</v>
      </c>
      <c r="J60" s="43">
        <v>2.9</v>
      </c>
      <c r="K60" s="24">
        <f t="shared" ref="K60:P60" si="88">K$8</f>
        <v>0</v>
      </c>
      <c r="L60" s="55">
        <f t="shared" si="88"/>
        <v>0</v>
      </c>
      <c r="M60" s="24">
        <f t="shared" si="88"/>
        <v>30</v>
      </c>
      <c r="N60" s="55">
        <f t="shared" si="88"/>
        <v>3.8</v>
      </c>
      <c r="O60" s="24">
        <f t="shared" si="88"/>
        <v>0</v>
      </c>
      <c r="P60" s="55">
        <f t="shared" si="88"/>
        <v>0</v>
      </c>
      <c r="Q60" s="27">
        <v>50</v>
      </c>
      <c r="R60" s="43">
        <v>6.8</v>
      </c>
      <c r="S60" s="155">
        <v>0.01</v>
      </c>
      <c r="T60" s="155">
        <v>0.03</v>
      </c>
      <c r="U60" s="155">
        <v>0.04</v>
      </c>
      <c r="V60" s="155">
        <v>0.06</v>
      </c>
      <c r="W60" s="27">
        <v>10</v>
      </c>
      <c r="X60" s="43">
        <v>7.6</v>
      </c>
      <c r="Y60" s="17"/>
      <c r="Z60" s="17"/>
      <c r="AA60" s="17"/>
      <c r="AB60" s="17"/>
      <c r="AC60" s="17"/>
      <c r="AD60" s="17"/>
      <c r="AE60" s="17"/>
      <c r="AF60" s="17"/>
      <c r="AG60" s="17"/>
      <c r="AH60" s="17"/>
      <c r="AO60" s="17"/>
      <c r="AP60" s="17"/>
      <c r="AQ60" s="17"/>
      <c r="AR60" s="17"/>
      <c r="AS60" s="17"/>
    </row>
    <row r="61" spans="2:45" ht="15.75" customHeight="1">
      <c r="B61" s="21"/>
      <c r="C61" s="44" t="str">
        <f>C$9</f>
        <v>３歳児</v>
      </c>
      <c r="D61" s="28">
        <f>D60</f>
        <v>13</v>
      </c>
      <c r="E61" s="31" t="str">
        <f>E$9</f>
        <v>B</v>
      </c>
      <c r="F61" s="140" t="str">
        <f t="shared" si="0"/>
        <v>13B</v>
      </c>
      <c r="G61" s="32">
        <v>590</v>
      </c>
      <c r="H61" s="33">
        <v>2.9</v>
      </c>
      <c r="I61" s="32">
        <v>530</v>
      </c>
      <c r="J61" s="33">
        <v>2.9</v>
      </c>
      <c r="K61" s="30">
        <f t="shared" ref="K61:P61" si="89">K$9</f>
        <v>80</v>
      </c>
      <c r="L61" s="45">
        <f t="shared" si="89"/>
        <v>2.8</v>
      </c>
      <c r="M61" s="30">
        <f t="shared" si="89"/>
        <v>0</v>
      </c>
      <c r="N61" s="45">
        <f t="shared" si="89"/>
        <v>0</v>
      </c>
      <c r="O61" s="30">
        <f t="shared" si="89"/>
        <v>0</v>
      </c>
      <c r="P61" s="45">
        <f t="shared" si="89"/>
        <v>0</v>
      </c>
      <c r="Q61" s="30">
        <f>Q60</f>
        <v>50</v>
      </c>
      <c r="R61" s="45">
        <f>R60</f>
        <v>6.8</v>
      </c>
      <c r="S61" s="120">
        <f t="shared" ref="S61:X61" si="90">S60</f>
        <v>0.01</v>
      </c>
      <c r="T61" s="120">
        <f t="shared" si="90"/>
        <v>0.03</v>
      </c>
      <c r="U61" s="120">
        <f t="shared" si="90"/>
        <v>0.04</v>
      </c>
      <c r="V61" s="120">
        <f t="shared" si="90"/>
        <v>0.06</v>
      </c>
      <c r="W61" s="30">
        <f t="shared" si="90"/>
        <v>10</v>
      </c>
      <c r="X61" s="45">
        <f t="shared" si="90"/>
        <v>7.6</v>
      </c>
      <c r="Y61" s="17"/>
      <c r="Z61" s="17"/>
      <c r="AA61" s="17"/>
      <c r="AB61" s="17"/>
      <c r="AC61" s="17"/>
      <c r="AD61" s="17"/>
      <c r="AE61" s="17"/>
      <c r="AF61" s="17"/>
      <c r="AG61" s="17"/>
      <c r="AH61" s="17"/>
      <c r="AO61" s="17"/>
      <c r="AP61" s="17"/>
      <c r="AQ61" s="17"/>
      <c r="AR61" s="17"/>
      <c r="AS61" s="17"/>
    </row>
    <row r="62" spans="2:45" ht="15.75" customHeight="1">
      <c r="B62" s="21"/>
      <c r="C62" s="44" t="str">
        <f>C$10</f>
        <v>１、２歳児</v>
      </c>
      <c r="D62" s="28">
        <f>D60</f>
        <v>13</v>
      </c>
      <c r="E62" s="31" t="str">
        <f>E$10</f>
        <v>C</v>
      </c>
      <c r="F62" s="140" t="str">
        <f t="shared" si="0"/>
        <v>13C</v>
      </c>
      <c r="G62" s="32">
        <v>1210</v>
      </c>
      <c r="H62" s="33">
        <v>2.8</v>
      </c>
      <c r="I62" s="32">
        <v>1140</v>
      </c>
      <c r="J62" s="33">
        <v>2.8</v>
      </c>
      <c r="K62" s="30">
        <f t="shared" ref="K62:P62" si="91">K$10</f>
        <v>0</v>
      </c>
      <c r="L62" s="45">
        <f t="shared" si="91"/>
        <v>0</v>
      </c>
      <c r="M62" s="30">
        <f t="shared" si="91"/>
        <v>0</v>
      </c>
      <c r="N62" s="45">
        <f t="shared" si="91"/>
        <v>0</v>
      </c>
      <c r="O62" s="30">
        <f t="shared" si="91"/>
        <v>170</v>
      </c>
      <c r="P62" s="45">
        <f t="shared" si="91"/>
        <v>2.7</v>
      </c>
      <c r="Q62" s="30">
        <f>Q60</f>
        <v>50</v>
      </c>
      <c r="R62" s="45">
        <f>R60</f>
        <v>6.8</v>
      </c>
      <c r="S62" s="120">
        <f t="shared" ref="S62:X62" si="92">S60</f>
        <v>0.01</v>
      </c>
      <c r="T62" s="120">
        <f t="shared" si="92"/>
        <v>0.03</v>
      </c>
      <c r="U62" s="120">
        <f t="shared" si="92"/>
        <v>0.04</v>
      </c>
      <c r="V62" s="120">
        <f t="shared" si="92"/>
        <v>0.06</v>
      </c>
      <c r="W62" s="30">
        <f t="shared" si="92"/>
        <v>10</v>
      </c>
      <c r="X62" s="45">
        <f t="shared" si="92"/>
        <v>7.6</v>
      </c>
      <c r="Y62" s="17"/>
      <c r="Z62" s="17"/>
      <c r="AA62" s="17"/>
      <c r="AB62" s="17"/>
      <c r="AC62" s="17"/>
      <c r="AD62" s="17"/>
      <c r="AF62" s="17"/>
      <c r="AG62" s="17"/>
      <c r="AH62" s="17"/>
      <c r="AO62" s="17"/>
      <c r="AP62" s="17"/>
      <c r="AQ62" s="17"/>
      <c r="AR62" s="17"/>
      <c r="AS62" s="17"/>
    </row>
    <row r="63" spans="2:45" ht="15.75" customHeight="1">
      <c r="B63" s="56"/>
      <c r="C63" s="47" t="str">
        <f>C$11</f>
        <v>乳児</v>
      </c>
      <c r="D63" s="38">
        <f>D60</f>
        <v>13</v>
      </c>
      <c r="E63" s="41" t="str">
        <f>E$11</f>
        <v>D</v>
      </c>
      <c r="F63" s="143" t="str">
        <f t="shared" si="0"/>
        <v>13D</v>
      </c>
      <c r="G63" s="35">
        <v>2100</v>
      </c>
      <c r="H63" s="36">
        <v>2.8</v>
      </c>
      <c r="I63" s="35">
        <v>2030</v>
      </c>
      <c r="J63" s="36">
        <v>2.8</v>
      </c>
      <c r="K63" s="40">
        <f t="shared" ref="K63:P63" si="93">K$11</f>
        <v>0</v>
      </c>
      <c r="L63" s="48">
        <f t="shared" si="93"/>
        <v>0</v>
      </c>
      <c r="M63" s="40">
        <f t="shared" si="93"/>
        <v>0</v>
      </c>
      <c r="N63" s="48">
        <f t="shared" si="93"/>
        <v>0</v>
      </c>
      <c r="O63" s="40">
        <f t="shared" si="93"/>
        <v>0</v>
      </c>
      <c r="P63" s="48">
        <f t="shared" si="93"/>
        <v>0</v>
      </c>
      <c r="Q63" s="40">
        <f>Q60</f>
        <v>50</v>
      </c>
      <c r="R63" s="48">
        <f>R60</f>
        <v>6.8</v>
      </c>
      <c r="S63" s="156">
        <f t="shared" ref="S63:X63" si="94">S60</f>
        <v>0.01</v>
      </c>
      <c r="T63" s="156">
        <f t="shared" si="94"/>
        <v>0.03</v>
      </c>
      <c r="U63" s="156">
        <f t="shared" si="94"/>
        <v>0.04</v>
      </c>
      <c r="V63" s="156">
        <f t="shared" si="94"/>
        <v>0.06</v>
      </c>
      <c r="W63" s="40">
        <f t="shared" si="94"/>
        <v>10</v>
      </c>
      <c r="X63" s="48">
        <f t="shared" si="94"/>
        <v>7.6</v>
      </c>
      <c r="Y63" s="17"/>
      <c r="Z63" s="17"/>
      <c r="AA63" s="17"/>
      <c r="AB63" s="17"/>
      <c r="AC63" s="17"/>
      <c r="AD63" s="17"/>
      <c r="AF63" s="17"/>
      <c r="AG63" s="17"/>
      <c r="AH63" s="17"/>
      <c r="AO63" s="17"/>
      <c r="AP63" s="17"/>
      <c r="AQ63" s="17"/>
      <c r="AR63" s="17"/>
      <c r="AS63" s="17"/>
    </row>
    <row r="64" spans="2:45" ht="15.75" customHeight="1">
      <c r="B64" s="52" t="s">
        <v>65</v>
      </c>
      <c r="C64" s="42" t="str">
        <f>C$8</f>
        <v>４歳以上児</v>
      </c>
      <c r="D64" s="22">
        <v>14</v>
      </c>
      <c r="E64" s="25" t="str">
        <f>E$8</f>
        <v>A</v>
      </c>
      <c r="F64" s="145" t="str">
        <f t="shared" si="0"/>
        <v>14A</v>
      </c>
      <c r="G64" s="27">
        <v>440</v>
      </c>
      <c r="H64" s="43">
        <v>3.1</v>
      </c>
      <c r="I64" s="27">
        <v>380</v>
      </c>
      <c r="J64" s="43">
        <v>3.1</v>
      </c>
      <c r="K64" s="24">
        <f t="shared" ref="K64:P64" si="95">K$8</f>
        <v>0</v>
      </c>
      <c r="L64" s="55">
        <f t="shared" si="95"/>
        <v>0</v>
      </c>
      <c r="M64" s="24">
        <f t="shared" si="95"/>
        <v>30</v>
      </c>
      <c r="N64" s="55">
        <f t="shared" si="95"/>
        <v>3.8</v>
      </c>
      <c r="O64" s="24">
        <f t="shared" si="95"/>
        <v>0</v>
      </c>
      <c r="P64" s="55">
        <f t="shared" si="95"/>
        <v>0</v>
      </c>
      <c r="Q64" s="146"/>
      <c r="R64" s="146"/>
      <c r="S64" s="155">
        <v>0.01</v>
      </c>
      <c r="T64" s="155">
        <v>0.03</v>
      </c>
      <c r="U64" s="155">
        <v>0.04</v>
      </c>
      <c r="V64" s="155">
        <v>0.06</v>
      </c>
      <c r="W64" s="27">
        <v>10</v>
      </c>
      <c r="X64" s="43">
        <v>6.8</v>
      </c>
      <c r="Y64" s="17"/>
      <c r="Z64" s="17"/>
      <c r="AA64" s="17"/>
      <c r="AB64" s="17"/>
      <c r="AC64" s="17"/>
      <c r="AD64" s="17"/>
      <c r="AF64" s="17"/>
      <c r="AG64" s="17"/>
      <c r="AH64" s="17"/>
      <c r="AO64" s="17"/>
      <c r="AP64" s="17"/>
      <c r="AQ64" s="17"/>
      <c r="AR64" s="17"/>
      <c r="AS64" s="17"/>
    </row>
    <row r="65" spans="2:45" ht="15.75" customHeight="1">
      <c r="B65" s="21"/>
      <c r="C65" s="44" t="str">
        <f>C$9</f>
        <v>３歳児</v>
      </c>
      <c r="D65" s="28">
        <f>D64</f>
        <v>14</v>
      </c>
      <c r="E65" s="31" t="str">
        <f>E$9</f>
        <v>B</v>
      </c>
      <c r="F65" s="140" t="str">
        <f t="shared" si="0"/>
        <v>14B</v>
      </c>
      <c r="G65" s="32">
        <v>520</v>
      </c>
      <c r="H65" s="33">
        <v>3</v>
      </c>
      <c r="I65" s="32">
        <v>460</v>
      </c>
      <c r="J65" s="33">
        <v>3</v>
      </c>
      <c r="K65" s="30">
        <f t="shared" ref="K65:P65" si="96">K$9</f>
        <v>80</v>
      </c>
      <c r="L65" s="45">
        <f t="shared" si="96"/>
        <v>2.8</v>
      </c>
      <c r="M65" s="30">
        <f t="shared" si="96"/>
        <v>0</v>
      </c>
      <c r="N65" s="45">
        <f t="shared" si="96"/>
        <v>0</v>
      </c>
      <c r="O65" s="30">
        <f t="shared" si="96"/>
        <v>0</v>
      </c>
      <c r="P65" s="45">
        <f t="shared" si="96"/>
        <v>0</v>
      </c>
      <c r="Q65" s="141"/>
      <c r="R65" s="141"/>
      <c r="S65" s="157">
        <f t="shared" ref="S65:V65" si="97">S64</f>
        <v>0.01</v>
      </c>
      <c r="T65" s="157">
        <f t="shared" si="97"/>
        <v>0.03</v>
      </c>
      <c r="U65" s="157">
        <f t="shared" si="97"/>
        <v>0.04</v>
      </c>
      <c r="V65" s="157">
        <f t="shared" si="97"/>
        <v>0.06</v>
      </c>
      <c r="W65" s="30">
        <f t="shared" ref="W65:X65" si="98">W64</f>
        <v>10</v>
      </c>
      <c r="X65" s="45">
        <f t="shared" si="98"/>
        <v>6.8</v>
      </c>
      <c r="Y65" s="17"/>
      <c r="Z65" s="17"/>
      <c r="AA65" s="17"/>
      <c r="AB65" s="17"/>
      <c r="AC65" s="17"/>
      <c r="AD65" s="17"/>
      <c r="AF65" s="17"/>
      <c r="AG65" s="17"/>
      <c r="AH65" s="17"/>
      <c r="AO65" s="17"/>
      <c r="AP65" s="17"/>
      <c r="AQ65" s="17"/>
      <c r="AR65" s="17"/>
      <c r="AS65" s="17"/>
    </row>
    <row r="66" spans="2:45" ht="15.75" customHeight="1">
      <c r="B66" s="21"/>
      <c r="C66" s="44" t="str">
        <f>C$10</f>
        <v>１、２歳児</v>
      </c>
      <c r="D66" s="28">
        <f>D64</f>
        <v>14</v>
      </c>
      <c r="E66" s="31" t="str">
        <f>E$10</f>
        <v>C</v>
      </c>
      <c r="F66" s="140" t="str">
        <f t="shared" si="0"/>
        <v>14C</v>
      </c>
      <c r="G66" s="32">
        <v>1130</v>
      </c>
      <c r="H66" s="33">
        <v>2.9</v>
      </c>
      <c r="I66" s="32">
        <v>1070</v>
      </c>
      <c r="J66" s="33">
        <v>2.9</v>
      </c>
      <c r="K66" s="30">
        <f t="shared" ref="K66:P66" si="99">K$10</f>
        <v>0</v>
      </c>
      <c r="L66" s="45">
        <f t="shared" si="99"/>
        <v>0</v>
      </c>
      <c r="M66" s="30">
        <f t="shared" si="99"/>
        <v>0</v>
      </c>
      <c r="N66" s="45">
        <f t="shared" si="99"/>
        <v>0</v>
      </c>
      <c r="O66" s="30">
        <f t="shared" si="99"/>
        <v>170</v>
      </c>
      <c r="P66" s="45">
        <f t="shared" si="99"/>
        <v>2.7</v>
      </c>
      <c r="Q66" s="141"/>
      <c r="R66" s="141"/>
      <c r="S66" s="157">
        <f t="shared" ref="S66:V66" si="100">S64</f>
        <v>0.01</v>
      </c>
      <c r="T66" s="157">
        <f t="shared" si="100"/>
        <v>0.03</v>
      </c>
      <c r="U66" s="157">
        <f t="shared" si="100"/>
        <v>0.04</v>
      </c>
      <c r="V66" s="157">
        <f t="shared" si="100"/>
        <v>0.06</v>
      </c>
      <c r="W66" s="30">
        <f t="shared" ref="W66:X66" si="101">W64</f>
        <v>10</v>
      </c>
      <c r="X66" s="45">
        <f t="shared" si="101"/>
        <v>6.8</v>
      </c>
      <c r="Y66" s="17"/>
      <c r="Z66" s="17"/>
      <c r="AA66" s="17"/>
      <c r="AB66" s="17"/>
      <c r="AC66" s="17"/>
      <c r="AD66" s="17"/>
      <c r="AF66" s="17"/>
      <c r="AG66" s="17"/>
      <c r="AH66" s="17"/>
      <c r="AO66" s="17"/>
      <c r="AP66" s="17"/>
      <c r="AQ66" s="17"/>
      <c r="AR66" s="17"/>
      <c r="AS66" s="17"/>
    </row>
    <row r="67" spans="2:45" ht="15.75" customHeight="1">
      <c r="B67" s="56"/>
      <c r="C67" s="47" t="str">
        <f>C$11</f>
        <v>乳児</v>
      </c>
      <c r="D67" s="38">
        <f>D64</f>
        <v>14</v>
      </c>
      <c r="E67" s="41" t="str">
        <f>E$11</f>
        <v>D</v>
      </c>
      <c r="F67" s="143" t="str">
        <f t="shared" si="0"/>
        <v>14D</v>
      </c>
      <c r="G67" s="35">
        <v>2020</v>
      </c>
      <c r="H67" s="36">
        <v>2.9</v>
      </c>
      <c r="I67" s="35">
        <v>1960</v>
      </c>
      <c r="J67" s="36">
        <v>2.8</v>
      </c>
      <c r="K67" s="40">
        <f t="shared" ref="K67:P67" si="102">K$11</f>
        <v>0</v>
      </c>
      <c r="L67" s="48">
        <f t="shared" si="102"/>
        <v>0</v>
      </c>
      <c r="M67" s="40">
        <f t="shared" si="102"/>
        <v>0</v>
      </c>
      <c r="N67" s="48">
        <f t="shared" si="102"/>
        <v>0</v>
      </c>
      <c r="O67" s="40">
        <f t="shared" si="102"/>
        <v>0</v>
      </c>
      <c r="P67" s="48">
        <f t="shared" si="102"/>
        <v>0</v>
      </c>
      <c r="Q67" s="144"/>
      <c r="R67" s="144"/>
      <c r="S67" s="158">
        <f t="shared" ref="S67:V67" si="103">S64</f>
        <v>0.01</v>
      </c>
      <c r="T67" s="158">
        <f t="shared" si="103"/>
        <v>0.03</v>
      </c>
      <c r="U67" s="158">
        <f t="shared" si="103"/>
        <v>0.04</v>
      </c>
      <c r="V67" s="158">
        <f t="shared" si="103"/>
        <v>0.06</v>
      </c>
      <c r="W67" s="40">
        <f t="shared" ref="W67:X67" si="104">W64</f>
        <v>10</v>
      </c>
      <c r="X67" s="48">
        <f t="shared" si="104"/>
        <v>6.8</v>
      </c>
      <c r="Y67" s="17"/>
      <c r="Z67" s="17"/>
      <c r="AA67" s="17"/>
      <c r="AB67" s="17"/>
      <c r="AC67" s="17"/>
      <c r="AD67" s="17"/>
      <c r="AF67" s="17"/>
      <c r="AG67" s="17"/>
      <c r="AH67" s="17"/>
      <c r="AO67" s="17"/>
      <c r="AP67" s="17"/>
      <c r="AQ67" s="17"/>
      <c r="AR67" s="17"/>
      <c r="AS67" s="17"/>
    </row>
    <row r="68" spans="2:45" ht="15.75" customHeight="1">
      <c r="B68" s="52" t="s">
        <v>66</v>
      </c>
      <c r="C68" s="42" t="str">
        <f>C$8</f>
        <v>４歳以上児</v>
      </c>
      <c r="D68" s="22">
        <v>15</v>
      </c>
      <c r="E68" s="25" t="str">
        <f>E$8</f>
        <v>A</v>
      </c>
      <c r="F68" s="145" t="str">
        <f t="shared" si="0"/>
        <v>15A</v>
      </c>
      <c r="G68" s="27">
        <v>420</v>
      </c>
      <c r="H68" s="43">
        <v>3</v>
      </c>
      <c r="I68" s="27">
        <v>360</v>
      </c>
      <c r="J68" s="43">
        <v>3.1</v>
      </c>
      <c r="K68" s="24">
        <f t="shared" ref="K68:P68" si="105">K$8</f>
        <v>0</v>
      </c>
      <c r="L68" s="55">
        <f t="shared" si="105"/>
        <v>0</v>
      </c>
      <c r="M68" s="24">
        <f t="shared" si="105"/>
        <v>30</v>
      </c>
      <c r="N68" s="55">
        <f t="shared" si="105"/>
        <v>3.8</v>
      </c>
      <c r="O68" s="24">
        <f t="shared" si="105"/>
        <v>0</v>
      </c>
      <c r="P68" s="55">
        <f t="shared" si="105"/>
        <v>0</v>
      </c>
      <c r="Q68" s="146"/>
      <c r="R68" s="146"/>
      <c r="S68" s="155">
        <v>0.01</v>
      </c>
      <c r="T68" s="155">
        <v>0.03</v>
      </c>
      <c r="U68" s="155">
        <v>0.04</v>
      </c>
      <c r="V68" s="155">
        <v>0.06</v>
      </c>
      <c r="W68" s="27">
        <v>10</v>
      </c>
      <c r="X68" s="43">
        <v>6.2</v>
      </c>
      <c r="Y68" s="17"/>
      <c r="Z68" s="17"/>
      <c r="AA68" s="17"/>
      <c r="AB68" s="17"/>
      <c r="AC68" s="17"/>
      <c r="AD68" s="17"/>
      <c r="AF68" s="17"/>
      <c r="AG68" s="17"/>
      <c r="AH68" s="17"/>
      <c r="AO68" s="17"/>
      <c r="AP68" s="17"/>
      <c r="AQ68" s="17"/>
      <c r="AR68" s="17"/>
      <c r="AS68" s="17"/>
    </row>
    <row r="69" spans="2:45" ht="15.75" customHeight="1">
      <c r="B69" s="21"/>
      <c r="C69" s="44" t="str">
        <f>C$9</f>
        <v>３歳児</v>
      </c>
      <c r="D69" s="28">
        <f>D68</f>
        <v>15</v>
      </c>
      <c r="E69" s="31" t="str">
        <f>E$9</f>
        <v>B</v>
      </c>
      <c r="F69" s="140" t="str">
        <f t="shared" si="0"/>
        <v>15B</v>
      </c>
      <c r="G69" s="32">
        <v>500</v>
      </c>
      <c r="H69" s="33">
        <v>3</v>
      </c>
      <c r="I69" s="32">
        <v>440</v>
      </c>
      <c r="J69" s="33">
        <v>3</v>
      </c>
      <c r="K69" s="30">
        <f t="shared" ref="K69:P69" si="106">K$9</f>
        <v>80</v>
      </c>
      <c r="L69" s="45">
        <f t="shared" si="106"/>
        <v>2.8</v>
      </c>
      <c r="M69" s="30">
        <f t="shared" si="106"/>
        <v>0</v>
      </c>
      <c r="N69" s="45">
        <f t="shared" si="106"/>
        <v>0</v>
      </c>
      <c r="O69" s="30">
        <f t="shared" si="106"/>
        <v>0</v>
      </c>
      <c r="P69" s="45">
        <f t="shared" si="106"/>
        <v>0</v>
      </c>
      <c r="Q69" s="141"/>
      <c r="R69" s="141"/>
      <c r="S69" s="157">
        <f t="shared" ref="S69:V69" si="107">S68</f>
        <v>0.01</v>
      </c>
      <c r="T69" s="157">
        <f t="shared" si="107"/>
        <v>0.03</v>
      </c>
      <c r="U69" s="157">
        <f t="shared" si="107"/>
        <v>0.04</v>
      </c>
      <c r="V69" s="157">
        <f t="shared" si="107"/>
        <v>0.06</v>
      </c>
      <c r="W69" s="30">
        <f t="shared" ref="W69:X69" si="108">W68</f>
        <v>10</v>
      </c>
      <c r="X69" s="45">
        <f t="shared" si="108"/>
        <v>6.2</v>
      </c>
      <c r="Y69" s="17"/>
      <c r="Z69" s="17"/>
      <c r="AA69" s="17"/>
      <c r="AB69" s="17"/>
      <c r="AC69" s="17"/>
      <c r="AD69" s="17"/>
      <c r="AF69" s="17"/>
      <c r="AG69" s="17"/>
      <c r="AH69" s="17"/>
      <c r="AO69" s="17"/>
      <c r="AP69" s="17"/>
      <c r="AQ69" s="17"/>
      <c r="AR69" s="17"/>
      <c r="AS69" s="17"/>
    </row>
    <row r="70" spans="2:45" ht="15.75" customHeight="1">
      <c r="B70" s="21"/>
      <c r="C70" s="44" t="str">
        <f>C$10</f>
        <v>１、２歳児</v>
      </c>
      <c r="D70" s="28">
        <f>D68</f>
        <v>15</v>
      </c>
      <c r="E70" s="31" t="str">
        <f>E$10</f>
        <v>C</v>
      </c>
      <c r="F70" s="140" t="str">
        <f t="shared" si="0"/>
        <v>15C</v>
      </c>
      <c r="G70" s="32">
        <v>1110</v>
      </c>
      <c r="H70" s="33">
        <v>2.9</v>
      </c>
      <c r="I70" s="32">
        <v>1060</v>
      </c>
      <c r="J70" s="33">
        <v>2.9</v>
      </c>
      <c r="K70" s="30">
        <f t="shared" ref="K70:P70" si="109">K$10</f>
        <v>0</v>
      </c>
      <c r="L70" s="45">
        <f t="shared" si="109"/>
        <v>0</v>
      </c>
      <c r="M70" s="30">
        <f t="shared" si="109"/>
        <v>0</v>
      </c>
      <c r="N70" s="45">
        <f t="shared" si="109"/>
        <v>0</v>
      </c>
      <c r="O70" s="30">
        <f t="shared" si="109"/>
        <v>170</v>
      </c>
      <c r="P70" s="45">
        <f t="shared" si="109"/>
        <v>2.7</v>
      </c>
      <c r="Q70" s="141"/>
      <c r="R70" s="141"/>
      <c r="S70" s="157">
        <f t="shared" ref="S70:V70" si="110">S68</f>
        <v>0.01</v>
      </c>
      <c r="T70" s="157">
        <f t="shared" si="110"/>
        <v>0.03</v>
      </c>
      <c r="U70" s="157">
        <f t="shared" si="110"/>
        <v>0.04</v>
      </c>
      <c r="V70" s="157">
        <f t="shared" si="110"/>
        <v>0.06</v>
      </c>
      <c r="W70" s="30">
        <f t="shared" ref="W70:X70" si="111">W68</f>
        <v>10</v>
      </c>
      <c r="X70" s="45">
        <f t="shared" si="111"/>
        <v>6.2</v>
      </c>
      <c r="Y70" s="17"/>
      <c r="Z70" s="17"/>
      <c r="AA70" s="17"/>
      <c r="AB70" s="17"/>
      <c r="AC70" s="17"/>
      <c r="AD70" s="17"/>
      <c r="AF70" s="17"/>
      <c r="AG70" s="17"/>
      <c r="AH70" s="17"/>
      <c r="AO70" s="17"/>
      <c r="AP70" s="17"/>
      <c r="AQ70" s="17"/>
      <c r="AR70" s="17"/>
      <c r="AS70" s="17"/>
    </row>
    <row r="71" spans="2:45" ht="15.75" customHeight="1">
      <c r="B71" s="56"/>
      <c r="C71" s="47" t="str">
        <f>C$11</f>
        <v>乳児</v>
      </c>
      <c r="D71" s="38">
        <f>D68</f>
        <v>15</v>
      </c>
      <c r="E71" s="41" t="str">
        <f>E$11</f>
        <v>D</v>
      </c>
      <c r="F71" s="143" t="str">
        <f t="shared" si="0"/>
        <v>15D</v>
      </c>
      <c r="G71" s="35">
        <v>2000</v>
      </c>
      <c r="H71" s="36">
        <v>2.8</v>
      </c>
      <c r="I71" s="35">
        <v>1950</v>
      </c>
      <c r="J71" s="36">
        <v>2.8</v>
      </c>
      <c r="K71" s="40">
        <f t="shared" ref="K71:P71" si="112">K$11</f>
        <v>0</v>
      </c>
      <c r="L71" s="48">
        <f t="shared" si="112"/>
        <v>0</v>
      </c>
      <c r="M71" s="40">
        <f t="shared" si="112"/>
        <v>0</v>
      </c>
      <c r="N71" s="48">
        <f t="shared" si="112"/>
        <v>0</v>
      </c>
      <c r="O71" s="40">
        <f t="shared" si="112"/>
        <v>0</v>
      </c>
      <c r="P71" s="48">
        <f t="shared" si="112"/>
        <v>0</v>
      </c>
      <c r="Q71" s="144"/>
      <c r="R71" s="144"/>
      <c r="S71" s="158">
        <f t="shared" ref="S71:V71" si="113">S68</f>
        <v>0.01</v>
      </c>
      <c r="T71" s="158">
        <f t="shared" si="113"/>
        <v>0.03</v>
      </c>
      <c r="U71" s="158">
        <f t="shared" si="113"/>
        <v>0.04</v>
      </c>
      <c r="V71" s="158">
        <f t="shared" si="113"/>
        <v>0.06</v>
      </c>
      <c r="W71" s="40">
        <f t="shared" ref="W71:X71" si="114">W68</f>
        <v>10</v>
      </c>
      <c r="X71" s="48">
        <f t="shared" si="114"/>
        <v>6.2</v>
      </c>
      <c r="Y71" s="17"/>
      <c r="AA71" s="17"/>
      <c r="AB71" s="17"/>
      <c r="AC71" s="17"/>
      <c r="AD71" s="17"/>
      <c r="AF71" s="17"/>
      <c r="AG71" s="17"/>
      <c r="AH71" s="17"/>
      <c r="AO71" s="17"/>
      <c r="AP71" s="17"/>
      <c r="AQ71" s="17"/>
      <c r="AR71" s="17"/>
      <c r="AS71" s="17"/>
    </row>
    <row r="72" spans="2:45" ht="15.75" customHeight="1">
      <c r="B72" s="52" t="s">
        <v>67</v>
      </c>
      <c r="C72" s="42" t="str">
        <f>C$8</f>
        <v>４歳以上児</v>
      </c>
      <c r="D72" s="22">
        <v>16</v>
      </c>
      <c r="E72" s="25" t="str">
        <f>E$8</f>
        <v>A</v>
      </c>
      <c r="F72" s="145" t="str">
        <f t="shared" si="0"/>
        <v>16A</v>
      </c>
      <c r="G72" s="27">
        <v>400</v>
      </c>
      <c r="H72" s="43">
        <v>3</v>
      </c>
      <c r="I72" s="27">
        <v>350</v>
      </c>
      <c r="J72" s="43">
        <v>3</v>
      </c>
      <c r="K72" s="24">
        <f t="shared" ref="K72:P72" si="115">K$8</f>
        <v>0</v>
      </c>
      <c r="L72" s="55">
        <f t="shared" si="115"/>
        <v>0</v>
      </c>
      <c r="M72" s="24">
        <f t="shared" si="115"/>
        <v>30</v>
      </c>
      <c r="N72" s="55">
        <f t="shared" si="115"/>
        <v>3.8</v>
      </c>
      <c r="O72" s="24">
        <f t="shared" si="115"/>
        <v>0</v>
      </c>
      <c r="P72" s="55">
        <f t="shared" si="115"/>
        <v>0</v>
      </c>
      <c r="Q72" s="146"/>
      <c r="R72" s="146"/>
      <c r="S72" s="155">
        <v>0.01</v>
      </c>
      <c r="T72" s="155">
        <v>0.03</v>
      </c>
      <c r="U72" s="155">
        <v>0.04</v>
      </c>
      <c r="V72" s="155">
        <v>0.06</v>
      </c>
      <c r="W72" s="27">
        <v>10</v>
      </c>
      <c r="X72" s="43">
        <v>5.7</v>
      </c>
      <c r="Y72" s="17"/>
      <c r="Z72" s="17"/>
      <c r="AA72" s="17"/>
      <c r="AB72" s="17"/>
      <c r="AC72" s="17"/>
      <c r="AD72" s="17"/>
      <c r="AF72" s="17"/>
      <c r="AG72" s="17"/>
      <c r="AH72" s="17"/>
      <c r="AO72" s="17"/>
      <c r="AP72" s="17"/>
      <c r="AQ72" s="17"/>
      <c r="AR72" s="17"/>
      <c r="AS72" s="17"/>
    </row>
    <row r="73" spans="2:45" ht="15.75" customHeight="1">
      <c r="B73" s="21"/>
      <c r="C73" s="44" t="str">
        <f>C$9</f>
        <v>３歳児</v>
      </c>
      <c r="D73" s="28">
        <f>D72</f>
        <v>16</v>
      </c>
      <c r="E73" s="31" t="str">
        <f>E$9</f>
        <v>B</v>
      </c>
      <c r="F73" s="140" t="str">
        <f t="shared" si="0"/>
        <v>16B</v>
      </c>
      <c r="G73" s="32">
        <v>480</v>
      </c>
      <c r="H73" s="33">
        <v>3</v>
      </c>
      <c r="I73" s="32">
        <v>430</v>
      </c>
      <c r="J73" s="33">
        <v>3</v>
      </c>
      <c r="K73" s="30">
        <f t="shared" ref="K73:P73" si="116">K$9</f>
        <v>80</v>
      </c>
      <c r="L73" s="45">
        <f t="shared" si="116"/>
        <v>2.8</v>
      </c>
      <c r="M73" s="30">
        <f t="shared" si="116"/>
        <v>0</v>
      </c>
      <c r="N73" s="45">
        <f t="shared" si="116"/>
        <v>0</v>
      </c>
      <c r="O73" s="30">
        <f t="shared" si="116"/>
        <v>0</v>
      </c>
      <c r="P73" s="45">
        <f t="shared" si="116"/>
        <v>0</v>
      </c>
      <c r="Q73" s="141"/>
      <c r="R73" s="141"/>
      <c r="S73" s="157">
        <f t="shared" ref="S73:V73" si="117">S72</f>
        <v>0.01</v>
      </c>
      <c r="T73" s="157">
        <f t="shared" si="117"/>
        <v>0.03</v>
      </c>
      <c r="U73" s="157">
        <f t="shared" si="117"/>
        <v>0.04</v>
      </c>
      <c r="V73" s="157">
        <f t="shared" si="117"/>
        <v>0.06</v>
      </c>
      <c r="W73" s="30">
        <f t="shared" ref="W73:X73" si="118">W72</f>
        <v>10</v>
      </c>
      <c r="X73" s="45">
        <f t="shared" si="118"/>
        <v>5.7</v>
      </c>
      <c r="Y73" s="17"/>
      <c r="Z73" s="17"/>
      <c r="AA73" s="17"/>
      <c r="AB73" s="17"/>
      <c r="AC73" s="17"/>
      <c r="AD73" s="17"/>
      <c r="AF73" s="17"/>
      <c r="AG73" s="17"/>
      <c r="AH73" s="17"/>
      <c r="AO73" s="17"/>
      <c r="AP73" s="17"/>
      <c r="AQ73" s="17"/>
      <c r="AR73" s="17"/>
      <c r="AS73" s="17"/>
    </row>
    <row r="74" spans="2:45" ht="15.75" customHeight="1">
      <c r="B74" s="21"/>
      <c r="C74" s="44" t="str">
        <f>C$10</f>
        <v>１、２歳児</v>
      </c>
      <c r="D74" s="28">
        <f>D72</f>
        <v>16</v>
      </c>
      <c r="E74" s="31" t="str">
        <f>E$10</f>
        <v>C</v>
      </c>
      <c r="F74" s="140" t="str">
        <f t="shared" si="0"/>
        <v>16C</v>
      </c>
      <c r="G74" s="32">
        <v>1090</v>
      </c>
      <c r="H74" s="33">
        <v>2.9</v>
      </c>
      <c r="I74" s="32">
        <v>1040</v>
      </c>
      <c r="J74" s="33">
        <v>2.9</v>
      </c>
      <c r="K74" s="30">
        <f t="shared" ref="K74:P74" si="119">K$10</f>
        <v>0</v>
      </c>
      <c r="L74" s="45">
        <f t="shared" si="119"/>
        <v>0</v>
      </c>
      <c r="M74" s="30">
        <f t="shared" si="119"/>
        <v>0</v>
      </c>
      <c r="N74" s="45">
        <f t="shared" si="119"/>
        <v>0</v>
      </c>
      <c r="O74" s="30">
        <f t="shared" si="119"/>
        <v>170</v>
      </c>
      <c r="P74" s="45">
        <f t="shared" si="119"/>
        <v>2.7</v>
      </c>
      <c r="Q74" s="141"/>
      <c r="R74" s="141"/>
      <c r="S74" s="157">
        <f t="shared" ref="S74:V74" si="120">S72</f>
        <v>0.01</v>
      </c>
      <c r="T74" s="157">
        <f t="shared" si="120"/>
        <v>0.03</v>
      </c>
      <c r="U74" s="157">
        <f t="shared" si="120"/>
        <v>0.04</v>
      </c>
      <c r="V74" s="157">
        <f t="shared" si="120"/>
        <v>0.06</v>
      </c>
      <c r="W74" s="30">
        <f t="shared" ref="W74:X74" si="121">W72</f>
        <v>10</v>
      </c>
      <c r="X74" s="45">
        <f t="shared" si="121"/>
        <v>5.7</v>
      </c>
      <c r="Y74" s="17"/>
      <c r="Z74" s="17"/>
      <c r="AA74" s="17"/>
      <c r="AB74" s="17"/>
      <c r="AC74" s="17"/>
      <c r="AD74" s="17"/>
      <c r="AF74" s="17"/>
      <c r="AG74" s="17"/>
      <c r="AH74" s="17"/>
      <c r="AO74" s="17"/>
      <c r="AP74" s="17"/>
      <c r="AQ74" s="17"/>
      <c r="AR74" s="17"/>
      <c r="AS74" s="17"/>
    </row>
    <row r="75" spans="2:45" ht="15.75" customHeight="1">
      <c r="B75" s="56"/>
      <c r="C75" s="47" t="str">
        <f>C$11</f>
        <v>乳児</v>
      </c>
      <c r="D75" s="38">
        <f>D72</f>
        <v>16</v>
      </c>
      <c r="E75" s="41" t="str">
        <f>E$11</f>
        <v>D</v>
      </c>
      <c r="F75" s="143" t="str">
        <f t="shared" si="0"/>
        <v>16D</v>
      </c>
      <c r="G75" s="35">
        <v>1980</v>
      </c>
      <c r="H75" s="36">
        <v>2.8</v>
      </c>
      <c r="I75" s="35">
        <v>1930</v>
      </c>
      <c r="J75" s="36">
        <v>2.8</v>
      </c>
      <c r="K75" s="40">
        <f t="shared" ref="K75:P75" si="122">K$11</f>
        <v>0</v>
      </c>
      <c r="L75" s="48">
        <f t="shared" si="122"/>
        <v>0</v>
      </c>
      <c r="M75" s="40">
        <f t="shared" si="122"/>
        <v>0</v>
      </c>
      <c r="N75" s="48">
        <f t="shared" si="122"/>
        <v>0</v>
      </c>
      <c r="O75" s="40">
        <f t="shared" si="122"/>
        <v>0</v>
      </c>
      <c r="P75" s="48">
        <f t="shared" si="122"/>
        <v>0</v>
      </c>
      <c r="Q75" s="144"/>
      <c r="R75" s="144"/>
      <c r="S75" s="158">
        <f t="shared" ref="S75:V75" si="123">S72</f>
        <v>0.01</v>
      </c>
      <c r="T75" s="158">
        <f t="shared" si="123"/>
        <v>0.03</v>
      </c>
      <c r="U75" s="158">
        <f t="shared" si="123"/>
        <v>0.04</v>
      </c>
      <c r="V75" s="158">
        <f t="shared" si="123"/>
        <v>0.06</v>
      </c>
      <c r="W75" s="40">
        <f t="shared" ref="W75:X75" si="124">W72</f>
        <v>10</v>
      </c>
      <c r="X75" s="48">
        <f t="shared" si="124"/>
        <v>5.7</v>
      </c>
      <c r="Y75" s="17"/>
      <c r="Z75" s="17"/>
      <c r="AA75" s="17"/>
      <c r="AB75" s="17"/>
      <c r="AC75" s="17"/>
      <c r="AD75" s="17"/>
      <c r="AF75" s="17"/>
      <c r="AG75" s="17"/>
      <c r="AH75" s="17"/>
      <c r="AO75" s="17"/>
      <c r="AP75" s="17"/>
      <c r="AQ75" s="17"/>
      <c r="AR75" s="17"/>
      <c r="AS75" s="17"/>
    </row>
    <row r="76" spans="2:45" ht="15.75" customHeight="1">
      <c r="B76" s="52" t="s">
        <v>68</v>
      </c>
      <c r="C76" s="42" t="str">
        <f>C$8</f>
        <v>４歳以上児</v>
      </c>
      <c r="D76" s="22">
        <v>17</v>
      </c>
      <c r="E76" s="25" t="str">
        <f>E$8</f>
        <v>A</v>
      </c>
      <c r="F76" s="145" t="str">
        <f t="shared" si="0"/>
        <v>17A</v>
      </c>
      <c r="G76" s="27">
        <v>380</v>
      </c>
      <c r="H76" s="43">
        <v>3</v>
      </c>
      <c r="I76" s="27">
        <v>330</v>
      </c>
      <c r="J76" s="43">
        <v>3</v>
      </c>
      <c r="K76" s="24">
        <f t="shared" ref="K76:P76" si="125">K$8</f>
        <v>0</v>
      </c>
      <c r="L76" s="55">
        <f t="shared" si="125"/>
        <v>0</v>
      </c>
      <c r="M76" s="24">
        <f t="shared" si="125"/>
        <v>30</v>
      </c>
      <c r="N76" s="55">
        <f t="shared" si="125"/>
        <v>3.8</v>
      </c>
      <c r="O76" s="24">
        <f t="shared" si="125"/>
        <v>0</v>
      </c>
      <c r="P76" s="55">
        <f t="shared" si="125"/>
        <v>0</v>
      </c>
      <c r="Q76" s="146"/>
      <c r="R76" s="146"/>
      <c r="S76" s="155">
        <v>0.01</v>
      </c>
      <c r="T76" s="155">
        <v>0.03</v>
      </c>
      <c r="U76" s="155">
        <v>0.04</v>
      </c>
      <c r="V76" s="155">
        <v>0.06</v>
      </c>
      <c r="W76" s="27">
        <v>10</v>
      </c>
      <c r="X76" s="43">
        <v>5.2</v>
      </c>
      <c r="Y76" s="17"/>
      <c r="Z76" s="17"/>
      <c r="AA76" s="17"/>
      <c r="AB76" s="17"/>
      <c r="AC76" s="17"/>
      <c r="AD76" s="17"/>
      <c r="AF76" s="17"/>
      <c r="AG76" s="17"/>
      <c r="AH76" s="17"/>
      <c r="AO76" s="17"/>
      <c r="AP76" s="17"/>
      <c r="AQ76" s="17"/>
      <c r="AR76" s="17"/>
      <c r="AS76" s="17"/>
    </row>
    <row r="77" spans="2:45" ht="15.75" customHeight="1">
      <c r="B77" s="21"/>
      <c r="C77" s="44" t="str">
        <f>C$9</f>
        <v>３歳児</v>
      </c>
      <c r="D77" s="28">
        <f>D76</f>
        <v>17</v>
      </c>
      <c r="E77" s="31" t="str">
        <f>E$9</f>
        <v>B</v>
      </c>
      <c r="F77" s="140" t="str">
        <f t="shared" si="0"/>
        <v>17B</v>
      </c>
      <c r="G77" s="32">
        <v>460</v>
      </c>
      <c r="H77" s="33">
        <v>3</v>
      </c>
      <c r="I77" s="32">
        <v>410</v>
      </c>
      <c r="J77" s="33">
        <v>3</v>
      </c>
      <c r="K77" s="30">
        <f t="shared" ref="K77:P77" si="126">K$9</f>
        <v>80</v>
      </c>
      <c r="L77" s="45">
        <f t="shared" si="126"/>
        <v>2.8</v>
      </c>
      <c r="M77" s="30">
        <f t="shared" si="126"/>
        <v>0</v>
      </c>
      <c r="N77" s="45">
        <f t="shared" si="126"/>
        <v>0</v>
      </c>
      <c r="O77" s="30">
        <f t="shared" si="126"/>
        <v>0</v>
      </c>
      <c r="P77" s="45">
        <f t="shared" si="126"/>
        <v>0</v>
      </c>
      <c r="Q77" s="141"/>
      <c r="R77" s="141"/>
      <c r="S77" s="157">
        <f t="shared" ref="S77:X77" si="127">S76</f>
        <v>0.01</v>
      </c>
      <c r="T77" s="157">
        <f t="shared" si="127"/>
        <v>0.03</v>
      </c>
      <c r="U77" s="157">
        <f t="shared" si="127"/>
        <v>0.04</v>
      </c>
      <c r="V77" s="157">
        <f t="shared" si="127"/>
        <v>0.06</v>
      </c>
      <c r="W77" s="30">
        <f t="shared" si="127"/>
        <v>10</v>
      </c>
      <c r="X77" s="45">
        <f t="shared" si="127"/>
        <v>5.2</v>
      </c>
      <c r="Y77" s="17"/>
      <c r="Z77" s="17"/>
      <c r="AA77" s="17"/>
      <c r="AB77" s="17"/>
      <c r="AC77" s="17"/>
      <c r="AD77" s="17"/>
      <c r="AF77" s="17"/>
      <c r="AG77" s="17"/>
      <c r="AH77" s="17"/>
      <c r="AO77" s="17"/>
      <c r="AP77" s="17"/>
      <c r="AQ77" s="17"/>
      <c r="AR77" s="17"/>
      <c r="AS77" s="17"/>
    </row>
    <row r="78" spans="2:45" ht="15.75" customHeight="1">
      <c r="B78" s="21"/>
      <c r="C78" s="44" t="str">
        <f>C$10</f>
        <v>１、２歳児</v>
      </c>
      <c r="D78" s="28">
        <f>D76</f>
        <v>17</v>
      </c>
      <c r="E78" s="31" t="str">
        <f>E$10</f>
        <v>C</v>
      </c>
      <c r="F78" s="140" t="str">
        <f t="shared" si="0"/>
        <v>17C</v>
      </c>
      <c r="G78" s="32">
        <v>1070</v>
      </c>
      <c r="H78" s="33">
        <v>2.9</v>
      </c>
      <c r="I78" s="32">
        <v>1030</v>
      </c>
      <c r="J78" s="33">
        <v>2.8</v>
      </c>
      <c r="K78" s="30">
        <f t="shared" ref="K78:P78" si="128">K$10</f>
        <v>0</v>
      </c>
      <c r="L78" s="45">
        <f t="shared" si="128"/>
        <v>0</v>
      </c>
      <c r="M78" s="30">
        <f t="shared" si="128"/>
        <v>0</v>
      </c>
      <c r="N78" s="45">
        <f t="shared" si="128"/>
        <v>0</v>
      </c>
      <c r="O78" s="30">
        <f t="shared" si="128"/>
        <v>170</v>
      </c>
      <c r="P78" s="45">
        <f t="shared" si="128"/>
        <v>2.7</v>
      </c>
      <c r="Q78" s="141"/>
      <c r="R78" s="141"/>
      <c r="S78" s="157">
        <f t="shared" ref="S78:X78" si="129">S76</f>
        <v>0.01</v>
      </c>
      <c r="T78" s="157">
        <f t="shared" si="129"/>
        <v>0.03</v>
      </c>
      <c r="U78" s="157">
        <f t="shared" si="129"/>
        <v>0.04</v>
      </c>
      <c r="V78" s="157">
        <f t="shared" si="129"/>
        <v>0.06</v>
      </c>
      <c r="W78" s="30">
        <f t="shared" si="129"/>
        <v>10</v>
      </c>
      <c r="X78" s="45">
        <f t="shared" si="129"/>
        <v>5.2</v>
      </c>
      <c r="Y78" s="17"/>
      <c r="Z78" s="17"/>
      <c r="AA78" s="17"/>
      <c r="AB78" s="17"/>
      <c r="AC78" s="17"/>
      <c r="AD78" s="17"/>
      <c r="AF78" s="17"/>
      <c r="AG78" s="17"/>
      <c r="AH78" s="17"/>
      <c r="AO78" s="17"/>
      <c r="AP78" s="17"/>
      <c r="AQ78" s="17"/>
      <c r="AR78" s="17"/>
      <c r="AS78" s="17"/>
    </row>
    <row r="79" spans="2:45" ht="15.75" customHeight="1">
      <c r="B79" s="56"/>
      <c r="C79" s="47" t="str">
        <f>C$11</f>
        <v>乳児</v>
      </c>
      <c r="D79" s="38">
        <f>D76</f>
        <v>17</v>
      </c>
      <c r="E79" s="41" t="str">
        <f>E$11</f>
        <v>D</v>
      </c>
      <c r="F79" s="143" t="str">
        <f t="shared" si="0"/>
        <v>17D</v>
      </c>
      <c r="G79" s="35">
        <v>1960</v>
      </c>
      <c r="H79" s="36">
        <v>2.8</v>
      </c>
      <c r="I79" s="35">
        <v>1920</v>
      </c>
      <c r="J79" s="36">
        <v>2.8</v>
      </c>
      <c r="K79" s="40">
        <f t="shared" ref="K79:P79" si="130">K$11</f>
        <v>0</v>
      </c>
      <c r="L79" s="48">
        <f t="shared" si="130"/>
        <v>0</v>
      </c>
      <c r="M79" s="40">
        <f t="shared" si="130"/>
        <v>0</v>
      </c>
      <c r="N79" s="48">
        <f t="shared" si="130"/>
        <v>0</v>
      </c>
      <c r="O79" s="40">
        <f t="shared" si="130"/>
        <v>0</v>
      </c>
      <c r="P79" s="48">
        <f t="shared" si="130"/>
        <v>0</v>
      </c>
      <c r="Q79" s="144"/>
      <c r="R79" s="144"/>
      <c r="S79" s="158">
        <f t="shared" ref="S79:X79" si="131">S76</f>
        <v>0.01</v>
      </c>
      <c r="T79" s="158">
        <f t="shared" si="131"/>
        <v>0.03</v>
      </c>
      <c r="U79" s="158">
        <f t="shared" si="131"/>
        <v>0.04</v>
      </c>
      <c r="V79" s="158">
        <f t="shared" si="131"/>
        <v>0.06</v>
      </c>
      <c r="W79" s="40">
        <f t="shared" si="131"/>
        <v>10</v>
      </c>
      <c r="X79" s="48">
        <f t="shared" si="131"/>
        <v>5.2</v>
      </c>
      <c r="Y79" s="17"/>
      <c r="Z79" s="17"/>
      <c r="AA79" s="17"/>
      <c r="AB79" s="17"/>
      <c r="AC79" s="17"/>
      <c r="AD79" s="17"/>
      <c r="AF79" s="17"/>
      <c r="AG79" s="17"/>
      <c r="AH79" s="17"/>
      <c r="AO79" s="17"/>
      <c r="AP79" s="17"/>
      <c r="AQ79" s="17"/>
      <c r="AR79" s="17"/>
      <c r="AS79" s="17"/>
    </row>
    <row r="80" spans="2:45">
      <c r="B80" s="52" t="s">
        <v>69</v>
      </c>
      <c r="C80" s="42" t="str">
        <f>C$8</f>
        <v>４歳以上児</v>
      </c>
      <c r="D80" s="22">
        <v>18</v>
      </c>
      <c r="E80" s="25" t="str">
        <f>E$8</f>
        <v>A</v>
      </c>
      <c r="F80" s="145" t="str">
        <f t="shared" si="0"/>
        <v>18A</v>
      </c>
      <c r="G80" s="27">
        <v>370</v>
      </c>
      <c r="H80" s="43">
        <v>3</v>
      </c>
      <c r="I80" s="27">
        <v>320</v>
      </c>
      <c r="J80" s="43">
        <v>3</v>
      </c>
      <c r="K80" s="24">
        <f t="shared" ref="K80:P80" si="132">K$8</f>
        <v>0</v>
      </c>
      <c r="L80" s="55">
        <f t="shared" si="132"/>
        <v>0</v>
      </c>
      <c r="M80" s="24">
        <f t="shared" si="132"/>
        <v>30</v>
      </c>
      <c r="N80" s="55">
        <f t="shared" si="132"/>
        <v>3.8</v>
      </c>
      <c r="O80" s="24">
        <f t="shared" si="132"/>
        <v>0</v>
      </c>
      <c r="P80" s="55">
        <f t="shared" si="132"/>
        <v>0</v>
      </c>
      <c r="Q80" s="146"/>
      <c r="R80" s="146"/>
      <c r="S80" s="155">
        <v>0.01</v>
      </c>
      <c r="T80" s="155">
        <v>0.03</v>
      </c>
      <c r="U80" s="155">
        <v>0.04</v>
      </c>
      <c r="V80" s="155">
        <v>0.06</v>
      </c>
      <c r="W80" s="27">
        <v>11</v>
      </c>
      <c r="X80" s="43">
        <v>4.4000000000000004</v>
      </c>
    </row>
    <row r="81" spans="2:24">
      <c r="B81" s="21"/>
      <c r="C81" s="44" t="str">
        <f>C$9</f>
        <v>３歳児</v>
      </c>
      <c r="D81" s="28">
        <f>D80</f>
        <v>18</v>
      </c>
      <c r="E81" s="31" t="str">
        <f>E$9</f>
        <v>B</v>
      </c>
      <c r="F81" s="140" t="str">
        <f t="shared" si="0"/>
        <v>18B</v>
      </c>
      <c r="G81" s="32">
        <v>450</v>
      </c>
      <c r="H81" s="33">
        <v>3</v>
      </c>
      <c r="I81" s="32">
        <v>400</v>
      </c>
      <c r="J81" s="33">
        <v>3</v>
      </c>
      <c r="K81" s="30">
        <f t="shared" ref="K81:P81" si="133">K$9</f>
        <v>80</v>
      </c>
      <c r="L81" s="45">
        <f t="shared" si="133"/>
        <v>2.8</v>
      </c>
      <c r="M81" s="30">
        <f t="shared" si="133"/>
        <v>0</v>
      </c>
      <c r="N81" s="45">
        <f t="shared" si="133"/>
        <v>0</v>
      </c>
      <c r="O81" s="30">
        <f t="shared" si="133"/>
        <v>0</v>
      </c>
      <c r="P81" s="45">
        <f t="shared" si="133"/>
        <v>0</v>
      </c>
      <c r="Q81" s="141"/>
      <c r="R81" s="141"/>
      <c r="S81" s="157">
        <f t="shared" ref="S81:X81" si="134">S80</f>
        <v>0.01</v>
      </c>
      <c r="T81" s="157">
        <f t="shared" si="134"/>
        <v>0.03</v>
      </c>
      <c r="U81" s="157">
        <f t="shared" si="134"/>
        <v>0.04</v>
      </c>
      <c r="V81" s="157">
        <f t="shared" si="134"/>
        <v>0.06</v>
      </c>
      <c r="W81" s="30">
        <f t="shared" si="134"/>
        <v>11</v>
      </c>
      <c r="X81" s="45">
        <f t="shared" si="134"/>
        <v>4.4000000000000004</v>
      </c>
    </row>
    <row r="82" spans="2:24">
      <c r="B82" s="21"/>
      <c r="C82" s="44" t="str">
        <f>C$10</f>
        <v>１、２歳児</v>
      </c>
      <c r="D82" s="28">
        <f>D80</f>
        <v>18</v>
      </c>
      <c r="E82" s="31" t="str">
        <f>E$10</f>
        <v>C</v>
      </c>
      <c r="F82" s="140" t="str">
        <f t="shared" si="0"/>
        <v>18C</v>
      </c>
      <c r="G82" s="32">
        <v>1060</v>
      </c>
      <c r="H82" s="33">
        <v>2.9</v>
      </c>
      <c r="I82" s="32">
        <v>1020</v>
      </c>
      <c r="J82" s="33">
        <v>2.8</v>
      </c>
      <c r="K82" s="30">
        <f t="shared" ref="K82:P82" si="135">K$10</f>
        <v>0</v>
      </c>
      <c r="L82" s="45">
        <f t="shared" si="135"/>
        <v>0</v>
      </c>
      <c r="M82" s="30">
        <f t="shared" si="135"/>
        <v>0</v>
      </c>
      <c r="N82" s="45">
        <f t="shared" si="135"/>
        <v>0</v>
      </c>
      <c r="O82" s="30">
        <f t="shared" si="135"/>
        <v>170</v>
      </c>
      <c r="P82" s="45">
        <f t="shared" si="135"/>
        <v>2.7</v>
      </c>
      <c r="Q82" s="141"/>
      <c r="R82" s="141"/>
      <c r="S82" s="157">
        <f t="shared" ref="S82:X82" si="136">S80</f>
        <v>0.01</v>
      </c>
      <c r="T82" s="157">
        <f t="shared" si="136"/>
        <v>0.03</v>
      </c>
      <c r="U82" s="157">
        <f t="shared" si="136"/>
        <v>0.04</v>
      </c>
      <c r="V82" s="157">
        <f t="shared" si="136"/>
        <v>0.06</v>
      </c>
      <c r="W82" s="30">
        <f t="shared" si="136"/>
        <v>11</v>
      </c>
      <c r="X82" s="45">
        <f t="shared" si="136"/>
        <v>4.4000000000000004</v>
      </c>
    </row>
    <row r="83" spans="2:24">
      <c r="B83" s="56"/>
      <c r="C83" s="47" t="str">
        <f>C$11</f>
        <v>乳児</v>
      </c>
      <c r="D83" s="38">
        <f>D80</f>
        <v>18</v>
      </c>
      <c r="E83" s="41" t="str">
        <f>E$11</f>
        <v>D</v>
      </c>
      <c r="F83" s="143" t="str">
        <f t="shared" si="0"/>
        <v>18D</v>
      </c>
      <c r="G83" s="35">
        <v>1950</v>
      </c>
      <c r="H83" s="36">
        <v>2.8</v>
      </c>
      <c r="I83" s="35">
        <v>1910</v>
      </c>
      <c r="J83" s="36">
        <v>2.8</v>
      </c>
      <c r="K83" s="40">
        <f t="shared" ref="K83:P83" si="137">K$11</f>
        <v>0</v>
      </c>
      <c r="L83" s="48">
        <f t="shared" si="137"/>
        <v>0</v>
      </c>
      <c r="M83" s="40">
        <f t="shared" si="137"/>
        <v>0</v>
      </c>
      <c r="N83" s="48">
        <f t="shared" si="137"/>
        <v>0</v>
      </c>
      <c r="O83" s="40">
        <f t="shared" si="137"/>
        <v>0</v>
      </c>
      <c r="P83" s="48">
        <f t="shared" si="137"/>
        <v>0</v>
      </c>
      <c r="Q83" s="144"/>
      <c r="R83" s="144"/>
      <c r="S83" s="158">
        <f t="shared" ref="S83:X83" si="138">S80</f>
        <v>0.01</v>
      </c>
      <c r="T83" s="158">
        <f t="shared" si="138"/>
        <v>0.03</v>
      </c>
      <c r="U83" s="158">
        <f t="shared" si="138"/>
        <v>0.04</v>
      </c>
      <c r="V83" s="158">
        <f t="shared" si="138"/>
        <v>0.06</v>
      </c>
      <c r="W83" s="40">
        <f t="shared" si="138"/>
        <v>11</v>
      </c>
      <c r="X83" s="48">
        <f t="shared" si="138"/>
        <v>4.4000000000000004</v>
      </c>
    </row>
    <row r="84" spans="2:24">
      <c r="B84" s="52" t="s">
        <v>70</v>
      </c>
      <c r="C84" s="42" t="str">
        <f>C$8</f>
        <v>４歳以上児</v>
      </c>
      <c r="D84" s="22">
        <v>19</v>
      </c>
      <c r="E84" s="25" t="str">
        <f>E$8</f>
        <v>A</v>
      </c>
      <c r="F84" s="145" t="str">
        <f t="shared" si="0"/>
        <v>19A</v>
      </c>
      <c r="G84" s="27">
        <v>350</v>
      </c>
      <c r="H84" s="43">
        <v>3</v>
      </c>
      <c r="I84" s="27">
        <v>310</v>
      </c>
      <c r="J84" s="43">
        <v>3</v>
      </c>
      <c r="K84" s="24">
        <f t="shared" ref="K84:P84" si="139">K$8</f>
        <v>0</v>
      </c>
      <c r="L84" s="55">
        <f t="shared" si="139"/>
        <v>0</v>
      </c>
      <c r="M84" s="24">
        <f t="shared" si="139"/>
        <v>30</v>
      </c>
      <c r="N84" s="55">
        <f t="shared" si="139"/>
        <v>3.8</v>
      </c>
      <c r="O84" s="24">
        <f t="shared" si="139"/>
        <v>0</v>
      </c>
      <c r="P84" s="55">
        <f t="shared" si="139"/>
        <v>0</v>
      </c>
      <c r="Q84" s="146"/>
      <c r="R84" s="146"/>
      <c r="S84" s="155">
        <v>0.01</v>
      </c>
      <c r="T84" s="155">
        <v>0.03</v>
      </c>
      <c r="U84" s="155">
        <v>0.04</v>
      </c>
      <c r="V84" s="155">
        <v>0.06</v>
      </c>
      <c r="W84" s="27">
        <v>10</v>
      </c>
      <c r="X84" s="43">
        <v>4.5</v>
      </c>
    </row>
    <row r="85" spans="2:24">
      <c r="B85" s="21"/>
      <c r="C85" s="44" t="str">
        <f>C$9</f>
        <v>３歳児</v>
      </c>
      <c r="D85" s="28">
        <f>D84</f>
        <v>19</v>
      </c>
      <c r="E85" s="31" t="str">
        <f>E$9</f>
        <v>B</v>
      </c>
      <c r="F85" s="140" t="str">
        <f t="shared" si="0"/>
        <v>19B</v>
      </c>
      <c r="G85" s="32">
        <v>430</v>
      </c>
      <c r="H85" s="33">
        <v>3</v>
      </c>
      <c r="I85" s="32">
        <v>390</v>
      </c>
      <c r="J85" s="33">
        <v>3</v>
      </c>
      <c r="K85" s="30">
        <f t="shared" ref="K85:P85" si="140">K$9</f>
        <v>80</v>
      </c>
      <c r="L85" s="45">
        <f t="shared" si="140"/>
        <v>2.8</v>
      </c>
      <c r="M85" s="30">
        <f t="shared" si="140"/>
        <v>0</v>
      </c>
      <c r="N85" s="45">
        <f t="shared" si="140"/>
        <v>0</v>
      </c>
      <c r="O85" s="30">
        <f t="shared" si="140"/>
        <v>0</v>
      </c>
      <c r="P85" s="45">
        <f t="shared" si="140"/>
        <v>0</v>
      </c>
      <c r="Q85" s="141"/>
      <c r="R85" s="141"/>
      <c r="S85" s="157">
        <f t="shared" ref="S85:X85" si="141">S84</f>
        <v>0.01</v>
      </c>
      <c r="T85" s="157">
        <f t="shared" si="141"/>
        <v>0.03</v>
      </c>
      <c r="U85" s="157">
        <f t="shared" si="141"/>
        <v>0.04</v>
      </c>
      <c r="V85" s="157">
        <f t="shared" si="141"/>
        <v>0.06</v>
      </c>
      <c r="W85" s="30">
        <f t="shared" si="141"/>
        <v>10</v>
      </c>
      <c r="X85" s="45">
        <f t="shared" si="141"/>
        <v>4.5</v>
      </c>
    </row>
    <row r="86" spans="2:24">
      <c r="B86" s="21"/>
      <c r="C86" s="44" t="str">
        <f>C$10</f>
        <v>１、２歳児</v>
      </c>
      <c r="D86" s="28">
        <f>D84</f>
        <v>19</v>
      </c>
      <c r="E86" s="31" t="str">
        <f>E$10</f>
        <v>C</v>
      </c>
      <c r="F86" s="140" t="str">
        <f t="shared" si="0"/>
        <v>19C</v>
      </c>
      <c r="G86" s="32">
        <v>1050</v>
      </c>
      <c r="H86" s="33">
        <v>2.9</v>
      </c>
      <c r="I86" s="32">
        <v>1010</v>
      </c>
      <c r="J86" s="33">
        <v>2.8</v>
      </c>
      <c r="K86" s="30">
        <f t="shared" ref="K86:P86" si="142">K$10</f>
        <v>0</v>
      </c>
      <c r="L86" s="45">
        <f t="shared" si="142"/>
        <v>0</v>
      </c>
      <c r="M86" s="30">
        <f t="shared" si="142"/>
        <v>0</v>
      </c>
      <c r="N86" s="45">
        <f t="shared" si="142"/>
        <v>0</v>
      </c>
      <c r="O86" s="30">
        <f t="shared" si="142"/>
        <v>170</v>
      </c>
      <c r="P86" s="45">
        <f t="shared" si="142"/>
        <v>2.7</v>
      </c>
      <c r="Q86" s="141"/>
      <c r="R86" s="141"/>
      <c r="S86" s="157">
        <f t="shared" ref="S86:X86" si="143">S84</f>
        <v>0.01</v>
      </c>
      <c r="T86" s="157">
        <f t="shared" si="143"/>
        <v>0.03</v>
      </c>
      <c r="U86" s="157">
        <f t="shared" si="143"/>
        <v>0.04</v>
      </c>
      <c r="V86" s="157">
        <f t="shared" si="143"/>
        <v>0.06</v>
      </c>
      <c r="W86" s="30">
        <f t="shared" si="143"/>
        <v>10</v>
      </c>
      <c r="X86" s="45">
        <f t="shared" si="143"/>
        <v>4.5</v>
      </c>
    </row>
    <row r="87" spans="2:24">
      <c r="B87" s="56"/>
      <c r="C87" s="47" t="str">
        <f>C$11</f>
        <v>乳児</v>
      </c>
      <c r="D87" s="38">
        <f>D84</f>
        <v>19</v>
      </c>
      <c r="E87" s="41" t="str">
        <f>E$11</f>
        <v>D</v>
      </c>
      <c r="F87" s="143" t="str">
        <f t="shared" si="0"/>
        <v>19D</v>
      </c>
      <c r="G87" s="35">
        <v>1940</v>
      </c>
      <c r="H87" s="36">
        <v>2.8</v>
      </c>
      <c r="I87" s="35">
        <v>1900</v>
      </c>
      <c r="J87" s="36">
        <v>2.8</v>
      </c>
      <c r="K87" s="40">
        <f t="shared" ref="K87:P87" si="144">K$11</f>
        <v>0</v>
      </c>
      <c r="L87" s="48">
        <f t="shared" si="144"/>
        <v>0</v>
      </c>
      <c r="M87" s="40">
        <f t="shared" si="144"/>
        <v>0</v>
      </c>
      <c r="N87" s="48">
        <f t="shared" si="144"/>
        <v>0</v>
      </c>
      <c r="O87" s="40">
        <f t="shared" si="144"/>
        <v>0</v>
      </c>
      <c r="P87" s="48">
        <f t="shared" si="144"/>
        <v>0</v>
      </c>
      <c r="Q87" s="144"/>
      <c r="R87" s="144"/>
      <c r="S87" s="158">
        <f t="shared" ref="S87:X87" si="145">S84</f>
        <v>0.01</v>
      </c>
      <c r="T87" s="158">
        <f t="shared" si="145"/>
        <v>0.03</v>
      </c>
      <c r="U87" s="158">
        <f t="shared" si="145"/>
        <v>0.04</v>
      </c>
      <c r="V87" s="158">
        <f t="shared" si="145"/>
        <v>0.06</v>
      </c>
      <c r="W87" s="40">
        <f t="shared" si="145"/>
        <v>10</v>
      </c>
      <c r="X87" s="48">
        <f t="shared" si="145"/>
        <v>4.5</v>
      </c>
    </row>
    <row r="88" spans="2:24">
      <c r="B88" s="52" t="s">
        <v>71</v>
      </c>
      <c r="C88" s="42" t="str">
        <f>C$8</f>
        <v>４歳以上児</v>
      </c>
      <c r="D88" s="22">
        <v>20</v>
      </c>
      <c r="E88" s="25" t="str">
        <f>E$8</f>
        <v>A</v>
      </c>
      <c r="F88" s="145" t="str">
        <f t="shared" si="0"/>
        <v>20A</v>
      </c>
      <c r="G88" s="27">
        <v>350</v>
      </c>
      <c r="H88" s="43">
        <v>3.2</v>
      </c>
      <c r="I88" s="27">
        <v>320</v>
      </c>
      <c r="J88" s="43">
        <v>3.1</v>
      </c>
      <c r="K88" s="24">
        <f t="shared" ref="K88:P88" si="146">K$8</f>
        <v>0</v>
      </c>
      <c r="L88" s="55">
        <f t="shared" si="146"/>
        <v>0</v>
      </c>
      <c r="M88" s="24">
        <f t="shared" si="146"/>
        <v>30</v>
      </c>
      <c r="N88" s="55">
        <f t="shared" si="146"/>
        <v>3.8</v>
      </c>
      <c r="O88" s="24">
        <f t="shared" si="146"/>
        <v>0</v>
      </c>
      <c r="P88" s="55">
        <f t="shared" si="146"/>
        <v>0</v>
      </c>
      <c r="Q88" s="146"/>
      <c r="R88" s="146"/>
      <c r="S88" s="155">
        <v>0.01</v>
      </c>
      <c r="T88" s="155">
        <v>0.03</v>
      </c>
      <c r="U88" s="155">
        <v>0.04</v>
      </c>
      <c r="V88" s="155">
        <v>0.06</v>
      </c>
      <c r="W88" s="27">
        <v>9</v>
      </c>
      <c r="X88" s="43">
        <v>4.7</v>
      </c>
    </row>
    <row r="89" spans="2:24">
      <c r="B89" s="21"/>
      <c r="C89" s="44" t="str">
        <f>C$9</f>
        <v>３歳児</v>
      </c>
      <c r="D89" s="28">
        <f>D88</f>
        <v>20</v>
      </c>
      <c r="E89" s="31" t="str">
        <f>E$9</f>
        <v>B</v>
      </c>
      <c r="F89" s="140" t="str">
        <f t="shared" si="0"/>
        <v>20B</v>
      </c>
      <c r="G89" s="32">
        <v>430</v>
      </c>
      <c r="H89" s="33">
        <v>3.1</v>
      </c>
      <c r="I89" s="32">
        <v>400</v>
      </c>
      <c r="J89" s="33">
        <v>3.1</v>
      </c>
      <c r="K89" s="30">
        <f t="shared" ref="K89:P89" si="147">K$9</f>
        <v>80</v>
      </c>
      <c r="L89" s="45">
        <f t="shared" si="147"/>
        <v>2.8</v>
      </c>
      <c r="M89" s="30">
        <f t="shared" si="147"/>
        <v>0</v>
      </c>
      <c r="N89" s="45">
        <f t="shared" si="147"/>
        <v>0</v>
      </c>
      <c r="O89" s="30">
        <f t="shared" si="147"/>
        <v>0</v>
      </c>
      <c r="P89" s="45">
        <f t="shared" si="147"/>
        <v>0</v>
      </c>
      <c r="Q89" s="141"/>
      <c r="R89" s="141"/>
      <c r="S89" s="157">
        <f t="shared" ref="S89:X89" si="148">S88</f>
        <v>0.01</v>
      </c>
      <c r="T89" s="157">
        <f t="shared" si="148"/>
        <v>0.03</v>
      </c>
      <c r="U89" s="157">
        <f t="shared" si="148"/>
        <v>0.04</v>
      </c>
      <c r="V89" s="157">
        <f t="shared" si="148"/>
        <v>0.06</v>
      </c>
      <c r="W89" s="30">
        <f t="shared" si="148"/>
        <v>9</v>
      </c>
      <c r="X89" s="45">
        <f t="shared" si="148"/>
        <v>4.7</v>
      </c>
    </row>
    <row r="90" spans="2:24">
      <c r="B90" s="21"/>
      <c r="C90" s="44" t="str">
        <f>C$10</f>
        <v>１、２歳児</v>
      </c>
      <c r="D90" s="28">
        <f>D88</f>
        <v>20</v>
      </c>
      <c r="E90" s="31" t="str">
        <f>E$10</f>
        <v>C</v>
      </c>
      <c r="F90" s="140" t="str">
        <f t="shared" si="0"/>
        <v>20C</v>
      </c>
      <c r="G90" s="32">
        <v>1050</v>
      </c>
      <c r="H90" s="33">
        <v>2.9</v>
      </c>
      <c r="I90" s="32">
        <v>1010</v>
      </c>
      <c r="J90" s="33">
        <v>2.9</v>
      </c>
      <c r="K90" s="30">
        <f t="shared" ref="K90:P90" si="149">K$10</f>
        <v>0</v>
      </c>
      <c r="L90" s="45">
        <f t="shared" si="149"/>
        <v>0</v>
      </c>
      <c r="M90" s="30">
        <f t="shared" si="149"/>
        <v>0</v>
      </c>
      <c r="N90" s="45">
        <f t="shared" si="149"/>
        <v>0</v>
      </c>
      <c r="O90" s="30">
        <f t="shared" si="149"/>
        <v>170</v>
      </c>
      <c r="P90" s="45">
        <f t="shared" si="149"/>
        <v>2.7</v>
      </c>
      <c r="Q90" s="141"/>
      <c r="R90" s="141"/>
      <c r="S90" s="157">
        <f t="shared" ref="S90:X90" si="150">S88</f>
        <v>0.01</v>
      </c>
      <c r="T90" s="157">
        <f t="shared" si="150"/>
        <v>0.03</v>
      </c>
      <c r="U90" s="157">
        <f t="shared" si="150"/>
        <v>0.04</v>
      </c>
      <c r="V90" s="157">
        <f t="shared" si="150"/>
        <v>0.06</v>
      </c>
      <c r="W90" s="30">
        <f t="shared" si="150"/>
        <v>9</v>
      </c>
      <c r="X90" s="45">
        <f t="shared" si="150"/>
        <v>4.7</v>
      </c>
    </row>
    <row r="91" spans="2:24">
      <c r="B91" s="56"/>
      <c r="C91" s="47" t="str">
        <f>C$11</f>
        <v>乳児</v>
      </c>
      <c r="D91" s="38">
        <f>D88</f>
        <v>20</v>
      </c>
      <c r="E91" s="41" t="str">
        <f>E$11</f>
        <v>D</v>
      </c>
      <c r="F91" s="143" t="str">
        <f t="shared" si="0"/>
        <v>20D</v>
      </c>
      <c r="G91" s="35">
        <v>1940</v>
      </c>
      <c r="H91" s="36">
        <v>2.9</v>
      </c>
      <c r="I91" s="35">
        <v>1900</v>
      </c>
      <c r="J91" s="36">
        <v>2.9</v>
      </c>
      <c r="K91" s="40">
        <f t="shared" ref="K91:P91" si="151">K$11</f>
        <v>0</v>
      </c>
      <c r="L91" s="48">
        <f t="shared" si="151"/>
        <v>0</v>
      </c>
      <c r="M91" s="40">
        <f t="shared" si="151"/>
        <v>0</v>
      </c>
      <c r="N91" s="48">
        <f t="shared" si="151"/>
        <v>0</v>
      </c>
      <c r="O91" s="40">
        <f t="shared" si="151"/>
        <v>0</v>
      </c>
      <c r="P91" s="48">
        <f t="shared" si="151"/>
        <v>0</v>
      </c>
      <c r="Q91" s="144"/>
      <c r="R91" s="144"/>
      <c r="S91" s="158">
        <f t="shared" ref="S91:X91" si="152">S88</f>
        <v>0.01</v>
      </c>
      <c r="T91" s="158">
        <f t="shared" si="152"/>
        <v>0.03</v>
      </c>
      <c r="U91" s="158">
        <f t="shared" si="152"/>
        <v>0.04</v>
      </c>
      <c r="V91" s="158">
        <f t="shared" si="152"/>
        <v>0.06</v>
      </c>
      <c r="W91" s="40">
        <f t="shared" si="152"/>
        <v>9</v>
      </c>
      <c r="X91" s="48">
        <f t="shared" si="152"/>
        <v>4.7</v>
      </c>
    </row>
    <row r="92" spans="2:24">
      <c r="B92" s="52" t="s">
        <v>72</v>
      </c>
      <c r="C92" s="42" t="str">
        <f>C$8</f>
        <v>４歳以上児</v>
      </c>
      <c r="D92" s="22">
        <v>21</v>
      </c>
      <c r="E92" s="25" t="str">
        <f>E$8</f>
        <v>A</v>
      </c>
      <c r="F92" s="145" t="str">
        <f t="shared" si="0"/>
        <v>21A</v>
      </c>
      <c r="G92" s="27">
        <v>340</v>
      </c>
      <c r="H92" s="43">
        <v>3.2</v>
      </c>
      <c r="I92" s="27">
        <v>310</v>
      </c>
      <c r="J92" s="43">
        <v>3.1</v>
      </c>
      <c r="K92" s="24">
        <f t="shared" ref="K92:P92" si="153">K$8</f>
        <v>0</v>
      </c>
      <c r="L92" s="55">
        <f t="shared" si="153"/>
        <v>0</v>
      </c>
      <c r="M92" s="24">
        <f t="shared" si="153"/>
        <v>30</v>
      </c>
      <c r="N92" s="55">
        <f t="shared" si="153"/>
        <v>3.8</v>
      </c>
      <c r="O92" s="24">
        <f t="shared" si="153"/>
        <v>0</v>
      </c>
      <c r="P92" s="55">
        <f t="shared" si="153"/>
        <v>0</v>
      </c>
      <c r="Q92" s="146"/>
      <c r="R92" s="146"/>
      <c r="S92" s="155">
        <v>0.01</v>
      </c>
      <c r="T92" s="155">
        <v>0.03</v>
      </c>
      <c r="U92" s="155">
        <v>0.04</v>
      </c>
      <c r="V92" s="155">
        <v>0.06</v>
      </c>
      <c r="W92" s="27">
        <v>9</v>
      </c>
      <c r="X92" s="43">
        <v>4.4000000000000004</v>
      </c>
    </row>
    <row r="93" spans="2:24">
      <c r="B93" s="21"/>
      <c r="C93" s="44" t="str">
        <f>C$9</f>
        <v>３歳児</v>
      </c>
      <c r="D93" s="28">
        <f>D92</f>
        <v>21</v>
      </c>
      <c r="E93" s="31" t="str">
        <f>E$9</f>
        <v>B</v>
      </c>
      <c r="F93" s="140" t="str">
        <f t="shared" ref="F93:F99" si="154">D93&amp;E93</f>
        <v>21B</v>
      </c>
      <c r="G93" s="32">
        <v>420</v>
      </c>
      <c r="H93" s="33">
        <v>3.1</v>
      </c>
      <c r="I93" s="32">
        <v>390</v>
      </c>
      <c r="J93" s="33">
        <v>3.1</v>
      </c>
      <c r="K93" s="30">
        <f t="shared" ref="K93:P93" si="155">K$9</f>
        <v>80</v>
      </c>
      <c r="L93" s="45">
        <f t="shared" si="155"/>
        <v>2.8</v>
      </c>
      <c r="M93" s="30">
        <f t="shared" si="155"/>
        <v>0</v>
      </c>
      <c r="N93" s="45">
        <f t="shared" si="155"/>
        <v>0</v>
      </c>
      <c r="O93" s="30">
        <f t="shared" si="155"/>
        <v>0</v>
      </c>
      <c r="P93" s="45">
        <f t="shared" si="155"/>
        <v>0</v>
      </c>
      <c r="Q93" s="141"/>
      <c r="R93" s="141"/>
      <c r="S93" s="157">
        <f t="shared" ref="S93:X93" si="156">S92</f>
        <v>0.01</v>
      </c>
      <c r="T93" s="157">
        <f t="shared" si="156"/>
        <v>0.03</v>
      </c>
      <c r="U93" s="157">
        <f t="shared" si="156"/>
        <v>0.04</v>
      </c>
      <c r="V93" s="157">
        <f t="shared" si="156"/>
        <v>0.06</v>
      </c>
      <c r="W93" s="30">
        <f t="shared" si="156"/>
        <v>9</v>
      </c>
      <c r="X93" s="45">
        <f t="shared" si="156"/>
        <v>4.4000000000000004</v>
      </c>
    </row>
    <row r="94" spans="2:24">
      <c r="B94" s="21"/>
      <c r="C94" s="44" t="str">
        <f>C$10</f>
        <v>１、２歳児</v>
      </c>
      <c r="D94" s="28">
        <f>D92</f>
        <v>21</v>
      </c>
      <c r="E94" s="31" t="str">
        <f>E$10</f>
        <v>C</v>
      </c>
      <c r="F94" s="140" t="str">
        <f t="shared" si="154"/>
        <v>21C</v>
      </c>
      <c r="G94" s="32">
        <v>1040</v>
      </c>
      <c r="H94" s="33">
        <v>2.9</v>
      </c>
      <c r="I94" s="32">
        <v>1000</v>
      </c>
      <c r="J94" s="33">
        <v>2.9</v>
      </c>
      <c r="K94" s="30">
        <f t="shared" ref="K94:P94" si="157">K$10</f>
        <v>0</v>
      </c>
      <c r="L94" s="45">
        <f t="shared" si="157"/>
        <v>0</v>
      </c>
      <c r="M94" s="30">
        <f t="shared" si="157"/>
        <v>0</v>
      </c>
      <c r="N94" s="45">
        <f t="shared" si="157"/>
        <v>0</v>
      </c>
      <c r="O94" s="30">
        <f t="shared" si="157"/>
        <v>170</v>
      </c>
      <c r="P94" s="45">
        <f t="shared" si="157"/>
        <v>2.7</v>
      </c>
      <c r="Q94" s="141"/>
      <c r="R94" s="141"/>
      <c r="S94" s="157">
        <f t="shared" ref="S94:X94" si="158">S92</f>
        <v>0.01</v>
      </c>
      <c r="T94" s="157">
        <f t="shared" si="158"/>
        <v>0.03</v>
      </c>
      <c r="U94" s="157">
        <f t="shared" si="158"/>
        <v>0.04</v>
      </c>
      <c r="V94" s="157">
        <f t="shared" si="158"/>
        <v>0.06</v>
      </c>
      <c r="W94" s="30">
        <f t="shared" si="158"/>
        <v>9</v>
      </c>
      <c r="X94" s="45">
        <f t="shared" si="158"/>
        <v>4.4000000000000004</v>
      </c>
    </row>
    <row r="95" spans="2:24">
      <c r="B95" s="56"/>
      <c r="C95" s="47" t="str">
        <f>C$11</f>
        <v>乳児</v>
      </c>
      <c r="D95" s="38">
        <f>D92</f>
        <v>21</v>
      </c>
      <c r="E95" s="41" t="str">
        <f>E$11</f>
        <v>D</v>
      </c>
      <c r="F95" s="143" t="str">
        <f t="shared" si="154"/>
        <v>21D</v>
      </c>
      <c r="G95" s="35">
        <v>1930</v>
      </c>
      <c r="H95" s="36">
        <v>2.9</v>
      </c>
      <c r="I95" s="35">
        <v>1890</v>
      </c>
      <c r="J95" s="36">
        <v>2.9</v>
      </c>
      <c r="K95" s="40">
        <f t="shared" ref="K95:P95" si="159">K$11</f>
        <v>0</v>
      </c>
      <c r="L95" s="48">
        <f t="shared" si="159"/>
        <v>0</v>
      </c>
      <c r="M95" s="40">
        <f t="shared" si="159"/>
        <v>0</v>
      </c>
      <c r="N95" s="48">
        <f t="shared" si="159"/>
        <v>0</v>
      </c>
      <c r="O95" s="40">
        <f t="shared" si="159"/>
        <v>0</v>
      </c>
      <c r="P95" s="48">
        <f t="shared" si="159"/>
        <v>0</v>
      </c>
      <c r="Q95" s="144"/>
      <c r="R95" s="144"/>
      <c r="S95" s="158">
        <f t="shared" ref="S95:X95" si="160">S92</f>
        <v>0.01</v>
      </c>
      <c r="T95" s="158">
        <f t="shared" si="160"/>
        <v>0.03</v>
      </c>
      <c r="U95" s="158">
        <f t="shared" si="160"/>
        <v>0.04</v>
      </c>
      <c r="V95" s="158">
        <f t="shared" si="160"/>
        <v>0.06</v>
      </c>
      <c r="W95" s="40">
        <f t="shared" si="160"/>
        <v>9</v>
      </c>
      <c r="X95" s="48">
        <f t="shared" si="160"/>
        <v>4.4000000000000004</v>
      </c>
    </row>
    <row r="96" spans="2:24">
      <c r="B96" s="52" t="s">
        <v>73</v>
      </c>
      <c r="C96" s="42" t="str">
        <f>C$8</f>
        <v>４歳以上児</v>
      </c>
      <c r="D96" s="22">
        <v>22</v>
      </c>
      <c r="E96" s="25" t="str">
        <f>E$8</f>
        <v>A</v>
      </c>
      <c r="F96" s="145" t="str">
        <f t="shared" si="154"/>
        <v>22A</v>
      </c>
      <c r="G96" s="27">
        <v>330</v>
      </c>
      <c r="H96" s="43">
        <v>3.2</v>
      </c>
      <c r="I96" s="27">
        <v>300</v>
      </c>
      <c r="J96" s="43">
        <v>3.1</v>
      </c>
      <c r="K96" s="24">
        <f t="shared" ref="K96:P96" si="161">K$8</f>
        <v>0</v>
      </c>
      <c r="L96" s="55">
        <f t="shared" si="161"/>
        <v>0</v>
      </c>
      <c r="M96" s="24">
        <f t="shared" si="161"/>
        <v>30</v>
      </c>
      <c r="N96" s="55">
        <f t="shared" si="161"/>
        <v>3.8</v>
      </c>
      <c r="O96" s="24">
        <f t="shared" si="161"/>
        <v>0</v>
      </c>
      <c r="P96" s="55">
        <f t="shared" si="161"/>
        <v>0</v>
      </c>
      <c r="Q96" s="146"/>
      <c r="R96" s="146"/>
      <c r="S96" s="155">
        <v>0.01</v>
      </c>
      <c r="T96" s="155">
        <v>0.03</v>
      </c>
      <c r="U96" s="155">
        <v>0.04</v>
      </c>
      <c r="V96" s="155">
        <v>0.06</v>
      </c>
      <c r="W96" s="27">
        <v>8</v>
      </c>
      <c r="X96" s="43">
        <v>4.7</v>
      </c>
    </row>
    <row r="97" spans="2:24">
      <c r="B97" s="21"/>
      <c r="C97" s="44" t="str">
        <f>C$9</f>
        <v>３歳児</v>
      </c>
      <c r="D97" s="28">
        <f>D96</f>
        <v>22</v>
      </c>
      <c r="E97" s="31" t="str">
        <f>E$9</f>
        <v>B</v>
      </c>
      <c r="F97" s="140" t="str">
        <f t="shared" si="154"/>
        <v>22B</v>
      </c>
      <c r="G97" s="32">
        <v>410</v>
      </c>
      <c r="H97" s="33">
        <v>3.1</v>
      </c>
      <c r="I97" s="32">
        <v>380</v>
      </c>
      <c r="J97" s="33">
        <v>3.1</v>
      </c>
      <c r="K97" s="30">
        <f t="shared" ref="K97:P97" si="162">K$9</f>
        <v>80</v>
      </c>
      <c r="L97" s="45">
        <f t="shared" si="162"/>
        <v>2.8</v>
      </c>
      <c r="M97" s="30">
        <f t="shared" si="162"/>
        <v>0</v>
      </c>
      <c r="N97" s="45">
        <f t="shared" si="162"/>
        <v>0</v>
      </c>
      <c r="O97" s="30">
        <f t="shared" si="162"/>
        <v>0</v>
      </c>
      <c r="P97" s="45">
        <f t="shared" si="162"/>
        <v>0</v>
      </c>
      <c r="Q97" s="141"/>
      <c r="R97" s="141"/>
      <c r="S97" s="157">
        <f t="shared" ref="S97:X97" si="163">S96</f>
        <v>0.01</v>
      </c>
      <c r="T97" s="157">
        <f t="shared" si="163"/>
        <v>0.03</v>
      </c>
      <c r="U97" s="157">
        <f t="shared" si="163"/>
        <v>0.04</v>
      </c>
      <c r="V97" s="157">
        <f t="shared" si="163"/>
        <v>0.06</v>
      </c>
      <c r="W97" s="30">
        <f t="shared" si="163"/>
        <v>8</v>
      </c>
      <c r="X97" s="45">
        <f t="shared" si="163"/>
        <v>4.7</v>
      </c>
    </row>
    <row r="98" spans="2:24">
      <c r="B98" s="21"/>
      <c r="C98" s="44" t="str">
        <f>C$10</f>
        <v>１、２歳児</v>
      </c>
      <c r="D98" s="28">
        <f>D96</f>
        <v>22</v>
      </c>
      <c r="E98" s="31" t="str">
        <f>E$10</f>
        <v>C</v>
      </c>
      <c r="F98" s="140" t="str">
        <f t="shared" si="154"/>
        <v>22C</v>
      </c>
      <c r="G98" s="32">
        <v>1030</v>
      </c>
      <c r="H98" s="33">
        <v>2.9</v>
      </c>
      <c r="I98" s="32">
        <v>990</v>
      </c>
      <c r="J98" s="33">
        <v>2.9</v>
      </c>
      <c r="K98" s="30">
        <f t="shared" ref="K98:P98" si="164">K$10</f>
        <v>0</v>
      </c>
      <c r="L98" s="45">
        <f t="shared" si="164"/>
        <v>0</v>
      </c>
      <c r="M98" s="30">
        <f t="shared" si="164"/>
        <v>0</v>
      </c>
      <c r="N98" s="45">
        <f t="shared" si="164"/>
        <v>0</v>
      </c>
      <c r="O98" s="30">
        <f t="shared" si="164"/>
        <v>170</v>
      </c>
      <c r="P98" s="45">
        <f t="shared" si="164"/>
        <v>2.7</v>
      </c>
      <c r="Q98" s="141"/>
      <c r="R98" s="141"/>
      <c r="S98" s="157">
        <f t="shared" ref="S98:X98" si="165">S96</f>
        <v>0.01</v>
      </c>
      <c r="T98" s="157">
        <f t="shared" si="165"/>
        <v>0.03</v>
      </c>
      <c r="U98" s="157">
        <f t="shared" si="165"/>
        <v>0.04</v>
      </c>
      <c r="V98" s="157">
        <f t="shared" si="165"/>
        <v>0.06</v>
      </c>
      <c r="W98" s="30">
        <f t="shared" si="165"/>
        <v>8</v>
      </c>
      <c r="X98" s="45">
        <f t="shared" si="165"/>
        <v>4.7</v>
      </c>
    </row>
    <row r="99" spans="2:24">
      <c r="B99" s="56"/>
      <c r="C99" s="47" t="str">
        <f>C$11</f>
        <v>乳児</v>
      </c>
      <c r="D99" s="38">
        <f>D96</f>
        <v>22</v>
      </c>
      <c r="E99" s="41" t="str">
        <f>E$11</f>
        <v>D</v>
      </c>
      <c r="F99" s="143" t="str">
        <f t="shared" si="154"/>
        <v>22D</v>
      </c>
      <c r="G99" s="35">
        <v>1920</v>
      </c>
      <c r="H99" s="36">
        <v>2.8</v>
      </c>
      <c r="I99" s="35">
        <v>1880</v>
      </c>
      <c r="J99" s="36">
        <v>2.9</v>
      </c>
      <c r="K99" s="40">
        <f t="shared" ref="K99:P99" si="166">K$11</f>
        <v>0</v>
      </c>
      <c r="L99" s="48">
        <f t="shared" si="166"/>
        <v>0</v>
      </c>
      <c r="M99" s="40">
        <f t="shared" si="166"/>
        <v>0</v>
      </c>
      <c r="N99" s="48">
        <f t="shared" si="166"/>
        <v>0</v>
      </c>
      <c r="O99" s="40">
        <f t="shared" si="166"/>
        <v>0</v>
      </c>
      <c r="P99" s="48">
        <f t="shared" si="166"/>
        <v>0</v>
      </c>
      <c r="Q99" s="144"/>
      <c r="R99" s="144"/>
      <c r="S99" s="158">
        <f t="shared" ref="S99:X99" si="167">S96</f>
        <v>0.01</v>
      </c>
      <c r="T99" s="158">
        <f t="shared" si="167"/>
        <v>0.03</v>
      </c>
      <c r="U99" s="158">
        <f t="shared" si="167"/>
        <v>0.04</v>
      </c>
      <c r="V99" s="158">
        <f t="shared" si="167"/>
        <v>0.06</v>
      </c>
      <c r="W99" s="40">
        <f t="shared" si="167"/>
        <v>8</v>
      </c>
      <c r="X99" s="48">
        <f t="shared" si="167"/>
        <v>4.7</v>
      </c>
    </row>
  </sheetData>
  <sheetProtection algorithmName="SHA-512" hashValue="3+Y1GUCNrk24qpslOyM+w7kGD3ehr5myfAGB7xOC09KuxcMcQv4PH7hcKlKzvzuCtkSHbabte73Dpjt0SWamAA==" saltValue="hHF1z4LwgjiICw8nfZqbLQ==" spinCount="100000" sheet="1" objects="1" scenarios="1"/>
  <phoneticPr fontId="4"/>
  <pageMargins left="0.70866141732283472" right="0.70866141732283472" top="0.74803149606299213" bottom="0.74803149606299213" header="0.31496062992125984" footer="0.31496062992125984"/>
  <pageSetup paperSize="9" scale="31" orientation="landscape" r:id="rId1"/>
  <tableParts count="5">
    <tablePart r:id="rId2"/>
    <tablePart r:id="rId3"/>
    <tablePart r:id="rId4"/>
    <tablePart r:id="rId5"/>
    <tablePart r:id="rId6"/>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B1B4-3DB2-45E8-AE87-0D4DB4FBE3A9}">
  <sheetPr>
    <tabColor theme="2" tint="-9.9978637043366805E-2"/>
  </sheetPr>
  <dimension ref="A1:F11"/>
  <sheetViews>
    <sheetView workbookViewId="0"/>
  </sheetViews>
  <sheetFormatPr defaultRowHeight="12.75"/>
  <cols>
    <col min="1" max="1" width="18.875" style="463" bestFit="1" customWidth="1"/>
    <col min="2" max="5" width="9" style="463"/>
    <col min="6" max="6" width="61.625" style="463" bestFit="1" customWidth="1"/>
    <col min="7" max="16384" width="9" style="463"/>
  </cols>
  <sheetData>
    <row r="1" spans="1:6" s="62" customFormat="1">
      <c r="A1" s="62" t="s">
        <v>490</v>
      </c>
      <c r="B1" s="62" t="s">
        <v>491</v>
      </c>
      <c r="C1" s="62" t="s">
        <v>492</v>
      </c>
      <c r="D1" s="62" t="s">
        <v>493</v>
      </c>
      <c r="E1" s="62" t="s">
        <v>494</v>
      </c>
      <c r="F1" s="62" t="s">
        <v>495</v>
      </c>
    </row>
    <row r="2" spans="1:6">
      <c r="A2" s="463" t="s">
        <v>496</v>
      </c>
      <c r="B2" s="463" t="s">
        <v>497</v>
      </c>
      <c r="C2" s="463" t="s">
        <v>472</v>
      </c>
      <c r="D2" s="463" t="s">
        <v>475</v>
      </c>
      <c r="E2" s="463" t="s">
        <v>478</v>
      </c>
      <c r="F2" s="463" t="s">
        <v>498</v>
      </c>
    </row>
    <row r="3" spans="1:6">
      <c r="A3" s="463" t="s">
        <v>499</v>
      </c>
      <c r="B3" s="463" t="s">
        <v>500</v>
      </c>
      <c r="C3" s="463" t="s">
        <v>501</v>
      </c>
      <c r="D3" s="463" t="s">
        <v>502</v>
      </c>
      <c r="E3" s="463" t="s">
        <v>503</v>
      </c>
      <c r="F3" s="463" t="s">
        <v>504</v>
      </c>
    </row>
    <row r="4" spans="1:6">
      <c r="A4" s="463" t="s">
        <v>468</v>
      </c>
    </row>
    <row r="5" spans="1:6">
      <c r="A5" s="463" t="s">
        <v>505</v>
      </c>
    </row>
    <row r="6" spans="1:6">
      <c r="A6" s="463" t="s">
        <v>506</v>
      </c>
    </row>
    <row r="7" spans="1:6">
      <c r="A7" s="463" t="s">
        <v>507</v>
      </c>
    </row>
    <row r="8" spans="1:6">
      <c r="A8" s="463" t="s">
        <v>508</v>
      </c>
    </row>
    <row r="9" spans="1:6">
      <c r="A9" s="463" t="s">
        <v>509</v>
      </c>
    </row>
    <row r="10" spans="1:6">
      <c r="A10" s="463" t="s">
        <v>510</v>
      </c>
    </row>
    <row r="11" spans="1:6">
      <c r="A11" s="463" t="s">
        <v>511</v>
      </c>
    </row>
  </sheetData>
  <sheetProtection algorithmName="SHA-512" hashValue="qAxQ130Y0CstDwh+fSAOJ3++Q8Lv4Rf3N50S7MSZdVl72r6flhP3sIkNHKo+DWeS4/OJ0WWMtfvzCYmfDMWFbQ==" saltValue="C4/y0pOChP+sxbvId9iI2Q=="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4B60-FE7F-4E44-9822-E4B57172C83C}">
  <sheetPr>
    <pageSetUpPr fitToPage="1"/>
  </sheetPr>
  <dimension ref="A1:Q98"/>
  <sheetViews>
    <sheetView view="pageBreakPreview" zoomScale="70" zoomScaleNormal="100" zoomScaleSheetLayoutView="70" workbookViewId="0">
      <selection activeCell="Y13" sqref="Y13"/>
    </sheetView>
  </sheetViews>
  <sheetFormatPr defaultColWidth="9" defaultRowHeight="18.75"/>
  <cols>
    <col min="1" max="1" width="2.375" style="180" customWidth="1"/>
    <col min="2" max="2" width="1.625" style="180" customWidth="1"/>
    <col min="3" max="3" width="14.125" style="180" customWidth="1"/>
    <col min="4" max="4" width="6.875" style="180" customWidth="1"/>
    <col min="5" max="16" width="6.625" style="180" customWidth="1"/>
    <col min="17" max="17" width="7.5" style="180" customWidth="1"/>
    <col min="18" max="16384" width="9" style="180"/>
  </cols>
  <sheetData>
    <row r="1" spans="1:17" ht="40.5" customHeight="1">
      <c r="A1" s="771" t="s">
        <v>363</v>
      </c>
      <c r="B1" s="771"/>
      <c r="C1" s="771"/>
      <c r="D1" s="771"/>
      <c r="E1" s="771"/>
      <c r="F1" s="771"/>
      <c r="G1" s="771"/>
      <c r="H1" s="771"/>
      <c r="I1" s="771"/>
      <c r="J1" s="771"/>
      <c r="K1" s="771"/>
      <c r="L1" s="771"/>
      <c r="M1" s="771"/>
      <c r="N1" s="771"/>
      <c r="O1" s="771"/>
      <c r="P1" s="771"/>
      <c r="Q1" s="771"/>
    </row>
    <row r="2" spans="1:17" ht="18" customHeight="1" thickBot="1">
      <c r="B2" s="181"/>
      <c r="C2" s="181"/>
    </row>
    <row r="3" spans="1:17" ht="18" customHeight="1" thickBot="1">
      <c r="B3" s="181"/>
      <c r="C3" s="181"/>
      <c r="H3" s="772" t="s">
        <v>346</v>
      </c>
      <c r="I3" s="773"/>
      <c r="J3" s="773"/>
      <c r="K3" s="773"/>
      <c r="L3" s="774"/>
      <c r="M3" s="775">
        <f>'0_基本情報'!$D$4</f>
        <v>0</v>
      </c>
      <c r="N3" s="776"/>
      <c r="O3" s="776"/>
      <c r="P3" s="776"/>
      <c r="Q3" s="777"/>
    </row>
    <row r="4" spans="1:17" ht="18" customHeight="1">
      <c r="B4" s="181"/>
      <c r="C4" s="181"/>
      <c r="H4" s="182"/>
      <c r="I4" s="182"/>
      <c r="J4" s="182"/>
      <c r="K4" s="182"/>
      <c r="L4" s="182"/>
      <c r="M4" s="182"/>
      <c r="N4" s="182"/>
      <c r="O4" s="182"/>
      <c r="P4" s="182"/>
      <c r="Q4" s="182"/>
    </row>
    <row r="5" spans="1:17" ht="18" customHeight="1">
      <c r="B5" s="180" t="s">
        <v>366</v>
      </c>
      <c r="H5" s="182"/>
      <c r="I5" s="182"/>
      <c r="J5" s="182"/>
      <c r="K5" s="182"/>
      <c r="L5" s="182"/>
      <c r="M5" s="182"/>
      <c r="N5" s="182"/>
      <c r="O5" s="182"/>
      <c r="P5" s="182"/>
      <c r="Q5" s="182"/>
    </row>
    <row r="6" spans="1:17" ht="18" customHeight="1">
      <c r="B6" s="180" t="s">
        <v>347</v>
      </c>
      <c r="H6" s="182"/>
      <c r="I6" s="182"/>
      <c r="J6" s="182"/>
      <c r="K6" s="182"/>
      <c r="L6" s="182"/>
      <c r="M6" s="182"/>
      <c r="N6" s="182"/>
      <c r="O6" s="182"/>
      <c r="P6" s="182"/>
      <c r="Q6" s="182"/>
    </row>
    <row r="7" spans="1:17" ht="18" customHeight="1">
      <c r="B7" s="180" t="s">
        <v>348</v>
      </c>
      <c r="C7" s="183"/>
      <c r="H7" s="182"/>
      <c r="I7" s="182"/>
      <c r="J7" s="182"/>
      <c r="K7" s="182"/>
      <c r="L7" s="182"/>
      <c r="M7" s="182"/>
      <c r="N7" s="182"/>
      <c r="O7" s="182"/>
      <c r="P7" s="182"/>
      <c r="Q7" s="182"/>
    </row>
    <row r="8" spans="1:17" ht="18" customHeight="1">
      <c r="B8" s="183"/>
      <c r="C8" s="183"/>
      <c r="H8" s="182"/>
      <c r="I8" s="182"/>
      <c r="J8" s="182"/>
      <c r="K8" s="182"/>
      <c r="L8" s="182"/>
      <c r="M8" s="182"/>
      <c r="N8" s="182"/>
      <c r="O8" s="182"/>
      <c r="P8" s="182"/>
      <c r="Q8" s="182"/>
    </row>
    <row r="9" spans="1:17" ht="18" customHeight="1" thickBot="1">
      <c r="A9" s="184" t="s">
        <v>866</v>
      </c>
    </row>
    <row r="10" spans="1:17" ht="17.25" customHeight="1">
      <c r="B10" s="778" t="s">
        <v>357</v>
      </c>
      <c r="C10" s="779"/>
      <c r="D10" s="779"/>
      <c r="E10" s="185">
        <v>4</v>
      </c>
      <c r="F10" s="186">
        <v>5</v>
      </c>
      <c r="G10" s="186">
        <v>6</v>
      </c>
      <c r="H10" s="186">
        <v>7</v>
      </c>
      <c r="I10" s="186">
        <v>8</v>
      </c>
      <c r="J10" s="186">
        <v>9</v>
      </c>
      <c r="K10" s="186">
        <v>10</v>
      </c>
      <c r="L10" s="186">
        <v>11</v>
      </c>
      <c r="M10" s="186">
        <v>12</v>
      </c>
      <c r="N10" s="186">
        <v>1</v>
      </c>
      <c r="O10" s="186">
        <v>2</v>
      </c>
      <c r="P10" s="187">
        <v>3</v>
      </c>
      <c r="Q10" s="782" t="s">
        <v>349</v>
      </c>
    </row>
    <row r="11" spans="1:17" ht="17.25" customHeight="1">
      <c r="B11" s="780"/>
      <c r="C11" s="781"/>
      <c r="D11" s="781"/>
      <c r="E11" s="784" t="s">
        <v>350</v>
      </c>
      <c r="F11" s="785"/>
      <c r="G11" s="785"/>
      <c r="H11" s="785"/>
      <c r="I11" s="785"/>
      <c r="J11" s="785"/>
      <c r="K11" s="785"/>
      <c r="L11" s="785"/>
      <c r="M11" s="785"/>
      <c r="N11" s="785"/>
      <c r="O11" s="785"/>
      <c r="P11" s="786"/>
      <c r="Q11" s="783"/>
    </row>
    <row r="12" spans="1:17" ht="17.25" customHeight="1">
      <c r="B12" s="763" t="s">
        <v>367</v>
      </c>
      <c r="C12" s="767"/>
      <c r="D12" s="188" t="s">
        <v>351</v>
      </c>
      <c r="E12" s="171"/>
      <c r="F12" s="172"/>
      <c r="G12" s="172"/>
      <c r="H12" s="172"/>
      <c r="I12" s="172"/>
      <c r="J12" s="172"/>
      <c r="K12" s="172"/>
      <c r="L12" s="172"/>
      <c r="M12" s="172"/>
      <c r="N12" s="172"/>
      <c r="O12" s="172"/>
      <c r="P12" s="173"/>
      <c r="Q12" s="189">
        <f>ROUND(SUM(E12:P12)/12,0)</f>
        <v>0</v>
      </c>
    </row>
    <row r="13" spans="1:17" ht="17.25" customHeight="1">
      <c r="B13" s="768"/>
      <c r="C13" s="769"/>
      <c r="D13" s="190" t="s">
        <v>352</v>
      </c>
      <c r="E13" s="191"/>
      <c r="F13" s="192" t="str">
        <f>IFERROR(F12/$E12,"")</f>
        <v/>
      </c>
      <c r="G13" s="192" t="str">
        <f t="shared" ref="G13:P13" si="0">IFERROR(G12/$E12,"")</f>
        <v/>
      </c>
      <c r="H13" s="192" t="str">
        <f t="shared" si="0"/>
        <v/>
      </c>
      <c r="I13" s="192" t="str">
        <f t="shared" si="0"/>
        <v/>
      </c>
      <c r="J13" s="192" t="str">
        <f t="shared" si="0"/>
        <v/>
      </c>
      <c r="K13" s="192" t="str">
        <f t="shared" si="0"/>
        <v/>
      </c>
      <c r="L13" s="192" t="str">
        <f t="shared" si="0"/>
        <v/>
      </c>
      <c r="M13" s="192" t="str">
        <f t="shared" si="0"/>
        <v/>
      </c>
      <c r="N13" s="192" t="str">
        <f t="shared" si="0"/>
        <v/>
      </c>
      <c r="O13" s="192" t="str">
        <f t="shared" si="0"/>
        <v/>
      </c>
      <c r="P13" s="193" t="str">
        <f t="shared" si="0"/>
        <v/>
      </c>
      <c r="Q13" s="194" t="s">
        <v>353</v>
      </c>
    </row>
    <row r="14" spans="1:17" ht="17.25" customHeight="1">
      <c r="B14" s="763" t="s">
        <v>368</v>
      </c>
      <c r="C14" s="767"/>
      <c r="D14" s="188" t="s">
        <v>351</v>
      </c>
      <c r="E14" s="171"/>
      <c r="F14" s="172"/>
      <c r="G14" s="172"/>
      <c r="H14" s="172"/>
      <c r="I14" s="172"/>
      <c r="J14" s="172"/>
      <c r="K14" s="172"/>
      <c r="L14" s="172"/>
      <c r="M14" s="172"/>
      <c r="N14" s="172"/>
      <c r="O14" s="172"/>
      <c r="P14" s="173"/>
      <c r="Q14" s="189">
        <f>ROUND(SUM(E14:P14)/12,0)</f>
        <v>0</v>
      </c>
    </row>
    <row r="15" spans="1:17" ht="17.25" customHeight="1">
      <c r="B15" s="768"/>
      <c r="C15" s="769"/>
      <c r="D15" s="190" t="s">
        <v>352</v>
      </c>
      <c r="E15" s="191"/>
      <c r="F15" s="192" t="str">
        <f>IFERROR(F14/$E14,"")</f>
        <v/>
      </c>
      <c r="G15" s="192" t="str">
        <f t="shared" ref="G15" si="1">IFERROR(G14/$E14,"")</f>
        <v/>
      </c>
      <c r="H15" s="192" t="str">
        <f t="shared" ref="H15" si="2">IFERROR(H14/$E14,"")</f>
        <v/>
      </c>
      <c r="I15" s="192" t="str">
        <f t="shared" ref="I15" si="3">IFERROR(I14/$E14,"")</f>
        <v/>
      </c>
      <c r="J15" s="192" t="str">
        <f t="shared" ref="J15" si="4">IFERROR(J14/$E14,"")</f>
        <v/>
      </c>
      <c r="K15" s="192" t="str">
        <f t="shared" ref="K15" si="5">IFERROR(K14/$E14,"")</f>
        <v/>
      </c>
      <c r="L15" s="192" t="str">
        <f t="shared" ref="L15" si="6">IFERROR(L14/$E14,"")</f>
        <v/>
      </c>
      <c r="M15" s="192" t="str">
        <f t="shared" ref="M15" si="7">IFERROR(M14/$E14,"")</f>
        <v/>
      </c>
      <c r="N15" s="192" t="str">
        <f t="shared" ref="N15" si="8">IFERROR(N14/$E14,"")</f>
        <v/>
      </c>
      <c r="O15" s="192" t="str">
        <f t="shared" ref="O15" si="9">IFERROR(O14/$E14,"")</f>
        <v/>
      </c>
      <c r="P15" s="193" t="str">
        <f t="shared" ref="P15" si="10">IFERROR(P14/$E14,"")</f>
        <v/>
      </c>
      <c r="Q15" s="194" t="s">
        <v>353</v>
      </c>
    </row>
    <row r="16" spans="1:17" ht="17.25" customHeight="1">
      <c r="B16" s="787" t="s">
        <v>354</v>
      </c>
      <c r="C16" s="788"/>
      <c r="D16" s="188" t="s">
        <v>351</v>
      </c>
      <c r="E16" s="171"/>
      <c r="F16" s="172"/>
      <c r="G16" s="172"/>
      <c r="H16" s="172"/>
      <c r="I16" s="172"/>
      <c r="J16" s="172"/>
      <c r="K16" s="172"/>
      <c r="L16" s="172"/>
      <c r="M16" s="172"/>
      <c r="N16" s="172"/>
      <c r="O16" s="172"/>
      <c r="P16" s="173"/>
      <c r="Q16" s="189">
        <f>ROUND(SUM(E16:P16)/12,0)</f>
        <v>0</v>
      </c>
    </row>
    <row r="17" spans="1:17" ht="17.25" customHeight="1">
      <c r="B17" s="787"/>
      <c r="C17" s="788"/>
      <c r="D17" s="190" t="s">
        <v>352</v>
      </c>
      <c r="E17" s="191"/>
      <c r="F17" s="192" t="str">
        <f>IFERROR(F16/$E16,"")</f>
        <v/>
      </c>
      <c r="G17" s="192" t="str">
        <f t="shared" ref="G17" si="11">IFERROR(G16/$E16,"")</f>
        <v/>
      </c>
      <c r="H17" s="192" t="str">
        <f t="shared" ref="H17" si="12">IFERROR(H16/$E16,"")</f>
        <v/>
      </c>
      <c r="I17" s="192" t="str">
        <f t="shared" ref="I17" si="13">IFERROR(I16/$E16,"")</f>
        <v/>
      </c>
      <c r="J17" s="192" t="str">
        <f t="shared" ref="J17" si="14">IFERROR(J16/$E16,"")</f>
        <v/>
      </c>
      <c r="K17" s="192" t="str">
        <f t="shared" ref="K17" si="15">IFERROR(K16/$E16,"")</f>
        <v/>
      </c>
      <c r="L17" s="192" t="str">
        <f t="shared" ref="L17" si="16">IFERROR(L16/$E16,"")</f>
        <v/>
      </c>
      <c r="M17" s="192" t="str">
        <f t="shared" ref="M17" si="17">IFERROR(M16/$E16,"")</f>
        <v/>
      </c>
      <c r="N17" s="192" t="str">
        <f t="shared" ref="N17" si="18">IFERROR(N16/$E16,"")</f>
        <v/>
      </c>
      <c r="O17" s="192" t="str">
        <f t="shared" ref="O17" si="19">IFERROR(O16/$E16,"")</f>
        <v/>
      </c>
      <c r="P17" s="193" t="str">
        <f t="shared" ref="P17" si="20">IFERROR(P16/$E16,"")</f>
        <v/>
      </c>
      <c r="Q17" s="194"/>
    </row>
    <row r="18" spans="1:17" ht="17.25" customHeight="1">
      <c r="B18" s="789"/>
      <c r="C18" s="791" t="s">
        <v>364</v>
      </c>
      <c r="D18" s="188" t="s">
        <v>351</v>
      </c>
      <c r="E18" s="171"/>
      <c r="F18" s="172"/>
      <c r="G18" s="172"/>
      <c r="H18" s="172"/>
      <c r="I18" s="172"/>
      <c r="J18" s="172"/>
      <c r="K18" s="172"/>
      <c r="L18" s="172"/>
      <c r="M18" s="172"/>
      <c r="N18" s="172"/>
      <c r="O18" s="172"/>
      <c r="P18" s="173"/>
      <c r="Q18" s="189">
        <f>ROUND(SUM(E18:P18)/12,0)</f>
        <v>0</v>
      </c>
    </row>
    <row r="19" spans="1:17" ht="17.25" customHeight="1">
      <c r="B19" s="790"/>
      <c r="C19" s="792"/>
      <c r="D19" s="190" t="s">
        <v>352</v>
      </c>
      <c r="E19" s="191"/>
      <c r="F19" s="192" t="str">
        <f>IFERROR(F18/$E18,"")</f>
        <v/>
      </c>
      <c r="G19" s="192" t="str">
        <f t="shared" ref="G19" si="21">IFERROR(G18/$E18,"")</f>
        <v/>
      </c>
      <c r="H19" s="192" t="str">
        <f t="shared" ref="H19" si="22">IFERROR(H18/$E18,"")</f>
        <v/>
      </c>
      <c r="I19" s="192" t="str">
        <f t="shared" ref="I19" si="23">IFERROR(I18/$E18,"")</f>
        <v/>
      </c>
      <c r="J19" s="192" t="str">
        <f t="shared" ref="J19" si="24">IFERROR(J18/$E18,"")</f>
        <v/>
      </c>
      <c r="K19" s="192" t="str">
        <f t="shared" ref="K19" si="25">IFERROR(K18/$E18,"")</f>
        <v/>
      </c>
      <c r="L19" s="192" t="str">
        <f t="shared" ref="L19" si="26">IFERROR(L18/$E18,"")</f>
        <v/>
      </c>
      <c r="M19" s="192" t="str">
        <f t="shared" ref="M19" si="27">IFERROR(M18/$E18,"")</f>
        <v/>
      </c>
      <c r="N19" s="192" t="str">
        <f t="shared" ref="N19" si="28">IFERROR(N18/$E18,"")</f>
        <v/>
      </c>
      <c r="O19" s="192" t="str">
        <f t="shared" ref="O19" si="29">IFERROR(O18/$E18,"")</f>
        <v/>
      </c>
      <c r="P19" s="193" t="str">
        <f t="shared" ref="P19" si="30">IFERROR(P18/$E18,"")</f>
        <v/>
      </c>
      <c r="Q19" s="194"/>
    </row>
    <row r="20" spans="1:17" ht="17.25" customHeight="1">
      <c r="B20" s="763" t="s">
        <v>365</v>
      </c>
      <c r="C20" s="767"/>
      <c r="D20" s="188" t="s">
        <v>351</v>
      </c>
      <c r="E20" s="171"/>
      <c r="F20" s="172"/>
      <c r="G20" s="172"/>
      <c r="H20" s="172"/>
      <c r="I20" s="172"/>
      <c r="J20" s="172"/>
      <c r="K20" s="172"/>
      <c r="L20" s="172"/>
      <c r="M20" s="172"/>
      <c r="N20" s="172"/>
      <c r="O20" s="172"/>
      <c r="P20" s="173"/>
      <c r="Q20" s="189">
        <f>ROUND(SUM(E20:P20)/12,0)</f>
        <v>0</v>
      </c>
    </row>
    <row r="21" spans="1:17" ht="17.25" customHeight="1">
      <c r="B21" s="768"/>
      <c r="C21" s="770"/>
      <c r="D21" s="190" t="s">
        <v>352</v>
      </c>
      <c r="E21" s="191"/>
      <c r="F21" s="192" t="str">
        <f>IFERROR(F20/$E20,"")</f>
        <v/>
      </c>
      <c r="G21" s="192" t="str">
        <f t="shared" ref="G21" si="31">IFERROR(G20/$E20,"")</f>
        <v/>
      </c>
      <c r="H21" s="192" t="str">
        <f t="shared" ref="H21" si="32">IFERROR(H20/$E20,"")</f>
        <v/>
      </c>
      <c r="I21" s="192" t="str">
        <f t="shared" ref="I21" si="33">IFERROR(I20/$E20,"")</f>
        <v/>
      </c>
      <c r="J21" s="192" t="str">
        <f t="shared" ref="J21" si="34">IFERROR(J20/$E20,"")</f>
        <v/>
      </c>
      <c r="K21" s="192" t="str">
        <f t="shared" ref="K21" si="35">IFERROR(K20/$E20,"")</f>
        <v/>
      </c>
      <c r="L21" s="192" t="str">
        <f t="shared" ref="L21" si="36">IFERROR(L20/$E20,"")</f>
        <v/>
      </c>
      <c r="M21" s="192" t="str">
        <f t="shared" ref="M21" si="37">IFERROR(M20/$E20,"")</f>
        <v/>
      </c>
      <c r="N21" s="192" t="str">
        <f t="shared" ref="N21" si="38">IFERROR(N20/$E20,"")</f>
        <v/>
      </c>
      <c r="O21" s="192" t="str">
        <f t="shared" ref="O21" si="39">IFERROR(O20/$E20,"")</f>
        <v/>
      </c>
      <c r="P21" s="193" t="str">
        <f t="shared" ref="P21" si="40">IFERROR(P20/$E20,"")</f>
        <v/>
      </c>
      <c r="Q21" s="194"/>
    </row>
    <row r="22" spans="1:17" ht="17.25" customHeight="1">
      <c r="B22" s="763" t="s">
        <v>369</v>
      </c>
      <c r="C22" s="767"/>
      <c r="D22" s="188" t="s">
        <v>351</v>
      </c>
      <c r="E22" s="171"/>
      <c r="F22" s="172"/>
      <c r="G22" s="172"/>
      <c r="H22" s="172"/>
      <c r="I22" s="172"/>
      <c r="J22" s="172"/>
      <c r="K22" s="172"/>
      <c r="L22" s="172"/>
      <c r="M22" s="172"/>
      <c r="N22" s="172"/>
      <c r="O22" s="172"/>
      <c r="P22" s="173"/>
      <c r="Q22" s="189">
        <f>ROUND(SUM(E22:P22)/12,0)</f>
        <v>0</v>
      </c>
    </row>
    <row r="23" spans="1:17" ht="17.25" customHeight="1">
      <c r="B23" s="768"/>
      <c r="C23" s="770"/>
      <c r="D23" s="190" t="s">
        <v>352</v>
      </c>
      <c r="E23" s="191"/>
      <c r="F23" s="192" t="str">
        <f>IFERROR(F22/$E22,"")</f>
        <v/>
      </c>
      <c r="G23" s="192" t="str">
        <f t="shared" ref="G23" si="41">IFERROR(G22/$E22,"")</f>
        <v/>
      </c>
      <c r="H23" s="192" t="str">
        <f t="shared" ref="H23" si="42">IFERROR(H22/$E22,"")</f>
        <v/>
      </c>
      <c r="I23" s="192" t="str">
        <f t="shared" ref="I23" si="43">IFERROR(I22/$E22,"")</f>
        <v/>
      </c>
      <c r="J23" s="192" t="str">
        <f t="shared" ref="J23" si="44">IFERROR(J22/$E22,"")</f>
        <v/>
      </c>
      <c r="K23" s="192" t="str">
        <f t="shared" ref="K23" si="45">IFERROR(K22/$E22,"")</f>
        <v/>
      </c>
      <c r="L23" s="192" t="str">
        <f t="shared" ref="L23" si="46">IFERROR(L22/$E22,"")</f>
        <v/>
      </c>
      <c r="M23" s="192" t="str">
        <f t="shared" ref="M23" si="47">IFERROR(M22/$E22,"")</f>
        <v/>
      </c>
      <c r="N23" s="192" t="str">
        <f t="shared" ref="N23" si="48">IFERROR(N22/$E22,"")</f>
        <v/>
      </c>
      <c r="O23" s="192" t="str">
        <f t="shared" ref="O23" si="49">IFERROR(O22/$E22,"")</f>
        <v/>
      </c>
      <c r="P23" s="193" t="str">
        <f t="shared" ref="P23" si="50">IFERROR(P22/$E22,"")</f>
        <v/>
      </c>
      <c r="Q23" s="194"/>
    </row>
    <row r="24" spans="1:17" ht="17.25" customHeight="1">
      <c r="B24" s="763" t="s">
        <v>355</v>
      </c>
      <c r="C24" s="764"/>
      <c r="D24" s="188" t="s">
        <v>351</v>
      </c>
      <c r="E24" s="171"/>
      <c r="F24" s="172"/>
      <c r="G24" s="172"/>
      <c r="H24" s="172"/>
      <c r="I24" s="172"/>
      <c r="J24" s="172"/>
      <c r="K24" s="172"/>
      <c r="L24" s="172"/>
      <c r="M24" s="172"/>
      <c r="N24" s="172"/>
      <c r="O24" s="172"/>
      <c r="P24" s="173"/>
      <c r="Q24" s="189">
        <f>ROUND(SUM(E24:P24)/12,0)</f>
        <v>0</v>
      </c>
    </row>
    <row r="25" spans="1:17" ht="17.25" customHeight="1" thickBot="1">
      <c r="B25" s="765"/>
      <c r="C25" s="766"/>
      <c r="D25" s="195" t="s">
        <v>352</v>
      </c>
      <c r="E25" s="196"/>
      <c r="F25" s="197" t="str">
        <f>IFERROR(F24/$E24,"")</f>
        <v/>
      </c>
      <c r="G25" s="197" t="str">
        <f t="shared" ref="G25" si="51">IFERROR(G24/$E24,"")</f>
        <v/>
      </c>
      <c r="H25" s="197" t="str">
        <f t="shared" ref="H25" si="52">IFERROR(H24/$E24,"")</f>
        <v/>
      </c>
      <c r="I25" s="197" t="str">
        <f t="shared" ref="I25" si="53">IFERROR(I24/$E24,"")</f>
        <v/>
      </c>
      <c r="J25" s="197" t="str">
        <f t="shared" ref="J25" si="54">IFERROR(J24/$E24,"")</f>
        <v/>
      </c>
      <c r="K25" s="197" t="str">
        <f t="shared" ref="K25" si="55">IFERROR(K24/$E24,"")</f>
        <v/>
      </c>
      <c r="L25" s="197" t="str">
        <f t="shared" ref="L25" si="56">IFERROR(L24/$E24,"")</f>
        <v/>
      </c>
      <c r="M25" s="197" t="str">
        <f t="shared" ref="M25" si="57">IFERROR(M24/$E24,"")</f>
        <v/>
      </c>
      <c r="N25" s="197" t="str">
        <f t="shared" ref="N25" si="58">IFERROR(N24/$E24,"")</f>
        <v/>
      </c>
      <c r="O25" s="197" t="str">
        <f t="shared" ref="O25" si="59">IFERROR(O24/$E24,"")</f>
        <v/>
      </c>
      <c r="P25" s="198" t="str">
        <f t="shared" ref="P25" si="60">IFERROR(P24/$E24,"")</f>
        <v/>
      </c>
      <c r="Q25" s="199"/>
    </row>
    <row r="26" spans="1:17" ht="17.25" customHeight="1" thickTop="1" thickBot="1">
      <c r="B26" s="793" t="s">
        <v>356</v>
      </c>
      <c r="C26" s="794"/>
      <c r="D26" s="200"/>
      <c r="E26" s="201">
        <f>SUM(E12,E14,E16,E20,E22,E24)</f>
        <v>0</v>
      </c>
      <c r="F26" s="202">
        <f t="shared" ref="F26:H26" si="61">SUM(F12,F14,F16,F20,F22,F24)</f>
        <v>0</v>
      </c>
      <c r="G26" s="202">
        <f t="shared" si="61"/>
        <v>0</v>
      </c>
      <c r="H26" s="202">
        <f t="shared" si="61"/>
        <v>0</v>
      </c>
      <c r="I26" s="202"/>
      <c r="J26" s="202"/>
      <c r="K26" s="202"/>
      <c r="L26" s="202"/>
      <c r="M26" s="202"/>
      <c r="N26" s="202"/>
      <c r="O26" s="202"/>
      <c r="P26" s="203"/>
      <c r="Q26" s="204">
        <f>SUM(Q12,Q14,Q16,Q20,Q22,Q24)</f>
        <v>0</v>
      </c>
    </row>
    <row r="27" spans="1:17" ht="17.25" customHeight="1">
      <c r="B27" s="182"/>
      <c r="C27" s="182"/>
      <c r="D27" s="182"/>
      <c r="F27" s="205"/>
      <c r="G27" s="205"/>
      <c r="H27" s="205"/>
      <c r="I27" s="205"/>
      <c r="J27" s="205"/>
      <c r="K27" s="205"/>
      <c r="L27" s="205"/>
      <c r="M27" s="205"/>
      <c r="N27" s="205"/>
      <c r="O27" s="205"/>
      <c r="P27" s="205"/>
      <c r="Q27" s="206"/>
    </row>
    <row r="28" spans="1:17" ht="17.25" customHeight="1">
      <c r="B28" s="182"/>
      <c r="C28" s="182"/>
      <c r="D28" s="182"/>
      <c r="F28" s="205"/>
      <c r="G28" s="205"/>
      <c r="H28" s="205"/>
      <c r="I28" s="205"/>
      <c r="J28" s="205"/>
      <c r="K28" s="205"/>
      <c r="L28" s="205"/>
      <c r="M28" s="205"/>
      <c r="N28" s="205"/>
      <c r="O28" s="205"/>
      <c r="P28" s="205"/>
    </row>
    <row r="29" spans="1:17" ht="17.25" customHeight="1" thickBot="1">
      <c r="A29" s="184" t="s">
        <v>867</v>
      </c>
      <c r="E29" s="207"/>
    </row>
    <row r="30" spans="1:17" ht="17.25" customHeight="1">
      <c r="B30" s="795" t="s">
        <v>868</v>
      </c>
      <c r="C30" s="796"/>
      <c r="D30" s="797"/>
      <c r="E30" s="185">
        <v>4</v>
      </c>
      <c r="F30" s="208">
        <v>5</v>
      </c>
      <c r="G30" s="208">
        <v>6</v>
      </c>
      <c r="H30" s="187">
        <v>7</v>
      </c>
      <c r="I30" s="186">
        <v>8</v>
      </c>
      <c r="J30" s="186">
        <v>9</v>
      </c>
      <c r="K30" s="209">
        <v>10</v>
      </c>
      <c r="L30" s="186">
        <v>11</v>
      </c>
      <c r="M30" s="186">
        <v>12</v>
      </c>
      <c r="N30" s="186">
        <v>1</v>
      </c>
      <c r="O30" s="186">
        <v>2</v>
      </c>
      <c r="P30" s="187">
        <v>3</v>
      </c>
      <c r="Q30" s="801" t="s">
        <v>349</v>
      </c>
    </row>
    <row r="31" spans="1:17" ht="17.25" customHeight="1">
      <c r="B31" s="798"/>
      <c r="C31" s="799"/>
      <c r="D31" s="800"/>
      <c r="E31" s="806" t="s">
        <v>350</v>
      </c>
      <c r="F31" s="807"/>
      <c r="G31" s="807"/>
      <c r="H31" s="808"/>
      <c r="I31" s="809" t="s">
        <v>370</v>
      </c>
      <c r="J31" s="810"/>
      <c r="K31" s="810"/>
      <c r="L31" s="810"/>
      <c r="M31" s="810"/>
      <c r="N31" s="810"/>
      <c r="O31" s="810"/>
      <c r="P31" s="811"/>
      <c r="Q31" s="802"/>
    </row>
    <row r="32" spans="1:17" ht="18" customHeight="1">
      <c r="B32" s="803" t="str">
        <f>$B$12</f>
        <v>５歳児</v>
      </c>
      <c r="C32" s="804"/>
      <c r="D32" s="210" t="s">
        <v>351</v>
      </c>
      <c r="E32" s="449"/>
      <c r="F32" s="174"/>
      <c r="G32" s="174"/>
      <c r="H32" s="175"/>
      <c r="I32" s="248" t="str">
        <f t="shared" ref="I32:P32" si="62">IFERROR($E$32*I13,"")</f>
        <v/>
      </c>
      <c r="J32" s="248" t="str">
        <f t="shared" si="62"/>
        <v/>
      </c>
      <c r="K32" s="248" t="str">
        <f t="shared" si="62"/>
        <v/>
      </c>
      <c r="L32" s="248" t="str">
        <f t="shared" si="62"/>
        <v/>
      </c>
      <c r="M32" s="248" t="str">
        <f t="shared" si="62"/>
        <v/>
      </c>
      <c r="N32" s="248" t="str">
        <f t="shared" si="62"/>
        <v/>
      </c>
      <c r="O32" s="248" t="str">
        <f t="shared" si="62"/>
        <v/>
      </c>
      <c r="P32" s="249" t="str">
        <f t="shared" si="62"/>
        <v/>
      </c>
      <c r="Q32" s="211">
        <f t="shared" ref="Q32:Q38" si="63">ROUND(SUM(E32:P32)/12,0)</f>
        <v>0</v>
      </c>
    </row>
    <row r="33" spans="1:17" ht="18" customHeight="1">
      <c r="B33" s="803" t="str">
        <f>$B$14</f>
        <v>４歳児</v>
      </c>
      <c r="C33" s="804"/>
      <c r="D33" s="210" t="s">
        <v>351</v>
      </c>
      <c r="E33" s="449"/>
      <c r="F33" s="174"/>
      <c r="G33" s="174"/>
      <c r="H33" s="175"/>
      <c r="I33" s="248" t="str">
        <f>IFERROR($E$33*I15,"")</f>
        <v/>
      </c>
      <c r="J33" s="248" t="str">
        <f t="shared" ref="J33:P33" si="64">IFERROR($E$33*J15,"")</f>
        <v/>
      </c>
      <c r="K33" s="248" t="str">
        <f t="shared" si="64"/>
        <v/>
      </c>
      <c r="L33" s="248" t="str">
        <f t="shared" si="64"/>
        <v/>
      </c>
      <c r="M33" s="248" t="str">
        <f t="shared" si="64"/>
        <v/>
      </c>
      <c r="N33" s="248" t="str">
        <f t="shared" si="64"/>
        <v/>
      </c>
      <c r="O33" s="248" t="str">
        <f t="shared" si="64"/>
        <v/>
      </c>
      <c r="P33" s="249" t="str">
        <f t="shared" si="64"/>
        <v/>
      </c>
      <c r="Q33" s="211">
        <f t="shared" si="63"/>
        <v>0</v>
      </c>
    </row>
    <row r="34" spans="1:17" ht="18" customHeight="1">
      <c r="B34" s="787" t="str">
        <f>$B$16</f>
        <v>３歳児</v>
      </c>
      <c r="C34" s="805"/>
      <c r="D34" s="212" t="s">
        <v>351</v>
      </c>
      <c r="E34" s="449"/>
      <c r="F34" s="174"/>
      <c r="G34" s="174"/>
      <c r="H34" s="175"/>
      <c r="I34" s="248" t="str">
        <f t="shared" ref="I34:P34" si="65">IFERROR($E$34*I17,"")</f>
        <v/>
      </c>
      <c r="J34" s="248" t="str">
        <f t="shared" si="65"/>
        <v/>
      </c>
      <c r="K34" s="248" t="str">
        <f t="shared" si="65"/>
        <v/>
      </c>
      <c r="L34" s="248" t="str">
        <f t="shared" si="65"/>
        <v/>
      </c>
      <c r="M34" s="248" t="str">
        <f t="shared" si="65"/>
        <v/>
      </c>
      <c r="N34" s="248" t="str">
        <f t="shared" si="65"/>
        <v/>
      </c>
      <c r="O34" s="248" t="str">
        <f t="shared" si="65"/>
        <v/>
      </c>
      <c r="P34" s="249" t="str">
        <f t="shared" si="65"/>
        <v/>
      </c>
      <c r="Q34" s="211">
        <f t="shared" si="63"/>
        <v>0</v>
      </c>
    </row>
    <row r="35" spans="1:17" ht="18" customHeight="1">
      <c r="B35" s="213"/>
      <c r="C35" s="214" t="str">
        <f>$C$18</f>
        <v>うち満３歳児</v>
      </c>
      <c r="D35" s="210" t="s">
        <v>351</v>
      </c>
      <c r="E35" s="449"/>
      <c r="F35" s="174"/>
      <c r="G35" s="174"/>
      <c r="H35" s="175"/>
      <c r="I35" s="248" t="str">
        <f t="shared" ref="I35:P35" si="66">IFERROR($E$35*I19,"")</f>
        <v/>
      </c>
      <c r="J35" s="248" t="str">
        <f t="shared" si="66"/>
        <v/>
      </c>
      <c r="K35" s="248" t="str">
        <f t="shared" si="66"/>
        <v/>
      </c>
      <c r="L35" s="248" t="str">
        <f t="shared" si="66"/>
        <v/>
      </c>
      <c r="M35" s="248" t="str">
        <f t="shared" si="66"/>
        <v/>
      </c>
      <c r="N35" s="248" t="str">
        <f t="shared" si="66"/>
        <v/>
      </c>
      <c r="O35" s="248" t="str">
        <f t="shared" si="66"/>
        <v/>
      </c>
      <c r="P35" s="249" t="str">
        <f t="shared" si="66"/>
        <v/>
      </c>
      <c r="Q35" s="211">
        <f t="shared" si="63"/>
        <v>0</v>
      </c>
    </row>
    <row r="36" spans="1:17" ht="18" customHeight="1">
      <c r="B36" s="803" t="str">
        <f>$B$20</f>
        <v>２歳児</v>
      </c>
      <c r="C36" s="804"/>
      <c r="D36" s="210" t="s">
        <v>351</v>
      </c>
      <c r="E36" s="449"/>
      <c r="F36" s="178"/>
      <c r="G36" s="178"/>
      <c r="H36" s="175"/>
      <c r="I36" s="248" t="str">
        <f t="shared" ref="I36:P36" si="67">IFERROR($E$36*I21,"")</f>
        <v/>
      </c>
      <c r="J36" s="248" t="str">
        <f t="shared" si="67"/>
        <v/>
      </c>
      <c r="K36" s="248" t="str">
        <f t="shared" si="67"/>
        <v/>
      </c>
      <c r="L36" s="248" t="str">
        <f t="shared" si="67"/>
        <v/>
      </c>
      <c r="M36" s="248" t="str">
        <f t="shared" si="67"/>
        <v/>
      </c>
      <c r="N36" s="248" t="str">
        <f t="shared" si="67"/>
        <v/>
      </c>
      <c r="O36" s="248" t="str">
        <f t="shared" si="67"/>
        <v/>
      </c>
      <c r="P36" s="249" t="str">
        <f t="shared" si="67"/>
        <v/>
      </c>
      <c r="Q36" s="211">
        <f t="shared" si="63"/>
        <v>0</v>
      </c>
    </row>
    <row r="37" spans="1:17" ht="18" customHeight="1">
      <c r="B37" s="803" t="str">
        <f>$B$22</f>
        <v>１歳児</v>
      </c>
      <c r="C37" s="804"/>
      <c r="D37" s="210" t="s">
        <v>351</v>
      </c>
      <c r="E37" s="449"/>
      <c r="F37" s="178"/>
      <c r="G37" s="178"/>
      <c r="H37" s="175"/>
      <c r="I37" s="248" t="str">
        <f>IFERROR($E$37*I23,"")</f>
        <v/>
      </c>
      <c r="J37" s="248" t="str">
        <f t="shared" ref="J37:P37" si="68">IFERROR($E$37*J23,"")</f>
        <v/>
      </c>
      <c r="K37" s="248" t="str">
        <f t="shared" si="68"/>
        <v/>
      </c>
      <c r="L37" s="248" t="str">
        <f t="shared" si="68"/>
        <v/>
      </c>
      <c r="M37" s="248" t="str">
        <f t="shared" si="68"/>
        <v/>
      </c>
      <c r="N37" s="248" t="str">
        <f t="shared" si="68"/>
        <v/>
      </c>
      <c r="O37" s="248" t="str">
        <f t="shared" si="68"/>
        <v/>
      </c>
      <c r="P37" s="249" t="str">
        <f t="shared" si="68"/>
        <v/>
      </c>
      <c r="Q37" s="211">
        <f t="shared" si="63"/>
        <v>0</v>
      </c>
    </row>
    <row r="38" spans="1:17" ht="18" customHeight="1" thickBot="1">
      <c r="B38" s="815" t="str">
        <f>$B$24</f>
        <v>０歳児</v>
      </c>
      <c r="C38" s="816"/>
      <c r="D38" s="215" t="s">
        <v>351</v>
      </c>
      <c r="E38" s="450"/>
      <c r="F38" s="179"/>
      <c r="G38" s="179"/>
      <c r="H38" s="177"/>
      <c r="I38" s="250" t="str">
        <f t="shared" ref="I38:P38" si="69">IFERROR($E$38*I25,"")</f>
        <v/>
      </c>
      <c r="J38" s="250" t="str">
        <f t="shared" si="69"/>
        <v/>
      </c>
      <c r="K38" s="250" t="str">
        <f t="shared" si="69"/>
        <v/>
      </c>
      <c r="L38" s="250" t="str">
        <f t="shared" si="69"/>
        <v/>
      </c>
      <c r="M38" s="250" t="str">
        <f t="shared" si="69"/>
        <v/>
      </c>
      <c r="N38" s="250" t="str">
        <f t="shared" si="69"/>
        <v/>
      </c>
      <c r="O38" s="250" t="str">
        <f t="shared" si="69"/>
        <v/>
      </c>
      <c r="P38" s="251" t="str">
        <f t="shared" si="69"/>
        <v/>
      </c>
      <c r="Q38" s="216">
        <f t="shared" si="63"/>
        <v>0</v>
      </c>
    </row>
    <row r="39" spans="1:17" ht="18" customHeight="1" thickTop="1" thickBot="1">
      <c r="B39" s="817" t="s">
        <v>356</v>
      </c>
      <c r="C39" s="818"/>
      <c r="D39" s="217"/>
      <c r="E39" s="218">
        <f>SUM(E32:E34,E36:E38)</f>
        <v>0</v>
      </c>
      <c r="F39" s="219">
        <f>SUM(F32:F34,F36:F38)</f>
        <v>0</v>
      </c>
      <c r="G39" s="220">
        <f>SUM(G32:G34,G36:G38)</f>
        <v>0</v>
      </c>
      <c r="H39" s="221">
        <f>SUM(H32:H34,H36:H38)</f>
        <v>0</v>
      </c>
      <c r="I39" s="222"/>
      <c r="J39" s="223"/>
      <c r="K39" s="223"/>
      <c r="L39" s="223"/>
      <c r="M39" s="223"/>
      <c r="N39" s="223"/>
      <c r="O39" s="223"/>
      <c r="P39" s="224"/>
      <c r="Q39" s="225">
        <f>SUM(Q32:Q34,Q36:Q38)</f>
        <v>0</v>
      </c>
    </row>
    <row r="40" spans="1:17" ht="17.25" customHeight="1">
      <c r="B40" s="226" t="s">
        <v>358</v>
      </c>
    </row>
    <row r="41" spans="1:17" ht="17.25" customHeight="1"/>
    <row r="42" spans="1:17" ht="17.25" customHeight="1"/>
    <row r="43" spans="1:17" ht="17.25" customHeight="1"/>
    <row r="44" spans="1:17" ht="17.25" customHeight="1"/>
    <row r="45" spans="1:17" ht="17.25" customHeight="1" thickBot="1">
      <c r="A45" s="184" t="s">
        <v>359</v>
      </c>
      <c r="E45" s="207"/>
    </row>
    <row r="46" spans="1:17" ht="17.25" customHeight="1">
      <c r="B46" s="795" t="s">
        <v>868</v>
      </c>
      <c r="C46" s="796"/>
      <c r="D46" s="797"/>
      <c r="E46" s="185">
        <v>4</v>
      </c>
      <c r="F46" s="208">
        <v>5</v>
      </c>
      <c r="G46" s="208">
        <v>6</v>
      </c>
      <c r="H46" s="187">
        <v>7</v>
      </c>
      <c r="I46" s="186">
        <v>8</v>
      </c>
      <c r="J46" s="186">
        <v>9</v>
      </c>
      <c r="K46" s="209">
        <v>10</v>
      </c>
      <c r="L46" s="186">
        <v>11</v>
      </c>
      <c r="M46" s="186">
        <v>12</v>
      </c>
      <c r="N46" s="186">
        <v>1</v>
      </c>
      <c r="O46" s="186">
        <v>2</v>
      </c>
      <c r="P46" s="187">
        <v>3</v>
      </c>
      <c r="Q46" s="801" t="s">
        <v>349</v>
      </c>
    </row>
    <row r="47" spans="1:17" ht="17.25" customHeight="1">
      <c r="B47" s="798"/>
      <c r="C47" s="799"/>
      <c r="D47" s="800"/>
      <c r="E47" s="806" t="s">
        <v>350</v>
      </c>
      <c r="F47" s="807"/>
      <c r="G47" s="807"/>
      <c r="H47" s="808"/>
      <c r="I47" s="809" t="s">
        <v>360</v>
      </c>
      <c r="J47" s="810"/>
      <c r="K47" s="810"/>
      <c r="L47" s="810"/>
      <c r="M47" s="810"/>
      <c r="N47" s="810"/>
      <c r="O47" s="810"/>
      <c r="P47" s="811"/>
      <c r="Q47" s="802"/>
    </row>
    <row r="48" spans="1:17" ht="18" customHeight="1">
      <c r="B48" s="803" t="str">
        <f>$B$12</f>
        <v>５歳児</v>
      </c>
      <c r="C48" s="804"/>
      <c r="D48" s="227" t="s">
        <v>351</v>
      </c>
      <c r="E48" s="228">
        <f t="shared" ref="E48:H54" si="70">E32</f>
        <v>0</v>
      </c>
      <c r="F48" s="229">
        <f t="shared" si="70"/>
        <v>0</v>
      </c>
      <c r="G48" s="229">
        <f t="shared" si="70"/>
        <v>0</v>
      </c>
      <c r="H48" s="230">
        <f t="shared" si="70"/>
        <v>0</v>
      </c>
      <c r="I48" s="174"/>
      <c r="J48" s="174"/>
      <c r="K48" s="174"/>
      <c r="L48" s="174"/>
      <c r="M48" s="174"/>
      <c r="N48" s="174"/>
      <c r="O48" s="174"/>
      <c r="P48" s="175"/>
      <c r="Q48" s="211">
        <f t="shared" ref="Q48:Q54" si="71">ROUND(SUM(E48:P48)/12,0)</f>
        <v>0</v>
      </c>
    </row>
    <row r="49" spans="2:17" ht="18" customHeight="1">
      <c r="B49" s="803" t="str">
        <f>$B$14</f>
        <v>４歳児</v>
      </c>
      <c r="C49" s="804"/>
      <c r="D49" s="227" t="s">
        <v>351</v>
      </c>
      <c r="E49" s="228">
        <f t="shared" si="70"/>
        <v>0</v>
      </c>
      <c r="F49" s="229">
        <f t="shared" si="70"/>
        <v>0</v>
      </c>
      <c r="G49" s="229">
        <f t="shared" si="70"/>
        <v>0</v>
      </c>
      <c r="H49" s="230">
        <f t="shared" si="70"/>
        <v>0</v>
      </c>
      <c r="I49" s="174"/>
      <c r="J49" s="174"/>
      <c r="K49" s="174"/>
      <c r="L49" s="174"/>
      <c r="M49" s="174"/>
      <c r="N49" s="174"/>
      <c r="O49" s="174"/>
      <c r="P49" s="175"/>
      <c r="Q49" s="211">
        <f t="shared" si="71"/>
        <v>0</v>
      </c>
    </row>
    <row r="50" spans="2:17" ht="18" customHeight="1">
      <c r="B50" s="787" t="str">
        <f>$B$16</f>
        <v>３歳児</v>
      </c>
      <c r="C50" s="788"/>
      <c r="D50" s="227" t="s">
        <v>351</v>
      </c>
      <c r="E50" s="228">
        <f t="shared" si="70"/>
        <v>0</v>
      </c>
      <c r="F50" s="229">
        <f t="shared" si="70"/>
        <v>0</v>
      </c>
      <c r="G50" s="229">
        <f t="shared" si="70"/>
        <v>0</v>
      </c>
      <c r="H50" s="230">
        <f t="shared" si="70"/>
        <v>0</v>
      </c>
      <c r="I50" s="174"/>
      <c r="J50" s="174"/>
      <c r="K50" s="174"/>
      <c r="L50" s="174"/>
      <c r="M50" s="174"/>
      <c r="N50" s="174"/>
      <c r="O50" s="174"/>
      <c r="P50" s="175"/>
      <c r="Q50" s="211">
        <f t="shared" si="71"/>
        <v>0</v>
      </c>
    </row>
    <row r="51" spans="2:17" ht="18" customHeight="1">
      <c r="B51" s="213"/>
      <c r="C51" s="214" t="str">
        <f>$C$18</f>
        <v>うち満３歳児</v>
      </c>
      <c r="D51" s="227" t="s">
        <v>351</v>
      </c>
      <c r="E51" s="228">
        <f t="shared" si="70"/>
        <v>0</v>
      </c>
      <c r="F51" s="229">
        <f t="shared" si="70"/>
        <v>0</v>
      </c>
      <c r="G51" s="229">
        <f t="shared" si="70"/>
        <v>0</v>
      </c>
      <c r="H51" s="230">
        <f t="shared" si="70"/>
        <v>0</v>
      </c>
      <c r="I51" s="174"/>
      <c r="J51" s="174"/>
      <c r="K51" s="174"/>
      <c r="L51" s="174"/>
      <c r="M51" s="174"/>
      <c r="N51" s="174"/>
      <c r="O51" s="174"/>
      <c r="P51" s="175"/>
      <c r="Q51" s="211">
        <f t="shared" si="71"/>
        <v>0</v>
      </c>
    </row>
    <row r="52" spans="2:17" ht="18" customHeight="1">
      <c r="B52" s="803" t="str">
        <f>$B$20</f>
        <v>２歳児</v>
      </c>
      <c r="C52" s="804"/>
      <c r="D52" s="227" t="s">
        <v>351</v>
      </c>
      <c r="E52" s="228">
        <f t="shared" si="70"/>
        <v>0</v>
      </c>
      <c r="F52" s="231">
        <f t="shared" si="70"/>
        <v>0</v>
      </c>
      <c r="G52" s="231">
        <f t="shared" si="70"/>
        <v>0</v>
      </c>
      <c r="H52" s="230">
        <f t="shared" si="70"/>
        <v>0</v>
      </c>
      <c r="I52" s="174"/>
      <c r="J52" s="174"/>
      <c r="K52" s="174"/>
      <c r="L52" s="174"/>
      <c r="M52" s="174"/>
      <c r="N52" s="174"/>
      <c r="O52" s="174"/>
      <c r="P52" s="175"/>
      <c r="Q52" s="211">
        <f t="shared" si="71"/>
        <v>0</v>
      </c>
    </row>
    <row r="53" spans="2:17" ht="18" customHeight="1">
      <c r="B53" s="803" t="str">
        <f>$B$22</f>
        <v>１歳児</v>
      </c>
      <c r="C53" s="804"/>
      <c r="D53" s="227" t="s">
        <v>351</v>
      </c>
      <c r="E53" s="228">
        <f t="shared" si="70"/>
        <v>0</v>
      </c>
      <c r="F53" s="231">
        <f t="shared" si="70"/>
        <v>0</v>
      </c>
      <c r="G53" s="231">
        <f t="shared" si="70"/>
        <v>0</v>
      </c>
      <c r="H53" s="230">
        <f t="shared" si="70"/>
        <v>0</v>
      </c>
      <c r="I53" s="174"/>
      <c r="J53" s="174"/>
      <c r="K53" s="174"/>
      <c r="L53" s="174"/>
      <c r="M53" s="174"/>
      <c r="N53" s="174"/>
      <c r="O53" s="174"/>
      <c r="P53" s="175"/>
      <c r="Q53" s="211">
        <f t="shared" si="71"/>
        <v>0</v>
      </c>
    </row>
    <row r="54" spans="2:17" ht="18" customHeight="1" thickBot="1">
      <c r="B54" s="815" t="str">
        <f>$B$24</f>
        <v>０歳児</v>
      </c>
      <c r="C54" s="816"/>
      <c r="D54" s="232" t="s">
        <v>351</v>
      </c>
      <c r="E54" s="233">
        <f t="shared" si="70"/>
        <v>0</v>
      </c>
      <c r="F54" s="234">
        <f t="shared" si="70"/>
        <v>0</v>
      </c>
      <c r="G54" s="234">
        <f t="shared" si="70"/>
        <v>0</v>
      </c>
      <c r="H54" s="235">
        <f t="shared" si="70"/>
        <v>0</v>
      </c>
      <c r="I54" s="176"/>
      <c r="J54" s="176"/>
      <c r="K54" s="176"/>
      <c r="L54" s="176"/>
      <c r="M54" s="176"/>
      <c r="N54" s="176"/>
      <c r="O54" s="176"/>
      <c r="P54" s="177"/>
      <c r="Q54" s="216">
        <f t="shared" si="71"/>
        <v>0</v>
      </c>
    </row>
    <row r="55" spans="2:17" ht="18" customHeight="1" thickTop="1" thickBot="1">
      <c r="B55" s="793" t="s">
        <v>356</v>
      </c>
      <c r="C55" s="794"/>
      <c r="D55" s="236"/>
      <c r="E55" s="218">
        <f>SUM(E48:E50,E52:E54)</f>
        <v>0</v>
      </c>
      <c r="F55" s="219">
        <f t="shared" ref="F55:H55" si="72">SUM(F48:F50,F52:F54)</f>
        <v>0</v>
      </c>
      <c r="G55" s="220">
        <f t="shared" si="72"/>
        <v>0</v>
      </c>
      <c r="H55" s="237">
        <f t="shared" si="72"/>
        <v>0</v>
      </c>
      <c r="I55" s="238"/>
      <c r="J55" s="202"/>
      <c r="K55" s="202"/>
      <c r="L55" s="202"/>
      <c r="M55" s="202"/>
      <c r="N55" s="202"/>
      <c r="O55" s="202"/>
      <c r="P55" s="203"/>
      <c r="Q55" s="225">
        <f>SUM(Q48:Q50,Q52:Q54)</f>
        <v>0</v>
      </c>
    </row>
    <row r="56" spans="2:17" ht="17.25" customHeight="1">
      <c r="B56" s="226" t="s">
        <v>358</v>
      </c>
      <c r="E56" s="239"/>
      <c r="F56" s="239"/>
      <c r="G56" s="239"/>
      <c r="H56" s="239"/>
      <c r="I56" s="239"/>
      <c r="J56" s="239"/>
      <c r="K56" s="239"/>
      <c r="L56" s="239"/>
      <c r="M56" s="239"/>
      <c r="N56" s="239"/>
      <c r="O56" s="239"/>
      <c r="P56" s="239"/>
      <c r="Q56" s="239"/>
    </row>
    <row r="57" spans="2:17" ht="17.25" customHeight="1">
      <c r="E57" s="239"/>
      <c r="F57" s="239"/>
      <c r="G57" s="239"/>
      <c r="H57" s="239"/>
      <c r="I57" s="239"/>
      <c r="J57" s="239"/>
      <c r="K57" s="239"/>
      <c r="L57" s="239"/>
      <c r="M57" s="239"/>
      <c r="N57" s="239"/>
      <c r="O57" s="239"/>
      <c r="P57" s="239"/>
      <c r="Q57" s="239"/>
    </row>
    <row r="58" spans="2:17" ht="17.25" customHeight="1" thickBot="1">
      <c r="B58" s="240" t="s">
        <v>361</v>
      </c>
      <c r="C58" s="241"/>
    </row>
    <row r="59" spans="2:17" ht="94.5" customHeight="1" thickBot="1">
      <c r="B59" s="812" t="s">
        <v>362</v>
      </c>
      <c r="C59" s="813"/>
      <c r="D59" s="813"/>
      <c r="E59" s="813"/>
      <c r="F59" s="813"/>
      <c r="G59" s="813"/>
      <c r="H59" s="813"/>
      <c r="I59" s="813"/>
      <c r="J59" s="813"/>
      <c r="K59" s="813"/>
      <c r="L59" s="813"/>
      <c r="M59" s="813"/>
      <c r="N59" s="813"/>
      <c r="O59" s="813"/>
      <c r="P59" s="813"/>
      <c r="Q59" s="814"/>
    </row>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sheetProtection algorithmName="SHA-512" hashValue="BSUFMIcI/MC4QmNx7vMNWH0YraiOO0nY5lnegDAx4x/QMV9kQ14L8xpVsOm1b4QquXYqDdcn0ee/of65rPY5xQ==" saltValue="aWUFqcoK1JhpPGpeVuIm5Q==" spinCount="100000" sheet="1" objects="1" scenarios="1"/>
  <mergeCells count="38">
    <mergeCell ref="B59:Q59"/>
    <mergeCell ref="B49:C49"/>
    <mergeCell ref="B53:C53"/>
    <mergeCell ref="B36:C36"/>
    <mergeCell ref="B38:C38"/>
    <mergeCell ref="B39:C39"/>
    <mergeCell ref="B46:D47"/>
    <mergeCell ref="Q46:Q47"/>
    <mergeCell ref="B37:C37"/>
    <mergeCell ref="E47:H47"/>
    <mergeCell ref="I47:P47"/>
    <mergeCell ref="B48:C48"/>
    <mergeCell ref="B50:C50"/>
    <mergeCell ref="B52:C52"/>
    <mergeCell ref="B54:C54"/>
    <mergeCell ref="B55:C55"/>
    <mergeCell ref="B26:C26"/>
    <mergeCell ref="B30:D31"/>
    <mergeCell ref="Q30:Q31"/>
    <mergeCell ref="B32:C32"/>
    <mergeCell ref="B34:C34"/>
    <mergeCell ref="B33:C33"/>
    <mergeCell ref="E31:H31"/>
    <mergeCell ref="I31:P31"/>
    <mergeCell ref="B24:C25"/>
    <mergeCell ref="B14:C15"/>
    <mergeCell ref="B22:C23"/>
    <mergeCell ref="A1:Q1"/>
    <mergeCell ref="H3:L3"/>
    <mergeCell ref="M3:Q3"/>
    <mergeCell ref="B10:D11"/>
    <mergeCell ref="Q10:Q11"/>
    <mergeCell ref="E11:P11"/>
    <mergeCell ref="B12:C13"/>
    <mergeCell ref="B16:C17"/>
    <mergeCell ref="B18:B19"/>
    <mergeCell ref="C18:C19"/>
    <mergeCell ref="B20:C21"/>
  </mergeCells>
  <phoneticPr fontId="4"/>
  <dataValidations count="1">
    <dataValidation type="whole" allowBlank="1" showInputMessage="1" showErrorMessage="1" sqref="E12:P12 E14:P14 E16:P16 E18:P18 E20:P20 E22:P22 E24:P24 E32:H38 I48:P54" xr:uid="{6C12939B-4BD3-4790-88A7-C970B34A5D76}">
      <formula1>0</formula1>
      <formula2>1000</formula2>
    </dataValidation>
  </dataValidations>
  <pageMargins left="0.61" right="0.27559055118110237" top="0.55118110236220474" bottom="0.19685039370078741" header="0.31496062992125984" footer="0.19685039370078741"/>
  <pageSetup paperSize="9" scale="70"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P25"/>
  <sheetViews>
    <sheetView zoomScaleNormal="100" workbookViewId="0"/>
  </sheetViews>
  <sheetFormatPr defaultRowHeight="12.75"/>
  <cols>
    <col min="1" max="1" width="13" style="63" bestFit="1" customWidth="1"/>
    <col min="2" max="3" width="7" style="63" bestFit="1" customWidth="1"/>
    <col min="4" max="4" width="28" style="63" bestFit="1" customWidth="1"/>
    <col min="5" max="5" width="7" style="63" bestFit="1" customWidth="1"/>
    <col min="6" max="6" width="11" style="63" bestFit="1" customWidth="1"/>
    <col min="7" max="7" width="8.25" style="63" bestFit="1" customWidth="1"/>
    <col min="8" max="8" width="11" style="63" customWidth="1"/>
    <col min="9" max="10" width="7.125" style="63" bestFit="1" customWidth="1"/>
    <col min="11" max="16384" width="9" style="63"/>
  </cols>
  <sheetData>
    <row r="1" spans="1:16" s="62" customFormat="1">
      <c r="A1" s="62" t="s">
        <v>74</v>
      </c>
      <c r="B1" s="62" t="s">
        <v>75</v>
      </c>
      <c r="C1" s="62" t="s">
        <v>106</v>
      </c>
      <c r="D1" s="62" t="s">
        <v>107</v>
      </c>
      <c r="E1" s="62" t="s">
        <v>108</v>
      </c>
      <c r="F1" s="62" t="s">
        <v>135</v>
      </c>
      <c r="G1" s="62" t="s">
        <v>166</v>
      </c>
      <c r="H1" s="62" t="s">
        <v>167</v>
      </c>
      <c r="I1" s="62" t="s">
        <v>124</v>
      </c>
      <c r="J1" s="62" t="s">
        <v>125</v>
      </c>
      <c r="K1" s="62" t="s">
        <v>292</v>
      </c>
      <c r="L1" s="62" t="s">
        <v>293</v>
      </c>
      <c r="M1" s="62" t="s">
        <v>310</v>
      </c>
      <c r="N1" s="62" t="s">
        <v>335</v>
      </c>
      <c r="O1" s="62" t="s">
        <v>343</v>
      </c>
      <c r="P1" s="62" t="s">
        <v>344</v>
      </c>
    </row>
    <row r="2" spans="1:16">
      <c r="A2" s="63" t="s">
        <v>78</v>
      </c>
      <c r="B2" s="63" t="s">
        <v>76</v>
      </c>
      <c r="C2" s="63" t="s">
        <v>104</v>
      </c>
      <c r="D2" s="63" t="s">
        <v>109</v>
      </c>
      <c r="E2" s="63" t="s">
        <v>111</v>
      </c>
      <c r="F2" s="63" t="s">
        <v>136</v>
      </c>
      <c r="G2" s="63">
        <v>1</v>
      </c>
      <c r="H2" s="63" t="s">
        <v>168</v>
      </c>
      <c r="I2" s="63">
        <v>1</v>
      </c>
      <c r="J2" s="63">
        <v>0</v>
      </c>
      <c r="K2" s="63">
        <v>1</v>
      </c>
      <c r="L2" s="63" t="s">
        <v>123</v>
      </c>
      <c r="M2" s="63" t="s">
        <v>311</v>
      </c>
      <c r="N2" s="63">
        <v>0</v>
      </c>
      <c r="O2" s="63">
        <v>12</v>
      </c>
      <c r="P2" s="63">
        <v>7</v>
      </c>
    </row>
    <row r="3" spans="1:16">
      <c r="A3" s="63" t="s">
        <v>79</v>
      </c>
      <c r="B3" s="63" t="s">
        <v>77</v>
      </c>
      <c r="D3" s="63" t="s">
        <v>110</v>
      </c>
      <c r="E3" s="63" t="s">
        <v>112</v>
      </c>
      <c r="F3" s="63" t="s">
        <v>137</v>
      </c>
      <c r="G3" s="63">
        <v>2</v>
      </c>
      <c r="H3" s="63" t="s">
        <v>169</v>
      </c>
      <c r="I3" s="63">
        <v>11</v>
      </c>
      <c r="J3" s="63">
        <v>1</v>
      </c>
      <c r="K3" s="63">
        <v>11</v>
      </c>
      <c r="L3" s="63" t="s">
        <v>34</v>
      </c>
      <c r="M3" s="63" t="s">
        <v>312</v>
      </c>
      <c r="N3" s="63">
        <v>1</v>
      </c>
      <c r="O3" s="63">
        <v>12</v>
      </c>
      <c r="P3" s="63">
        <v>6</v>
      </c>
    </row>
    <row r="4" spans="1:16">
      <c r="A4" s="63" t="s">
        <v>80</v>
      </c>
      <c r="E4" s="63" t="s">
        <v>113</v>
      </c>
      <c r="F4" s="63" t="s">
        <v>138</v>
      </c>
      <c r="G4" s="63">
        <v>3</v>
      </c>
      <c r="H4" s="63" t="s">
        <v>170</v>
      </c>
      <c r="I4" s="63">
        <f t="shared" ref="I4:I13" si="0">I3+5</f>
        <v>16</v>
      </c>
      <c r="J4" s="63">
        <v>2</v>
      </c>
      <c r="K4" s="63">
        <v>16</v>
      </c>
      <c r="L4" s="63" t="s">
        <v>122</v>
      </c>
      <c r="N4" s="63">
        <v>2</v>
      </c>
      <c r="O4" s="63">
        <v>11</v>
      </c>
      <c r="P4" s="63">
        <v>6</v>
      </c>
    </row>
    <row r="5" spans="1:16">
      <c r="A5" s="63" t="s">
        <v>81</v>
      </c>
      <c r="F5" s="63" t="s">
        <v>139</v>
      </c>
      <c r="G5" s="63">
        <v>3.5</v>
      </c>
      <c r="H5" s="63" t="s">
        <v>171</v>
      </c>
      <c r="I5" s="63">
        <f t="shared" si="0"/>
        <v>21</v>
      </c>
      <c r="J5" s="63">
        <v>3</v>
      </c>
      <c r="K5" s="63">
        <v>21</v>
      </c>
      <c r="L5" s="63" t="s">
        <v>121</v>
      </c>
      <c r="N5" s="63">
        <v>3</v>
      </c>
      <c r="O5" s="63">
        <v>10</v>
      </c>
      <c r="P5" s="63">
        <v>6</v>
      </c>
    </row>
    <row r="6" spans="1:16">
      <c r="A6" s="63" t="s">
        <v>82</v>
      </c>
      <c r="F6" s="63" t="s">
        <v>140</v>
      </c>
      <c r="G6" s="63">
        <v>5</v>
      </c>
      <c r="I6" s="63">
        <f t="shared" si="0"/>
        <v>26</v>
      </c>
      <c r="J6" s="63">
        <v>4</v>
      </c>
      <c r="K6" s="63">
        <v>26</v>
      </c>
      <c r="L6" s="63" t="s">
        <v>183</v>
      </c>
      <c r="N6" s="63">
        <v>4</v>
      </c>
      <c r="O6" s="63">
        <v>9</v>
      </c>
      <c r="P6" s="63">
        <v>6</v>
      </c>
    </row>
    <row r="7" spans="1:16">
      <c r="A7" s="63" t="s">
        <v>83</v>
      </c>
      <c r="F7" s="63" t="s">
        <v>141</v>
      </c>
      <c r="G7" s="63">
        <v>6</v>
      </c>
      <c r="I7" s="63">
        <f t="shared" si="0"/>
        <v>31</v>
      </c>
      <c r="J7" s="63">
        <v>5</v>
      </c>
      <c r="K7" s="63">
        <v>31</v>
      </c>
      <c r="L7" s="63" t="s">
        <v>185</v>
      </c>
      <c r="N7" s="63">
        <v>5</v>
      </c>
      <c r="O7" s="63">
        <v>8</v>
      </c>
      <c r="P7" s="63">
        <v>6</v>
      </c>
    </row>
    <row r="8" spans="1:16">
      <c r="A8" s="63" t="s">
        <v>84</v>
      </c>
      <c r="F8" s="63" t="s">
        <v>142</v>
      </c>
      <c r="G8" s="63">
        <v>8</v>
      </c>
      <c r="I8" s="63">
        <f t="shared" si="0"/>
        <v>36</v>
      </c>
      <c r="J8" s="63">
        <v>6</v>
      </c>
      <c r="K8" s="63">
        <v>36</v>
      </c>
      <c r="L8" s="63" t="s">
        <v>187</v>
      </c>
      <c r="N8" s="63">
        <v>6</v>
      </c>
      <c r="O8" s="63">
        <v>7</v>
      </c>
      <c r="P8" s="63">
        <v>6</v>
      </c>
    </row>
    <row r="9" spans="1:16">
      <c r="A9" s="63" t="s">
        <v>85</v>
      </c>
      <c r="F9" s="63" t="s">
        <v>143</v>
      </c>
      <c r="I9" s="63">
        <f t="shared" si="0"/>
        <v>41</v>
      </c>
      <c r="J9" s="63">
        <v>7</v>
      </c>
      <c r="K9" s="63">
        <v>41</v>
      </c>
      <c r="L9" s="63" t="s">
        <v>189</v>
      </c>
      <c r="O9" s="63">
        <v>6</v>
      </c>
      <c r="P9" s="63">
        <v>6</v>
      </c>
    </row>
    <row r="10" spans="1:16">
      <c r="A10" s="63" t="s">
        <v>86</v>
      </c>
      <c r="F10" s="63" t="s">
        <v>144</v>
      </c>
      <c r="I10" s="63">
        <f t="shared" si="0"/>
        <v>46</v>
      </c>
      <c r="J10" s="63">
        <v>8</v>
      </c>
      <c r="K10" s="63">
        <v>46</v>
      </c>
      <c r="L10" s="63" t="s">
        <v>193</v>
      </c>
      <c r="O10" s="63">
        <v>5</v>
      </c>
      <c r="P10" s="63">
        <v>6</v>
      </c>
    </row>
    <row r="11" spans="1:16">
      <c r="A11" s="63" t="s">
        <v>87</v>
      </c>
      <c r="F11" s="63" t="s">
        <v>145</v>
      </c>
      <c r="I11" s="63">
        <f t="shared" si="0"/>
        <v>51</v>
      </c>
      <c r="J11" s="63">
        <v>9</v>
      </c>
      <c r="K11" s="63">
        <v>51</v>
      </c>
      <c r="L11" s="63" t="s">
        <v>196</v>
      </c>
      <c r="O11" s="63">
        <v>4</v>
      </c>
      <c r="P11" s="63">
        <v>6</v>
      </c>
    </row>
    <row r="12" spans="1:16">
      <c r="A12" s="63" t="s">
        <v>88</v>
      </c>
      <c r="F12" s="63" t="s">
        <v>146</v>
      </c>
      <c r="I12" s="63">
        <f t="shared" si="0"/>
        <v>56</v>
      </c>
      <c r="J12" s="63">
        <v>10</v>
      </c>
      <c r="K12" s="63">
        <v>56</v>
      </c>
      <c r="L12" s="63" t="s">
        <v>198</v>
      </c>
      <c r="O12" s="63">
        <v>3</v>
      </c>
      <c r="P12" s="63">
        <v>6</v>
      </c>
    </row>
    <row r="13" spans="1:16">
      <c r="A13" s="63" t="s">
        <v>89</v>
      </c>
      <c r="F13" s="63" t="s">
        <v>147</v>
      </c>
      <c r="I13" s="63">
        <f t="shared" si="0"/>
        <v>61</v>
      </c>
      <c r="J13" s="63">
        <v>11</v>
      </c>
      <c r="K13" s="63">
        <v>61</v>
      </c>
      <c r="L13" s="63" t="s">
        <v>200</v>
      </c>
      <c r="O13" s="63">
        <v>2</v>
      </c>
      <c r="P13" s="63">
        <v>6</v>
      </c>
    </row>
    <row r="14" spans="1:16">
      <c r="F14" s="63" t="s">
        <v>148</v>
      </c>
      <c r="I14" s="63">
        <f t="shared" ref="I14:I25" si="1">I13+10</f>
        <v>71</v>
      </c>
      <c r="J14" s="63">
        <v>12</v>
      </c>
      <c r="K14" s="63">
        <v>76</v>
      </c>
      <c r="L14" s="63" t="s">
        <v>202</v>
      </c>
    </row>
    <row r="15" spans="1:16">
      <c r="F15" s="63" t="s">
        <v>149</v>
      </c>
      <c r="I15" s="63">
        <f t="shared" si="1"/>
        <v>81</v>
      </c>
      <c r="J15" s="63">
        <v>13</v>
      </c>
      <c r="K15" s="63">
        <v>91</v>
      </c>
      <c r="L15" s="63" t="s">
        <v>204</v>
      </c>
    </row>
    <row r="16" spans="1:16">
      <c r="I16" s="63">
        <f t="shared" si="1"/>
        <v>91</v>
      </c>
      <c r="J16" s="63">
        <v>14</v>
      </c>
      <c r="K16" s="63">
        <v>106</v>
      </c>
      <c r="L16" s="63" t="s">
        <v>206</v>
      </c>
    </row>
    <row r="17" spans="9:12">
      <c r="I17" s="63">
        <f t="shared" si="1"/>
        <v>101</v>
      </c>
      <c r="J17" s="63">
        <v>15</v>
      </c>
      <c r="K17" s="63">
        <v>121</v>
      </c>
      <c r="L17" s="63" t="s">
        <v>208</v>
      </c>
    </row>
    <row r="18" spans="9:12">
      <c r="I18" s="63">
        <f t="shared" si="1"/>
        <v>111</v>
      </c>
      <c r="J18" s="63">
        <v>16</v>
      </c>
      <c r="K18" s="63">
        <v>136</v>
      </c>
      <c r="L18" s="63" t="s">
        <v>210</v>
      </c>
    </row>
    <row r="19" spans="9:12">
      <c r="I19" s="63">
        <f t="shared" si="1"/>
        <v>121</v>
      </c>
      <c r="J19" s="63">
        <v>17</v>
      </c>
      <c r="K19" s="63">
        <v>151</v>
      </c>
      <c r="L19" s="63" t="s">
        <v>212</v>
      </c>
    </row>
    <row r="20" spans="9:12">
      <c r="I20" s="63">
        <f t="shared" si="1"/>
        <v>131</v>
      </c>
      <c r="J20" s="63">
        <v>18</v>
      </c>
      <c r="K20" s="63">
        <v>181</v>
      </c>
      <c r="L20" s="63" t="s">
        <v>214</v>
      </c>
    </row>
    <row r="21" spans="9:12">
      <c r="I21" s="63">
        <f t="shared" si="1"/>
        <v>141</v>
      </c>
      <c r="J21" s="63">
        <v>19</v>
      </c>
      <c r="K21" s="63">
        <v>211</v>
      </c>
      <c r="L21" s="63" t="s">
        <v>216</v>
      </c>
    </row>
    <row r="22" spans="9:12">
      <c r="I22" s="63">
        <f t="shared" si="1"/>
        <v>151</v>
      </c>
      <c r="J22" s="63">
        <v>20</v>
      </c>
      <c r="K22" s="63">
        <v>241</v>
      </c>
      <c r="L22" s="63" t="s">
        <v>218</v>
      </c>
    </row>
    <row r="23" spans="9:12">
      <c r="I23" s="63">
        <f t="shared" si="1"/>
        <v>161</v>
      </c>
      <c r="J23" s="63">
        <v>21</v>
      </c>
      <c r="K23" s="63">
        <v>271</v>
      </c>
      <c r="L23" s="63" t="s">
        <v>220</v>
      </c>
    </row>
    <row r="24" spans="9:12">
      <c r="I24" s="63">
        <f t="shared" si="1"/>
        <v>171</v>
      </c>
      <c r="J24" s="63">
        <v>22</v>
      </c>
      <c r="K24" s="63">
        <v>301</v>
      </c>
      <c r="L24" s="63" t="s">
        <v>222</v>
      </c>
    </row>
    <row r="25" spans="9:12">
      <c r="I25" s="63">
        <f t="shared" si="1"/>
        <v>181</v>
      </c>
      <c r="J25" s="63">
        <v>22</v>
      </c>
    </row>
  </sheetData>
  <sheetProtection algorithmName="SHA-512" hashValue="YzHKhGqx/cOseiUq8HBTr1LU9+FgAYAzbtBJZRClTCz2g+3hq/BjNiW5xdQOT1KlDOW6EOnkXlWGBUiuK8kbLQ==" saltValue="KDhG69TwfDr6oFUQ8S+ATA==" spinCount="100000" sheet="1" objects="1" scenarios="1"/>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91DC-A0CD-4B46-A57B-EC4968EDF463}">
  <dimension ref="A1:BE2"/>
  <sheetViews>
    <sheetView zoomScale="85" zoomScaleNormal="85" workbookViewId="0">
      <selection activeCell="O1" sqref="O1"/>
    </sheetView>
  </sheetViews>
  <sheetFormatPr defaultRowHeight="18.75"/>
  <cols>
    <col min="1" max="57" width="5.25" customWidth="1"/>
  </cols>
  <sheetData>
    <row r="1" spans="1:57" ht="163.5" customHeight="1">
      <c r="A1" s="744" t="s">
        <v>784</v>
      </c>
      <c r="B1" s="744" t="s">
        <v>782</v>
      </c>
      <c r="C1" s="744" t="s">
        <v>783</v>
      </c>
      <c r="D1" s="744" t="s">
        <v>785</v>
      </c>
      <c r="E1" s="744" t="s">
        <v>786</v>
      </c>
      <c r="F1" s="744" t="s">
        <v>787</v>
      </c>
      <c r="G1" s="744" t="s">
        <v>788</v>
      </c>
      <c r="H1" s="744" t="s">
        <v>789</v>
      </c>
      <c r="I1" s="744" t="s">
        <v>790</v>
      </c>
      <c r="J1" s="744" t="s">
        <v>791</v>
      </c>
      <c r="K1" s="744" t="s">
        <v>792</v>
      </c>
      <c r="L1" s="744" t="s">
        <v>793</v>
      </c>
      <c r="M1" s="744" t="s">
        <v>794</v>
      </c>
      <c r="N1" s="744" t="s">
        <v>795</v>
      </c>
      <c r="O1" s="744" t="s">
        <v>796</v>
      </c>
      <c r="P1" s="744" t="s">
        <v>797</v>
      </c>
      <c r="Q1" s="744" t="s">
        <v>798</v>
      </c>
      <c r="R1" s="744" t="s">
        <v>799</v>
      </c>
      <c r="S1" s="744" t="s">
        <v>800</v>
      </c>
      <c r="T1" s="744" t="s">
        <v>801</v>
      </c>
      <c r="U1" s="744" t="s">
        <v>802</v>
      </c>
      <c r="V1" s="744" t="s">
        <v>803</v>
      </c>
      <c r="W1" s="744" t="s">
        <v>804</v>
      </c>
      <c r="X1" s="744" t="s">
        <v>805</v>
      </c>
      <c r="Y1" s="744" t="s">
        <v>806</v>
      </c>
      <c r="Z1" s="744" t="s">
        <v>807</v>
      </c>
      <c r="AA1" s="744" t="s">
        <v>808</v>
      </c>
      <c r="AB1" s="744" t="s">
        <v>809</v>
      </c>
      <c r="AC1" s="744" t="s">
        <v>810</v>
      </c>
      <c r="AD1" s="744" t="s">
        <v>811</v>
      </c>
      <c r="AE1" s="744" t="s">
        <v>812</v>
      </c>
      <c r="AF1" s="744" t="s">
        <v>813</v>
      </c>
      <c r="AG1" s="744" t="s">
        <v>814</v>
      </c>
      <c r="AH1" s="744" t="s">
        <v>815</v>
      </c>
      <c r="AI1" s="744" t="s">
        <v>816</v>
      </c>
      <c r="AJ1" s="744" t="s">
        <v>817</v>
      </c>
      <c r="AK1" s="744" t="s">
        <v>818</v>
      </c>
      <c r="AL1" s="744" t="s">
        <v>819</v>
      </c>
      <c r="AM1" s="744" t="s">
        <v>821</v>
      </c>
      <c r="AN1" s="744" t="s">
        <v>822</v>
      </c>
      <c r="AO1" s="744" t="s">
        <v>820</v>
      </c>
      <c r="AP1" s="744" t="s">
        <v>823</v>
      </c>
      <c r="AQ1" s="744" t="s">
        <v>824</v>
      </c>
      <c r="AR1" s="744" t="s">
        <v>825</v>
      </c>
      <c r="AS1" s="744" t="s">
        <v>826</v>
      </c>
      <c r="AT1" s="744" t="s">
        <v>827</v>
      </c>
      <c r="AU1" s="744" t="s">
        <v>877</v>
      </c>
      <c r="AV1" s="744" t="s">
        <v>878</v>
      </c>
      <c r="AW1" s="744" t="s">
        <v>879</v>
      </c>
      <c r="AX1" s="744" t="s">
        <v>880</v>
      </c>
      <c r="AY1" s="744" t="s">
        <v>881</v>
      </c>
      <c r="AZ1" s="744" t="s">
        <v>829</v>
      </c>
      <c r="BA1" s="744" t="s">
        <v>830</v>
      </c>
      <c r="BB1" s="744" t="s">
        <v>831</v>
      </c>
      <c r="BC1" s="744" t="s">
        <v>832</v>
      </c>
      <c r="BD1" s="744" t="s">
        <v>833</v>
      </c>
      <c r="BE1" s="744" t="s">
        <v>834</v>
      </c>
    </row>
    <row r="2" spans="1:57" s="745" customFormat="1" ht="15.75">
      <c r="A2" s="745">
        <f>'0_基本情報'!$D$3</f>
        <v>0</v>
      </c>
      <c r="B2" s="745">
        <f>'0_基本情報'!$D$4</f>
        <v>0</v>
      </c>
      <c r="C2" s="745">
        <f>'0_基本情報'!$D$5</f>
        <v>0</v>
      </c>
      <c r="D2" s="745" t="str">
        <f>IF('0_基本情報'!$D$9='【リスト】 (2)'!$B$2,"○","")</f>
        <v/>
      </c>
      <c r="E2" s="745" t="str">
        <f>IF('0_基本情報'!$D$13='【リスト】 (2)'!$B$2,"○","")</f>
        <v/>
      </c>
      <c r="F2" s="745" t="str">
        <f>IF('0_基本情報'!$D$17='【リスト】 (2)'!$B$2,"○","")</f>
        <v/>
      </c>
      <c r="G2" s="745" t="str">
        <f>IF('0_基本情報'!$D$22='【リスト】 (2)'!$C$2,"○","")</f>
        <v/>
      </c>
      <c r="H2" s="745" t="str">
        <f>IF('0_基本情報'!$D$23='【リスト】 (2)'!$C$2,"○","")</f>
        <v/>
      </c>
      <c r="I2" s="745" t="str">
        <f>IF('0_基本情報'!$D$24='【リスト】 (2)'!$C$2,"○","")</f>
        <v/>
      </c>
      <c r="J2" s="745" t="str">
        <f>IF('0_基本情報'!$B$33='【リスト】 (2)'!$F$2,"○","")</f>
        <v/>
      </c>
      <c r="K2" s="745" t="str">
        <f>'0_基本情報'!$H$34</f>
        <v>-</v>
      </c>
      <c r="L2" s="745" t="str">
        <f>'0_基本情報'!$H$35</f>
        <v>-</v>
      </c>
      <c r="M2" s="745" t="str">
        <f>'0_基本情報'!$H$36</f>
        <v>-</v>
      </c>
      <c r="N2" s="745" t="str">
        <f>'0_基本情報'!$H$37</f>
        <v>-</v>
      </c>
      <c r="O2" s="745" t="str">
        <f>'0_基本情報'!$H$38</f>
        <v>-</v>
      </c>
      <c r="P2" s="745" t="str">
        <f>'0_基本情報'!$H$39</f>
        <v>-</v>
      </c>
      <c r="Q2" s="745" t="str">
        <f>'0_基本情報'!$H$40</f>
        <v>-</v>
      </c>
      <c r="R2" s="745" t="str">
        <f>'0_基本情報'!$H$41</f>
        <v>-</v>
      </c>
      <c r="S2" s="745" t="str">
        <f>'0_基本情報'!$H$44</f>
        <v>-</v>
      </c>
      <c r="T2" s="745" t="str">
        <f>'0_基本情報'!$H$45</f>
        <v>-</v>
      </c>
      <c r="U2" s="745" t="e">
        <f>【参考】計算結果!$D$5</f>
        <v>#N/A</v>
      </c>
      <c r="V2" s="745" t="e">
        <f>【参考】計算結果!$D$6</f>
        <v>#N/A</v>
      </c>
      <c r="W2" s="745" t="e">
        <f>【参考】計算結果!$D$9</f>
        <v>#N/A</v>
      </c>
      <c r="X2" s="745" t="e">
        <f>【参考】計算結果!$D$10</f>
        <v>#N/A</v>
      </c>
      <c r="Y2" s="745" t="e">
        <f>【参考】計算結果!$D$13</f>
        <v>#N/A</v>
      </c>
      <c r="Z2" s="745" t="e">
        <f>【参考】計算結果!$D$14</f>
        <v>#N/A</v>
      </c>
      <c r="AA2" s="745">
        <f>【参考】計算結果!$D$19</f>
        <v>0</v>
      </c>
      <c r="AB2" s="745">
        <f>【参考】計算結果!$D$20</f>
        <v>0</v>
      </c>
      <c r="AC2" s="745" t="str">
        <f>【参考】計算結果!$D$17</f>
        <v>実人数を入力してください</v>
      </c>
      <c r="AD2" s="745" t="str">
        <f>【参考】計算結果!$D$18</f>
        <v>実人数を入力してください</v>
      </c>
      <c r="AE2" s="745">
        <f>様式1!$F$17</f>
        <v>0</v>
      </c>
      <c r="AF2" s="745">
        <f>様式1!$F$51</f>
        <v>0</v>
      </c>
      <c r="AG2" s="745">
        <f>様式3!$Q$16</f>
        <v>0</v>
      </c>
      <c r="AH2" s="745">
        <f>様式3!$Q$17</f>
        <v>0</v>
      </c>
      <c r="AI2" s="745">
        <f>様式3!$Q$18</f>
        <v>0</v>
      </c>
      <c r="AJ2" s="745">
        <f>様式3!$AA$21</f>
        <v>0</v>
      </c>
      <c r="AK2" s="745" t="str">
        <f>様式3!$AF$15</f>
        <v>×</v>
      </c>
      <c r="AL2" s="745" t="e">
        <f>様式4!$N$12</f>
        <v>#N/A</v>
      </c>
      <c r="AM2" s="745">
        <f>様式4!$N$14</f>
        <v>0</v>
      </c>
      <c r="AN2" s="745">
        <f>様式4!$N$15</f>
        <v>0</v>
      </c>
      <c r="AO2" s="745">
        <f>様式4!$W$12</f>
        <v>0</v>
      </c>
      <c r="AP2" s="745">
        <f>様式4!$W$14</f>
        <v>0</v>
      </c>
      <c r="AQ2" s="745">
        <f>様式4!$W$15</f>
        <v>0</v>
      </c>
      <c r="AR2" s="745" t="str">
        <f>様式4!$AJ$11</f>
        <v/>
      </c>
      <c r="AS2" s="745" t="str">
        <f>様式4!$AJ$12</f>
        <v>○</v>
      </c>
      <c r="AT2" s="745" t="str">
        <f>様式4!$AJ$18</f>
        <v>○</v>
      </c>
      <c r="AU2" s="745">
        <f>_xlfn.MAXIFS(様式4別添1!$X$11:$X$60,様式4別添1!$AI$11:$AI$60,1)</f>
        <v>0</v>
      </c>
      <c r="AV2" s="745">
        <f>_xlfn.MINIFS(様式4別添1!$X$11:$X$60,様式4別添1!$AI$11:$AI$60,1)</f>
        <v>0</v>
      </c>
      <c r="AW2" s="745">
        <f>_xlfn.MAXIFS(様式4別添1!$X$11:$X$60,様式4別添1!$AI$11:$AI$60,2)</f>
        <v>0</v>
      </c>
      <c r="AX2" s="745">
        <f>_xlfn.MAXIFS(様式4別添1!$X$11:$X$60,様式4別添1!$AI$11:$AI$60,3)</f>
        <v>0</v>
      </c>
      <c r="AY2" s="745">
        <f>SUM(様式4別添1!AJ11:AJ60)</f>
        <v>0</v>
      </c>
      <c r="AZ2" s="745" t="str">
        <f>様式4別添1!$Y$63</f>
        <v/>
      </c>
      <c r="BA2" s="745" t="str">
        <f>様式4別添1!$AD$63</f>
        <v>○</v>
      </c>
      <c r="BB2" s="745" t="e">
        <f>様式5!$K$11</f>
        <v>#N/A</v>
      </c>
      <c r="BC2" s="745">
        <f>様式5!$T$11</f>
        <v>0</v>
      </c>
      <c r="BD2" s="745">
        <f>様式5!$B$15</f>
        <v>0</v>
      </c>
      <c r="BE2" s="745">
        <f>様式5!$B$16</f>
        <v>0</v>
      </c>
    </row>
  </sheetData>
  <sheetProtection algorithmName="SHA-512" hashValue="aWs35kLujnollGCK6Zf4r/M4mTmo7YVadj8WhsFTFgTJ1YeVGyDt5oeCDraRkYvssiWROPZBOdD4uWyXHTficQ==" saltValue="AiG8z1E/QApTk+wZGt44DA==" spinCount="100000" sheet="1" objects="1" scenarios="1"/>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557B-9222-4606-A323-8B6A02B92177}">
  <dimension ref="A1:AB2"/>
  <sheetViews>
    <sheetView zoomScale="85" zoomScaleNormal="85" workbookViewId="0">
      <selection activeCell="V9" sqref="V9"/>
    </sheetView>
  </sheetViews>
  <sheetFormatPr defaultRowHeight="18.75"/>
  <cols>
    <col min="1" max="28" width="5.25" customWidth="1"/>
  </cols>
  <sheetData>
    <row r="1" spans="1:28" ht="163.5" customHeight="1">
      <c r="A1" s="744" t="s">
        <v>784</v>
      </c>
      <c r="B1" s="744" t="s">
        <v>782</v>
      </c>
      <c r="C1" s="744" t="s">
        <v>783</v>
      </c>
      <c r="D1" s="744" t="s">
        <v>845</v>
      </c>
      <c r="E1" s="744" t="s">
        <v>843</v>
      </c>
      <c r="F1" s="744" t="s">
        <v>844</v>
      </c>
      <c r="G1" s="744" t="s">
        <v>429</v>
      </c>
      <c r="H1" s="744" t="s">
        <v>846</v>
      </c>
      <c r="I1" s="744" t="s">
        <v>847</v>
      </c>
      <c r="J1" s="744" t="s">
        <v>848</v>
      </c>
      <c r="K1" s="744" t="s">
        <v>849</v>
      </c>
      <c r="L1" s="744" t="s">
        <v>850</v>
      </c>
      <c r="M1" s="744" t="s">
        <v>414</v>
      </c>
      <c r="N1" s="744" t="s">
        <v>13</v>
      </c>
      <c r="O1" s="744" t="s">
        <v>857</v>
      </c>
      <c r="P1" s="744" t="s">
        <v>851</v>
      </c>
      <c r="Q1" s="744" t="s">
        <v>175</v>
      </c>
      <c r="R1" s="744" t="s">
        <v>858</v>
      </c>
      <c r="S1" s="744" t="s">
        <v>417</v>
      </c>
      <c r="T1" s="744" t="s">
        <v>309</v>
      </c>
      <c r="U1" s="744" t="s">
        <v>859</v>
      </c>
      <c r="V1" s="744" t="s">
        <v>852</v>
      </c>
      <c r="W1" s="744" t="s">
        <v>853</v>
      </c>
      <c r="X1" s="744" t="s">
        <v>422</v>
      </c>
      <c r="Y1" s="744" t="s">
        <v>854</v>
      </c>
      <c r="Z1" s="744" t="s">
        <v>855</v>
      </c>
      <c r="AA1" s="744" t="s">
        <v>856</v>
      </c>
      <c r="AB1" s="744" t="s">
        <v>862</v>
      </c>
    </row>
    <row r="2" spans="1:28">
      <c r="A2" s="745">
        <f>'0_基本情報'!$D$3</f>
        <v>0</v>
      </c>
      <c r="B2" s="745">
        <f>'0_基本情報'!$D$4</f>
        <v>0</v>
      </c>
      <c r="C2" s="745">
        <f>'0_基本情報'!$D$5</f>
        <v>0</v>
      </c>
      <c r="D2" s="745">
        <f>'2_区分12加算額計算表'!$I$11</f>
        <v>0</v>
      </c>
      <c r="E2" s="745">
        <f>'2_区分12加算額計算表'!I29</f>
        <v>0</v>
      </c>
      <c r="F2" s="745">
        <f>様式3!$F$27+様式3!$M$27+様式3!$T$27+様式3!$AA$27</f>
        <v>0</v>
      </c>
      <c r="G2" s="745">
        <f>'2_区分12加算額計算表'!F31</f>
        <v>0</v>
      </c>
      <c r="H2" s="745">
        <f>'2_区分12加算額計算表'!F32</f>
        <v>0</v>
      </c>
      <c r="I2" s="745">
        <f>'2_区分12加算額計算表'!F33</f>
        <v>0</v>
      </c>
      <c r="J2" s="745">
        <f>'2_区分12加算額計算表'!F34</f>
        <v>0</v>
      </c>
      <c r="K2" s="745">
        <f>'2_区分12加算額計算表'!F35</f>
        <v>0</v>
      </c>
      <c r="L2" s="745">
        <f>'2_区分12加算額計算表'!F36</f>
        <v>0</v>
      </c>
      <c r="M2" s="745">
        <f>'2_区分12加算額計算表'!F37</f>
        <v>0</v>
      </c>
      <c r="N2" s="745">
        <f>'2_区分12加算額計算表'!F38</f>
        <v>0</v>
      </c>
      <c r="O2" s="745">
        <f>'2_区分12加算額計算表'!I38</f>
        <v>0</v>
      </c>
      <c r="P2" s="745">
        <f>'2_区分12加算額計算表'!F39</f>
        <v>0</v>
      </c>
      <c r="Q2" s="745">
        <f>'2_区分12加算額計算表'!F40</f>
        <v>0</v>
      </c>
      <c r="R2" s="745">
        <f>'2_区分12加算額計算表'!I40</f>
        <v>0</v>
      </c>
      <c r="S2" s="745">
        <f>'2_区分12加算額計算表'!F41</f>
        <v>0</v>
      </c>
      <c r="T2" s="745">
        <f>'2_区分12加算額計算表'!F42</f>
        <v>0</v>
      </c>
      <c r="U2" s="745">
        <f>'2_区分12加算額計算表'!I42</f>
        <v>0</v>
      </c>
      <c r="V2" s="745">
        <f>'2_区分12加算額計算表'!F43</f>
        <v>0</v>
      </c>
      <c r="W2" s="745">
        <f>'2_区分12加算額計算表'!F44</f>
        <v>0</v>
      </c>
      <c r="X2" s="745">
        <f>'2_区分12加算額計算表'!F45</f>
        <v>0</v>
      </c>
      <c r="Y2" s="745">
        <f>'2_区分12加算額計算表'!F46</f>
        <v>0</v>
      </c>
      <c r="Z2" s="745">
        <f>'2_区分12加算額計算表'!F47</f>
        <v>0</v>
      </c>
      <c r="AA2" s="745">
        <f>'2_区分12加算額計算表'!F48</f>
        <v>0</v>
      </c>
      <c r="AB2" s="745">
        <f>'2_区分12加算額計算表'!F49</f>
        <v>0</v>
      </c>
    </row>
  </sheetData>
  <sheetProtection algorithmName="SHA-512" hashValue="3p5CLD4YVdfNMgiskCEHVpNnqCnXk2LNPtCgyI62p4mASObPCO6y6Loz1Ttxp5qjCj7oYsz6IvXmFk49gS7a4Q==" saltValue="9DY56kN8SJK8XCzegyyBrw==" spinCount="100000" sheet="1" objects="1" scenarios="1"/>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94DC-9B0D-47D8-AD6F-EB2919FF62F8}">
  <sheetPr>
    <pageSetUpPr fitToPage="1"/>
  </sheetPr>
  <dimension ref="A1:Q98"/>
  <sheetViews>
    <sheetView view="pageBreakPreview" zoomScale="70" zoomScaleNormal="100" zoomScaleSheetLayoutView="70" workbookViewId="0">
      <selection sqref="A1:Q1"/>
    </sheetView>
  </sheetViews>
  <sheetFormatPr defaultColWidth="9" defaultRowHeight="18.75"/>
  <cols>
    <col min="1" max="1" width="2.375" style="180" customWidth="1"/>
    <col min="2" max="2" width="1.625" style="180" customWidth="1"/>
    <col min="3" max="3" width="14.125" style="180" customWidth="1"/>
    <col min="4" max="4" width="6.875" style="180" customWidth="1"/>
    <col min="5" max="16" width="6.625" style="180" customWidth="1"/>
    <col min="17" max="17" width="7.5" style="180" customWidth="1"/>
    <col min="18" max="16384" width="9" style="180"/>
  </cols>
  <sheetData>
    <row r="1" spans="1:17" ht="40.5" customHeight="1">
      <c r="A1" s="771" t="s">
        <v>371</v>
      </c>
      <c r="B1" s="771"/>
      <c r="C1" s="771"/>
      <c r="D1" s="771"/>
      <c r="E1" s="771"/>
      <c r="F1" s="771"/>
      <c r="G1" s="771"/>
      <c r="H1" s="771"/>
      <c r="I1" s="771"/>
      <c r="J1" s="771"/>
      <c r="K1" s="771"/>
      <c r="L1" s="771"/>
      <c r="M1" s="771"/>
      <c r="N1" s="771"/>
      <c r="O1" s="771"/>
      <c r="P1" s="771"/>
      <c r="Q1" s="771"/>
    </row>
    <row r="2" spans="1:17" ht="18" customHeight="1" thickBot="1">
      <c r="B2" s="181"/>
      <c r="C2" s="181"/>
    </row>
    <row r="3" spans="1:17" ht="18" customHeight="1" thickBot="1">
      <c r="B3" s="181"/>
      <c r="C3" s="181"/>
      <c r="H3" s="772" t="s">
        <v>346</v>
      </c>
      <c r="I3" s="773"/>
      <c r="J3" s="773"/>
      <c r="K3" s="773"/>
      <c r="L3" s="774"/>
      <c r="M3" s="775">
        <f>'1-1_児童数計算表'!$M$3</f>
        <v>0</v>
      </c>
      <c r="N3" s="776"/>
      <c r="O3" s="776"/>
      <c r="P3" s="776"/>
      <c r="Q3" s="777"/>
    </row>
    <row r="4" spans="1:17" ht="18" customHeight="1">
      <c r="B4" s="181"/>
      <c r="C4" s="181"/>
      <c r="H4" s="182"/>
      <c r="I4" s="182"/>
      <c r="J4" s="182"/>
      <c r="K4" s="182"/>
      <c r="L4" s="182"/>
      <c r="M4" s="182"/>
      <c r="N4" s="182"/>
      <c r="O4" s="182"/>
      <c r="P4" s="182"/>
      <c r="Q4" s="182"/>
    </row>
    <row r="5" spans="1:17" ht="18" customHeight="1">
      <c r="B5" s="180" t="s">
        <v>366</v>
      </c>
      <c r="H5" s="182"/>
      <c r="I5" s="182"/>
      <c r="J5" s="182"/>
      <c r="K5" s="182"/>
      <c r="L5" s="182"/>
      <c r="M5" s="182"/>
      <c r="N5" s="182"/>
      <c r="O5" s="182"/>
      <c r="P5" s="182"/>
      <c r="Q5" s="182"/>
    </row>
    <row r="6" spans="1:17" ht="18" customHeight="1">
      <c r="B6" s="180" t="s">
        <v>347</v>
      </c>
      <c r="H6" s="182"/>
      <c r="I6" s="182"/>
      <c r="J6" s="182"/>
      <c r="K6" s="182"/>
      <c r="L6" s="182"/>
      <c r="M6" s="182"/>
      <c r="N6" s="182"/>
      <c r="O6" s="182"/>
      <c r="P6" s="182"/>
      <c r="Q6" s="182"/>
    </row>
    <row r="7" spans="1:17" ht="18" customHeight="1">
      <c r="B7" s="180" t="s">
        <v>348</v>
      </c>
      <c r="C7" s="183"/>
      <c r="H7" s="182"/>
      <c r="I7" s="182"/>
      <c r="J7" s="182"/>
      <c r="K7" s="182"/>
      <c r="L7" s="182"/>
      <c r="M7" s="182"/>
      <c r="N7" s="182"/>
      <c r="O7" s="182"/>
      <c r="P7" s="182"/>
      <c r="Q7" s="182"/>
    </row>
    <row r="8" spans="1:17" ht="18" customHeight="1">
      <c r="B8" s="183"/>
      <c r="C8" s="183"/>
      <c r="H8" s="182"/>
      <c r="I8" s="182"/>
      <c r="J8" s="182"/>
      <c r="K8" s="182"/>
      <c r="L8" s="182"/>
      <c r="M8" s="182"/>
      <c r="N8" s="182"/>
      <c r="O8" s="182"/>
      <c r="P8" s="182"/>
      <c r="Q8" s="182"/>
    </row>
    <row r="9" spans="1:17" ht="18" customHeight="1" thickBot="1">
      <c r="A9" s="184" t="s">
        <v>866</v>
      </c>
    </row>
    <row r="10" spans="1:17" ht="17.25" customHeight="1">
      <c r="B10" s="778" t="s">
        <v>357</v>
      </c>
      <c r="C10" s="779"/>
      <c r="D10" s="779"/>
      <c r="E10" s="185">
        <v>4</v>
      </c>
      <c r="F10" s="186">
        <v>5</v>
      </c>
      <c r="G10" s="186">
        <v>6</v>
      </c>
      <c r="H10" s="186">
        <v>7</v>
      </c>
      <c r="I10" s="186">
        <v>8</v>
      </c>
      <c r="J10" s="186">
        <v>9</v>
      </c>
      <c r="K10" s="186">
        <v>10</v>
      </c>
      <c r="L10" s="186">
        <v>11</v>
      </c>
      <c r="M10" s="186">
        <v>12</v>
      </c>
      <c r="N10" s="186">
        <v>1</v>
      </c>
      <c r="O10" s="186">
        <v>2</v>
      </c>
      <c r="P10" s="187">
        <v>3</v>
      </c>
      <c r="Q10" s="782" t="s">
        <v>349</v>
      </c>
    </row>
    <row r="11" spans="1:17" ht="17.25" customHeight="1">
      <c r="B11" s="780"/>
      <c r="C11" s="781"/>
      <c r="D11" s="781"/>
      <c r="E11" s="784" t="s">
        <v>350</v>
      </c>
      <c r="F11" s="785"/>
      <c r="G11" s="785"/>
      <c r="H11" s="785"/>
      <c r="I11" s="785"/>
      <c r="J11" s="785"/>
      <c r="K11" s="785"/>
      <c r="L11" s="785"/>
      <c r="M11" s="785"/>
      <c r="N11" s="785"/>
      <c r="O11" s="785"/>
      <c r="P11" s="786"/>
      <c r="Q11" s="783"/>
    </row>
    <row r="12" spans="1:17" ht="17.25" customHeight="1">
      <c r="B12" s="763" t="s">
        <v>367</v>
      </c>
      <c r="C12" s="767"/>
      <c r="D12" s="188" t="s">
        <v>351</v>
      </c>
      <c r="E12" s="171"/>
      <c r="F12" s="172"/>
      <c r="G12" s="172"/>
      <c r="H12" s="172"/>
      <c r="I12" s="172"/>
      <c r="J12" s="172"/>
      <c r="K12" s="172"/>
      <c r="L12" s="172"/>
      <c r="M12" s="172"/>
      <c r="N12" s="172"/>
      <c r="O12" s="172"/>
      <c r="P12" s="173"/>
      <c r="Q12" s="189">
        <f>ROUND(SUM(E12:P12)/12,0)</f>
        <v>0</v>
      </c>
    </row>
    <row r="13" spans="1:17" ht="17.25" customHeight="1">
      <c r="B13" s="768"/>
      <c r="C13" s="769"/>
      <c r="D13" s="190" t="s">
        <v>352</v>
      </c>
      <c r="E13" s="191"/>
      <c r="F13" s="192" t="str">
        <f>IFERROR(F12/$E12,"")</f>
        <v/>
      </c>
      <c r="G13" s="192" t="str">
        <f t="shared" ref="G13:P13" si="0">IFERROR(G12/$E12,"")</f>
        <v/>
      </c>
      <c r="H13" s="192" t="str">
        <f t="shared" si="0"/>
        <v/>
      </c>
      <c r="I13" s="192" t="str">
        <f t="shared" si="0"/>
        <v/>
      </c>
      <c r="J13" s="192" t="str">
        <f t="shared" si="0"/>
        <v/>
      </c>
      <c r="K13" s="192" t="str">
        <f t="shared" si="0"/>
        <v/>
      </c>
      <c r="L13" s="192" t="str">
        <f t="shared" si="0"/>
        <v/>
      </c>
      <c r="M13" s="192" t="str">
        <f t="shared" si="0"/>
        <v/>
      </c>
      <c r="N13" s="192" t="str">
        <f t="shared" si="0"/>
        <v/>
      </c>
      <c r="O13" s="192" t="str">
        <f t="shared" si="0"/>
        <v/>
      </c>
      <c r="P13" s="193" t="str">
        <f t="shared" si="0"/>
        <v/>
      </c>
      <c r="Q13" s="194" t="s">
        <v>353</v>
      </c>
    </row>
    <row r="14" spans="1:17" ht="17.25" customHeight="1">
      <c r="B14" s="763" t="s">
        <v>368</v>
      </c>
      <c r="C14" s="767"/>
      <c r="D14" s="188" t="s">
        <v>351</v>
      </c>
      <c r="E14" s="171"/>
      <c r="F14" s="172"/>
      <c r="G14" s="172"/>
      <c r="H14" s="172"/>
      <c r="I14" s="172"/>
      <c r="J14" s="172"/>
      <c r="K14" s="172"/>
      <c r="L14" s="172"/>
      <c r="M14" s="172"/>
      <c r="N14" s="172"/>
      <c r="O14" s="172"/>
      <c r="P14" s="173"/>
      <c r="Q14" s="189">
        <f>ROUND(SUM(E14:P14)/12,0)</f>
        <v>0</v>
      </c>
    </row>
    <row r="15" spans="1:17" ht="17.25" customHeight="1">
      <c r="B15" s="768"/>
      <c r="C15" s="769"/>
      <c r="D15" s="190" t="s">
        <v>352</v>
      </c>
      <c r="E15" s="191"/>
      <c r="F15" s="192" t="str">
        <f>IFERROR(F14/$E14,"")</f>
        <v/>
      </c>
      <c r="G15" s="192" t="str">
        <f t="shared" ref="G15:P15" si="1">IFERROR(G14/$E14,"")</f>
        <v/>
      </c>
      <c r="H15" s="192" t="str">
        <f t="shared" si="1"/>
        <v/>
      </c>
      <c r="I15" s="192" t="str">
        <f t="shared" si="1"/>
        <v/>
      </c>
      <c r="J15" s="192" t="str">
        <f t="shared" si="1"/>
        <v/>
      </c>
      <c r="K15" s="192" t="str">
        <f t="shared" si="1"/>
        <v/>
      </c>
      <c r="L15" s="192" t="str">
        <f t="shared" si="1"/>
        <v/>
      </c>
      <c r="M15" s="192" t="str">
        <f t="shared" si="1"/>
        <v/>
      </c>
      <c r="N15" s="192" t="str">
        <f t="shared" si="1"/>
        <v/>
      </c>
      <c r="O15" s="192" t="str">
        <f t="shared" si="1"/>
        <v/>
      </c>
      <c r="P15" s="193" t="str">
        <f t="shared" si="1"/>
        <v/>
      </c>
      <c r="Q15" s="194" t="s">
        <v>353</v>
      </c>
    </row>
    <row r="16" spans="1:17" ht="17.25" customHeight="1">
      <c r="B16" s="787" t="s">
        <v>354</v>
      </c>
      <c r="C16" s="788"/>
      <c r="D16" s="188" t="s">
        <v>351</v>
      </c>
      <c r="E16" s="171"/>
      <c r="F16" s="172"/>
      <c r="G16" s="172"/>
      <c r="H16" s="172"/>
      <c r="I16" s="172"/>
      <c r="J16" s="172"/>
      <c r="K16" s="172"/>
      <c r="L16" s="172"/>
      <c r="M16" s="172"/>
      <c r="N16" s="172"/>
      <c r="O16" s="172"/>
      <c r="P16" s="173"/>
      <c r="Q16" s="189">
        <f>ROUND(SUM(E16:P16)/12,0)</f>
        <v>0</v>
      </c>
    </row>
    <row r="17" spans="1:17" ht="17.25" customHeight="1">
      <c r="B17" s="787"/>
      <c r="C17" s="788"/>
      <c r="D17" s="190" t="s">
        <v>352</v>
      </c>
      <c r="E17" s="191"/>
      <c r="F17" s="192" t="str">
        <f>IFERROR(F16/$E16,"")</f>
        <v/>
      </c>
      <c r="G17" s="192" t="str">
        <f t="shared" ref="G17:P17" si="2">IFERROR(G16/$E16,"")</f>
        <v/>
      </c>
      <c r="H17" s="192" t="str">
        <f t="shared" si="2"/>
        <v/>
      </c>
      <c r="I17" s="192" t="str">
        <f t="shared" si="2"/>
        <v/>
      </c>
      <c r="J17" s="192" t="str">
        <f t="shared" si="2"/>
        <v/>
      </c>
      <c r="K17" s="192" t="str">
        <f t="shared" si="2"/>
        <v/>
      </c>
      <c r="L17" s="192" t="str">
        <f t="shared" si="2"/>
        <v/>
      </c>
      <c r="M17" s="192" t="str">
        <f t="shared" si="2"/>
        <v/>
      </c>
      <c r="N17" s="192" t="str">
        <f t="shared" si="2"/>
        <v/>
      </c>
      <c r="O17" s="192" t="str">
        <f t="shared" si="2"/>
        <v/>
      </c>
      <c r="P17" s="193" t="str">
        <f t="shared" si="2"/>
        <v/>
      </c>
      <c r="Q17" s="194"/>
    </row>
    <row r="18" spans="1:17" ht="17.25" customHeight="1">
      <c r="B18" s="789"/>
      <c r="C18" s="791" t="s">
        <v>364</v>
      </c>
      <c r="D18" s="188" t="s">
        <v>351</v>
      </c>
      <c r="E18" s="171"/>
      <c r="F18" s="172"/>
      <c r="G18" s="172"/>
      <c r="H18" s="172"/>
      <c r="I18" s="172"/>
      <c r="J18" s="172"/>
      <c r="K18" s="172"/>
      <c r="L18" s="172"/>
      <c r="M18" s="172"/>
      <c r="N18" s="172"/>
      <c r="O18" s="172"/>
      <c r="P18" s="173"/>
      <c r="Q18" s="189">
        <f>ROUND(SUM(E18:P18)/12,0)</f>
        <v>0</v>
      </c>
    </row>
    <row r="19" spans="1:17" ht="17.25" customHeight="1">
      <c r="B19" s="790"/>
      <c r="C19" s="792"/>
      <c r="D19" s="190" t="s">
        <v>352</v>
      </c>
      <c r="E19" s="191"/>
      <c r="F19" s="192" t="str">
        <f>IFERROR(F18/$E18,"")</f>
        <v/>
      </c>
      <c r="G19" s="192" t="str">
        <f t="shared" ref="G19:P19" si="3">IFERROR(G18/$E18,"")</f>
        <v/>
      </c>
      <c r="H19" s="192" t="str">
        <f t="shared" si="3"/>
        <v/>
      </c>
      <c r="I19" s="192" t="str">
        <f t="shared" si="3"/>
        <v/>
      </c>
      <c r="J19" s="192" t="str">
        <f t="shared" si="3"/>
        <v/>
      </c>
      <c r="K19" s="192" t="str">
        <f t="shared" si="3"/>
        <v/>
      </c>
      <c r="L19" s="192" t="str">
        <f t="shared" si="3"/>
        <v/>
      </c>
      <c r="M19" s="192" t="str">
        <f t="shared" si="3"/>
        <v/>
      </c>
      <c r="N19" s="192" t="str">
        <f t="shared" si="3"/>
        <v/>
      </c>
      <c r="O19" s="192" t="str">
        <f t="shared" si="3"/>
        <v/>
      </c>
      <c r="P19" s="193" t="str">
        <f t="shared" si="3"/>
        <v/>
      </c>
      <c r="Q19" s="194"/>
    </row>
    <row r="20" spans="1:17" ht="17.25" customHeight="1">
      <c r="B20" s="763" t="s">
        <v>365</v>
      </c>
      <c r="C20" s="767"/>
      <c r="D20" s="188" t="s">
        <v>351</v>
      </c>
      <c r="E20" s="171"/>
      <c r="F20" s="172"/>
      <c r="G20" s="172"/>
      <c r="H20" s="172"/>
      <c r="I20" s="172"/>
      <c r="J20" s="172"/>
      <c r="K20" s="172"/>
      <c r="L20" s="172"/>
      <c r="M20" s="172"/>
      <c r="N20" s="172"/>
      <c r="O20" s="172"/>
      <c r="P20" s="173"/>
      <c r="Q20" s="189">
        <f>ROUND(SUM(E20:P20)/12,0)</f>
        <v>0</v>
      </c>
    </row>
    <row r="21" spans="1:17" ht="17.25" customHeight="1">
      <c r="B21" s="768"/>
      <c r="C21" s="770"/>
      <c r="D21" s="190" t="s">
        <v>352</v>
      </c>
      <c r="E21" s="191"/>
      <c r="F21" s="192" t="str">
        <f>IFERROR(F20/$E20,"")</f>
        <v/>
      </c>
      <c r="G21" s="192" t="str">
        <f t="shared" ref="G21:P21" si="4">IFERROR(G20/$E20,"")</f>
        <v/>
      </c>
      <c r="H21" s="192" t="str">
        <f t="shared" si="4"/>
        <v/>
      </c>
      <c r="I21" s="192" t="str">
        <f t="shared" si="4"/>
        <v/>
      </c>
      <c r="J21" s="192" t="str">
        <f t="shared" si="4"/>
        <v/>
      </c>
      <c r="K21" s="192" t="str">
        <f t="shared" si="4"/>
        <v/>
      </c>
      <c r="L21" s="192" t="str">
        <f t="shared" si="4"/>
        <v/>
      </c>
      <c r="M21" s="192" t="str">
        <f t="shared" si="4"/>
        <v/>
      </c>
      <c r="N21" s="192" t="str">
        <f t="shared" si="4"/>
        <v/>
      </c>
      <c r="O21" s="192" t="str">
        <f t="shared" si="4"/>
        <v/>
      </c>
      <c r="P21" s="193" t="str">
        <f t="shared" si="4"/>
        <v/>
      </c>
      <c r="Q21" s="194"/>
    </row>
    <row r="22" spans="1:17" ht="17.25" customHeight="1">
      <c r="B22" s="763" t="s">
        <v>369</v>
      </c>
      <c r="C22" s="767"/>
      <c r="D22" s="188" t="s">
        <v>351</v>
      </c>
      <c r="E22" s="171"/>
      <c r="F22" s="172"/>
      <c r="G22" s="172"/>
      <c r="H22" s="172"/>
      <c r="I22" s="172"/>
      <c r="J22" s="172"/>
      <c r="K22" s="172"/>
      <c r="L22" s="172"/>
      <c r="M22" s="172"/>
      <c r="N22" s="172"/>
      <c r="O22" s="172"/>
      <c r="P22" s="173"/>
      <c r="Q22" s="189">
        <f>ROUND(SUM(E22:P22)/12,0)</f>
        <v>0</v>
      </c>
    </row>
    <row r="23" spans="1:17" ht="17.25" customHeight="1">
      <c r="B23" s="768"/>
      <c r="C23" s="770"/>
      <c r="D23" s="190" t="s">
        <v>352</v>
      </c>
      <c r="E23" s="191"/>
      <c r="F23" s="192" t="str">
        <f>IFERROR(F22/$E22,"")</f>
        <v/>
      </c>
      <c r="G23" s="192" t="str">
        <f t="shared" ref="G23:P23" si="5">IFERROR(G22/$E22,"")</f>
        <v/>
      </c>
      <c r="H23" s="192" t="str">
        <f t="shared" si="5"/>
        <v/>
      </c>
      <c r="I23" s="192" t="str">
        <f t="shared" si="5"/>
        <v/>
      </c>
      <c r="J23" s="192" t="str">
        <f t="shared" si="5"/>
        <v/>
      </c>
      <c r="K23" s="192" t="str">
        <f t="shared" si="5"/>
        <v/>
      </c>
      <c r="L23" s="192" t="str">
        <f t="shared" si="5"/>
        <v/>
      </c>
      <c r="M23" s="192" t="str">
        <f t="shared" si="5"/>
        <v/>
      </c>
      <c r="N23" s="192" t="str">
        <f t="shared" si="5"/>
        <v/>
      </c>
      <c r="O23" s="192" t="str">
        <f t="shared" si="5"/>
        <v/>
      </c>
      <c r="P23" s="193" t="str">
        <f t="shared" si="5"/>
        <v/>
      </c>
      <c r="Q23" s="194"/>
    </row>
    <row r="24" spans="1:17" ht="17.25" customHeight="1">
      <c r="B24" s="763" t="s">
        <v>355</v>
      </c>
      <c r="C24" s="764"/>
      <c r="D24" s="188" t="s">
        <v>351</v>
      </c>
      <c r="E24" s="171"/>
      <c r="F24" s="172"/>
      <c r="G24" s="172"/>
      <c r="H24" s="172"/>
      <c r="I24" s="172"/>
      <c r="J24" s="172"/>
      <c r="K24" s="172"/>
      <c r="L24" s="172"/>
      <c r="M24" s="172"/>
      <c r="N24" s="172"/>
      <c r="O24" s="172"/>
      <c r="P24" s="173"/>
      <c r="Q24" s="189">
        <f>ROUND(SUM(E24:P24)/12,0)</f>
        <v>0</v>
      </c>
    </row>
    <row r="25" spans="1:17" ht="17.25" customHeight="1" thickBot="1">
      <c r="B25" s="765"/>
      <c r="C25" s="766"/>
      <c r="D25" s="195" t="s">
        <v>352</v>
      </c>
      <c r="E25" s="196"/>
      <c r="F25" s="197" t="str">
        <f>IFERROR(F24/$E24,"")</f>
        <v/>
      </c>
      <c r="G25" s="197" t="str">
        <f t="shared" ref="G25:P25" si="6">IFERROR(G24/$E24,"")</f>
        <v/>
      </c>
      <c r="H25" s="197" t="str">
        <f t="shared" si="6"/>
        <v/>
      </c>
      <c r="I25" s="197" t="str">
        <f t="shared" si="6"/>
        <v/>
      </c>
      <c r="J25" s="197" t="str">
        <f t="shared" si="6"/>
        <v/>
      </c>
      <c r="K25" s="197" t="str">
        <f t="shared" si="6"/>
        <v/>
      </c>
      <c r="L25" s="197" t="str">
        <f t="shared" si="6"/>
        <v/>
      </c>
      <c r="M25" s="197" t="str">
        <f t="shared" si="6"/>
        <v/>
      </c>
      <c r="N25" s="197" t="str">
        <f t="shared" si="6"/>
        <v/>
      </c>
      <c r="O25" s="197" t="str">
        <f t="shared" si="6"/>
        <v/>
      </c>
      <c r="P25" s="198" t="str">
        <f t="shared" si="6"/>
        <v/>
      </c>
      <c r="Q25" s="199"/>
    </row>
    <row r="26" spans="1:17" ht="17.25" customHeight="1" thickTop="1" thickBot="1">
      <c r="B26" s="793" t="s">
        <v>356</v>
      </c>
      <c r="C26" s="794"/>
      <c r="D26" s="200"/>
      <c r="E26" s="201">
        <f>SUM(E12,E14,E16,E20,E22,E24)</f>
        <v>0</v>
      </c>
      <c r="F26" s="202">
        <f t="shared" ref="F26:H26" si="7">SUM(F12,F14,F16,F20,F22,F24)</f>
        <v>0</v>
      </c>
      <c r="G26" s="202">
        <f t="shared" si="7"/>
        <v>0</v>
      </c>
      <c r="H26" s="202">
        <f t="shared" si="7"/>
        <v>0</v>
      </c>
      <c r="I26" s="202"/>
      <c r="J26" s="202"/>
      <c r="K26" s="202"/>
      <c r="L26" s="202"/>
      <c r="M26" s="202"/>
      <c r="N26" s="202"/>
      <c r="O26" s="202"/>
      <c r="P26" s="203"/>
      <c r="Q26" s="204">
        <f>SUM(Q12,Q14,Q16,Q20,Q22,Q24)</f>
        <v>0</v>
      </c>
    </row>
    <row r="27" spans="1:17" ht="17.25" customHeight="1">
      <c r="B27" s="182"/>
      <c r="C27" s="182"/>
      <c r="D27" s="182"/>
      <c r="F27" s="205"/>
      <c r="G27" s="205"/>
      <c r="H27" s="205"/>
      <c r="I27" s="205"/>
      <c r="J27" s="205"/>
      <c r="K27" s="205"/>
      <c r="L27" s="205"/>
      <c r="M27" s="205"/>
      <c r="N27" s="205"/>
      <c r="O27" s="205"/>
      <c r="P27" s="205"/>
      <c r="Q27" s="206"/>
    </row>
    <row r="28" spans="1:17" ht="17.25" customHeight="1">
      <c r="B28" s="182"/>
      <c r="C28" s="182"/>
      <c r="D28" s="182"/>
      <c r="F28" s="205"/>
      <c r="G28" s="205"/>
      <c r="H28" s="205"/>
      <c r="I28" s="205"/>
      <c r="J28" s="205"/>
      <c r="K28" s="205"/>
      <c r="L28" s="205"/>
      <c r="M28" s="205"/>
      <c r="N28" s="205"/>
      <c r="O28" s="205"/>
      <c r="P28" s="205"/>
    </row>
    <row r="29" spans="1:17" ht="17.25" customHeight="1" thickBot="1">
      <c r="A29" s="184" t="s">
        <v>867</v>
      </c>
      <c r="E29" s="207"/>
    </row>
    <row r="30" spans="1:17" ht="17.25" customHeight="1">
      <c r="B30" s="795" t="s">
        <v>868</v>
      </c>
      <c r="C30" s="796"/>
      <c r="D30" s="797"/>
      <c r="E30" s="185">
        <v>4</v>
      </c>
      <c r="F30" s="208">
        <v>5</v>
      </c>
      <c r="G30" s="208">
        <v>6</v>
      </c>
      <c r="H30" s="187">
        <v>7</v>
      </c>
      <c r="I30" s="186">
        <v>8</v>
      </c>
      <c r="J30" s="186">
        <v>9</v>
      </c>
      <c r="K30" s="209">
        <v>10</v>
      </c>
      <c r="L30" s="186">
        <v>11</v>
      </c>
      <c r="M30" s="186">
        <v>12</v>
      </c>
      <c r="N30" s="186">
        <v>1</v>
      </c>
      <c r="O30" s="186">
        <v>2</v>
      </c>
      <c r="P30" s="187">
        <v>3</v>
      </c>
      <c r="Q30" s="801" t="s">
        <v>349</v>
      </c>
    </row>
    <row r="31" spans="1:17" ht="17.25" customHeight="1">
      <c r="B31" s="798"/>
      <c r="C31" s="799"/>
      <c r="D31" s="800"/>
      <c r="E31" s="806" t="s">
        <v>350</v>
      </c>
      <c r="F31" s="807"/>
      <c r="G31" s="807"/>
      <c r="H31" s="808"/>
      <c r="I31" s="809" t="s">
        <v>370</v>
      </c>
      <c r="J31" s="810"/>
      <c r="K31" s="810"/>
      <c r="L31" s="810"/>
      <c r="M31" s="810"/>
      <c r="N31" s="810"/>
      <c r="O31" s="810"/>
      <c r="P31" s="811"/>
      <c r="Q31" s="802"/>
    </row>
    <row r="32" spans="1:17" ht="18" customHeight="1">
      <c r="B32" s="803" t="str">
        <f>$B$12</f>
        <v>５歳児</v>
      </c>
      <c r="C32" s="804"/>
      <c r="D32" s="210" t="s">
        <v>351</v>
      </c>
      <c r="E32" s="449"/>
      <c r="F32" s="174"/>
      <c r="G32" s="174"/>
      <c r="H32" s="175"/>
      <c r="I32" s="229" t="str">
        <f t="shared" ref="I32:P32" si="8">IFERROR($E$32*I13,"")</f>
        <v/>
      </c>
      <c r="J32" s="229" t="str">
        <f t="shared" si="8"/>
        <v/>
      </c>
      <c r="K32" s="229" t="str">
        <f t="shared" si="8"/>
        <v/>
      </c>
      <c r="L32" s="229" t="str">
        <f t="shared" si="8"/>
        <v/>
      </c>
      <c r="M32" s="229" t="str">
        <f t="shared" si="8"/>
        <v/>
      </c>
      <c r="N32" s="229" t="str">
        <f t="shared" si="8"/>
        <v/>
      </c>
      <c r="O32" s="229" t="str">
        <f t="shared" si="8"/>
        <v/>
      </c>
      <c r="P32" s="230" t="str">
        <f t="shared" si="8"/>
        <v/>
      </c>
      <c r="Q32" s="211">
        <f t="shared" ref="Q32:Q38" si="9">ROUND(SUM(E32:P32)/12,0)</f>
        <v>0</v>
      </c>
    </row>
    <row r="33" spans="1:17" ht="18" customHeight="1">
      <c r="B33" s="803" t="str">
        <f>$B$14</f>
        <v>４歳児</v>
      </c>
      <c r="C33" s="804"/>
      <c r="D33" s="210" t="s">
        <v>351</v>
      </c>
      <c r="E33" s="449"/>
      <c r="F33" s="174"/>
      <c r="G33" s="174"/>
      <c r="H33" s="175"/>
      <c r="I33" s="229" t="str">
        <f>IFERROR($E$33*I15,"")</f>
        <v/>
      </c>
      <c r="J33" s="229" t="str">
        <f t="shared" ref="J33:P33" si="10">IFERROR($E$33*J15,"")</f>
        <v/>
      </c>
      <c r="K33" s="229" t="str">
        <f t="shared" si="10"/>
        <v/>
      </c>
      <c r="L33" s="229" t="str">
        <f t="shared" si="10"/>
        <v/>
      </c>
      <c r="M33" s="229" t="str">
        <f t="shared" si="10"/>
        <v/>
      </c>
      <c r="N33" s="229" t="str">
        <f t="shared" si="10"/>
        <v/>
      </c>
      <c r="O33" s="229" t="str">
        <f t="shared" si="10"/>
        <v/>
      </c>
      <c r="P33" s="230" t="str">
        <f t="shared" si="10"/>
        <v/>
      </c>
      <c r="Q33" s="211">
        <f t="shared" si="9"/>
        <v>0</v>
      </c>
    </row>
    <row r="34" spans="1:17" ht="18" customHeight="1">
      <c r="B34" s="787" t="str">
        <f>$B$16</f>
        <v>３歳児</v>
      </c>
      <c r="C34" s="805"/>
      <c r="D34" s="212" t="s">
        <v>351</v>
      </c>
      <c r="E34" s="449"/>
      <c r="F34" s="174"/>
      <c r="G34" s="174"/>
      <c r="H34" s="175"/>
      <c r="I34" s="229" t="str">
        <f t="shared" ref="I34:P34" si="11">IFERROR($E$34*I17,"")</f>
        <v/>
      </c>
      <c r="J34" s="229" t="str">
        <f t="shared" si="11"/>
        <v/>
      </c>
      <c r="K34" s="229" t="str">
        <f t="shared" si="11"/>
        <v/>
      </c>
      <c r="L34" s="229" t="str">
        <f t="shared" si="11"/>
        <v/>
      </c>
      <c r="M34" s="229" t="str">
        <f t="shared" si="11"/>
        <v/>
      </c>
      <c r="N34" s="229" t="str">
        <f t="shared" si="11"/>
        <v/>
      </c>
      <c r="O34" s="229" t="str">
        <f t="shared" si="11"/>
        <v/>
      </c>
      <c r="P34" s="230" t="str">
        <f t="shared" si="11"/>
        <v/>
      </c>
      <c r="Q34" s="211">
        <f t="shared" si="9"/>
        <v>0</v>
      </c>
    </row>
    <row r="35" spans="1:17" ht="18" customHeight="1">
      <c r="B35" s="213"/>
      <c r="C35" s="214" t="str">
        <f>$C$18</f>
        <v>うち満３歳児</v>
      </c>
      <c r="D35" s="210" t="s">
        <v>351</v>
      </c>
      <c r="E35" s="449"/>
      <c r="F35" s="174"/>
      <c r="G35" s="174"/>
      <c r="H35" s="175"/>
      <c r="I35" s="229" t="str">
        <f t="shared" ref="I35:P35" si="12">IFERROR($E$35*I19,"")</f>
        <v/>
      </c>
      <c r="J35" s="229" t="str">
        <f t="shared" si="12"/>
        <v/>
      </c>
      <c r="K35" s="229" t="str">
        <f t="shared" si="12"/>
        <v/>
      </c>
      <c r="L35" s="229" t="str">
        <f t="shared" si="12"/>
        <v/>
      </c>
      <c r="M35" s="229" t="str">
        <f t="shared" si="12"/>
        <v/>
      </c>
      <c r="N35" s="229" t="str">
        <f t="shared" si="12"/>
        <v/>
      </c>
      <c r="O35" s="229" t="str">
        <f t="shared" si="12"/>
        <v/>
      </c>
      <c r="P35" s="230" t="str">
        <f t="shared" si="12"/>
        <v/>
      </c>
      <c r="Q35" s="211">
        <f t="shared" si="9"/>
        <v>0</v>
      </c>
    </row>
    <row r="36" spans="1:17" ht="18" customHeight="1">
      <c r="B36" s="803" t="str">
        <f>$B$20</f>
        <v>２歳児</v>
      </c>
      <c r="C36" s="804"/>
      <c r="D36" s="210" t="s">
        <v>351</v>
      </c>
      <c r="E36" s="449"/>
      <c r="F36" s="178"/>
      <c r="G36" s="178"/>
      <c r="H36" s="175"/>
      <c r="I36" s="229" t="str">
        <f t="shared" ref="I36:P36" si="13">IFERROR($E$36*I21,"")</f>
        <v/>
      </c>
      <c r="J36" s="229" t="str">
        <f t="shared" si="13"/>
        <v/>
      </c>
      <c r="K36" s="229" t="str">
        <f t="shared" si="13"/>
        <v/>
      </c>
      <c r="L36" s="229" t="str">
        <f t="shared" si="13"/>
        <v/>
      </c>
      <c r="M36" s="229" t="str">
        <f t="shared" si="13"/>
        <v/>
      </c>
      <c r="N36" s="229" t="str">
        <f t="shared" si="13"/>
        <v/>
      </c>
      <c r="O36" s="229" t="str">
        <f t="shared" si="13"/>
        <v/>
      </c>
      <c r="P36" s="230" t="str">
        <f t="shared" si="13"/>
        <v/>
      </c>
      <c r="Q36" s="211">
        <f t="shared" si="9"/>
        <v>0</v>
      </c>
    </row>
    <row r="37" spans="1:17" ht="18" customHeight="1">
      <c r="B37" s="803" t="str">
        <f>$B$22</f>
        <v>１歳児</v>
      </c>
      <c r="C37" s="804"/>
      <c r="D37" s="210" t="s">
        <v>351</v>
      </c>
      <c r="E37" s="449"/>
      <c r="F37" s="178"/>
      <c r="G37" s="178"/>
      <c r="H37" s="175"/>
      <c r="I37" s="229" t="str">
        <f>IFERROR($E$37*I23,"")</f>
        <v/>
      </c>
      <c r="J37" s="229" t="str">
        <f t="shared" ref="J37:P37" si="14">IFERROR($E$37*J23,"")</f>
        <v/>
      </c>
      <c r="K37" s="229" t="str">
        <f t="shared" si="14"/>
        <v/>
      </c>
      <c r="L37" s="229" t="str">
        <f t="shared" si="14"/>
        <v/>
      </c>
      <c r="M37" s="229" t="str">
        <f t="shared" si="14"/>
        <v/>
      </c>
      <c r="N37" s="229" t="str">
        <f t="shared" si="14"/>
        <v/>
      </c>
      <c r="O37" s="229" t="str">
        <f t="shared" si="14"/>
        <v/>
      </c>
      <c r="P37" s="230" t="str">
        <f t="shared" si="14"/>
        <v/>
      </c>
      <c r="Q37" s="211">
        <f t="shared" si="9"/>
        <v>0</v>
      </c>
    </row>
    <row r="38" spans="1:17" ht="18" customHeight="1" thickBot="1">
      <c r="B38" s="815" t="str">
        <f>$B$24</f>
        <v>０歳児</v>
      </c>
      <c r="C38" s="816"/>
      <c r="D38" s="215" t="s">
        <v>351</v>
      </c>
      <c r="E38" s="450"/>
      <c r="F38" s="179"/>
      <c r="G38" s="179"/>
      <c r="H38" s="177"/>
      <c r="I38" s="247" t="str">
        <f t="shared" ref="I38:P38" si="15">IFERROR($E$38*I25,"")</f>
        <v/>
      </c>
      <c r="J38" s="247" t="str">
        <f t="shared" si="15"/>
        <v/>
      </c>
      <c r="K38" s="247" t="str">
        <f t="shared" si="15"/>
        <v/>
      </c>
      <c r="L38" s="247" t="str">
        <f t="shared" si="15"/>
        <v/>
      </c>
      <c r="M38" s="247" t="str">
        <f t="shared" si="15"/>
        <v/>
      </c>
      <c r="N38" s="247" t="str">
        <f t="shared" si="15"/>
        <v/>
      </c>
      <c r="O38" s="247" t="str">
        <f t="shared" si="15"/>
        <v/>
      </c>
      <c r="P38" s="235" t="str">
        <f t="shared" si="15"/>
        <v/>
      </c>
      <c r="Q38" s="216">
        <f t="shared" si="9"/>
        <v>0</v>
      </c>
    </row>
    <row r="39" spans="1:17" ht="18" customHeight="1" thickTop="1" thickBot="1">
      <c r="B39" s="817" t="s">
        <v>356</v>
      </c>
      <c r="C39" s="818"/>
      <c r="D39" s="217"/>
      <c r="E39" s="218">
        <f>SUM(E32:E34,E36:E38)</f>
        <v>0</v>
      </c>
      <c r="F39" s="219">
        <f>SUM(F32:F34,F36:F38)</f>
        <v>0</v>
      </c>
      <c r="G39" s="220">
        <f>SUM(G32:G34,G36:G38)</f>
        <v>0</v>
      </c>
      <c r="H39" s="221">
        <f>SUM(H32:H34,H36:H38)</f>
        <v>0</v>
      </c>
      <c r="I39" s="222"/>
      <c r="J39" s="223"/>
      <c r="K39" s="223"/>
      <c r="L39" s="223"/>
      <c r="M39" s="223"/>
      <c r="N39" s="223"/>
      <c r="O39" s="223"/>
      <c r="P39" s="224"/>
      <c r="Q39" s="225">
        <f>SUM(Q32:Q34,Q36:Q38)</f>
        <v>0</v>
      </c>
    </row>
    <row r="40" spans="1:17" ht="17.25" customHeight="1">
      <c r="B40" s="226" t="s">
        <v>358</v>
      </c>
    </row>
    <row r="41" spans="1:17" ht="17.25" customHeight="1"/>
    <row r="42" spans="1:17" ht="17.25" customHeight="1"/>
    <row r="43" spans="1:17" ht="17.25" customHeight="1"/>
    <row r="44" spans="1:17" ht="17.25" customHeight="1"/>
    <row r="45" spans="1:17" ht="17.25" customHeight="1" thickBot="1">
      <c r="A45" s="184" t="s">
        <v>359</v>
      </c>
      <c r="E45" s="207"/>
    </row>
    <row r="46" spans="1:17" ht="17.25" customHeight="1">
      <c r="B46" s="795" t="s">
        <v>868</v>
      </c>
      <c r="C46" s="796"/>
      <c r="D46" s="797"/>
      <c r="E46" s="185">
        <v>4</v>
      </c>
      <c r="F46" s="208">
        <v>5</v>
      </c>
      <c r="G46" s="208">
        <v>6</v>
      </c>
      <c r="H46" s="187">
        <v>7</v>
      </c>
      <c r="I46" s="186">
        <v>8</v>
      </c>
      <c r="J46" s="186">
        <v>9</v>
      </c>
      <c r="K46" s="209">
        <v>10</v>
      </c>
      <c r="L46" s="186">
        <v>11</v>
      </c>
      <c r="M46" s="186">
        <v>12</v>
      </c>
      <c r="N46" s="186">
        <v>1</v>
      </c>
      <c r="O46" s="186">
        <v>2</v>
      </c>
      <c r="P46" s="187">
        <v>3</v>
      </c>
      <c r="Q46" s="801" t="s">
        <v>349</v>
      </c>
    </row>
    <row r="47" spans="1:17" ht="17.25" customHeight="1">
      <c r="B47" s="798"/>
      <c r="C47" s="799"/>
      <c r="D47" s="800"/>
      <c r="E47" s="806" t="s">
        <v>350</v>
      </c>
      <c r="F47" s="807"/>
      <c r="G47" s="807"/>
      <c r="H47" s="808"/>
      <c r="I47" s="809" t="s">
        <v>360</v>
      </c>
      <c r="J47" s="810"/>
      <c r="K47" s="810"/>
      <c r="L47" s="810"/>
      <c r="M47" s="810"/>
      <c r="N47" s="810"/>
      <c r="O47" s="810"/>
      <c r="P47" s="811"/>
      <c r="Q47" s="802"/>
    </row>
    <row r="48" spans="1:17" ht="18" customHeight="1">
      <c r="B48" s="803" t="str">
        <f>$B$12</f>
        <v>５歳児</v>
      </c>
      <c r="C48" s="804"/>
      <c r="D48" s="227" t="s">
        <v>351</v>
      </c>
      <c r="E48" s="228">
        <f t="shared" ref="E48:H54" si="16">E32</f>
        <v>0</v>
      </c>
      <c r="F48" s="229">
        <f t="shared" si="16"/>
        <v>0</v>
      </c>
      <c r="G48" s="229">
        <f t="shared" si="16"/>
        <v>0</v>
      </c>
      <c r="H48" s="230">
        <f t="shared" si="16"/>
        <v>0</v>
      </c>
      <c r="I48" s="174"/>
      <c r="J48" s="174"/>
      <c r="K48" s="174"/>
      <c r="L48" s="174"/>
      <c r="M48" s="174"/>
      <c r="N48" s="174"/>
      <c r="O48" s="174"/>
      <c r="P48" s="175"/>
      <c r="Q48" s="211">
        <f t="shared" ref="Q48:Q54" si="17">ROUND(SUM(E48:P48)/12,0)</f>
        <v>0</v>
      </c>
    </row>
    <row r="49" spans="2:17" ht="18" customHeight="1">
      <c r="B49" s="803" t="str">
        <f>$B$14</f>
        <v>４歳児</v>
      </c>
      <c r="C49" s="804"/>
      <c r="D49" s="227" t="s">
        <v>351</v>
      </c>
      <c r="E49" s="228">
        <f t="shared" si="16"/>
        <v>0</v>
      </c>
      <c r="F49" s="229">
        <f t="shared" si="16"/>
        <v>0</v>
      </c>
      <c r="G49" s="229">
        <f t="shared" si="16"/>
        <v>0</v>
      </c>
      <c r="H49" s="230">
        <f t="shared" si="16"/>
        <v>0</v>
      </c>
      <c r="I49" s="174"/>
      <c r="J49" s="174"/>
      <c r="K49" s="174"/>
      <c r="L49" s="174"/>
      <c r="M49" s="174"/>
      <c r="N49" s="174"/>
      <c r="O49" s="174"/>
      <c r="P49" s="175"/>
      <c r="Q49" s="211">
        <f t="shared" si="17"/>
        <v>0</v>
      </c>
    </row>
    <row r="50" spans="2:17" ht="18" customHeight="1">
      <c r="B50" s="787" t="str">
        <f>$B$16</f>
        <v>３歳児</v>
      </c>
      <c r="C50" s="788"/>
      <c r="D50" s="227" t="s">
        <v>351</v>
      </c>
      <c r="E50" s="228">
        <f t="shared" si="16"/>
        <v>0</v>
      </c>
      <c r="F50" s="229">
        <f t="shared" si="16"/>
        <v>0</v>
      </c>
      <c r="G50" s="229">
        <f t="shared" si="16"/>
        <v>0</v>
      </c>
      <c r="H50" s="230">
        <f t="shared" si="16"/>
        <v>0</v>
      </c>
      <c r="I50" s="174"/>
      <c r="J50" s="174"/>
      <c r="K50" s="174"/>
      <c r="L50" s="174"/>
      <c r="M50" s="174"/>
      <c r="N50" s="174"/>
      <c r="O50" s="174"/>
      <c r="P50" s="175"/>
      <c r="Q50" s="211">
        <f t="shared" si="17"/>
        <v>0</v>
      </c>
    </row>
    <row r="51" spans="2:17" ht="18" customHeight="1">
      <c r="B51" s="213"/>
      <c r="C51" s="214" t="str">
        <f>$C$18</f>
        <v>うち満３歳児</v>
      </c>
      <c r="D51" s="227" t="s">
        <v>351</v>
      </c>
      <c r="E51" s="228">
        <f t="shared" si="16"/>
        <v>0</v>
      </c>
      <c r="F51" s="229">
        <f t="shared" si="16"/>
        <v>0</v>
      </c>
      <c r="G51" s="229">
        <f t="shared" si="16"/>
        <v>0</v>
      </c>
      <c r="H51" s="230">
        <f t="shared" si="16"/>
        <v>0</v>
      </c>
      <c r="I51" s="174"/>
      <c r="J51" s="174"/>
      <c r="K51" s="174"/>
      <c r="L51" s="174"/>
      <c r="M51" s="174"/>
      <c r="N51" s="174"/>
      <c r="O51" s="174"/>
      <c r="P51" s="175"/>
      <c r="Q51" s="211">
        <f t="shared" si="17"/>
        <v>0</v>
      </c>
    </row>
    <row r="52" spans="2:17" ht="18" customHeight="1">
      <c r="B52" s="803" t="str">
        <f>$B$20</f>
        <v>２歳児</v>
      </c>
      <c r="C52" s="804"/>
      <c r="D52" s="227" t="s">
        <v>351</v>
      </c>
      <c r="E52" s="228">
        <f t="shared" si="16"/>
        <v>0</v>
      </c>
      <c r="F52" s="231">
        <f t="shared" si="16"/>
        <v>0</v>
      </c>
      <c r="G52" s="231">
        <f t="shared" si="16"/>
        <v>0</v>
      </c>
      <c r="H52" s="230">
        <f t="shared" si="16"/>
        <v>0</v>
      </c>
      <c r="I52" s="174"/>
      <c r="J52" s="174"/>
      <c r="K52" s="174"/>
      <c r="L52" s="174"/>
      <c r="M52" s="174"/>
      <c r="N52" s="174"/>
      <c r="O52" s="174"/>
      <c r="P52" s="175"/>
      <c r="Q52" s="211">
        <f t="shared" si="17"/>
        <v>0</v>
      </c>
    </row>
    <row r="53" spans="2:17" ht="18" customHeight="1">
      <c r="B53" s="803" t="str">
        <f>$B$22</f>
        <v>１歳児</v>
      </c>
      <c r="C53" s="804"/>
      <c r="D53" s="227" t="s">
        <v>351</v>
      </c>
      <c r="E53" s="228">
        <f t="shared" si="16"/>
        <v>0</v>
      </c>
      <c r="F53" s="231">
        <f t="shared" si="16"/>
        <v>0</v>
      </c>
      <c r="G53" s="231">
        <f t="shared" si="16"/>
        <v>0</v>
      </c>
      <c r="H53" s="230">
        <f t="shared" si="16"/>
        <v>0</v>
      </c>
      <c r="I53" s="174"/>
      <c r="J53" s="174"/>
      <c r="K53" s="174"/>
      <c r="L53" s="174"/>
      <c r="M53" s="174"/>
      <c r="N53" s="174"/>
      <c r="O53" s="174"/>
      <c r="P53" s="175"/>
      <c r="Q53" s="211">
        <f t="shared" si="17"/>
        <v>0</v>
      </c>
    </row>
    <row r="54" spans="2:17" ht="18" customHeight="1" thickBot="1">
      <c r="B54" s="815" t="str">
        <f>$B$24</f>
        <v>０歳児</v>
      </c>
      <c r="C54" s="816"/>
      <c r="D54" s="232" t="s">
        <v>351</v>
      </c>
      <c r="E54" s="233">
        <f t="shared" si="16"/>
        <v>0</v>
      </c>
      <c r="F54" s="234">
        <f t="shared" si="16"/>
        <v>0</v>
      </c>
      <c r="G54" s="234">
        <f t="shared" si="16"/>
        <v>0</v>
      </c>
      <c r="H54" s="235">
        <f t="shared" si="16"/>
        <v>0</v>
      </c>
      <c r="I54" s="176"/>
      <c r="J54" s="176"/>
      <c r="K54" s="176"/>
      <c r="L54" s="176"/>
      <c r="M54" s="176"/>
      <c r="N54" s="176"/>
      <c r="O54" s="176"/>
      <c r="P54" s="177"/>
      <c r="Q54" s="216">
        <f t="shared" si="17"/>
        <v>0</v>
      </c>
    </row>
    <row r="55" spans="2:17" ht="18" customHeight="1" thickTop="1" thickBot="1">
      <c r="B55" s="793" t="s">
        <v>356</v>
      </c>
      <c r="C55" s="794"/>
      <c r="D55" s="236"/>
      <c r="E55" s="218">
        <f>SUM(E48:E50,E52:E54)</f>
        <v>0</v>
      </c>
      <c r="F55" s="219">
        <f t="shared" ref="F55:H55" si="18">SUM(F48:F50,F52:F54)</f>
        <v>0</v>
      </c>
      <c r="G55" s="220">
        <f t="shared" si="18"/>
        <v>0</v>
      </c>
      <c r="H55" s="237">
        <f t="shared" si="18"/>
        <v>0</v>
      </c>
      <c r="I55" s="238"/>
      <c r="J55" s="202"/>
      <c r="K55" s="202"/>
      <c r="L55" s="202"/>
      <c r="M55" s="202"/>
      <c r="N55" s="202"/>
      <c r="O55" s="202"/>
      <c r="P55" s="203"/>
      <c r="Q55" s="225">
        <f>SUM(Q48:Q50,Q52:Q54)</f>
        <v>0</v>
      </c>
    </row>
    <row r="56" spans="2:17" ht="17.25" customHeight="1">
      <c r="B56" s="226" t="s">
        <v>358</v>
      </c>
      <c r="E56" s="239"/>
      <c r="F56" s="239"/>
      <c r="G56" s="239"/>
      <c r="H56" s="239"/>
      <c r="I56" s="239"/>
      <c r="J56" s="239"/>
      <c r="K56" s="239"/>
      <c r="L56" s="239"/>
      <c r="M56" s="239"/>
      <c r="N56" s="239"/>
      <c r="O56" s="239"/>
      <c r="P56" s="239"/>
      <c r="Q56" s="239"/>
    </row>
    <row r="57" spans="2:17" ht="17.25" customHeight="1">
      <c r="E57" s="239"/>
      <c r="F57" s="239"/>
      <c r="G57" s="239"/>
      <c r="H57" s="239"/>
      <c r="I57" s="239"/>
      <c r="J57" s="239"/>
      <c r="K57" s="239"/>
      <c r="L57" s="239"/>
      <c r="M57" s="239"/>
      <c r="N57" s="239"/>
      <c r="O57" s="239"/>
      <c r="P57" s="239"/>
      <c r="Q57" s="239"/>
    </row>
    <row r="58" spans="2:17" ht="17.25" customHeight="1" thickBot="1">
      <c r="B58" s="240" t="s">
        <v>361</v>
      </c>
      <c r="C58" s="241"/>
    </row>
    <row r="59" spans="2:17" ht="94.5" customHeight="1" thickBot="1">
      <c r="B59" s="812" t="s">
        <v>362</v>
      </c>
      <c r="C59" s="813"/>
      <c r="D59" s="813"/>
      <c r="E59" s="813"/>
      <c r="F59" s="813"/>
      <c r="G59" s="813"/>
      <c r="H59" s="813"/>
      <c r="I59" s="813"/>
      <c r="J59" s="813"/>
      <c r="K59" s="813"/>
      <c r="L59" s="813"/>
      <c r="M59" s="813"/>
      <c r="N59" s="813"/>
      <c r="O59" s="813"/>
      <c r="P59" s="813"/>
      <c r="Q59" s="814"/>
    </row>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sheetProtection algorithmName="SHA-512" hashValue="LlH3ibrJF1MMslgAsPMceuSH06KeuxNUgSzgobVL2fMj7ks1a+/HgbGM3XWuOovNhfxLdLPgpZqZRQjOnBdJ3w==" saltValue="//QlbPL0CNSI+NFOMzbq0w==" spinCount="100000" sheet="1" objects="1" scenarios="1"/>
  <mergeCells count="38">
    <mergeCell ref="Q30:Q31"/>
    <mergeCell ref="E31:H31"/>
    <mergeCell ref="I31:P31"/>
    <mergeCell ref="B20:C21"/>
    <mergeCell ref="A1:Q1"/>
    <mergeCell ref="H3:L3"/>
    <mergeCell ref="M3:Q3"/>
    <mergeCell ref="B10:D11"/>
    <mergeCell ref="Q10:Q11"/>
    <mergeCell ref="E11:P11"/>
    <mergeCell ref="B12:C13"/>
    <mergeCell ref="B14:C15"/>
    <mergeCell ref="B16:C17"/>
    <mergeCell ref="B18:B19"/>
    <mergeCell ref="C18:C19"/>
    <mergeCell ref="B38:C38"/>
    <mergeCell ref="B39:C39"/>
    <mergeCell ref="B46:D47"/>
    <mergeCell ref="B22:C23"/>
    <mergeCell ref="B24:C25"/>
    <mergeCell ref="B26:C26"/>
    <mergeCell ref="B30:D31"/>
    <mergeCell ref="B32:C32"/>
    <mergeCell ref="B33:C33"/>
    <mergeCell ref="B34:C34"/>
    <mergeCell ref="B36:C36"/>
    <mergeCell ref="B37:C37"/>
    <mergeCell ref="Q46:Q47"/>
    <mergeCell ref="E47:H47"/>
    <mergeCell ref="I47:P47"/>
    <mergeCell ref="B59:Q59"/>
    <mergeCell ref="B49:C49"/>
    <mergeCell ref="B50:C50"/>
    <mergeCell ref="B52:C52"/>
    <mergeCell ref="B53:C53"/>
    <mergeCell ref="B54:C54"/>
    <mergeCell ref="B55:C55"/>
    <mergeCell ref="B48:C48"/>
  </mergeCells>
  <phoneticPr fontId="4"/>
  <dataValidations count="1">
    <dataValidation type="whole" allowBlank="1" showInputMessage="1" showErrorMessage="1" sqref="E12:P12 E14:P14 E16:P16 E18:P18 E20:P20 E22:P22 E24:P24 E32:H38 I48:P54" xr:uid="{868E54BD-5A7A-4C40-AEF6-2609B6702C5A}">
      <formula1>0</formula1>
      <formula2>1000</formula2>
    </dataValidation>
  </dataValidations>
  <pageMargins left="0.61" right="0.27559055118110237" top="0.55118110236220474" bottom="0.19685039370078741" header="0.31496062992125984" footer="0.19685039370078741"/>
  <pageSetup paperSize="9" scale="7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P61"/>
  <sheetViews>
    <sheetView view="pageBreakPreview" zoomScale="70" zoomScaleNormal="70" zoomScaleSheetLayoutView="70" workbookViewId="0">
      <selection activeCell="E3" sqref="E3"/>
    </sheetView>
  </sheetViews>
  <sheetFormatPr defaultRowHeight="18.75"/>
  <cols>
    <col min="1" max="1" width="3.5" customWidth="1"/>
    <col min="4" max="6" width="15.625" customWidth="1"/>
    <col min="8" max="9" width="18.375" customWidth="1"/>
    <col min="11" max="11" width="3.375" customWidth="1"/>
    <col min="13" max="13" width="15.625" customWidth="1"/>
    <col min="16" max="16" width="15.625" customWidth="1"/>
  </cols>
  <sheetData>
    <row r="1" spans="1:16" ht="33">
      <c r="A1" s="124" t="s">
        <v>291</v>
      </c>
      <c r="B1" s="125"/>
      <c r="C1" s="125"/>
      <c r="D1" s="125"/>
      <c r="E1" s="125"/>
      <c r="F1" s="125"/>
      <c r="G1" s="125"/>
      <c r="H1" s="125"/>
      <c r="I1" s="125"/>
      <c r="J1" s="125"/>
    </row>
    <row r="3" spans="1:16" ht="19.5" thickBot="1">
      <c r="B3" t="s">
        <v>94</v>
      </c>
    </row>
    <row r="4" spans="1:16" ht="19.5" thickBot="1">
      <c r="B4" s="69" t="s">
        <v>74</v>
      </c>
      <c r="C4" s="75"/>
      <c r="D4" s="435"/>
    </row>
    <row r="5" spans="1:16" ht="19.5" thickBot="1">
      <c r="B5" s="69" t="s">
        <v>92</v>
      </c>
      <c r="C5" s="75"/>
      <c r="D5" s="435"/>
      <c r="E5" t="s">
        <v>97</v>
      </c>
    </row>
    <row r="6" spans="1:16" ht="19.5" thickBot="1">
      <c r="B6" s="75"/>
      <c r="C6" s="75"/>
      <c r="D6" s="65" t="s">
        <v>299</v>
      </c>
      <c r="E6" s="65" t="s">
        <v>300</v>
      </c>
      <c r="F6" s="65" t="s">
        <v>301</v>
      </c>
      <c r="H6" s="168" t="s">
        <v>294</v>
      </c>
      <c r="I6" s="71">
        <f>SUM($D$9)</f>
        <v>0</v>
      </c>
      <c r="J6" s="65" t="e">
        <f>VLOOKUP($I$6,【リスト】!$K$2:$L$24,2,TRUE)</f>
        <v>#N/A</v>
      </c>
    </row>
    <row r="7" spans="1:16" ht="19.5" thickBot="1">
      <c r="B7" s="69" t="s">
        <v>90</v>
      </c>
      <c r="C7" s="75"/>
      <c r="D7" s="437"/>
      <c r="E7" s="437"/>
      <c r="F7" s="437"/>
      <c r="H7" s="168" t="s">
        <v>319</v>
      </c>
      <c r="I7" s="71">
        <f>SUM($E$9:$F$9)</f>
        <v>0</v>
      </c>
      <c r="J7" s="65" t="e">
        <f>VLOOKUP($I$7,【リスト】!$I$2:$J$25,2,TRUE)</f>
        <v>#N/A</v>
      </c>
    </row>
    <row r="8" spans="1:16" ht="19.5" thickBot="1">
      <c r="B8" s="69" t="s">
        <v>91</v>
      </c>
      <c r="C8" s="163"/>
      <c r="D8" s="164"/>
      <c r="E8" s="436"/>
      <c r="F8" s="436"/>
      <c r="H8" s="168" t="s">
        <v>320</v>
      </c>
      <c r="I8" s="71">
        <f>SUM($E$7:$F$7)</f>
        <v>0</v>
      </c>
      <c r="J8" s="65" t="e">
        <f>VLOOKUP($I$8,【リスト】!$I$2:$J$25,2,TRUE)</f>
        <v>#N/A</v>
      </c>
    </row>
    <row r="9" spans="1:16">
      <c r="B9" s="69" t="s">
        <v>93</v>
      </c>
      <c r="C9" s="163"/>
      <c r="D9" s="165">
        <f>SUM(D7)</f>
        <v>0</v>
      </c>
      <c r="E9" s="166">
        <f>IF($D$5=【リスト】!$B$3,SUM(E7:E8),SUM(E7))</f>
        <v>0</v>
      </c>
      <c r="F9" s="166">
        <f>IF($D$5=【リスト】!$B$3,SUM(F7:F8),SUM(F7))</f>
        <v>0</v>
      </c>
      <c r="H9" s="168" t="s">
        <v>321</v>
      </c>
      <c r="I9" s="71">
        <f>SUM($E$8:$F$8)</f>
        <v>0</v>
      </c>
      <c r="J9" s="65" t="e">
        <f>VLOOKUP($I$9,【リスト】!$I$2:$J$25,2,TRUE)</f>
        <v>#N/A</v>
      </c>
    </row>
    <row r="10" spans="1:16">
      <c r="H10" s="168" t="s">
        <v>295</v>
      </c>
      <c r="I10" s="71">
        <f>SUM($D$9:$E$9)</f>
        <v>0</v>
      </c>
      <c r="J10" s="65" t="e">
        <f>VLOOKUP($I$10,【リスト】!$K$2:$L$24,2,TRUE)</f>
        <v>#N/A</v>
      </c>
    </row>
    <row r="11" spans="1:16">
      <c r="B11" s="64" t="s">
        <v>297</v>
      </c>
      <c r="H11" s="168" t="s">
        <v>296</v>
      </c>
      <c r="I11" s="71">
        <f>SUM($D$9:$F$9)</f>
        <v>0</v>
      </c>
      <c r="L11" s="243" t="s">
        <v>372</v>
      </c>
      <c r="M11" s="243"/>
      <c r="N11" s="243"/>
      <c r="O11" s="243"/>
      <c r="P11" s="243"/>
    </row>
    <row r="12" spans="1:16" ht="19.5" thickBot="1">
      <c r="C12" s="70" t="s">
        <v>99</v>
      </c>
      <c r="D12" s="77" t="s">
        <v>302</v>
      </c>
      <c r="H12" s="61"/>
      <c r="I12" s="169"/>
      <c r="L12" s="244" t="s">
        <v>374</v>
      </c>
      <c r="M12" s="245" t="s">
        <v>376</v>
      </c>
      <c r="N12" s="243"/>
      <c r="O12" s="244" t="s">
        <v>375</v>
      </c>
      <c r="P12" s="245" t="s">
        <v>376</v>
      </c>
    </row>
    <row r="13" spans="1:16" ht="19.5" thickBot="1">
      <c r="C13" s="76" t="s">
        <v>317</v>
      </c>
      <c r="D13" s="437"/>
      <c r="H13" s="61"/>
      <c r="I13" s="169"/>
      <c r="L13" s="246">
        <v>0</v>
      </c>
      <c r="M13" s="242">
        <f>'1-1_児童数計算表'!$Q$38</f>
        <v>0</v>
      </c>
      <c r="N13" s="243"/>
      <c r="O13" s="246">
        <v>0</v>
      </c>
      <c r="P13" s="242">
        <f>'1-2_児童数計算表_分園'!$Q$38</f>
        <v>0</v>
      </c>
    </row>
    <row r="14" spans="1:16" ht="19.5" thickBot="1">
      <c r="C14" s="76">
        <v>3</v>
      </c>
      <c r="D14" s="437"/>
      <c r="E14" t="s">
        <v>318</v>
      </c>
      <c r="H14" s="61"/>
      <c r="I14" s="169"/>
      <c r="L14" s="246">
        <v>1</v>
      </c>
      <c r="M14" s="242">
        <f>'1-1_児童数計算表'!$Q$37</f>
        <v>0</v>
      </c>
      <c r="N14" s="243"/>
      <c r="O14" s="246">
        <v>1</v>
      </c>
      <c r="P14" s="242">
        <f>'1-2_児童数計算表_分園'!$Q$37</f>
        <v>0</v>
      </c>
    </row>
    <row r="15" spans="1:16" ht="19.5" thickBot="1">
      <c r="C15" s="76">
        <v>4</v>
      </c>
      <c r="D15" s="437"/>
      <c r="H15" s="61"/>
      <c r="I15" s="169"/>
      <c r="L15" s="246">
        <v>2</v>
      </c>
      <c r="M15" s="242">
        <f>'1-1_児童数計算表'!$Q$36</f>
        <v>0</v>
      </c>
      <c r="N15" s="243"/>
      <c r="O15" s="246">
        <v>2</v>
      </c>
      <c r="P15" s="242">
        <f>'1-2_児童数計算表_分園'!$Q$36</f>
        <v>0</v>
      </c>
    </row>
    <row r="16" spans="1:16" ht="19.5" thickBot="1">
      <c r="C16" s="76">
        <v>5</v>
      </c>
      <c r="D16" s="437"/>
      <c r="H16" s="61"/>
      <c r="I16" s="169"/>
      <c r="L16" s="246" t="s">
        <v>317</v>
      </c>
      <c r="M16" s="242">
        <f>'1-1_児童数計算表'!$Q$35</f>
        <v>0</v>
      </c>
      <c r="N16" s="243"/>
      <c r="O16" s="246" t="s">
        <v>317</v>
      </c>
      <c r="P16" s="242">
        <f>'1-2_児童数計算表_分園'!$Q$35</f>
        <v>0</v>
      </c>
    </row>
    <row r="17" spans="2:16" ht="19.5" thickBot="1">
      <c r="C17" s="70" t="s">
        <v>98</v>
      </c>
      <c r="D17" s="78">
        <f>SUM(D13:D16)</f>
        <v>0</v>
      </c>
      <c r="H17" s="61"/>
      <c r="I17" s="169"/>
      <c r="L17" s="246">
        <v>3</v>
      </c>
      <c r="M17" s="242">
        <f>'1-1_児童数計算表'!$Q$34-'1-1_児童数計算表'!$Q$35</f>
        <v>0</v>
      </c>
      <c r="N17" s="243"/>
      <c r="O17" s="246">
        <v>3</v>
      </c>
      <c r="P17" s="242">
        <f>'1-2_児童数計算表_分園'!$Q$34-'1-2_児童数計算表_分園'!$Q$35</f>
        <v>0</v>
      </c>
    </row>
    <row r="18" spans="2:16" ht="19.5" thickBot="1">
      <c r="H18" s="61"/>
      <c r="I18" s="169"/>
      <c r="L18" s="246">
        <v>4</v>
      </c>
      <c r="M18" s="242">
        <f>'1-1_児童数計算表'!$Q$33</f>
        <v>0</v>
      </c>
      <c r="N18" s="243"/>
      <c r="O18" s="246">
        <v>4</v>
      </c>
      <c r="P18" s="242">
        <f>'1-2_児童数計算表_分園'!$Q$33</f>
        <v>0</v>
      </c>
    </row>
    <row r="19" spans="2:16" ht="19.5" thickBot="1">
      <c r="B19" s="64" t="s">
        <v>298</v>
      </c>
      <c r="L19" s="246">
        <v>5</v>
      </c>
      <c r="M19" s="242">
        <f>'1-1_児童数計算表'!$Q$32</f>
        <v>0</v>
      </c>
      <c r="N19" s="243"/>
      <c r="O19" s="246">
        <v>5</v>
      </c>
      <c r="P19" s="242">
        <f>'1-2_児童数計算表_分園'!$Q$32</f>
        <v>0</v>
      </c>
    </row>
    <row r="20" spans="2:16" ht="19.5" thickBot="1">
      <c r="C20" s="70" t="s">
        <v>99</v>
      </c>
      <c r="D20" s="77" t="s">
        <v>95</v>
      </c>
      <c r="E20" s="77" t="s">
        <v>96</v>
      </c>
      <c r="G20" s="70" t="s">
        <v>100</v>
      </c>
      <c r="H20" s="77" t="s">
        <v>95</v>
      </c>
      <c r="I20" s="77" t="s">
        <v>96</v>
      </c>
      <c r="L20" s="243"/>
      <c r="M20" s="243"/>
      <c r="N20" s="243"/>
      <c r="O20" s="243"/>
      <c r="P20" s="243"/>
    </row>
    <row r="21" spans="2:16" ht="19.5" thickBot="1">
      <c r="C21" s="76">
        <v>0</v>
      </c>
      <c r="D21" s="437"/>
      <c r="E21" s="437"/>
      <c r="G21" s="76">
        <v>0</v>
      </c>
      <c r="H21" s="436"/>
      <c r="I21" s="436"/>
      <c r="L21" s="243" t="s">
        <v>373</v>
      </c>
      <c r="M21" s="243"/>
      <c r="N21" s="243"/>
      <c r="O21" s="243"/>
      <c r="P21" s="243"/>
    </row>
    <row r="22" spans="2:16" ht="19.5" thickBot="1">
      <c r="C22" s="76">
        <v>1</v>
      </c>
      <c r="D22" s="437"/>
      <c r="E22" s="437"/>
      <c r="G22" s="76">
        <v>1</v>
      </c>
      <c r="H22" s="436"/>
      <c r="I22" s="436"/>
      <c r="L22" s="244" t="s">
        <v>374</v>
      </c>
      <c r="M22" s="245" t="s">
        <v>376</v>
      </c>
      <c r="N22" s="243"/>
      <c r="O22" s="244" t="s">
        <v>375</v>
      </c>
      <c r="P22" s="245" t="s">
        <v>376</v>
      </c>
    </row>
    <row r="23" spans="2:16" ht="19.5" thickBot="1">
      <c r="C23" s="76">
        <v>2</v>
      </c>
      <c r="D23" s="437"/>
      <c r="E23" s="437"/>
      <c r="G23" s="76">
        <v>2</v>
      </c>
      <c r="H23" s="436"/>
      <c r="I23" s="436"/>
      <c r="L23" s="246">
        <v>0</v>
      </c>
      <c r="M23" s="242">
        <f>'1-1_児童数計算表'!$Q$54</f>
        <v>0</v>
      </c>
      <c r="N23" s="243"/>
      <c r="O23" s="246">
        <v>0</v>
      </c>
      <c r="P23" s="242">
        <f>'1-2_児童数計算表_分園'!$Q$54</f>
        <v>0</v>
      </c>
    </row>
    <row r="24" spans="2:16" ht="19.5" thickBot="1">
      <c r="C24" s="76">
        <v>3</v>
      </c>
      <c r="D24" s="437"/>
      <c r="E24" s="437"/>
      <c r="G24" s="76">
        <v>3</v>
      </c>
      <c r="H24" s="436"/>
      <c r="I24" s="436"/>
      <c r="L24" s="246">
        <v>1</v>
      </c>
      <c r="M24" s="242">
        <f>'1-1_児童数計算表'!$Q$53</f>
        <v>0</v>
      </c>
      <c r="N24" s="243"/>
      <c r="O24" s="246">
        <v>1</v>
      </c>
      <c r="P24" s="242">
        <f>'1-2_児童数計算表_分園'!$Q$53</f>
        <v>0</v>
      </c>
    </row>
    <row r="25" spans="2:16" ht="19.5" thickBot="1">
      <c r="C25" s="76">
        <v>4</v>
      </c>
      <c r="D25" s="437"/>
      <c r="E25" s="437"/>
      <c r="G25" s="76">
        <v>4</v>
      </c>
      <c r="H25" s="436"/>
      <c r="I25" s="436"/>
      <c r="L25" s="246">
        <v>2</v>
      </c>
      <c r="M25" s="242">
        <f>'1-1_児童数計算表'!$Q$52</f>
        <v>0</v>
      </c>
      <c r="N25" s="243"/>
      <c r="O25" s="246">
        <v>2</v>
      </c>
      <c r="P25" s="242">
        <f>'1-2_児童数計算表_分園'!$Q$52</f>
        <v>0</v>
      </c>
    </row>
    <row r="26" spans="2:16" ht="19.5" thickBot="1">
      <c r="C26" s="76">
        <v>5</v>
      </c>
      <c r="D26" s="437"/>
      <c r="E26" s="437"/>
      <c r="G26" s="76">
        <v>5</v>
      </c>
      <c r="H26" s="436"/>
      <c r="I26" s="436"/>
      <c r="L26" s="246" t="s">
        <v>317</v>
      </c>
      <c r="M26" s="242">
        <f>'1-1_児童数計算表'!$Q$51</f>
        <v>0</v>
      </c>
      <c r="N26" s="243"/>
      <c r="O26" s="246" t="s">
        <v>317</v>
      </c>
      <c r="P26" s="242">
        <f>'1-2_児童数計算表_分園'!$Q$51</f>
        <v>0</v>
      </c>
    </row>
    <row r="27" spans="2:16" ht="19.5" thickBot="1">
      <c r="C27" s="70" t="s">
        <v>98</v>
      </c>
      <c r="D27" s="78">
        <f>SUM(D21:D26)</f>
        <v>0</v>
      </c>
      <c r="E27" s="78">
        <f>SUM(E21:E26)</f>
        <v>0</v>
      </c>
      <c r="G27" s="70" t="s">
        <v>98</v>
      </c>
      <c r="H27" s="78">
        <f>IF($D$5=【リスト】!$B$3,SUM(H21:H26),0)</f>
        <v>0</v>
      </c>
      <c r="I27" s="78">
        <f>IF($D$5=【リスト】!$B$3,SUM(I21:I26),0)</f>
        <v>0</v>
      </c>
      <c r="L27" s="246">
        <v>3</v>
      </c>
      <c r="M27" s="242">
        <f>'1-1_児童数計算表'!$Q$50-'1-1_児童数計算表'!$Q$51</f>
        <v>0</v>
      </c>
      <c r="N27" s="243"/>
      <c r="O27" s="246">
        <v>3</v>
      </c>
      <c r="P27" s="242">
        <f>'1-2_児童数計算表_分園'!$Q$50-'1-2_児童数計算表_分園'!$Q$51</f>
        <v>0</v>
      </c>
    </row>
    <row r="28" spans="2:16" ht="19.5" thickBot="1">
      <c r="C28" s="70" t="s">
        <v>105</v>
      </c>
      <c r="D28" s="71">
        <f>SUM(D27:E27,H27:I27)</f>
        <v>0</v>
      </c>
      <c r="L28" s="246">
        <v>4</v>
      </c>
      <c r="M28" s="242">
        <f>'1-1_児童数計算表'!$Q$49</f>
        <v>0</v>
      </c>
      <c r="N28" s="243"/>
      <c r="O28" s="246">
        <v>4</v>
      </c>
      <c r="P28" s="242">
        <f>'1-2_児童数計算表_分園'!$Q$49</f>
        <v>0</v>
      </c>
    </row>
    <row r="29" spans="2:16" ht="19.5" thickBot="1">
      <c r="H29" s="168" t="s">
        <v>322</v>
      </c>
      <c r="I29" s="71">
        <f>SUM($D$17,$D$28)</f>
        <v>0</v>
      </c>
      <c r="L29" s="246">
        <v>5</v>
      </c>
      <c r="M29" s="242">
        <f>'1-1_児童数計算表'!$Q$48</f>
        <v>0</v>
      </c>
      <c r="N29" s="243"/>
      <c r="O29" s="246">
        <v>5</v>
      </c>
      <c r="P29" s="242">
        <f>'1-2_児童数計算表_分園'!$Q$48</f>
        <v>0</v>
      </c>
    </row>
    <row r="30" spans="2:16" ht="19.5" thickBot="1">
      <c r="B30" t="s">
        <v>114</v>
      </c>
    </row>
    <row r="31" spans="2:16" ht="19.5" thickBot="1">
      <c r="C31" s="72" t="s">
        <v>303</v>
      </c>
      <c r="D31" s="73"/>
      <c r="E31" s="73"/>
      <c r="F31" s="435"/>
    </row>
    <row r="32" spans="2:16" ht="19.5" thickBot="1">
      <c r="C32" s="72" t="s">
        <v>304</v>
      </c>
      <c r="D32" s="73"/>
      <c r="E32" s="73"/>
      <c r="F32" s="435"/>
    </row>
    <row r="33" spans="3:9" ht="19.5" thickBot="1">
      <c r="C33" s="72" t="s">
        <v>101</v>
      </c>
      <c r="D33" s="73"/>
      <c r="E33" s="73"/>
      <c r="F33" s="435"/>
    </row>
    <row r="34" spans="3:9" ht="19.5" thickBot="1">
      <c r="C34" s="72" t="s">
        <v>102</v>
      </c>
      <c r="D34" s="73"/>
      <c r="E34" s="73"/>
      <c r="F34" s="435"/>
      <c r="G34" s="170" t="str">
        <f>IF(AND($F$34=【リスト】!$C$2,$F$40=【リスト】!$C$2),"チーム保育加配加算との併給不可","")</f>
        <v/>
      </c>
    </row>
    <row r="35" spans="3:9" ht="19.5" thickBot="1">
      <c r="C35" s="72" t="s">
        <v>103</v>
      </c>
      <c r="D35" s="73"/>
      <c r="E35" s="73"/>
      <c r="F35" s="435"/>
      <c r="I35" s="61"/>
    </row>
    <row r="36" spans="3:9" ht="19.5" thickBot="1">
      <c r="C36" s="72" t="s">
        <v>305</v>
      </c>
      <c r="D36" s="73"/>
      <c r="E36" s="73"/>
      <c r="F36" s="435"/>
    </row>
    <row r="37" spans="3:9" ht="19.5" thickBot="1">
      <c r="C37" s="72" t="s">
        <v>306</v>
      </c>
      <c r="D37" s="73"/>
      <c r="E37" s="73"/>
      <c r="F37" s="435"/>
      <c r="I37" s="61" t="str">
        <f>IF(F38=【リスト】!$C$2,"休日保育の年間延べ利用子ども数を選択↓","")</f>
        <v/>
      </c>
    </row>
    <row r="38" spans="3:9" ht="19.5" thickBot="1">
      <c r="C38" s="72" t="s">
        <v>12</v>
      </c>
      <c r="D38" s="73"/>
      <c r="E38" s="73"/>
      <c r="F38" s="435"/>
      <c r="H38" s="61"/>
      <c r="I38" s="439"/>
    </row>
    <row r="39" spans="3:9" ht="19.5" thickBot="1">
      <c r="C39" s="72" t="s">
        <v>115</v>
      </c>
      <c r="D39" s="73"/>
      <c r="E39" s="73"/>
      <c r="F39" s="435"/>
      <c r="I39" s="61" t="str">
        <f>IF(F40=【リスト】!$C$2,"加配人数を選択↓","")</f>
        <v/>
      </c>
    </row>
    <row r="40" spans="3:9" ht="19.5" thickBot="1">
      <c r="C40" s="72" t="s">
        <v>307</v>
      </c>
      <c r="D40" s="73"/>
      <c r="E40" s="73"/>
      <c r="F40" s="435"/>
      <c r="I40" s="436"/>
    </row>
    <row r="41" spans="3:9" ht="19.5" thickBot="1">
      <c r="C41" s="72" t="s">
        <v>308</v>
      </c>
      <c r="D41" s="73"/>
      <c r="E41" s="73"/>
      <c r="F41" s="435"/>
      <c r="I41" s="61" t="str">
        <f>IF(F42&lt;&gt;"","週当たり給食実施日数を選択↓","")</f>
        <v/>
      </c>
    </row>
    <row r="42" spans="3:9" ht="19.5" thickBot="1">
      <c r="C42" s="72" t="s">
        <v>309</v>
      </c>
      <c r="D42" s="73"/>
      <c r="E42" s="73"/>
      <c r="F42" s="435"/>
      <c r="I42" s="440"/>
    </row>
    <row r="43" spans="3:9" ht="19.5" thickBot="1">
      <c r="C43" s="72" t="s">
        <v>313</v>
      </c>
      <c r="D43" s="73"/>
      <c r="E43" s="73"/>
      <c r="F43" s="435"/>
    </row>
    <row r="44" spans="3:9" ht="19.5" thickBot="1">
      <c r="C44" s="72" t="s">
        <v>116</v>
      </c>
      <c r="D44" s="73"/>
      <c r="E44" s="73"/>
      <c r="F44" s="438"/>
    </row>
    <row r="45" spans="3:9" ht="19.5" thickBot="1">
      <c r="C45" s="72" t="s">
        <v>314</v>
      </c>
      <c r="D45" s="73"/>
      <c r="E45" s="73"/>
      <c r="F45" s="435"/>
    </row>
    <row r="46" spans="3:9" ht="19.5" thickBot="1">
      <c r="C46" s="72" t="s">
        <v>315</v>
      </c>
      <c r="D46" s="73"/>
      <c r="E46" s="73"/>
      <c r="F46" s="435"/>
    </row>
    <row r="47" spans="3:9" ht="19.5" thickBot="1">
      <c r="C47" s="72" t="s">
        <v>316</v>
      </c>
      <c r="D47" s="73"/>
      <c r="E47" s="73"/>
      <c r="F47" s="435"/>
    </row>
    <row r="48" spans="3:9" ht="19.5" thickBot="1">
      <c r="C48" s="72" t="s">
        <v>117</v>
      </c>
      <c r="D48" s="73"/>
      <c r="E48" s="73"/>
      <c r="F48" s="438"/>
    </row>
    <row r="49" spans="2:9" ht="19.5" thickBot="1">
      <c r="C49" s="72" t="s">
        <v>861</v>
      </c>
      <c r="D49" s="73"/>
      <c r="E49" s="73"/>
      <c r="F49" s="438"/>
    </row>
    <row r="50" spans="2:9">
      <c r="H50" s="65"/>
      <c r="I50" s="65"/>
    </row>
    <row r="51" spans="2:9" ht="19.5" thickBot="1">
      <c r="B51" t="s">
        <v>120</v>
      </c>
    </row>
    <row r="52" spans="2:9" ht="19.5" thickBot="1">
      <c r="C52" s="80" t="s">
        <v>164</v>
      </c>
      <c r="D52" s="81"/>
      <c r="E52" s="81"/>
      <c r="F52" s="82" t="e">
        <f>VLOOKUP($D$4,【リスト】!$A$2:$P$13,15,FALSE)</f>
        <v>#N/A</v>
      </c>
    </row>
    <row r="53" spans="2:9" ht="19.5" thickBot="1">
      <c r="C53" s="80" t="s">
        <v>165</v>
      </c>
      <c r="D53" s="81"/>
      <c r="E53" s="81"/>
      <c r="F53" s="82" t="e">
        <f>IF('0_基本情報'!D23='【リスト】 (2)'!C3,0,VLOOKUP($D$4,【リスト】!$A$2:$P$13,16,FALSE))</f>
        <v>#N/A</v>
      </c>
    </row>
    <row r="55" spans="2:9" ht="19.5" thickBot="1">
      <c r="B55" t="s">
        <v>160</v>
      </c>
    </row>
    <row r="56" spans="2:9" ht="19.5" thickBot="1">
      <c r="C56" s="441">
        <v>12</v>
      </c>
      <c r="D56" t="s">
        <v>161</v>
      </c>
    </row>
    <row r="58" spans="2:9" ht="19.5" thickBot="1">
      <c r="B58" s="79" t="s">
        <v>162</v>
      </c>
    </row>
    <row r="59" spans="2:9" ht="19.5" thickBot="1">
      <c r="D59" s="83" t="s">
        <v>341</v>
      </c>
      <c r="E59" s="83" t="s">
        <v>342</v>
      </c>
      <c r="F59" s="83" t="s">
        <v>345</v>
      </c>
    </row>
    <row r="60" spans="2:9" ht="19.5" thickBot="1">
      <c r="C60" s="83" t="s">
        <v>118</v>
      </c>
      <c r="D60" s="84" t="e">
        <f>SUM(計算_区分12_1号!D22:G22)</f>
        <v>#N/A</v>
      </c>
      <c r="E60" s="84" t="e">
        <f>SUM(計算_区分12_23号!D23:AA23)</f>
        <v>#N/A</v>
      </c>
      <c r="F60" s="84" t="e">
        <f>SUM(D60:E60)</f>
        <v>#N/A</v>
      </c>
    </row>
    <row r="61" spans="2:9" ht="19.5" thickBot="1">
      <c r="C61" s="83" t="s">
        <v>119</v>
      </c>
      <c r="D61" s="84" t="e">
        <f>IF('0_基本情報'!D23='【リスト】 (2)'!C3,0,SUM(計算_区分12_1号!D42:G42))</f>
        <v>#N/A</v>
      </c>
      <c r="E61" s="84" t="e">
        <f>IF('0_基本情報'!D23='【リスト】 (2)'!C3,0,SUM(計算_区分12_23号!D42:AA42))</f>
        <v>#N/A</v>
      </c>
      <c r="F61" s="84" t="e">
        <f>SUM(D61:E61)</f>
        <v>#N/A</v>
      </c>
    </row>
  </sheetData>
  <sheetProtection algorithmName="SHA-512" hashValue="4t/p4UTl9V+FcjpGosCBTRRxTxz/uDa7UczUg1oQ50oUwSv7UXwIxutfoD7CYpza9/Hm78F3JeOyzldfp8WPKw==" saltValue="Lg+xq927+WHNFHeYYQI9uw==" spinCount="100000" sheet="1" objects="1" scenarios="1"/>
  <phoneticPr fontId="4"/>
  <conditionalFormatting sqref="I42">
    <cfRule type="expression" dxfId="10" priority="6">
      <formula>$F$42&lt;&gt;""</formula>
    </cfRule>
  </conditionalFormatting>
  <dataValidations count="2">
    <dataValidation type="whole" allowBlank="1" showInputMessage="1" showErrorMessage="1" sqref="H21 D7:F8 D13:D16 D21:E26 H22:H26 I21:I26" xr:uid="{2D77AD47-7A41-41B9-826B-6968E09382CA}">
      <formula1>0</formula1>
      <formula2>1000</formula2>
    </dataValidation>
    <dataValidation type="whole" allowBlank="1" showInputMessage="1" showErrorMessage="1" sqref="C56" xr:uid="{FE72E3F0-E055-4EFA-AB0E-4CC2FFD97962}">
      <formula1>1</formula1>
      <formula2>12</formula2>
    </dataValidation>
  </dataValidations>
  <pageMargins left="0.7" right="0.7" top="0.75" bottom="0.75" header="0.3" footer="0.3"/>
  <pageSetup paperSize="9" scale="6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C73A8AD0-72F9-4784-8D76-8EB5BCD561C5}">
            <xm:f>$D$5=【リスト】!$B$3</xm:f>
            <x14:dxf>
              <fill>
                <patternFill>
                  <bgColor theme="4" tint="0.79998168889431442"/>
                </patternFill>
              </fill>
            </x14:dxf>
          </x14:cfRule>
          <xm:sqref>E8:F8</xm:sqref>
        </x14:conditionalFormatting>
        <x14:conditionalFormatting xmlns:xm="http://schemas.microsoft.com/office/excel/2006/main">
          <x14:cfRule type="expression" priority="9" id="{60F6E9B5-4031-4D08-A47E-43D8F707C369}">
            <xm:f>$D$5=【リスト】!$B$3</xm:f>
            <x14:dxf>
              <fill>
                <patternFill>
                  <bgColor theme="4" tint="0.79998168889431442"/>
                </patternFill>
              </fill>
            </x14:dxf>
          </x14:cfRule>
          <xm:sqref>H21:I26</xm:sqref>
        </x14:conditionalFormatting>
        <x14:conditionalFormatting xmlns:xm="http://schemas.microsoft.com/office/excel/2006/main">
          <x14:cfRule type="expression" priority="8" id="{DA941AE6-0702-4558-BAC4-938441470D3C}">
            <xm:f>$F$38=【リスト】!$C$2</xm:f>
            <x14:dxf>
              <fill>
                <patternFill>
                  <bgColor theme="4" tint="0.79998168889431442"/>
                </patternFill>
              </fill>
            </x14:dxf>
          </x14:cfRule>
          <xm:sqref>I38</xm:sqref>
        </x14:conditionalFormatting>
        <x14:conditionalFormatting xmlns:xm="http://schemas.microsoft.com/office/excel/2006/main">
          <x14:cfRule type="expression" priority="7" id="{E3FEFE51-0714-430D-B257-F187457498BF}">
            <xm:f>$F$40=【リスト】!$C$2</xm:f>
            <x14:dxf>
              <fill>
                <patternFill>
                  <bgColor theme="4" tint="0.79998168889431442"/>
                </patternFill>
              </fill>
            </x14:dxf>
          </x14:cfRule>
          <xm:sqref>I40</xm:sqref>
        </x14:conditionalFormatting>
        <x14:conditionalFormatting xmlns:xm="http://schemas.microsoft.com/office/excel/2006/main">
          <x14:cfRule type="expression" priority="3" id="{35F3A7F2-84DE-4F8C-AF6A-AE3339A99A2C}">
            <xm:f>$D$5=【リスト】!$B$3</xm:f>
            <x14:dxf>
              <fill>
                <patternFill>
                  <bgColor theme="4" tint="0.79998168889431442"/>
                </patternFill>
              </fill>
            </x14:dxf>
          </x14:cfRule>
          <xm:sqref>P13:P19</xm:sqref>
        </x14:conditionalFormatting>
        <x14:conditionalFormatting xmlns:xm="http://schemas.microsoft.com/office/excel/2006/main">
          <x14:cfRule type="expression" priority="1" id="{B46581ED-36E6-4DBD-9276-A532B94AE6A3}">
            <xm:f>$D$5=【リスト】!$B$3</xm:f>
            <x14:dxf>
              <fill>
                <patternFill>
                  <bgColor theme="4" tint="0.79998168889431442"/>
                </patternFill>
              </fill>
            </x14:dxf>
          </x14:cfRule>
          <xm:sqref>P23:P29</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D3679AD9-F9C1-4A5E-A96A-E3627BE9E9BD}">
          <x14:formula1>
            <xm:f>【リスト】!$A$2:$A$13</xm:f>
          </x14:formula1>
          <xm:sqref>D4</xm:sqref>
        </x14:dataValidation>
        <x14:dataValidation type="list" allowBlank="1" showInputMessage="1" showErrorMessage="1" xr:uid="{8AE11187-CA3A-4CD5-A404-EF694261384F}">
          <x14:formula1>
            <xm:f>【リスト】!$B$2:$B$3</xm:f>
          </x14:formula1>
          <xm:sqref>D5</xm:sqref>
        </x14:dataValidation>
        <x14:dataValidation type="list" allowBlank="1" showInputMessage="1" showErrorMessage="1" xr:uid="{CCBBA551-DDE9-4E60-8859-C92E3CD6D249}">
          <x14:formula1>
            <xm:f>【リスト】!$C$2:$C$3</xm:f>
          </x14:formula1>
          <xm:sqref>F43 F31:F41 F45:F47</xm:sqref>
        </x14:dataValidation>
        <x14:dataValidation type="list" allowBlank="1" showInputMessage="1" showErrorMessage="1" xr:uid="{EF7FE433-3133-4B7E-AC8E-6D6F9F3FB952}">
          <x14:formula1>
            <xm:f>【リスト】!$D$2:$D$4</xm:f>
          </x14:formula1>
          <xm:sqref>F44</xm:sqref>
        </x14:dataValidation>
        <x14:dataValidation type="list" allowBlank="1" showInputMessage="1" showErrorMessage="1" xr:uid="{ECE875D7-0E23-4036-BDA5-4847A1EF3936}">
          <x14:formula1>
            <xm:f>【リスト】!$E$2:$E$5</xm:f>
          </x14:formula1>
          <xm:sqref>F48</xm:sqref>
        </x14:dataValidation>
        <x14:dataValidation type="list" allowBlank="1" showInputMessage="1" showErrorMessage="1" xr:uid="{B9B182D6-CC8E-4FCA-BFCF-62D649AA45CB}">
          <x14:formula1>
            <xm:f>【リスト】!$F$2:$F$15</xm:f>
          </x14:formula1>
          <xm:sqref>I38</xm:sqref>
        </x14:dataValidation>
        <x14:dataValidation type="list" allowBlank="1" showInputMessage="1" showErrorMessage="1" xr:uid="{0B13CBB0-AA82-487D-A776-DC715B80E3AD}">
          <x14:formula1>
            <xm:f>【リスト】!$G$2:$G$8</xm:f>
          </x14:formula1>
          <xm:sqref>I40</xm:sqref>
        </x14:dataValidation>
        <x14:dataValidation type="list" allowBlank="1" showInputMessage="1" showErrorMessage="1" xr:uid="{FE447814-9BA3-4FE3-A08A-8FCFEDBEA7CB}">
          <x14:formula1>
            <xm:f>【リスト】!$H$2:$H$6</xm:f>
          </x14:formula1>
          <xm:sqref>F49</xm:sqref>
        </x14:dataValidation>
        <x14:dataValidation type="list" allowBlank="1" showInputMessage="1" showErrorMessage="1" xr:uid="{2D7FE4D1-749C-4976-8728-4AE050CC5CC7}">
          <x14:formula1>
            <xm:f>【リスト】!$M$2:$M$3</xm:f>
          </x14:formula1>
          <xm:sqref>F42</xm:sqref>
        </x14:dataValidation>
        <x14:dataValidation type="list" allowBlank="1" showInputMessage="1" showErrorMessage="1" xr:uid="{6E4D7F93-56DE-41F9-812D-601FFFCBD8FD}">
          <x14:formula1>
            <xm:f>【リスト】!$N$2:$N$8</xm:f>
          </x14:formula1>
          <xm:sqref>I42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C178-639B-4E16-9333-83743DD4613F}">
  <sheetPr>
    <pageSetUpPr fitToPage="1"/>
  </sheetPr>
  <dimension ref="A1:U131"/>
  <sheetViews>
    <sheetView tabSelected="1" view="pageBreakPreview" zoomScale="70" zoomScaleNormal="70" zoomScaleSheetLayoutView="70" workbookViewId="0"/>
  </sheetViews>
  <sheetFormatPr defaultColWidth="9" defaultRowHeight="18.75"/>
  <cols>
    <col min="1" max="1" width="2.875" style="267" customWidth="1"/>
    <col min="2" max="2" width="3" style="269" customWidth="1"/>
    <col min="3" max="3" width="14.75" style="269" customWidth="1"/>
    <col min="4" max="4" width="28.25" style="269" customWidth="1"/>
    <col min="5" max="6" width="10" style="271" customWidth="1"/>
    <col min="7" max="7" width="12.125" style="271" customWidth="1"/>
    <col min="8" max="8" width="13.125" style="271" customWidth="1"/>
    <col min="9" max="9" width="10" style="265" customWidth="1"/>
    <col min="10" max="10" width="10" style="267" customWidth="1"/>
    <col min="11" max="11" width="11" style="267" bestFit="1" customWidth="1"/>
    <col min="12" max="12" width="13.125" style="267" customWidth="1"/>
    <col min="13" max="13" width="3.375" style="267" customWidth="1"/>
    <col min="14" max="14" width="1.375" style="267" customWidth="1"/>
    <col min="15" max="15" width="14.25" style="267" customWidth="1"/>
    <col min="16" max="16" width="11.625" style="267" customWidth="1"/>
    <col min="17" max="17" width="9" style="267"/>
    <col min="18" max="18" width="1.375" style="267" customWidth="1"/>
    <col min="19" max="19" width="14.25" style="267" customWidth="1"/>
    <col min="20" max="20" width="11.625" style="267" customWidth="1"/>
    <col min="21" max="16384" width="9" style="267"/>
  </cols>
  <sheetData>
    <row r="1" spans="1:21" s="266" customFormat="1" ht="31.5" customHeight="1">
      <c r="A1" s="262" t="s">
        <v>377</v>
      </c>
      <c r="B1" s="263"/>
      <c r="C1" s="263"/>
      <c r="D1" s="263"/>
      <c r="E1" s="264"/>
      <c r="F1" s="264"/>
      <c r="G1" s="264"/>
      <c r="H1" s="264"/>
      <c r="I1" s="265"/>
      <c r="M1" s="267"/>
      <c r="N1" s="267"/>
      <c r="O1" s="267"/>
      <c r="P1" s="267"/>
      <c r="Q1" s="267"/>
      <c r="R1" s="267"/>
      <c r="S1" s="267"/>
      <c r="T1" s="267"/>
      <c r="U1" s="267"/>
    </row>
    <row r="2" spans="1:21" s="266" customFormat="1" ht="18.75" customHeight="1" thickBot="1">
      <c r="A2" s="268"/>
      <c r="B2" s="263"/>
      <c r="C2" s="263"/>
      <c r="D2" s="263"/>
      <c r="E2" s="264"/>
      <c r="F2" s="264"/>
      <c r="G2" s="264"/>
      <c r="H2" s="264"/>
      <c r="I2" s="265"/>
      <c r="M2" s="267"/>
      <c r="N2" s="267"/>
      <c r="O2" s="267"/>
      <c r="P2" s="267"/>
      <c r="Q2" s="267"/>
      <c r="R2" s="267"/>
      <c r="S2" s="267"/>
      <c r="T2" s="267"/>
      <c r="U2" s="267"/>
    </row>
    <row r="3" spans="1:21" ht="19.5" customHeight="1" thickBot="1">
      <c r="A3" s="269"/>
      <c r="B3" s="821" t="s">
        <v>346</v>
      </c>
      <c r="C3" s="822"/>
      <c r="D3" s="823">
        <f>'1-1_児童数計算表'!$M$3</f>
        <v>0</v>
      </c>
      <c r="E3" s="824"/>
      <c r="F3" s="824"/>
      <c r="G3" s="824"/>
      <c r="H3" s="825"/>
    </row>
    <row r="4" spans="1:21" ht="19.5" customHeight="1">
      <c r="A4" s="269"/>
      <c r="C4" s="270"/>
      <c r="D4" s="270"/>
      <c r="E4" s="270"/>
      <c r="F4" s="270"/>
      <c r="G4" s="270"/>
    </row>
    <row r="5" spans="1:21" ht="19.5" customHeight="1" thickBot="1">
      <c r="A5" s="272" t="s">
        <v>378</v>
      </c>
      <c r="E5" s="270"/>
      <c r="F5" s="270"/>
      <c r="G5" s="270"/>
    </row>
    <row r="6" spans="1:21" ht="33" customHeight="1" thickBot="1">
      <c r="A6" s="272"/>
      <c r="B6" s="826"/>
      <c r="C6" s="827"/>
      <c r="D6" s="827"/>
      <c r="E6" s="273" t="s">
        <v>379</v>
      </c>
      <c r="F6" s="274" t="s">
        <v>380</v>
      </c>
      <c r="G6" s="270"/>
      <c r="J6" s="274" t="s">
        <v>380</v>
      </c>
      <c r="N6" s="275" t="s">
        <v>372</v>
      </c>
      <c r="O6" s="275"/>
      <c r="P6" s="275"/>
      <c r="Q6" s="275"/>
      <c r="R6" s="275"/>
      <c r="S6" s="275"/>
      <c r="T6" s="275"/>
    </row>
    <row r="7" spans="1:21" ht="37.5" customHeight="1" thickBot="1">
      <c r="A7" s="272"/>
      <c r="B7" s="828" t="s">
        <v>92</v>
      </c>
      <c r="C7" s="829"/>
      <c r="D7" s="829"/>
      <c r="E7" s="276" t="str">
        <f>IF('2_区分12加算額計算表'!$D$5=【リスト】!$B$3,"あり","なし")</f>
        <v>なし</v>
      </c>
      <c r="F7" s="274" t="s">
        <v>381</v>
      </c>
      <c r="G7" s="270"/>
      <c r="J7" s="277" t="str">
        <f>IF(E7="あり","分園分を記入","入力不要")</f>
        <v>入力不要</v>
      </c>
      <c r="N7" s="278" t="s">
        <v>374</v>
      </c>
      <c r="O7" s="279"/>
      <c r="P7" s="280" t="s">
        <v>376</v>
      </c>
      <c r="Q7" s="275"/>
      <c r="R7" s="281" t="s">
        <v>375</v>
      </c>
      <c r="S7" s="281"/>
      <c r="T7" s="280" t="s">
        <v>376</v>
      </c>
    </row>
    <row r="8" spans="1:21" ht="19.5" customHeight="1" thickBot="1">
      <c r="A8" s="272"/>
      <c r="B8" s="828" t="s">
        <v>382</v>
      </c>
      <c r="C8" s="829"/>
      <c r="D8" s="829"/>
      <c r="E8" s="829"/>
      <c r="F8" s="282">
        <f>F9+F10</f>
        <v>0</v>
      </c>
      <c r="G8" s="270"/>
      <c r="J8" s="282">
        <f>J9+J10</f>
        <v>0</v>
      </c>
      <c r="N8" s="283" t="s">
        <v>445</v>
      </c>
      <c r="O8" s="284"/>
      <c r="P8" s="285">
        <f>SUM('1-1_児童数計算表'!$Q$32:$Q$33)</f>
        <v>0</v>
      </c>
      <c r="Q8" s="275"/>
      <c r="R8" s="286" t="s">
        <v>445</v>
      </c>
      <c r="S8" s="287"/>
      <c r="T8" s="285">
        <f>SUM('1-2_児童数計算表_分園'!$Q$32:$Q$33)</f>
        <v>0</v>
      </c>
    </row>
    <row r="9" spans="1:21" ht="19.5" customHeight="1" thickBot="1">
      <c r="A9" s="272"/>
      <c r="B9" s="288"/>
      <c r="C9" s="829" t="s">
        <v>383</v>
      </c>
      <c r="D9" s="829"/>
      <c r="E9" s="829"/>
      <c r="F9" s="289">
        <f>'2_区分12加算額計算表'!$D$7</f>
        <v>0</v>
      </c>
      <c r="G9" s="270"/>
      <c r="J9" s="289">
        <f>'2_区分12加算額計算表'!$D$8</f>
        <v>0</v>
      </c>
      <c r="N9" s="286" t="s">
        <v>448</v>
      </c>
      <c r="O9" s="284"/>
      <c r="P9" s="285">
        <f>'1-1_児童数計算表'!$Q$34</f>
        <v>0</v>
      </c>
      <c r="Q9" s="275"/>
      <c r="R9" s="286" t="s">
        <v>448</v>
      </c>
      <c r="S9" s="287"/>
      <c r="T9" s="285">
        <f>'1-2_児童数計算表_分園'!$Q$34</f>
        <v>0</v>
      </c>
    </row>
    <row r="10" spans="1:21" ht="19.5" customHeight="1" thickBot="1">
      <c r="A10" s="272"/>
      <c r="B10" s="288"/>
      <c r="C10" s="829" t="s">
        <v>384</v>
      </c>
      <c r="D10" s="829"/>
      <c r="E10" s="829"/>
      <c r="F10" s="289">
        <f>SUM('2_区分12加算額計算表'!$E$7:$F$7)</f>
        <v>0</v>
      </c>
      <c r="G10" s="270"/>
      <c r="J10" s="289">
        <f>SUM('2_区分12加算額計算表'!$E$8:$F$8)</f>
        <v>0</v>
      </c>
      <c r="N10" s="286"/>
      <c r="O10" s="284" t="s">
        <v>447</v>
      </c>
      <c r="P10" s="285">
        <f>'1-1_児童数計算表'!$Q$35</f>
        <v>0</v>
      </c>
      <c r="Q10" s="275"/>
      <c r="R10" s="286"/>
      <c r="S10" s="287" t="s">
        <v>447</v>
      </c>
      <c r="T10" s="285">
        <f>'1-2_児童数計算表_分園'!$Q$35</f>
        <v>0</v>
      </c>
    </row>
    <row r="11" spans="1:21" ht="19.5" customHeight="1" thickBot="1">
      <c r="A11" s="272"/>
      <c r="B11" s="830" t="s">
        <v>385</v>
      </c>
      <c r="C11" s="831"/>
      <c r="D11" s="831"/>
      <c r="E11" s="831"/>
      <c r="F11" s="290">
        <f>F12+F13+F15+F17</f>
        <v>0</v>
      </c>
      <c r="G11" s="270"/>
      <c r="J11" s="290">
        <f>J12+J13+J15+J17</f>
        <v>0</v>
      </c>
      <c r="N11" s="286" t="s">
        <v>446</v>
      </c>
      <c r="O11" s="284"/>
      <c r="P11" s="285">
        <f>SUM('1-1_児童数計算表'!$Q$36:$Q$37)</f>
        <v>0</v>
      </c>
      <c r="Q11" s="275"/>
      <c r="R11" s="286" t="s">
        <v>446</v>
      </c>
      <c r="S11" s="287"/>
      <c r="T11" s="285">
        <f>SUM('1-2_児童数計算表_分園'!$Q$36:$Q$37)</f>
        <v>0</v>
      </c>
    </row>
    <row r="12" spans="1:21" ht="19.5" customHeight="1" thickBot="1">
      <c r="A12" s="272"/>
      <c r="B12" s="291"/>
      <c r="C12" s="832" t="s">
        <v>386</v>
      </c>
      <c r="D12" s="833"/>
      <c r="E12" s="292"/>
      <c r="F12" s="255"/>
      <c r="G12" s="270"/>
      <c r="J12" s="255"/>
      <c r="N12" s="286"/>
      <c r="O12" s="284" t="s">
        <v>449</v>
      </c>
      <c r="P12" s="285">
        <f>'1-1_児童数計算表'!$Q$37</f>
        <v>0</v>
      </c>
      <c r="Q12" s="275"/>
      <c r="R12" s="286"/>
      <c r="S12" s="293" t="s">
        <v>449</v>
      </c>
      <c r="T12" s="285">
        <f>'1-2_児童数計算表_分園'!$Q$37</f>
        <v>0</v>
      </c>
    </row>
    <row r="13" spans="1:21" ht="19.5" customHeight="1" thickBot="1">
      <c r="A13" s="272"/>
      <c r="B13" s="291"/>
      <c r="C13" s="832" t="s">
        <v>387</v>
      </c>
      <c r="D13" s="833"/>
      <c r="E13" s="292"/>
      <c r="F13" s="256"/>
      <c r="G13" s="270"/>
      <c r="J13" s="256"/>
      <c r="N13" s="286" t="s">
        <v>450</v>
      </c>
      <c r="O13" s="284"/>
      <c r="P13" s="285">
        <f>'1-1_児童数計算表'!$Q$38</f>
        <v>0</v>
      </c>
      <c r="Q13" s="275"/>
      <c r="R13" s="286" t="s">
        <v>450</v>
      </c>
      <c r="S13" s="287"/>
      <c r="T13" s="285">
        <f>'1-2_児童数計算表_分園'!$Q$38</f>
        <v>0</v>
      </c>
    </row>
    <row r="14" spans="1:21" ht="19.5" customHeight="1">
      <c r="A14" s="272"/>
      <c r="B14" s="291"/>
      <c r="C14" s="294" t="s">
        <v>388</v>
      </c>
      <c r="D14" s="295"/>
      <c r="E14" s="292"/>
      <c r="F14" s="256"/>
      <c r="G14" s="270"/>
      <c r="J14" s="256"/>
      <c r="N14" s="275"/>
      <c r="O14" s="275"/>
      <c r="P14" s="275"/>
      <c r="Q14" s="275"/>
      <c r="R14" s="275"/>
      <c r="S14" s="275"/>
      <c r="T14" s="275"/>
    </row>
    <row r="15" spans="1:21" ht="19.5" customHeight="1">
      <c r="A15" s="272"/>
      <c r="B15" s="291"/>
      <c r="C15" s="819" t="s">
        <v>389</v>
      </c>
      <c r="D15" s="820"/>
      <c r="E15" s="292"/>
      <c r="F15" s="257"/>
      <c r="G15" s="296"/>
      <c r="J15" s="257"/>
    </row>
    <row r="16" spans="1:21" ht="19.5" customHeight="1">
      <c r="A16" s="272"/>
      <c r="B16" s="291"/>
      <c r="C16" s="819" t="s">
        <v>390</v>
      </c>
      <c r="D16" s="820"/>
      <c r="E16" s="297"/>
      <c r="F16" s="258"/>
      <c r="G16" s="270"/>
      <c r="J16" s="258"/>
      <c r="N16" s="275" t="s">
        <v>373</v>
      </c>
      <c r="O16" s="275"/>
      <c r="P16" s="275"/>
      <c r="Q16" s="275"/>
      <c r="R16" s="275"/>
      <c r="S16" s="275"/>
      <c r="T16" s="275"/>
    </row>
    <row r="17" spans="1:20" ht="19.5" customHeight="1" thickBot="1">
      <c r="A17" s="269"/>
      <c r="B17" s="298"/>
      <c r="C17" s="836" t="s">
        <v>355</v>
      </c>
      <c r="D17" s="837"/>
      <c r="E17" s="299"/>
      <c r="F17" s="259"/>
      <c r="G17" s="270"/>
      <c r="J17" s="259"/>
      <c r="N17" s="281" t="s">
        <v>374</v>
      </c>
      <c r="O17" s="281"/>
      <c r="P17" s="280" t="s">
        <v>376</v>
      </c>
      <c r="Q17" s="275"/>
      <c r="R17" s="281" t="s">
        <v>375</v>
      </c>
      <c r="S17" s="281"/>
      <c r="T17" s="280" t="s">
        <v>376</v>
      </c>
    </row>
    <row r="18" spans="1:20" ht="32.25" customHeight="1" thickBot="1">
      <c r="A18" s="269"/>
      <c r="B18" s="300" t="s">
        <v>391</v>
      </c>
      <c r="C18" s="838" t="s">
        <v>392</v>
      </c>
      <c r="D18" s="838"/>
      <c r="E18" s="838"/>
      <c r="F18" s="838"/>
      <c r="G18" s="838"/>
      <c r="H18" s="838"/>
      <c r="I18" s="838"/>
      <c r="J18" s="838"/>
      <c r="K18" s="838"/>
      <c r="L18" s="838"/>
      <c r="N18" s="286" t="s">
        <v>445</v>
      </c>
      <c r="O18" s="284"/>
      <c r="P18" s="285">
        <f>SUM('1-1_児童数計算表'!$Q$48:$Q$49)</f>
        <v>0</v>
      </c>
      <c r="Q18" s="275"/>
      <c r="R18" s="286" t="s">
        <v>445</v>
      </c>
      <c r="S18" s="287"/>
      <c r="T18" s="285">
        <f>SUM('1-2_児童数計算表_分園'!$Q$48:$Q$49)</f>
        <v>0</v>
      </c>
    </row>
    <row r="19" spans="1:20" ht="19.5" customHeight="1" thickBot="1">
      <c r="A19" s="269"/>
      <c r="B19" s="301"/>
      <c r="C19" s="302"/>
      <c r="D19" s="302"/>
      <c r="E19" s="302"/>
      <c r="F19" s="302"/>
      <c r="G19" s="302"/>
      <c r="H19" s="302"/>
      <c r="N19" s="286" t="s">
        <v>448</v>
      </c>
      <c r="O19" s="284"/>
      <c r="P19" s="285">
        <f>'1-1_児童数計算表'!$Q$50</f>
        <v>0</v>
      </c>
      <c r="Q19" s="275"/>
      <c r="R19" s="286" t="s">
        <v>448</v>
      </c>
      <c r="S19" s="287"/>
      <c r="T19" s="285">
        <f>'1-2_児童数計算表_分園'!$Q$50</f>
        <v>0</v>
      </c>
    </row>
    <row r="20" spans="1:20" ht="19.5" customHeight="1" thickBot="1">
      <c r="A20" s="272" t="s">
        <v>393</v>
      </c>
      <c r="N20" s="286"/>
      <c r="O20" s="284" t="s">
        <v>447</v>
      </c>
      <c r="P20" s="285">
        <f>'1-1_児童数計算表'!$Q$51</f>
        <v>0</v>
      </c>
      <c r="Q20" s="275"/>
      <c r="R20" s="286"/>
      <c r="S20" s="287" t="s">
        <v>447</v>
      </c>
      <c r="T20" s="285">
        <f>'1-2_児童数計算表_分園'!$Q$51</f>
        <v>0</v>
      </c>
    </row>
    <row r="21" spans="1:20" ht="19.5" customHeight="1" thickBot="1">
      <c r="A21" s="272"/>
      <c r="E21" s="839" t="s">
        <v>394</v>
      </c>
      <c r="F21" s="840"/>
      <c r="G21" s="840"/>
      <c r="H21" s="841"/>
      <c r="I21" s="842" t="s">
        <v>395</v>
      </c>
      <c r="J21" s="843"/>
      <c r="K21" s="843"/>
      <c r="L21" s="844"/>
      <c r="N21" s="286" t="s">
        <v>446</v>
      </c>
      <c r="O21" s="284"/>
      <c r="P21" s="285">
        <f>SUM('1-1_児童数計算表'!$Q$52:$Q$53)</f>
        <v>0</v>
      </c>
      <c r="Q21" s="275"/>
      <c r="R21" s="286" t="s">
        <v>446</v>
      </c>
      <c r="S21" s="287"/>
      <c r="T21" s="285">
        <f>SUM('1-2_児童数計算表_分園'!$Q$52:$Q$53)</f>
        <v>0</v>
      </c>
    </row>
    <row r="22" spans="1:20" ht="31.5" customHeight="1" thickBot="1">
      <c r="B22" s="303"/>
      <c r="C22" s="304"/>
      <c r="D22" s="304"/>
      <c r="E22" s="305" t="s">
        <v>379</v>
      </c>
      <c r="F22" s="306" t="s">
        <v>380</v>
      </c>
      <c r="G22" s="845" t="s">
        <v>396</v>
      </c>
      <c r="H22" s="846"/>
      <c r="I22" s="307" t="s">
        <v>379</v>
      </c>
      <c r="J22" s="306" t="s">
        <v>380</v>
      </c>
      <c r="K22" s="845" t="s">
        <v>396</v>
      </c>
      <c r="L22" s="846"/>
      <c r="N22" s="286"/>
      <c r="O22" s="284" t="s">
        <v>449</v>
      </c>
      <c r="P22" s="285">
        <f>'1-1_児童数計算表'!$Q$53</f>
        <v>0</v>
      </c>
      <c r="Q22" s="275"/>
      <c r="R22" s="286"/>
      <c r="S22" s="287" t="s">
        <v>449</v>
      </c>
      <c r="T22" s="285">
        <f>'1-2_児童数計算表_分園'!$Q$53</f>
        <v>0</v>
      </c>
    </row>
    <row r="23" spans="1:20" ht="17.25" customHeight="1" thickBot="1">
      <c r="B23" s="308" t="s">
        <v>397</v>
      </c>
      <c r="C23" s="309" t="s">
        <v>398</v>
      </c>
      <c r="D23" s="309"/>
      <c r="E23" s="310"/>
      <c r="F23" s="311"/>
      <c r="G23" s="312"/>
      <c r="H23" s="313"/>
      <c r="I23" s="314"/>
      <c r="J23" s="311"/>
      <c r="K23" s="312"/>
      <c r="L23" s="313"/>
      <c r="N23" s="286" t="s">
        <v>450</v>
      </c>
      <c r="O23" s="284"/>
      <c r="P23" s="285">
        <f>'1-1_児童数計算表'!$Q$54</f>
        <v>0</v>
      </c>
      <c r="Q23" s="275"/>
      <c r="R23" s="286" t="s">
        <v>450</v>
      </c>
      <c r="S23" s="287"/>
      <c r="T23" s="285">
        <f>'1-2_児童数計算表_分園'!$Q$54</f>
        <v>0</v>
      </c>
    </row>
    <row r="24" spans="1:20" ht="17.25" customHeight="1">
      <c r="B24" s="315"/>
      <c r="C24" s="316" t="s">
        <v>399</v>
      </c>
      <c r="D24" s="317"/>
      <c r="E24" s="318"/>
      <c r="F24" s="319">
        <f>F12</f>
        <v>0</v>
      </c>
      <c r="G24" s="320">
        <f>IF($E$25="あり",ROUNDDOWN($F$12*1/25,1),ROUNDDOWN($F$12*1/30,1))</f>
        <v>0</v>
      </c>
      <c r="H24" s="321">
        <f>ROUNDDOWN(G24,1)</f>
        <v>0</v>
      </c>
      <c r="I24" s="316"/>
      <c r="J24" s="319">
        <f>IF(E7="あり",J12,0)</f>
        <v>0</v>
      </c>
      <c r="K24" s="320">
        <f>IF($E$7="あり",IF(I25="あり",ROUNDDOWN($J$12*1/25,1),ROUNDDOWN($J$12*1/30,1)),0)</f>
        <v>0</v>
      </c>
      <c r="L24" s="321">
        <f>ROUNDDOWN(K24,1)</f>
        <v>0</v>
      </c>
    </row>
    <row r="25" spans="1:20" ht="17.25" customHeight="1">
      <c r="B25" s="315"/>
      <c r="C25" s="322" t="s">
        <v>400</v>
      </c>
      <c r="D25" s="292"/>
      <c r="E25" s="323" t="str">
        <f>IF('2_区分12加算額計算表'!$F$34=【リスト】!$C$2,"あり","なし")</f>
        <v>なし</v>
      </c>
      <c r="F25" s="324"/>
      <c r="G25" s="325"/>
      <c r="H25" s="326"/>
      <c r="I25" s="327" t="str">
        <f>E25</f>
        <v>なし</v>
      </c>
      <c r="J25" s="324"/>
      <c r="K25" s="325"/>
      <c r="L25" s="326"/>
    </row>
    <row r="26" spans="1:20" ht="17.25" customHeight="1">
      <c r="B26" s="315"/>
      <c r="C26" s="328" t="s">
        <v>401</v>
      </c>
      <c r="D26" s="292"/>
      <c r="E26" s="329"/>
      <c r="F26" s="330">
        <f>F13</f>
        <v>0</v>
      </c>
      <c r="G26" s="331">
        <f>IF($E$27="あり",IF($E$28="あり",ROUNDDOWN(($F$13-$F$14)*1/15,1)+ROUNDDOWN($F$14*1/6,1),ROUNDDOWN($F$13*1/15,1)),IF($E$28="あり",ROUNDDOWN(($F$13-$F$14)*1/20,1)+ROUNDDOWN($F$14*1/6,1),ROUNDDOWN($F$13*1/20,1)))</f>
        <v>0</v>
      </c>
      <c r="H26" s="326">
        <f>ROUNDDOWN(G26,1)</f>
        <v>0</v>
      </c>
      <c r="I26" s="332"/>
      <c r="J26" s="333">
        <f>IF(E$7="あり",J13,0)</f>
        <v>0</v>
      </c>
      <c r="K26" s="331">
        <f>IF(E7="あり",IF($I$27="あり",IF($I$28="あり",ROUNDDOWN(($J$13-$J$14)*1/15,1)+ROUNDDOWN($J$14*1/6,1),ROUNDDOWN($J$13*1/15,1)),IF($I$28="あり",ROUNDDOWN(($J$13-$J$14)*1/20,1)+ROUNDDOWN($J$14*1/6,1),ROUNDDOWN($J$13*1/20,1))),0)</f>
        <v>0</v>
      </c>
      <c r="L26" s="326">
        <f>ROUNDDOWN(K26,1)</f>
        <v>0</v>
      </c>
    </row>
    <row r="27" spans="1:20" ht="17.25" customHeight="1">
      <c r="B27" s="315"/>
      <c r="C27" s="322" t="s">
        <v>402</v>
      </c>
      <c r="D27" s="292"/>
      <c r="E27" s="323" t="str">
        <f>IF('2_区分12加算額計算表'!$F$33=【リスト】!$C$2,"あり","なし")</f>
        <v>なし</v>
      </c>
      <c r="F27" s="324"/>
      <c r="G27" s="325"/>
      <c r="H27" s="326"/>
      <c r="I27" s="327" t="str">
        <f>E27</f>
        <v>なし</v>
      </c>
      <c r="J27" s="324"/>
      <c r="K27" s="325"/>
      <c r="L27" s="326"/>
    </row>
    <row r="28" spans="1:20" ht="17.25" customHeight="1">
      <c r="B28" s="315"/>
      <c r="C28" s="322" t="s">
        <v>403</v>
      </c>
      <c r="D28" s="292"/>
      <c r="E28" s="323" t="str">
        <f>IF('2_区分12加算額計算表'!$F$36=【リスト】!$C$2,"あり","なし")</f>
        <v>なし</v>
      </c>
      <c r="F28" s="324"/>
      <c r="G28" s="325"/>
      <c r="H28" s="326"/>
      <c r="I28" s="327" t="str">
        <f>E28</f>
        <v>なし</v>
      </c>
      <c r="J28" s="324"/>
      <c r="K28" s="325"/>
      <c r="L28" s="326"/>
    </row>
    <row r="29" spans="1:20" ht="17.25" customHeight="1">
      <c r="B29" s="315"/>
      <c r="C29" s="334" t="s">
        <v>389</v>
      </c>
      <c r="D29" s="335"/>
      <c r="E29" s="336"/>
      <c r="F29" s="333">
        <f>F15</f>
        <v>0</v>
      </c>
      <c r="G29" s="337">
        <f>IF(E30="なし",F29*1/6,(F29-F16)*1/6+F16*1/5)</f>
        <v>0</v>
      </c>
      <c r="H29" s="338">
        <f>ROUNDDOWN(G29,1)</f>
        <v>0</v>
      </c>
      <c r="I29" s="336"/>
      <c r="J29" s="330">
        <f>IF(E$7="あり",J15,0)</f>
        <v>0</v>
      </c>
      <c r="K29" s="339" t="str">
        <f>IF(OR(E7="なし",TRIM(E7)=""),"0.00",IF(I30="なし",J29*1/6,(J29-J16)*1/6+J16*1/5))</f>
        <v>0.00</v>
      </c>
      <c r="L29" s="338">
        <f>ROUNDDOWN(K29,1)</f>
        <v>0</v>
      </c>
    </row>
    <row r="30" spans="1:20" ht="17.25" customHeight="1">
      <c r="B30" s="315"/>
      <c r="C30" s="340" t="s">
        <v>404</v>
      </c>
      <c r="E30" s="341" t="str">
        <f>IF('2_区分12加算額計算表'!$F$35=【リスト】!$C$2,"あり","なし")</f>
        <v>なし</v>
      </c>
      <c r="F30" s="342"/>
      <c r="G30" s="343"/>
      <c r="H30" s="344"/>
      <c r="I30" s="345" t="str">
        <f>E30</f>
        <v>なし</v>
      </c>
      <c r="J30" s="324"/>
      <c r="K30" s="325"/>
      <c r="L30" s="326"/>
    </row>
    <row r="31" spans="1:20" ht="17.25" customHeight="1" thickBot="1">
      <c r="B31" s="315"/>
      <c r="C31" s="346" t="s">
        <v>355</v>
      </c>
      <c r="D31" s="347"/>
      <c r="E31" s="348"/>
      <c r="F31" s="349">
        <f>F17</f>
        <v>0</v>
      </c>
      <c r="G31" s="350">
        <f>F31*1/3</f>
        <v>0</v>
      </c>
      <c r="H31" s="351">
        <f>ROUNDDOWN(G31,1)</f>
        <v>0</v>
      </c>
      <c r="I31" s="348"/>
      <c r="J31" s="352">
        <f>IF(E$7="あり",J17,0)</f>
        <v>0</v>
      </c>
      <c r="K31" s="350">
        <f>J31*1/3</f>
        <v>0</v>
      </c>
      <c r="L31" s="351">
        <f>ROUNDDOWN(K31,1)</f>
        <v>0</v>
      </c>
    </row>
    <row r="32" spans="1:20" ht="17.25" customHeight="1" thickTop="1">
      <c r="B32" s="353"/>
      <c r="C32" s="298" t="s">
        <v>405</v>
      </c>
      <c r="D32" s="354"/>
      <c r="E32" s="355"/>
      <c r="F32" s="356"/>
      <c r="G32" s="357"/>
      <c r="H32" s="358">
        <f>ROUND(SUM(H24:H31),0)</f>
        <v>0</v>
      </c>
      <c r="I32" s="359"/>
      <c r="J32" s="356"/>
      <c r="K32" s="357"/>
      <c r="L32" s="358">
        <f>ROUND(SUM(L24:L31),0)</f>
        <v>0</v>
      </c>
    </row>
    <row r="33" spans="2:12" ht="17.25" customHeight="1">
      <c r="B33" s="360" t="s">
        <v>325</v>
      </c>
      <c r="C33" s="361" t="s">
        <v>406</v>
      </c>
      <c r="D33" s="361"/>
      <c r="E33" s="362"/>
      <c r="F33" s="363"/>
      <c r="G33" s="364"/>
      <c r="H33" s="365">
        <f>IF(F10&lt;=90,1,0.8)</f>
        <v>1</v>
      </c>
      <c r="I33" s="366"/>
      <c r="J33" s="363"/>
      <c r="K33" s="364"/>
      <c r="L33" s="365">
        <f>IF(E7="あり",IF(J10&lt;=90,1,0.8),0)</f>
        <v>0</v>
      </c>
    </row>
    <row r="34" spans="2:12" ht="17.25" customHeight="1">
      <c r="B34" s="360" t="s">
        <v>407</v>
      </c>
      <c r="C34" s="361" t="s">
        <v>408</v>
      </c>
      <c r="D34" s="361"/>
      <c r="E34" s="362"/>
      <c r="F34" s="363"/>
      <c r="G34" s="364"/>
      <c r="H34" s="365">
        <f>IF(F10&lt;=20,1,(IF(F10&lt;=40,1.4,(IF(F10&lt;=150,2,3)))))</f>
        <v>1</v>
      </c>
      <c r="I34" s="366"/>
      <c r="J34" s="363"/>
      <c r="K34" s="364"/>
      <c r="L34" s="365">
        <f>IF(E7="あり",IF(J10&lt;=20,1,(IF(J10&lt;=40,1.4,(IF(J10&lt;=150,2,3))))),0)</f>
        <v>0</v>
      </c>
    </row>
    <row r="35" spans="2:12" ht="17.25" customHeight="1">
      <c r="B35" s="360" t="s">
        <v>409</v>
      </c>
      <c r="C35" s="361" t="s">
        <v>410</v>
      </c>
      <c r="D35" s="361"/>
      <c r="E35" s="367" t="str">
        <f>IF('2_区分12加算額計算表'!$D$27&gt;0,"あり","なし")</f>
        <v>なし</v>
      </c>
      <c r="F35" s="363"/>
      <c r="G35" s="364"/>
      <c r="H35" s="365">
        <f>IF(E35="あり",1.4,0)</f>
        <v>0</v>
      </c>
      <c r="I35" s="368" t="str">
        <f>IF('2_区分12加算額計算表'!$H$27&gt;0,"あり","なし")</f>
        <v>なし</v>
      </c>
      <c r="J35" s="369"/>
      <c r="K35" s="364"/>
      <c r="L35" s="365">
        <f>IF(E7="あり",IF(I35="あり",1.4,0),0)</f>
        <v>0</v>
      </c>
    </row>
    <row r="36" spans="2:12" ht="17.25" customHeight="1">
      <c r="B36" s="360" t="s">
        <v>411</v>
      </c>
      <c r="C36" s="361" t="s">
        <v>412</v>
      </c>
      <c r="D36" s="361"/>
      <c r="E36" s="370" t="str">
        <f>IF('2_区分12加算額計算表'!$F$32=【リスト】!$C$2,"あり","なし")</f>
        <v>なし</v>
      </c>
      <c r="F36" s="371"/>
      <c r="G36" s="364"/>
      <c r="H36" s="365">
        <f>IF(E36="あり",1,0)</f>
        <v>0</v>
      </c>
      <c r="I36" s="834" t="str">
        <f>IF($E$7="あり","本園分で選択","－")</f>
        <v>－</v>
      </c>
      <c r="J36" s="835"/>
      <c r="K36" s="364"/>
      <c r="L36" s="365"/>
    </row>
    <row r="37" spans="2:12" ht="17.25" customHeight="1" thickBot="1">
      <c r="B37" s="360" t="s">
        <v>413</v>
      </c>
      <c r="C37" s="361" t="s">
        <v>414</v>
      </c>
      <c r="D37" s="361"/>
      <c r="E37" s="367" t="str">
        <f>IF('2_区分12加算額計算表'!$F$37=【リスト】!$C$2,"あり","なし")</f>
        <v>なし</v>
      </c>
      <c r="F37" s="372"/>
      <c r="G37" s="364"/>
      <c r="H37" s="365">
        <f>IF(E37="あり",0.8,0)</f>
        <v>0</v>
      </c>
      <c r="I37" s="834" t="str">
        <f>IF($E$7="あり","本園分で選択","－")</f>
        <v>－</v>
      </c>
      <c r="J37" s="835"/>
      <c r="K37" s="364"/>
      <c r="L37" s="365"/>
    </row>
    <row r="38" spans="2:12" ht="17.25" customHeight="1" thickBot="1">
      <c r="B38" s="360" t="s">
        <v>415</v>
      </c>
      <c r="C38" s="361" t="s">
        <v>175</v>
      </c>
      <c r="D38" s="361"/>
      <c r="E38" s="373" t="str">
        <f>IF('2_区分12加算額計算表'!$F$40=【リスト】!$C$2,"あり","なし")</f>
        <v>なし</v>
      </c>
      <c r="F38" s="289">
        <f>'2_区分12加算額計算表'!$I$40</f>
        <v>0</v>
      </c>
      <c r="G38" s="364"/>
      <c r="H38" s="365">
        <f>IF(E38="あり",F38,0)</f>
        <v>0</v>
      </c>
      <c r="I38" s="834" t="str">
        <f t="shared" ref="I38:I48" si="0">IF($E$7="あり","本園分で選択","－")</f>
        <v>－</v>
      </c>
      <c r="J38" s="835"/>
      <c r="K38" s="364"/>
      <c r="L38" s="365"/>
    </row>
    <row r="39" spans="2:12" ht="17.25" customHeight="1">
      <c r="B39" s="360" t="s">
        <v>416</v>
      </c>
      <c r="C39" s="361" t="s">
        <v>417</v>
      </c>
      <c r="D39" s="361"/>
      <c r="E39" s="367" t="str">
        <f>IF('2_区分12加算額計算表'!$F$41=【リスト】!$C$2,"あり","なし")</f>
        <v>なし</v>
      </c>
      <c r="F39" s="374"/>
      <c r="G39" s="364"/>
      <c r="H39" s="365">
        <f>IF(F9=0,0,IF(E39="あり",IF(F9&lt;=150,0.8,1.5),0))</f>
        <v>0</v>
      </c>
      <c r="I39" s="834" t="str">
        <f t="shared" si="0"/>
        <v>－</v>
      </c>
      <c r="J39" s="835"/>
      <c r="K39" s="364"/>
      <c r="L39" s="365"/>
    </row>
    <row r="40" spans="2:12" ht="17.25" customHeight="1">
      <c r="B40" s="375" t="s">
        <v>418</v>
      </c>
      <c r="C40" s="376" t="s">
        <v>419</v>
      </c>
      <c r="D40" s="377"/>
      <c r="E40" s="378" t="str">
        <f>IF('2_区分12加算額計算表'!$F$42=【リスト】!$M$2,"あり","なし")</f>
        <v>なし</v>
      </c>
      <c r="F40" s="379"/>
      <c r="G40" s="380"/>
      <c r="H40" s="381">
        <f>IF(F9=0,0,IF(E40="あり",IF(F9&lt;=150,2,3),0))</f>
        <v>0</v>
      </c>
      <c r="I40" s="847" t="str">
        <f t="shared" si="0"/>
        <v>－</v>
      </c>
      <c r="J40" s="848"/>
      <c r="K40" s="380"/>
      <c r="L40" s="382"/>
    </row>
    <row r="41" spans="2:12" ht="17.25" customHeight="1">
      <c r="B41" s="360" t="s">
        <v>420</v>
      </c>
      <c r="C41" s="361" t="s">
        <v>13</v>
      </c>
      <c r="D41" s="361"/>
      <c r="E41" s="367" t="str">
        <f>IF('2_区分12加算額計算表'!$F$38=【リスト】!$C$2,"あり","なし")</f>
        <v>なし</v>
      </c>
      <c r="F41" s="363"/>
      <c r="G41" s="364"/>
      <c r="H41" s="365">
        <f>IF(E41="あり",0.5,0)</f>
        <v>0</v>
      </c>
      <c r="I41" s="834" t="str">
        <f t="shared" si="0"/>
        <v>－</v>
      </c>
      <c r="J41" s="835"/>
      <c r="K41" s="364"/>
      <c r="L41" s="365"/>
    </row>
    <row r="42" spans="2:12" ht="17.25" customHeight="1">
      <c r="B42" s="360" t="s">
        <v>421</v>
      </c>
      <c r="C42" s="361" t="s">
        <v>422</v>
      </c>
      <c r="D42" s="361"/>
      <c r="E42" s="367" t="str">
        <f>IF('2_区分12加算額計算表'!$F$45=【リスト】!$C$2,"あり","なし")</f>
        <v>なし</v>
      </c>
      <c r="F42" s="363"/>
      <c r="G42" s="364"/>
      <c r="H42" s="365">
        <f>IF(E42="あり",0.8,0)</f>
        <v>0</v>
      </c>
      <c r="I42" s="834" t="str">
        <f t="shared" si="0"/>
        <v>－</v>
      </c>
      <c r="J42" s="835"/>
      <c r="K42" s="364"/>
      <c r="L42" s="365"/>
    </row>
    <row r="43" spans="2:12" ht="17.25" customHeight="1">
      <c r="B43" s="360" t="s">
        <v>423</v>
      </c>
      <c r="C43" s="361" t="s">
        <v>424</v>
      </c>
      <c r="D43" s="361"/>
      <c r="E43" s="367" t="str">
        <f>IF('2_区分12加算額計算表'!$F$46=【リスト】!$C$2,"あり","なし")</f>
        <v>なし</v>
      </c>
      <c r="F43" s="363"/>
      <c r="G43" s="364"/>
      <c r="H43" s="365">
        <f>IF(E43="あり",0.8,0)</f>
        <v>0</v>
      </c>
      <c r="I43" s="834" t="str">
        <f t="shared" si="0"/>
        <v>－</v>
      </c>
      <c r="J43" s="835"/>
      <c r="K43" s="364"/>
      <c r="L43" s="365"/>
    </row>
    <row r="44" spans="2:12" ht="17.25" customHeight="1">
      <c r="B44" s="360" t="s">
        <v>425</v>
      </c>
      <c r="C44" s="361" t="s">
        <v>426</v>
      </c>
      <c r="D44" s="361"/>
      <c r="E44" s="367" t="str">
        <f>IF('2_区分12加算額計算表'!$F$47=【リスト】!$C$2,"あり","なし")</f>
        <v>なし</v>
      </c>
      <c r="F44" s="363"/>
      <c r="G44" s="364"/>
      <c r="H44" s="365">
        <f>IF(E44="あり",0.8,0)</f>
        <v>0</v>
      </c>
      <c r="I44" s="834" t="str">
        <f t="shared" si="0"/>
        <v>－</v>
      </c>
      <c r="J44" s="835"/>
      <c r="K44" s="364"/>
      <c r="L44" s="365"/>
    </row>
    <row r="45" spans="2:12" ht="17.25" customHeight="1">
      <c r="B45" s="360" t="s">
        <v>427</v>
      </c>
      <c r="C45" s="829" t="s">
        <v>15</v>
      </c>
      <c r="D45" s="849"/>
      <c r="E45" s="367" t="str">
        <f>IF('2_区分12加算額計算表'!$F$48=【リスト】!$E$2,"あり","なし")</f>
        <v>なし</v>
      </c>
      <c r="F45" s="371"/>
      <c r="G45" s="364"/>
      <c r="H45" s="365">
        <f>IF(E45="あり",0.6,0)</f>
        <v>0</v>
      </c>
      <c r="I45" s="383"/>
      <c r="J45" s="384"/>
      <c r="K45" s="364"/>
      <c r="L45" s="365"/>
    </row>
    <row r="46" spans="2:12" ht="17.25" customHeight="1" thickBot="1">
      <c r="B46" s="360" t="s">
        <v>428</v>
      </c>
      <c r="C46" s="385" t="s">
        <v>429</v>
      </c>
      <c r="D46" s="361"/>
      <c r="E46" s="367" t="str">
        <f>IF('2_区分12加算額計算表'!$F$31=【リスト】!$C$2,"あり","なし")</f>
        <v>なし</v>
      </c>
      <c r="F46" s="371"/>
      <c r="G46" s="364"/>
      <c r="H46" s="386">
        <f>IF(E46="あり",-1,0)</f>
        <v>0</v>
      </c>
      <c r="I46" s="834" t="str">
        <f t="shared" si="0"/>
        <v>－</v>
      </c>
      <c r="J46" s="835"/>
      <c r="K46" s="364"/>
      <c r="L46" s="386"/>
    </row>
    <row r="47" spans="2:12" ht="44.25" customHeight="1" thickBot="1">
      <c r="B47" s="360" t="s">
        <v>430</v>
      </c>
      <c r="C47" s="850" t="s">
        <v>431</v>
      </c>
      <c r="D47" s="850"/>
      <c r="E47" s="368" t="str">
        <f>IF('2_区分12加算額計算表'!$F$43=【リスト】!$C$2,"該当","非該当")</f>
        <v>非該当</v>
      </c>
      <c r="F47" s="260"/>
      <c r="G47" s="387"/>
      <c r="H47" s="386">
        <f>IF(E47="該当",-F47,0)</f>
        <v>0</v>
      </c>
      <c r="I47" s="834" t="str">
        <f t="shared" si="0"/>
        <v>－</v>
      </c>
      <c r="J47" s="835"/>
      <c r="K47" s="387"/>
      <c r="L47" s="386"/>
    </row>
    <row r="48" spans="2:12" ht="24" customHeight="1" thickBot="1">
      <c r="B48" s="360" t="s">
        <v>432</v>
      </c>
      <c r="C48" s="361" t="s">
        <v>433</v>
      </c>
      <c r="D48" s="361"/>
      <c r="E48" s="261"/>
      <c r="F48" s="260"/>
      <c r="G48" s="387"/>
      <c r="H48" s="386">
        <f>IF(E48="該当",-F48,0)</f>
        <v>0</v>
      </c>
      <c r="I48" s="834" t="str">
        <f t="shared" si="0"/>
        <v>－</v>
      </c>
      <c r="J48" s="835"/>
      <c r="K48" s="387"/>
      <c r="L48" s="386"/>
    </row>
    <row r="49" spans="1:12" ht="24" customHeight="1" thickBot="1">
      <c r="B49" s="388" t="s">
        <v>434</v>
      </c>
      <c r="C49" s="389"/>
      <c r="D49" s="389"/>
      <c r="E49" s="390"/>
      <c r="F49" s="391"/>
      <c r="G49" s="392">
        <f>F9+F10</f>
        <v>0</v>
      </c>
      <c r="H49" s="393">
        <f>IF(G49&lt;=90,1.4,2.2)</f>
        <v>1.4</v>
      </c>
      <c r="I49" s="394"/>
      <c r="J49" s="391"/>
      <c r="K49" s="392">
        <f>IF(E7="あり",J9+J10,0)</f>
        <v>0</v>
      </c>
      <c r="L49" s="393">
        <f>IF(E7="あり",IF(K49&lt;=90,1.4,2.2),0)</f>
        <v>0</v>
      </c>
    </row>
    <row r="50" spans="1:12" ht="24" customHeight="1" thickTop="1" thickBot="1">
      <c r="B50" s="395" t="s">
        <v>356</v>
      </c>
      <c r="E50" s="396"/>
      <c r="F50" s="397"/>
      <c r="G50" s="398"/>
      <c r="H50" s="399">
        <f>SUM(H32:H49)</f>
        <v>3.4</v>
      </c>
      <c r="I50" s="269"/>
      <c r="J50" s="397"/>
      <c r="K50" s="398"/>
      <c r="L50" s="399">
        <f>SUM(L32:L49)</f>
        <v>0</v>
      </c>
    </row>
    <row r="51" spans="1:12" ht="24" customHeight="1" thickBot="1">
      <c r="B51" s="400" t="s">
        <v>435</v>
      </c>
      <c r="C51" s="401"/>
      <c r="D51" s="401"/>
      <c r="E51" s="402"/>
      <c r="F51" s="403"/>
      <c r="G51" s="404"/>
      <c r="H51" s="405">
        <f>ROUND(H50,0)</f>
        <v>3</v>
      </c>
      <c r="I51" s="401"/>
      <c r="J51" s="403"/>
      <c r="K51" s="404"/>
      <c r="L51" s="405">
        <f>ROUND(L50,0)</f>
        <v>0</v>
      </c>
    </row>
    <row r="52" spans="1:12" ht="12" customHeight="1">
      <c r="G52" s="406"/>
    </row>
    <row r="53" spans="1:12" ht="21.75" customHeight="1" thickBot="1">
      <c r="A53" s="407" t="s">
        <v>436</v>
      </c>
      <c r="E53" s="269"/>
      <c r="G53" s="408"/>
      <c r="H53" s="409" t="s">
        <v>437</v>
      </c>
      <c r="I53" s="410" t="s">
        <v>438</v>
      </c>
    </row>
    <row r="54" spans="1:12" ht="21.75" customHeight="1" thickBot="1">
      <c r="B54" s="411" t="s">
        <v>439</v>
      </c>
      <c r="C54" s="412"/>
      <c r="D54" s="412"/>
      <c r="E54" s="401"/>
      <c r="F54" s="413"/>
      <c r="G54" s="414">
        <f>(H51+L51)/3</f>
        <v>1</v>
      </c>
      <c r="H54" s="415">
        <f>IF(ROUND(G54,0)=0,1,ROUND(G54,0))</f>
        <v>1</v>
      </c>
      <c r="I54" s="434"/>
    </row>
    <row r="55" spans="1:12" ht="21.75" customHeight="1" thickBot="1">
      <c r="B55" s="416" t="s">
        <v>440</v>
      </c>
      <c r="C55" s="417"/>
      <c r="D55" s="417"/>
      <c r="E55" s="418"/>
      <c r="F55" s="419"/>
      <c r="G55" s="420">
        <f>(H51+L51)/5</f>
        <v>0.6</v>
      </c>
      <c r="H55" s="421">
        <f>IF(ROUND(G55,0)=0,1,ROUND(G55,0))</f>
        <v>1</v>
      </c>
      <c r="I55" s="434"/>
    </row>
    <row r="56" spans="1:12" ht="21.75" customHeight="1">
      <c r="E56" s="269"/>
      <c r="H56" s="406"/>
      <c r="I56" s="271"/>
    </row>
    <row r="57" spans="1:12" ht="21.75" customHeight="1" thickBot="1">
      <c r="A57" s="272" t="s">
        <v>441</v>
      </c>
      <c r="E57" s="269"/>
    </row>
    <row r="58" spans="1:12" ht="21.75" customHeight="1" thickBot="1">
      <c r="B58" s="422"/>
      <c r="C58" s="423">
        <v>50420</v>
      </c>
      <c r="D58" s="424" t="s">
        <v>442</v>
      </c>
      <c r="E58" s="424"/>
      <c r="F58" s="425"/>
      <c r="G58" s="426"/>
      <c r="H58" s="252" t="str">
        <f>IF(I54="","実人数を入力してください",IF(ISBLANK(I54),C58*H54,IF(H54&lt;I54,C58*H54,C58*I54)))</f>
        <v>実人数を入力してください</v>
      </c>
    </row>
    <row r="59" spans="1:12" ht="21.75" customHeight="1" thickBot="1">
      <c r="B59" s="427"/>
      <c r="C59" s="428">
        <v>6300</v>
      </c>
      <c r="D59" s="428" t="s">
        <v>443</v>
      </c>
      <c r="E59" s="428"/>
      <c r="F59" s="429"/>
      <c r="G59" s="430"/>
      <c r="H59" s="253" t="str">
        <f>IF(I55="","実人数を入力してください",IF(ISBLANK(I55),C59*H55,IF(H55&lt;I55,C59*H55,C59*I55)))</f>
        <v>実人数を入力してください</v>
      </c>
    </row>
    <row r="60" spans="1:12" ht="21.75" customHeight="1" thickTop="1" thickBot="1">
      <c r="B60" s="431"/>
      <c r="C60" s="432" t="s">
        <v>444</v>
      </c>
      <c r="D60" s="433"/>
      <c r="E60" s="433"/>
      <c r="F60" s="433"/>
      <c r="G60" s="433"/>
      <c r="H60" s="254">
        <f>SUM(H58:H59)</f>
        <v>0</v>
      </c>
    </row>
    <row r="61" spans="1:12" ht="33.75" customHeight="1"/>
    <row r="62" spans="1:12" ht="33.75" customHeight="1"/>
    <row r="63" spans="1:12" ht="33.75" customHeight="1"/>
    <row r="64" spans="1:12" ht="33.75" customHeight="1"/>
    <row r="65" ht="33.75" customHeight="1"/>
    <row r="66" ht="33.75" customHeight="1"/>
    <row r="67" ht="33.75" customHeight="1"/>
    <row r="68" ht="33.75" customHeight="1"/>
    <row r="69" ht="33.75" customHeight="1"/>
    <row r="70" ht="33.7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sheetData>
  <sheetProtection algorithmName="SHA-512" hashValue="GwxAyjEQd1QNTx6ZiQJm1aWLb+nFoaN1xLsK7L8z1pw2p10ajCfwUfsYTz3jQYMWe86PgjK04V9Gg/srcYtjPg==" saltValue="xnihph5H+RQBs8U3lvzPsw==" spinCount="100000" sheet="1" objects="1" scenarios="1"/>
  <mergeCells count="32">
    <mergeCell ref="I48:J48"/>
    <mergeCell ref="I42:J42"/>
    <mergeCell ref="I43:J43"/>
    <mergeCell ref="I44:J44"/>
    <mergeCell ref="C45:D45"/>
    <mergeCell ref="I46:J46"/>
    <mergeCell ref="C47:D47"/>
    <mergeCell ref="I47:J47"/>
    <mergeCell ref="I41:J41"/>
    <mergeCell ref="C17:D17"/>
    <mergeCell ref="C18:L18"/>
    <mergeCell ref="E21:H21"/>
    <mergeCell ref="I21:L21"/>
    <mergeCell ref="G22:H22"/>
    <mergeCell ref="K22:L22"/>
    <mergeCell ref="I36:J36"/>
    <mergeCell ref="I37:J37"/>
    <mergeCell ref="I38:J38"/>
    <mergeCell ref="I39:J39"/>
    <mergeCell ref="I40:J40"/>
    <mergeCell ref="C16:D16"/>
    <mergeCell ref="B3:C3"/>
    <mergeCell ref="D3:H3"/>
    <mergeCell ref="B6:D6"/>
    <mergeCell ref="B7:D7"/>
    <mergeCell ref="B8:E8"/>
    <mergeCell ref="C9:E9"/>
    <mergeCell ref="C10:E10"/>
    <mergeCell ref="B11:E11"/>
    <mergeCell ref="C12:D12"/>
    <mergeCell ref="C13:D13"/>
    <mergeCell ref="C15:D15"/>
  </mergeCells>
  <phoneticPr fontId="4"/>
  <dataValidations count="3">
    <dataValidation type="list" allowBlank="1" showInputMessage="1" showErrorMessage="1" sqref="E47:E48" xr:uid="{39F29AF5-DC69-44E5-B9E1-C28494BE9647}">
      <formula1>"　,該当,非該当"</formula1>
    </dataValidation>
    <dataValidation type="list" allowBlank="1" showInputMessage="1" showErrorMessage="1" sqref="E27:E28 E49 I35 E7 I27:I28 I49 E35:E46 E25 I25 E30 I30" xr:uid="{CE585CA6-0BA4-460E-B111-76EB086994F0}">
      <formula1>"　,あり,なし"</formula1>
    </dataValidation>
    <dataValidation type="whole" allowBlank="1" showInputMessage="1" showErrorMessage="1" sqref="F12:F17 J12:J17 I54:I55" xr:uid="{5A055C5B-D2D0-4123-A584-6611C50FD821}">
      <formula1>0</formula1>
      <formula2>1000</formula2>
    </dataValidation>
  </dataValidations>
  <pageMargins left="0.92" right="0.56000000000000005" top="0.75" bottom="0.37" header="0.3" footer="0.3"/>
  <pageSetup paperSize="9" scale="56"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D033-7CA3-44D5-97D5-5167806FD9BD}">
  <sheetPr>
    <pageSetUpPr fitToPage="1"/>
  </sheetPr>
  <dimension ref="A1:E23"/>
  <sheetViews>
    <sheetView showGridLines="0" view="pageBreakPreview" zoomScale="85" zoomScaleNormal="85" zoomScaleSheetLayoutView="85" workbookViewId="0">
      <selection activeCell="D20" sqref="D20"/>
    </sheetView>
  </sheetViews>
  <sheetFormatPr defaultRowHeight="13.5"/>
  <cols>
    <col min="1" max="2" width="3.375" style="442" customWidth="1"/>
    <col min="3" max="3" width="16.875" style="442" bestFit="1" customWidth="1"/>
    <col min="4" max="4" width="21" style="442" customWidth="1"/>
    <col min="5" max="16384" width="9" style="442"/>
  </cols>
  <sheetData>
    <row r="1" spans="1:5">
      <c r="A1" s="442" t="s">
        <v>451</v>
      </c>
    </row>
    <row r="2" spans="1:5">
      <c r="B2" s="448" t="s">
        <v>461</v>
      </c>
    </row>
    <row r="4" spans="1:5" s="443" customFormat="1" ht="24.75" customHeight="1">
      <c r="B4" s="443" t="s">
        <v>453</v>
      </c>
    </row>
    <row r="5" spans="1:5" s="443" customFormat="1" ht="24.75" customHeight="1">
      <c r="C5" s="444" t="s">
        <v>452</v>
      </c>
      <c r="D5" s="445" t="e">
        <f>加算率a</f>
        <v>#N/A</v>
      </c>
    </row>
    <row r="6" spans="1:5" s="443" customFormat="1" ht="24.75" customHeight="1">
      <c r="C6" s="444" t="s">
        <v>454</v>
      </c>
      <c r="D6" s="445" t="e">
        <f>加算率b</f>
        <v>#N/A</v>
      </c>
    </row>
    <row r="8" spans="1:5" s="443" customFormat="1" ht="24.75" customHeight="1">
      <c r="B8" s="443" t="s">
        <v>456</v>
      </c>
    </row>
    <row r="9" spans="1:5" s="443" customFormat="1" ht="24.75" customHeight="1">
      <c r="C9" s="444" t="s">
        <v>455</v>
      </c>
      <c r="D9" s="446" t="e">
        <f>'2_区分12加算額計算表'!$F$60</f>
        <v>#N/A</v>
      </c>
    </row>
    <row r="10" spans="1:5" s="443" customFormat="1" ht="24.75" customHeight="1">
      <c r="C10" s="444" t="s">
        <v>163</v>
      </c>
      <c r="D10" s="446" t="e">
        <f>ROUNDDOWN(D9*実施月数,-3)</f>
        <v>#N/A</v>
      </c>
      <c r="E10" s="451" t="s">
        <v>780</v>
      </c>
    </row>
    <row r="12" spans="1:5" s="443" customFormat="1" ht="24.75" customHeight="1">
      <c r="B12" s="443" t="s">
        <v>457</v>
      </c>
    </row>
    <row r="13" spans="1:5" s="443" customFormat="1" ht="24.75" customHeight="1">
      <c r="C13" s="444" t="s">
        <v>455</v>
      </c>
      <c r="D13" s="446" t="e">
        <f>IF('0_基本情報'!D23='【リスト】 (2)'!C3,0,'2_区分12加算額計算表'!$F$61)</f>
        <v>#N/A</v>
      </c>
    </row>
    <row r="14" spans="1:5" s="443" customFormat="1" ht="24.75" customHeight="1">
      <c r="C14" s="444" t="s">
        <v>163</v>
      </c>
      <c r="D14" s="446" t="e">
        <f>ROUNDDOWN(D13*実施月数,-3)</f>
        <v>#N/A</v>
      </c>
      <c r="E14" s="451" t="s">
        <v>780</v>
      </c>
    </row>
    <row r="16" spans="1:5" s="443" customFormat="1" ht="24.75" customHeight="1">
      <c r="B16" s="443" t="s">
        <v>458</v>
      </c>
    </row>
    <row r="17" spans="1:5" s="443" customFormat="1" ht="24.75" customHeight="1">
      <c r="C17" s="444" t="s">
        <v>459</v>
      </c>
      <c r="D17" s="447" t="str">
        <f>IF('0_基本情報'!D24='【リスト】 (2)'!C3,"",IF('3_区分3計算表'!$I$54="","実人数を入力してください",MIN('3_区分3計算表'!$H$54:$I$54)))</f>
        <v>実人数を入力してください</v>
      </c>
    </row>
    <row r="18" spans="1:5" s="443" customFormat="1" ht="24.75" customHeight="1">
      <c r="C18" s="444" t="s">
        <v>460</v>
      </c>
      <c r="D18" s="447" t="str">
        <f>IF('0_基本情報'!D24='【リスト】 (2)'!C3,"",IF('3_区分3計算表'!$I$55="","実人数を入力してください",MIN('3_区分3計算表'!$H$55:$I$55)))</f>
        <v>実人数を入力してください</v>
      </c>
    </row>
    <row r="19" spans="1:5" s="443" customFormat="1" ht="24.75" customHeight="1">
      <c r="C19" s="444" t="s">
        <v>455</v>
      </c>
      <c r="D19" s="446">
        <f>IF('0_基本情報'!D24='【リスト】 (2)'!C3,0,'3_区分3計算表'!H60)</f>
        <v>0</v>
      </c>
    </row>
    <row r="20" spans="1:5" s="443" customFormat="1" ht="24.75" customHeight="1">
      <c r="C20" s="444" t="s">
        <v>163</v>
      </c>
      <c r="D20" s="446">
        <f>ROUNDDOWN(D19*実施月数,-3)</f>
        <v>0</v>
      </c>
      <c r="E20" s="451" t="s">
        <v>781</v>
      </c>
    </row>
    <row r="22" spans="1:5">
      <c r="A22" s="448" t="str">
        <f>IF('1-1_児童数計算表'!$M$3="","・施設・事業所名がブランクになっています。（児童数計算表）","")</f>
        <v/>
      </c>
    </row>
    <row r="23" spans="1:5">
      <c r="A23" s="448" t="str">
        <f>IF(OR('3_区分3計算表'!$I$54="",'3_区分3計算表'!$I$55=""),"・区分3計算表の加算算定対象人数の実人数にブランクがあります。","")</f>
        <v>・区分3計算表の加算算定対象人数の実人数にブランクがあります。</v>
      </c>
    </row>
  </sheetData>
  <sheetProtection algorithmName="SHA-512" hashValue="Yk+WU1Aczztsc2VJ2jGxgxDCU3Jk+itYHp3D8EQbGP7293BAYnCzpAs8uwyk9F8Jr8fy0cJSR8cAFjIsCJSiwQ==" saltValue="VLJT9eXK6Bxgh3OSZSm4sw==" spinCount="100000" sheet="1" objects="1" scenarios="1"/>
  <phoneticPr fontId="4"/>
  <pageMargins left="0.7" right="0.7" top="0.75" bottom="0.75" header="0.3" footer="0.3"/>
  <pageSetup paperSize="9" scale="81"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B5C50-8ACC-4CBA-BCBE-85DBA9C2B1A8}">
  <sheetPr>
    <pageSetUpPr fitToPage="1"/>
  </sheetPr>
  <dimension ref="B1:AQ54"/>
  <sheetViews>
    <sheetView showGridLines="0" view="pageBreakPreview" zoomScale="85" zoomScaleNormal="100" zoomScaleSheetLayoutView="85" workbookViewId="0">
      <selection activeCell="U9" sqref="U9:AG9"/>
    </sheetView>
  </sheetViews>
  <sheetFormatPr defaultColWidth="9" defaultRowHeight="18" customHeight="1"/>
  <cols>
    <col min="1" max="1" width="2" style="580" customWidth="1"/>
    <col min="2" max="2" width="2.5" style="580" customWidth="1"/>
    <col min="3" max="7" width="3" style="580" customWidth="1"/>
    <col min="8" max="21" width="3.625" style="580" customWidth="1"/>
    <col min="22" max="25" width="3" style="580" customWidth="1"/>
    <col min="26" max="26" width="3" style="581" customWidth="1"/>
    <col min="27" max="30" width="3" style="580" customWidth="1"/>
    <col min="31" max="33" width="3.375" style="580" customWidth="1"/>
    <col min="34" max="34" width="3.875" style="580" customWidth="1"/>
    <col min="35" max="52" width="3.375" style="580" customWidth="1"/>
    <col min="53" max="16384" width="9" style="580"/>
  </cols>
  <sheetData>
    <row r="1" spans="2:43" ht="18" customHeight="1">
      <c r="B1" s="579" t="s">
        <v>529</v>
      </c>
      <c r="AQ1" s="582" t="s">
        <v>528</v>
      </c>
    </row>
    <row r="2" spans="2:43" ht="18" customHeight="1">
      <c r="B2" s="864" t="str">
        <f>$AQ$1&amp;AQ2&amp;"年度加算率等認定申請書（処遇改善等加算）"</f>
        <v>令和８年度加算率等認定申請書（処遇改善等加算）</v>
      </c>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Q2" s="583" t="s">
        <v>869</v>
      </c>
    </row>
    <row r="3" spans="2:43" ht="9.75" customHeight="1">
      <c r="C3" s="584"/>
      <c r="D3" s="584"/>
      <c r="E3" s="584"/>
      <c r="F3" s="584"/>
      <c r="G3" s="584"/>
      <c r="H3" s="584"/>
      <c r="I3" s="584"/>
      <c r="J3" s="584"/>
      <c r="K3" s="584"/>
      <c r="L3" s="584"/>
      <c r="M3" s="584"/>
      <c r="N3" s="584"/>
      <c r="O3" s="584"/>
      <c r="P3" s="584"/>
      <c r="Q3" s="584"/>
      <c r="R3" s="584"/>
      <c r="S3" s="584"/>
      <c r="T3" s="584"/>
      <c r="U3" s="584"/>
      <c r="V3" s="584"/>
      <c r="W3" s="584"/>
      <c r="X3" s="584"/>
      <c r="Y3" s="584"/>
      <c r="Z3" s="585"/>
      <c r="AA3" s="584"/>
      <c r="AB3" s="584"/>
      <c r="AC3" s="584"/>
      <c r="AD3" s="584"/>
      <c r="AE3" s="584"/>
      <c r="AF3" s="584"/>
      <c r="AG3" s="584"/>
    </row>
    <row r="4" spans="2:43" ht="18" customHeight="1">
      <c r="F4" s="586"/>
      <c r="G4" s="586"/>
      <c r="N4" s="586"/>
      <c r="O4" s="586"/>
    </row>
    <row r="5" spans="2:43" ht="17.25" customHeight="1">
      <c r="F5" s="865" t="s">
        <v>527</v>
      </c>
      <c r="G5" s="865"/>
      <c r="H5" s="865"/>
      <c r="I5" s="865"/>
      <c r="J5" s="865"/>
      <c r="K5" s="865"/>
      <c r="L5" s="865"/>
      <c r="M5" s="586"/>
      <c r="N5" s="586"/>
      <c r="O5" s="586"/>
    </row>
    <row r="6" spans="2:43" ht="17.25" customHeight="1" thickBot="1">
      <c r="F6" s="586"/>
      <c r="G6" s="586"/>
      <c r="H6" s="586"/>
      <c r="I6" s="586"/>
      <c r="J6" s="586"/>
      <c r="K6" s="586"/>
      <c r="L6" s="586"/>
      <c r="M6" s="586"/>
      <c r="N6" s="586"/>
      <c r="O6" s="586"/>
      <c r="U6" s="587"/>
      <c r="V6" s="587"/>
      <c r="W6" s="587"/>
      <c r="X6" s="587"/>
      <c r="Y6" s="587"/>
      <c r="Z6" s="587"/>
      <c r="AA6" s="587"/>
      <c r="AB6" s="587"/>
      <c r="AC6" s="587"/>
      <c r="AD6" s="587"/>
      <c r="AE6" s="587"/>
      <c r="AF6" s="587"/>
      <c r="AG6" s="587"/>
    </row>
    <row r="7" spans="2:43" ht="17.25" customHeight="1">
      <c r="F7" s="586"/>
      <c r="G7" s="586"/>
      <c r="N7" s="586"/>
      <c r="O7" s="866" t="s">
        <v>526</v>
      </c>
      <c r="P7" s="866"/>
      <c r="Q7" s="866"/>
      <c r="R7" s="866"/>
      <c r="S7" s="866"/>
      <c r="T7" s="866"/>
      <c r="U7" s="867" t="s">
        <v>525</v>
      </c>
      <c r="V7" s="867"/>
      <c r="W7" s="867"/>
      <c r="X7" s="867"/>
      <c r="Y7" s="867"/>
      <c r="Z7" s="867"/>
      <c r="AA7" s="867"/>
      <c r="AB7" s="867"/>
      <c r="AC7" s="867"/>
      <c r="AD7" s="867"/>
      <c r="AE7" s="867"/>
      <c r="AF7" s="867"/>
      <c r="AG7" s="868"/>
    </row>
    <row r="8" spans="2:43" ht="17.25" customHeight="1">
      <c r="N8" s="586"/>
      <c r="O8" s="853" t="s">
        <v>524</v>
      </c>
      <c r="P8" s="853"/>
      <c r="Q8" s="853"/>
      <c r="R8" s="853"/>
      <c r="S8" s="853"/>
      <c r="T8" s="853"/>
      <c r="U8" s="854">
        <f>'0_基本情報'!$D$4</f>
        <v>0</v>
      </c>
      <c r="V8" s="854"/>
      <c r="W8" s="854"/>
      <c r="X8" s="854"/>
      <c r="Y8" s="854"/>
      <c r="Z8" s="854"/>
      <c r="AA8" s="854"/>
      <c r="AB8" s="854"/>
      <c r="AC8" s="854"/>
      <c r="AD8" s="854"/>
      <c r="AE8" s="854"/>
      <c r="AF8" s="854"/>
      <c r="AG8" s="855"/>
    </row>
    <row r="9" spans="2:43" ht="17.25" customHeight="1">
      <c r="N9" s="586"/>
      <c r="O9" s="853" t="s">
        <v>523</v>
      </c>
      <c r="P9" s="853"/>
      <c r="Q9" s="853"/>
      <c r="R9" s="853"/>
      <c r="S9" s="853"/>
      <c r="T9" s="853"/>
      <c r="U9" s="854">
        <f>'0_基本情報'!$D$5</f>
        <v>0</v>
      </c>
      <c r="V9" s="854"/>
      <c r="W9" s="854"/>
      <c r="X9" s="854"/>
      <c r="Y9" s="854"/>
      <c r="Z9" s="854"/>
      <c r="AA9" s="854"/>
      <c r="AB9" s="854"/>
      <c r="AC9" s="854"/>
      <c r="AD9" s="854"/>
      <c r="AE9" s="854"/>
      <c r="AF9" s="854"/>
      <c r="AG9" s="855"/>
    </row>
    <row r="10" spans="2:43" ht="17.25" customHeight="1" thickBot="1">
      <c r="N10" s="586"/>
      <c r="O10" s="856" t="s">
        <v>522</v>
      </c>
      <c r="P10" s="856"/>
      <c r="Q10" s="856"/>
      <c r="R10" s="856"/>
      <c r="S10" s="856"/>
      <c r="T10" s="856"/>
      <c r="U10" s="869">
        <f>'0_基本情報'!$D$3</f>
        <v>0</v>
      </c>
      <c r="V10" s="869"/>
      <c r="W10" s="869"/>
      <c r="X10" s="869"/>
      <c r="Y10" s="869"/>
      <c r="Z10" s="869"/>
      <c r="AA10" s="869"/>
      <c r="AB10" s="869"/>
      <c r="AC10" s="869"/>
      <c r="AD10" s="869"/>
      <c r="AE10" s="869"/>
      <c r="AF10" s="869"/>
      <c r="AG10" s="870"/>
    </row>
    <row r="11" spans="2:43" ht="17.25" customHeight="1">
      <c r="Q11" s="588"/>
      <c r="R11" s="588"/>
      <c r="S11" s="588"/>
      <c r="T11" s="588"/>
      <c r="U11" s="589"/>
      <c r="V11" s="588"/>
      <c r="W11" s="588"/>
      <c r="X11" s="588"/>
      <c r="Y11" s="588"/>
    </row>
    <row r="12" spans="2:43" ht="9.75" customHeight="1">
      <c r="Q12" s="588"/>
      <c r="R12" s="588"/>
      <c r="S12" s="588"/>
      <c r="T12" s="588"/>
      <c r="U12" s="588"/>
      <c r="V12" s="588"/>
      <c r="W12" s="588"/>
      <c r="X12" s="588"/>
      <c r="Y12" s="588"/>
    </row>
    <row r="13" spans="2:43" ht="9.75" customHeight="1">
      <c r="Q13" s="588"/>
      <c r="R13" s="588"/>
      <c r="S13" s="588"/>
      <c r="T13" s="588"/>
      <c r="U13" s="588"/>
      <c r="V13" s="588"/>
      <c r="W13" s="588"/>
      <c r="X13" s="588"/>
      <c r="Y13" s="588"/>
    </row>
    <row r="14" spans="2:43" ht="18.75" customHeight="1" thickBot="1">
      <c r="B14" s="590" t="s">
        <v>521</v>
      </c>
      <c r="D14" s="591"/>
      <c r="E14" s="591"/>
      <c r="F14" s="591"/>
      <c r="G14" s="591"/>
      <c r="H14" s="591"/>
      <c r="I14" s="591"/>
      <c r="J14" s="591"/>
      <c r="K14" s="591"/>
      <c r="L14" s="591"/>
      <c r="M14" s="591"/>
      <c r="N14" s="591"/>
      <c r="O14" s="591"/>
      <c r="P14" s="591"/>
      <c r="Q14" s="591"/>
      <c r="R14" s="591"/>
      <c r="S14" s="591"/>
      <c r="T14" s="591"/>
      <c r="U14" s="591"/>
      <c r="V14" s="591"/>
      <c r="W14" s="591"/>
      <c r="X14" s="591"/>
      <c r="Y14" s="591"/>
      <c r="Z14" s="592"/>
      <c r="AA14" s="591"/>
      <c r="AB14" s="591"/>
      <c r="AC14" s="591"/>
      <c r="AD14" s="591"/>
      <c r="AE14" s="591"/>
      <c r="AF14" s="591"/>
      <c r="AG14" s="591"/>
      <c r="AH14" s="591"/>
      <c r="AI14" s="591"/>
      <c r="AJ14" s="591"/>
      <c r="AK14" s="591"/>
      <c r="AL14" s="591"/>
      <c r="AM14" s="591"/>
      <c r="AN14" s="591"/>
    </row>
    <row r="15" spans="2:43" ht="10.5" customHeight="1" thickBot="1">
      <c r="B15" s="591"/>
      <c r="C15" s="857" t="s">
        <v>520</v>
      </c>
      <c r="D15" s="857"/>
      <c r="E15" s="857"/>
      <c r="F15" s="857"/>
      <c r="G15" s="857"/>
      <c r="H15" s="857"/>
      <c r="I15" s="857"/>
      <c r="J15" s="857"/>
      <c r="K15" s="857"/>
      <c r="L15" s="858"/>
      <c r="AA15" s="591"/>
    </row>
    <row r="16" spans="2:43" ht="34.5" customHeight="1">
      <c r="B16" s="591"/>
      <c r="C16" s="857"/>
      <c r="D16" s="857"/>
      <c r="E16" s="857"/>
      <c r="F16" s="857"/>
      <c r="G16" s="857"/>
      <c r="H16" s="857"/>
      <c r="I16" s="857"/>
      <c r="J16" s="857"/>
      <c r="K16" s="857"/>
      <c r="L16" s="858"/>
      <c r="AA16" s="591"/>
    </row>
    <row r="17" spans="2:34" ht="18.75" customHeight="1" thickBot="1">
      <c r="B17" s="591"/>
      <c r="C17" s="851" t="str">
        <f>IF('0_基本情報'!$D$22='【リスト】 (2)'!$C$2,"適","否")</f>
        <v>否</v>
      </c>
      <c r="D17" s="851"/>
      <c r="E17" s="851"/>
      <c r="F17" s="852">
        <f>IF(C17="適",加算率a,0)</f>
        <v>0</v>
      </c>
      <c r="G17" s="852"/>
      <c r="H17" s="852"/>
      <c r="I17" s="852"/>
      <c r="J17" s="852"/>
      <c r="K17" s="852"/>
      <c r="L17" s="593" t="s">
        <v>514</v>
      </c>
      <c r="AA17" s="591"/>
    </row>
    <row r="18" spans="2:34" ht="14.25">
      <c r="B18" s="591"/>
      <c r="C18" s="594" t="s">
        <v>513</v>
      </c>
      <c r="D18" s="595" t="s">
        <v>519</v>
      </c>
      <c r="E18" s="596"/>
      <c r="F18" s="596"/>
      <c r="G18" s="596"/>
      <c r="H18" s="596"/>
      <c r="I18" s="596"/>
      <c r="J18" s="596"/>
      <c r="K18" s="596"/>
      <c r="L18" s="596"/>
      <c r="M18" s="596"/>
      <c r="N18" s="596"/>
      <c r="O18" s="596"/>
      <c r="P18" s="596"/>
      <c r="Q18" s="596"/>
      <c r="R18" s="596"/>
      <c r="S18" s="596"/>
      <c r="T18" s="596"/>
      <c r="U18" s="596"/>
      <c r="V18" s="596"/>
      <c r="W18" s="596"/>
      <c r="X18" s="596"/>
      <c r="Y18" s="596"/>
      <c r="Z18" s="597"/>
      <c r="AA18" s="596"/>
      <c r="AB18" s="596"/>
      <c r="AC18" s="596"/>
      <c r="AD18" s="596"/>
      <c r="AE18" s="596"/>
      <c r="AF18" s="596"/>
      <c r="AG18" s="596"/>
      <c r="AH18" s="591"/>
    </row>
    <row r="19" spans="2:34" ht="14.25">
      <c r="B19" s="591"/>
      <c r="C19" s="594"/>
      <c r="D19" s="595"/>
      <c r="G19" s="596"/>
      <c r="H19" s="596"/>
      <c r="I19" s="596"/>
      <c r="J19" s="596"/>
      <c r="K19" s="596"/>
      <c r="L19" s="596"/>
      <c r="M19" s="596"/>
      <c r="N19" s="596"/>
      <c r="O19" s="596"/>
      <c r="P19" s="596"/>
      <c r="Q19" s="596"/>
      <c r="R19" s="596"/>
      <c r="S19" s="596"/>
      <c r="T19" s="596"/>
      <c r="U19" s="596"/>
      <c r="V19" s="596"/>
      <c r="W19" s="596"/>
      <c r="X19" s="596"/>
      <c r="Y19" s="596"/>
      <c r="Z19" s="597"/>
      <c r="AA19" s="596"/>
      <c r="AB19" s="596"/>
      <c r="AC19" s="596"/>
      <c r="AD19" s="596"/>
      <c r="AE19" s="596"/>
      <c r="AF19" s="596"/>
      <c r="AG19" s="596"/>
      <c r="AH19" s="591"/>
    </row>
    <row r="20" spans="2:34" ht="18.75" customHeight="1">
      <c r="B20" s="590" t="s">
        <v>518</v>
      </c>
      <c r="C20" s="598"/>
      <c r="D20" s="598"/>
      <c r="E20" s="598"/>
      <c r="F20" s="598"/>
      <c r="G20" s="598"/>
      <c r="H20" s="598"/>
      <c r="I20" s="598"/>
      <c r="J20" s="598"/>
      <c r="K20" s="599"/>
      <c r="L20" s="599"/>
      <c r="M20" s="599"/>
      <c r="N20" s="598"/>
      <c r="O20" s="598"/>
      <c r="P20" s="598"/>
      <c r="Q20" s="598"/>
      <c r="R20" s="598"/>
      <c r="S20" s="598"/>
      <c r="T20" s="598"/>
      <c r="U20" s="599"/>
    </row>
    <row r="21" spans="2:34" ht="33.75" customHeight="1">
      <c r="C21" s="596" t="s">
        <v>517</v>
      </c>
      <c r="D21" s="596"/>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row>
    <row r="22" spans="2:34" ht="1.5" customHeight="1">
      <c r="C22" s="600"/>
      <c r="D22" s="596"/>
      <c r="E22" s="596"/>
      <c r="F22" s="596"/>
      <c r="G22" s="596"/>
      <c r="H22" s="596"/>
      <c r="I22" s="596"/>
      <c r="J22" s="596"/>
      <c r="K22" s="600"/>
      <c r="L22" s="600"/>
      <c r="M22" s="600"/>
      <c r="N22" s="600"/>
      <c r="O22" s="600"/>
      <c r="P22" s="600"/>
      <c r="Q22" s="600"/>
      <c r="R22" s="600"/>
      <c r="S22" s="600"/>
      <c r="T22" s="600"/>
      <c r="U22" s="600"/>
      <c r="V22" s="600"/>
      <c r="W22" s="600"/>
      <c r="X22" s="600"/>
      <c r="Y22" s="600"/>
      <c r="Z22" s="600"/>
      <c r="AA22" s="600"/>
      <c r="AB22" s="600"/>
      <c r="AC22" s="600"/>
      <c r="AD22" s="600"/>
      <c r="AE22" s="600"/>
      <c r="AF22" s="600"/>
      <c r="AG22" s="600"/>
    </row>
    <row r="23" spans="2:34" ht="1.5" customHeight="1">
      <c r="C23" s="600"/>
      <c r="D23" s="596"/>
      <c r="E23" s="596"/>
      <c r="F23" s="596"/>
      <c r="G23" s="596"/>
      <c r="H23" s="596"/>
      <c r="I23" s="596"/>
      <c r="J23" s="596"/>
      <c r="K23" s="599"/>
      <c r="L23" s="600"/>
      <c r="M23" s="600"/>
      <c r="N23" s="600"/>
      <c r="O23" s="600"/>
      <c r="P23" s="600"/>
      <c r="Q23" s="599"/>
      <c r="R23" s="600"/>
      <c r="S23" s="600"/>
      <c r="T23" s="600"/>
      <c r="U23" s="600"/>
      <c r="V23" s="600"/>
      <c r="W23" s="600"/>
      <c r="X23" s="600"/>
      <c r="Y23" s="600"/>
      <c r="Z23" s="600"/>
      <c r="AA23" s="600"/>
      <c r="AB23" s="600"/>
      <c r="AC23" s="600"/>
      <c r="AD23" s="600"/>
      <c r="AE23" s="600"/>
      <c r="AF23" s="600"/>
      <c r="AG23" s="600"/>
    </row>
    <row r="24" spans="2:34" ht="1.5" customHeight="1">
      <c r="C24" s="600"/>
      <c r="D24" s="601"/>
      <c r="E24" s="601"/>
      <c r="F24" s="596"/>
      <c r="G24" s="596"/>
      <c r="H24" s="596"/>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596"/>
      <c r="AG24" s="596"/>
    </row>
    <row r="25" spans="2:34" ht="1.5" customHeight="1">
      <c r="C25" s="600"/>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row>
    <row r="26" spans="2:34" ht="1.5" customHeight="1">
      <c r="C26" s="600"/>
      <c r="D26" s="602"/>
      <c r="E26" s="602"/>
      <c r="F26" s="602"/>
      <c r="G26" s="602"/>
      <c r="H26" s="602"/>
      <c r="I26" s="602"/>
      <c r="J26" s="602"/>
      <c r="K26" s="602"/>
      <c r="L26" s="602"/>
      <c r="M26" s="602"/>
      <c r="N26" s="602"/>
      <c r="O26" s="602"/>
      <c r="P26" s="602"/>
      <c r="Q26" s="602"/>
      <c r="R26" s="602"/>
      <c r="S26" s="602"/>
      <c r="T26" s="602"/>
      <c r="U26" s="602"/>
      <c r="V26" s="602"/>
      <c r="W26" s="602"/>
      <c r="X26" s="602"/>
      <c r="Y26" s="602"/>
      <c r="Z26" s="602"/>
      <c r="AA26" s="602"/>
      <c r="AB26" s="602"/>
      <c r="AC26" s="602"/>
      <c r="AD26" s="602"/>
      <c r="AE26" s="602"/>
      <c r="AF26" s="602"/>
      <c r="AG26" s="602"/>
    </row>
    <row r="27" spans="2:34" ht="1.5" customHeight="1">
      <c r="C27" s="600"/>
      <c r="D27" s="602"/>
      <c r="E27" s="602"/>
      <c r="F27" s="602"/>
      <c r="G27" s="602"/>
      <c r="H27" s="602"/>
      <c r="I27" s="602"/>
      <c r="J27" s="602"/>
      <c r="K27" s="602"/>
      <c r="L27" s="602"/>
      <c r="M27" s="602"/>
      <c r="N27" s="602"/>
      <c r="O27" s="602"/>
      <c r="P27" s="602"/>
      <c r="Q27" s="602"/>
      <c r="R27" s="602"/>
      <c r="S27" s="602"/>
      <c r="T27" s="602"/>
      <c r="U27" s="602"/>
      <c r="V27" s="602"/>
      <c r="W27" s="602"/>
      <c r="X27" s="602"/>
      <c r="Y27" s="602"/>
      <c r="Z27" s="602"/>
      <c r="AA27" s="602"/>
      <c r="AB27" s="602"/>
      <c r="AC27" s="602"/>
      <c r="AD27" s="602"/>
      <c r="AE27" s="602"/>
      <c r="AF27" s="602"/>
      <c r="AG27" s="602"/>
    </row>
    <row r="28" spans="2:34" ht="1.5" customHeight="1">
      <c r="C28" s="600"/>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2"/>
      <c r="AE28" s="602"/>
      <c r="AF28" s="602"/>
      <c r="AG28" s="602"/>
    </row>
    <row r="29" spans="2:34" ht="1.5" customHeight="1">
      <c r="C29" s="600"/>
      <c r="D29" s="602"/>
      <c r="E29" s="602"/>
      <c r="F29" s="602"/>
      <c r="G29" s="602"/>
      <c r="H29" s="602"/>
      <c r="I29" s="602"/>
      <c r="J29" s="602"/>
      <c r="K29" s="602"/>
      <c r="L29" s="602"/>
      <c r="M29" s="602"/>
      <c r="N29" s="602"/>
      <c r="O29" s="602"/>
      <c r="P29" s="602"/>
      <c r="Q29" s="602"/>
      <c r="R29" s="602"/>
      <c r="S29" s="602"/>
      <c r="T29" s="602"/>
      <c r="U29" s="602"/>
      <c r="V29" s="602"/>
      <c r="W29" s="602"/>
      <c r="X29" s="602"/>
      <c r="Y29" s="602"/>
      <c r="Z29" s="602"/>
      <c r="AA29" s="602"/>
      <c r="AB29" s="602"/>
      <c r="AC29" s="602"/>
      <c r="AD29" s="602"/>
      <c r="AE29" s="602"/>
      <c r="AF29" s="602"/>
      <c r="AG29" s="602"/>
    </row>
    <row r="30" spans="2:34" ht="1.5" customHeight="1">
      <c r="C30" s="600"/>
      <c r="D30" s="602"/>
      <c r="E30" s="602"/>
      <c r="F30" s="602"/>
      <c r="G30" s="602"/>
      <c r="H30" s="602"/>
      <c r="I30" s="602"/>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2"/>
      <c r="AG30" s="602"/>
    </row>
    <row r="31" spans="2:34" ht="1.5" customHeight="1">
      <c r="C31" s="600"/>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2"/>
      <c r="AG31" s="602"/>
    </row>
    <row r="32" spans="2:34" ht="1.5" customHeight="1">
      <c r="C32" s="600"/>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c r="AG32" s="602"/>
    </row>
    <row r="33" spans="2:33" ht="1.5" customHeight="1">
      <c r="C33" s="600"/>
      <c r="D33" s="602"/>
      <c r="E33" s="602"/>
      <c r="F33" s="602"/>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row>
    <row r="34" spans="2:33" ht="1.5" customHeight="1">
      <c r="C34" s="600"/>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row>
    <row r="35" spans="2:33" ht="1.5" customHeight="1">
      <c r="C35" s="600"/>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row>
    <row r="36" spans="2:33" ht="1.5" customHeight="1">
      <c r="C36" s="600"/>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c r="AG36" s="602"/>
    </row>
    <row r="37" spans="2:33" ht="1.5" customHeight="1">
      <c r="C37" s="600"/>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row>
    <row r="38" spans="2:33" ht="1.5" customHeight="1">
      <c r="C38" s="600"/>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row>
    <row r="39" spans="2:33" ht="1.5" customHeight="1">
      <c r="C39" s="600"/>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row>
    <row r="40" spans="2:33" ht="1.5" customHeight="1">
      <c r="C40" s="600"/>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2"/>
      <c r="AG40" s="602"/>
    </row>
    <row r="41" spans="2:33" ht="1.5" customHeight="1">
      <c r="C41" s="600"/>
      <c r="D41" s="600"/>
      <c r="E41" s="600"/>
      <c r="F41" s="600"/>
      <c r="G41" s="600"/>
      <c r="H41" s="596"/>
      <c r="I41" s="596"/>
      <c r="J41" s="596"/>
      <c r="K41" s="600"/>
      <c r="L41" s="600"/>
      <c r="M41" s="600"/>
      <c r="N41" s="600"/>
      <c r="O41" s="600"/>
      <c r="P41" s="600"/>
      <c r="Q41" s="600"/>
      <c r="R41" s="600"/>
      <c r="S41" s="600"/>
      <c r="T41" s="600"/>
      <c r="U41" s="600"/>
      <c r="V41" s="600"/>
      <c r="W41" s="596"/>
      <c r="X41" s="596"/>
      <c r="Y41" s="596"/>
      <c r="Z41" s="596"/>
    </row>
    <row r="42" spans="2:33" ht="1.5" customHeight="1">
      <c r="C42" s="600"/>
      <c r="D42" s="600"/>
      <c r="E42" s="600"/>
      <c r="F42" s="600"/>
      <c r="G42" s="600"/>
      <c r="H42" s="596"/>
      <c r="I42" s="596"/>
      <c r="J42" s="596"/>
      <c r="K42" s="600"/>
      <c r="L42" s="600"/>
      <c r="M42" s="600"/>
      <c r="N42" s="600"/>
      <c r="O42" s="600"/>
      <c r="P42" s="600"/>
      <c r="Q42" s="600"/>
      <c r="R42" s="600"/>
      <c r="S42" s="600"/>
      <c r="T42" s="600"/>
      <c r="U42" s="600"/>
      <c r="V42" s="600"/>
      <c r="W42" s="596"/>
      <c r="X42" s="596"/>
      <c r="Y42" s="596"/>
      <c r="Z42" s="596"/>
    </row>
    <row r="43" spans="2:33" ht="1.5" customHeight="1">
      <c r="C43" s="603"/>
      <c r="D43" s="603"/>
      <c r="E43" s="603"/>
      <c r="F43" s="603"/>
      <c r="G43" s="603"/>
      <c r="H43" s="603"/>
      <c r="I43" s="603"/>
      <c r="J43" s="603"/>
      <c r="K43" s="603"/>
      <c r="L43" s="603"/>
      <c r="M43" s="603"/>
      <c r="N43" s="603"/>
      <c r="O43" s="603"/>
      <c r="P43" s="600"/>
      <c r="Q43" s="600"/>
      <c r="R43" s="600"/>
      <c r="S43" s="600"/>
      <c r="T43" s="600"/>
      <c r="U43" s="601"/>
      <c r="V43" s="601"/>
      <c r="W43" s="601"/>
      <c r="X43" s="601"/>
      <c r="Y43" s="601"/>
      <c r="Z43" s="597"/>
      <c r="AA43" s="601"/>
      <c r="AB43" s="601"/>
      <c r="AC43" s="601"/>
      <c r="AD43" s="596"/>
      <c r="AE43" s="596"/>
      <c r="AF43" s="596"/>
      <c r="AG43" s="596"/>
    </row>
    <row r="44" spans="2:33" ht="1.5" customHeight="1">
      <c r="C44" s="604"/>
      <c r="D44" s="605"/>
      <c r="E44" s="605"/>
      <c r="F44" s="606"/>
      <c r="G44" s="606"/>
      <c r="H44" s="606"/>
      <c r="I44" s="606"/>
      <c r="J44" s="606"/>
      <c r="K44" s="606"/>
      <c r="L44" s="606"/>
      <c r="M44" s="606"/>
      <c r="N44" s="606"/>
      <c r="O44" s="606"/>
      <c r="P44" s="606"/>
      <c r="Q44" s="606"/>
      <c r="R44" s="606"/>
      <c r="S44" s="606"/>
      <c r="T44" s="606"/>
      <c r="U44" s="606"/>
      <c r="V44" s="606"/>
      <c r="W44" s="606"/>
      <c r="X44" s="606"/>
      <c r="Y44" s="606"/>
      <c r="Z44" s="604"/>
      <c r="AA44" s="606"/>
      <c r="AB44" s="606"/>
      <c r="AC44" s="606"/>
      <c r="AD44" s="606"/>
      <c r="AE44" s="606"/>
      <c r="AF44" s="606"/>
      <c r="AG44" s="606"/>
    </row>
    <row r="45" spans="2:33" ht="1.5" customHeight="1">
      <c r="C45" s="604"/>
      <c r="D45" s="605"/>
      <c r="E45" s="605"/>
      <c r="F45" s="606"/>
      <c r="G45" s="606"/>
      <c r="H45" s="606"/>
      <c r="I45" s="606"/>
      <c r="J45" s="606"/>
      <c r="K45" s="606"/>
      <c r="L45" s="606"/>
      <c r="M45" s="606"/>
      <c r="N45" s="606"/>
      <c r="O45" s="606"/>
      <c r="P45" s="606"/>
      <c r="Q45" s="606"/>
      <c r="R45" s="606"/>
      <c r="S45" s="606"/>
      <c r="T45" s="606"/>
      <c r="U45" s="606"/>
      <c r="V45" s="606"/>
      <c r="W45" s="606"/>
      <c r="X45" s="606"/>
      <c r="Y45" s="606"/>
      <c r="Z45" s="604"/>
      <c r="AA45" s="606"/>
      <c r="AB45" s="606"/>
      <c r="AC45" s="606"/>
      <c r="AD45" s="606"/>
      <c r="AE45" s="606"/>
      <c r="AF45" s="606"/>
      <c r="AG45" s="606"/>
    </row>
    <row r="46" spans="2:33" ht="1.5" customHeight="1">
      <c r="C46" s="607"/>
    </row>
    <row r="47" spans="2:33" ht="1.5" customHeight="1">
      <c r="C47" s="607"/>
    </row>
    <row r="48" spans="2:33" ht="18.75" customHeight="1" thickBot="1">
      <c r="B48" s="590" t="s">
        <v>516</v>
      </c>
      <c r="C48" s="598"/>
      <c r="D48" s="598"/>
      <c r="E48" s="598"/>
      <c r="F48" s="598"/>
      <c r="G48" s="598"/>
      <c r="H48" s="598"/>
      <c r="I48" s="598"/>
      <c r="J48" s="598"/>
      <c r="K48" s="599"/>
      <c r="L48" s="599"/>
      <c r="M48" s="599"/>
      <c r="N48" s="598"/>
      <c r="O48" s="598"/>
      <c r="P48" s="598"/>
      <c r="Q48" s="598"/>
      <c r="R48" s="608"/>
      <c r="S48" s="598"/>
      <c r="T48" s="598"/>
      <c r="U48" s="599"/>
    </row>
    <row r="49" spans="2:21" ht="18.75" customHeight="1">
      <c r="B49" s="590"/>
      <c r="C49" s="857" t="s">
        <v>515</v>
      </c>
      <c r="D49" s="859"/>
      <c r="E49" s="859"/>
      <c r="F49" s="859"/>
      <c r="G49" s="859"/>
      <c r="H49" s="859"/>
      <c r="I49" s="859"/>
      <c r="J49" s="859"/>
      <c r="K49" s="859"/>
      <c r="L49" s="859"/>
      <c r="M49" s="859"/>
      <c r="N49" s="859"/>
      <c r="O49" s="859"/>
      <c r="P49" s="860"/>
      <c r="Q49" s="598"/>
      <c r="R49" s="598"/>
      <c r="S49" s="598"/>
      <c r="T49" s="598"/>
      <c r="U49" s="599"/>
    </row>
    <row r="50" spans="2:21" ht="24" customHeight="1">
      <c r="B50" s="590"/>
      <c r="C50" s="861"/>
      <c r="D50" s="862"/>
      <c r="E50" s="862"/>
      <c r="F50" s="862"/>
      <c r="G50" s="862"/>
      <c r="H50" s="862"/>
      <c r="I50" s="862"/>
      <c r="J50" s="862"/>
      <c r="K50" s="862"/>
      <c r="L50" s="862"/>
      <c r="M50" s="862"/>
      <c r="N50" s="862"/>
      <c r="O50" s="862"/>
      <c r="P50" s="863"/>
      <c r="Q50" s="598"/>
      <c r="R50" s="598"/>
      <c r="S50" s="598"/>
      <c r="T50" s="598"/>
      <c r="U50" s="599"/>
    </row>
    <row r="51" spans="2:21" ht="18.75" customHeight="1" thickBot="1">
      <c r="B51" s="590"/>
      <c r="C51" s="851" t="str">
        <f>IF('0_基本情報'!$D$23='【リスト】 (2)'!$C$2,"適","否")</f>
        <v>否</v>
      </c>
      <c r="D51" s="851"/>
      <c r="E51" s="851"/>
      <c r="F51" s="852">
        <f>IF(C51="適",加算率b,0)</f>
        <v>0</v>
      </c>
      <c r="G51" s="852"/>
      <c r="H51" s="852"/>
      <c r="I51" s="852"/>
      <c r="J51" s="852"/>
      <c r="K51" s="852"/>
      <c r="L51" s="756" t="s">
        <v>514</v>
      </c>
      <c r="M51" s="755"/>
      <c r="N51" s="755"/>
      <c r="O51" s="755"/>
      <c r="P51" s="754"/>
      <c r="Q51" s="598"/>
      <c r="R51" s="598"/>
      <c r="S51" s="598"/>
      <c r="T51" s="598"/>
      <c r="U51" s="599"/>
    </row>
    <row r="52" spans="2:21" ht="18.75" customHeight="1">
      <c r="B52" s="590"/>
      <c r="C52" s="594" t="s">
        <v>513</v>
      </c>
      <c r="D52" s="610" t="s">
        <v>512</v>
      </c>
      <c r="E52" s="596"/>
      <c r="F52" s="596"/>
      <c r="G52" s="598"/>
      <c r="H52" s="598"/>
      <c r="I52" s="598"/>
      <c r="J52" s="598"/>
      <c r="K52" s="599"/>
      <c r="L52" s="599"/>
      <c r="M52" s="599"/>
      <c r="N52" s="598"/>
      <c r="O52" s="598"/>
      <c r="P52" s="598"/>
      <c r="Q52" s="598"/>
      <c r="R52" s="598"/>
      <c r="S52" s="598"/>
      <c r="T52" s="598"/>
      <c r="U52" s="599"/>
    </row>
    <row r="53" spans="2:21" ht="18.75" customHeight="1">
      <c r="B53" s="590"/>
      <c r="C53" s="594"/>
      <c r="D53" s="610"/>
      <c r="E53" s="596"/>
      <c r="F53" s="596"/>
      <c r="G53" s="598"/>
      <c r="H53" s="598"/>
      <c r="I53" s="598"/>
      <c r="J53" s="598"/>
      <c r="K53" s="599"/>
      <c r="L53" s="599"/>
      <c r="M53" s="599"/>
      <c r="N53" s="598"/>
      <c r="O53" s="598"/>
      <c r="P53" s="598"/>
      <c r="Q53" s="598"/>
      <c r="R53" s="598"/>
      <c r="S53" s="598"/>
      <c r="T53" s="598"/>
      <c r="U53" s="599"/>
    </row>
    <row r="54" spans="2:21" ht="18.75" customHeight="1">
      <c r="B54" s="590"/>
      <c r="C54" s="594"/>
      <c r="D54" s="610"/>
      <c r="E54" s="596"/>
      <c r="F54" s="596"/>
      <c r="G54" s="598"/>
      <c r="H54" s="598"/>
      <c r="I54" s="598"/>
      <c r="J54" s="598"/>
      <c r="K54" s="599"/>
      <c r="L54" s="599"/>
      <c r="M54" s="599"/>
      <c r="N54" s="598"/>
      <c r="O54" s="598"/>
      <c r="P54" s="598"/>
      <c r="Q54" s="598"/>
      <c r="R54" s="598"/>
      <c r="S54" s="598"/>
      <c r="T54" s="598"/>
      <c r="U54" s="599"/>
    </row>
  </sheetData>
  <sheetProtection algorithmName="SHA-512" hashValue="IcjtmCSutUNruaNFMMeItMQZiHu9mA3c17dJvdQ+B911f/Ny/qT5TWYaRKGOOm2AsAiWu4NCqKlQw+VGFqxfUg==" saltValue="PSSTWNsDDjla75MyAkx8vg==" spinCount="100000" sheet="1" insertRows="0"/>
  <mergeCells count="16">
    <mergeCell ref="B2:AG2"/>
    <mergeCell ref="F5:L5"/>
    <mergeCell ref="O7:T7"/>
    <mergeCell ref="U7:AG7"/>
    <mergeCell ref="U10:AG10"/>
    <mergeCell ref="C51:E51"/>
    <mergeCell ref="F51:K51"/>
    <mergeCell ref="O8:T8"/>
    <mergeCell ref="U8:AG8"/>
    <mergeCell ref="O9:T9"/>
    <mergeCell ref="U9:AG9"/>
    <mergeCell ref="O10:T10"/>
    <mergeCell ref="C15:L16"/>
    <mergeCell ref="C17:E17"/>
    <mergeCell ref="F17:K17"/>
    <mergeCell ref="C49:P50"/>
  </mergeCells>
  <phoneticPr fontId="4"/>
  <dataValidations disablePrompts="1" count="1">
    <dataValidation type="list" allowBlank="1" showInputMessage="1" showErrorMessage="1" sqref="C17:E17 C51:E51" xr:uid="{E02821F2-C733-4BB4-9001-634D7F17A89C}">
      <formula1>"適,否"</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EAE3-CD5F-4BCB-89D4-80AF5E07DE23}">
  <sheetPr>
    <pageSetUpPr fitToPage="1"/>
  </sheetPr>
  <dimension ref="B1:AM29"/>
  <sheetViews>
    <sheetView showGridLines="0" view="pageBreakPreview" zoomScale="85" zoomScaleNormal="100" zoomScaleSheetLayoutView="85" workbookViewId="0">
      <selection activeCell="C15" sqref="C15"/>
    </sheetView>
  </sheetViews>
  <sheetFormatPr defaultColWidth="9" defaultRowHeight="18" customHeight="1"/>
  <cols>
    <col min="1" max="1" width="2.5" style="464" customWidth="1"/>
    <col min="2" max="34" width="3" style="464" customWidth="1"/>
    <col min="35" max="35" width="2.5" style="464" customWidth="1"/>
    <col min="36" max="38" width="3" style="464" customWidth="1"/>
    <col min="39" max="39" width="13" style="464" hidden="1" customWidth="1"/>
    <col min="40" max="47" width="3" style="464" customWidth="1"/>
    <col min="48" max="16384" width="9" style="464"/>
  </cols>
  <sheetData>
    <row r="1" spans="2:34" ht="18" customHeight="1">
      <c r="B1" s="471" t="s">
        <v>554</v>
      </c>
    </row>
    <row r="2" spans="2:34" ht="18" customHeight="1">
      <c r="B2" s="873" t="str">
        <f>様式1!$AQ$1&amp;様式1!$AQ$2&amp;"年度キャリアパス要件届出書"</f>
        <v>令和８年度キャリアパス要件届出書</v>
      </c>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873"/>
    </row>
    <row r="3" spans="2:34" ht="18" customHeight="1">
      <c r="B3" s="871" t="s">
        <v>553</v>
      </c>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row>
    <row r="4" spans="2:34" ht="18" customHeight="1">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row>
    <row r="5" spans="2:34" ht="18" customHeight="1">
      <c r="F5" s="468"/>
      <c r="G5" s="468"/>
      <c r="M5" s="468"/>
      <c r="N5" s="468"/>
      <c r="O5" s="468"/>
    </row>
    <row r="6" spans="2:34" ht="17.25" customHeight="1">
      <c r="F6" s="891" t="s">
        <v>527</v>
      </c>
      <c r="G6" s="891"/>
      <c r="H6" s="891"/>
      <c r="I6" s="891"/>
      <c r="J6" s="891"/>
      <c r="K6" s="891"/>
      <c r="L6" s="891"/>
      <c r="M6" s="468"/>
      <c r="N6" s="468"/>
      <c r="O6" s="468"/>
    </row>
    <row r="7" spans="2:34" ht="17.25" customHeight="1" thickBot="1">
      <c r="F7" s="468"/>
      <c r="G7" s="468"/>
      <c r="H7" s="468"/>
      <c r="I7" s="468"/>
      <c r="J7" s="468"/>
      <c r="K7" s="468"/>
      <c r="L7" s="468"/>
      <c r="M7" s="468"/>
      <c r="N7" s="468"/>
      <c r="O7" s="468"/>
      <c r="V7" s="469"/>
      <c r="W7" s="469"/>
      <c r="X7" s="469"/>
      <c r="Y7" s="469"/>
      <c r="Z7" s="469"/>
      <c r="AA7" s="469"/>
      <c r="AB7" s="469"/>
      <c r="AC7" s="469"/>
      <c r="AD7" s="469"/>
      <c r="AE7" s="469"/>
      <c r="AF7" s="469"/>
      <c r="AG7" s="469"/>
      <c r="AH7" s="469"/>
    </row>
    <row r="8" spans="2:34" ht="17.25" customHeight="1">
      <c r="D8" s="468"/>
      <c r="E8" s="468"/>
      <c r="F8" s="468"/>
      <c r="G8" s="468"/>
      <c r="H8" s="468"/>
      <c r="I8" s="468"/>
      <c r="J8" s="468"/>
      <c r="K8" s="468"/>
      <c r="L8" s="468"/>
      <c r="M8" s="468"/>
      <c r="N8" s="468"/>
      <c r="P8" s="894" t="s">
        <v>526</v>
      </c>
      <c r="Q8" s="895"/>
      <c r="R8" s="895"/>
      <c r="S8" s="895"/>
      <c r="T8" s="895"/>
      <c r="U8" s="895"/>
      <c r="V8" s="896" t="str">
        <f>様式1!U7</f>
        <v>京都市</v>
      </c>
      <c r="W8" s="897"/>
      <c r="X8" s="897"/>
      <c r="Y8" s="897"/>
      <c r="Z8" s="897"/>
      <c r="AA8" s="897"/>
      <c r="AB8" s="897"/>
      <c r="AC8" s="897"/>
      <c r="AD8" s="897"/>
      <c r="AE8" s="897"/>
      <c r="AF8" s="897"/>
      <c r="AG8" s="897"/>
      <c r="AH8" s="898"/>
    </row>
    <row r="9" spans="2:34" ht="17.25" customHeight="1">
      <c r="D9" s="468"/>
      <c r="E9" s="468"/>
      <c r="F9" s="468"/>
      <c r="G9" s="468"/>
      <c r="H9" s="468"/>
      <c r="I9" s="468"/>
      <c r="J9" s="468"/>
      <c r="K9" s="468"/>
      <c r="L9" s="468"/>
      <c r="M9" s="468"/>
      <c r="N9" s="468"/>
      <c r="P9" s="905" t="s">
        <v>524</v>
      </c>
      <c r="Q9" s="906"/>
      <c r="R9" s="906"/>
      <c r="S9" s="906"/>
      <c r="T9" s="906"/>
      <c r="U9" s="906"/>
      <c r="V9" s="912">
        <f>様式1!U8</f>
        <v>0</v>
      </c>
      <c r="W9" s="913"/>
      <c r="X9" s="913"/>
      <c r="Y9" s="913"/>
      <c r="Z9" s="913"/>
      <c r="AA9" s="913"/>
      <c r="AB9" s="913"/>
      <c r="AC9" s="913"/>
      <c r="AD9" s="913"/>
      <c r="AE9" s="913"/>
      <c r="AF9" s="913"/>
      <c r="AG9" s="913"/>
      <c r="AH9" s="914"/>
    </row>
    <row r="10" spans="2:34" ht="17.25" customHeight="1">
      <c r="D10" s="468"/>
      <c r="E10" s="468"/>
      <c r="F10" s="468"/>
      <c r="G10" s="468"/>
      <c r="H10" s="468"/>
      <c r="I10" s="468"/>
      <c r="J10" s="468"/>
      <c r="K10" s="468"/>
      <c r="L10" s="468"/>
      <c r="M10" s="468"/>
      <c r="N10" s="468"/>
      <c r="P10" s="905" t="s">
        <v>523</v>
      </c>
      <c r="Q10" s="906"/>
      <c r="R10" s="906"/>
      <c r="S10" s="906"/>
      <c r="T10" s="906"/>
      <c r="U10" s="906"/>
      <c r="V10" s="912">
        <f>様式1!U9</f>
        <v>0</v>
      </c>
      <c r="W10" s="913"/>
      <c r="X10" s="913"/>
      <c r="Y10" s="913"/>
      <c r="Z10" s="913"/>
      <c r="AA10" s="913"/>
      <c r="AB10" s="913"/>
      <c r="AC10" s="913"/>
      <c r="AD10" s="913"/>
      <c r="AE10" s="913"/>
      <c r="AF10" s="913"/>
      <c r="AG10" s="913"/>
      <c r="AH10" s="914"/>
    </row>
    <row r="11" spans="2:34" ht="17.25" customHeight="1" thickBot="1">
      <c r="D11" s="468"/>
      <c r="E11" s="468"/>
      <c r="F11" s="468"/>
      <c r="G11" s="468"/>
      <c r="H11" s="468"/>
      <c r="I11" s="468"/>
      <c r="J11" s="468"/>
      <c r="K11" s="468"/>
      <c r="L11" s="468"/>
      <c r="M11" s="468"/>
      <c r="N11" s="468"/>
      <c r="O11" s="468"/>
      <c r="P11" s="915" t="s">
        <v>552</v>
      </c>
      <c r="Q11" s="916"/>
      <c r="R11" s="916"/>
      <c r="S11" s="916"/>
      <c r="T11" s="916"/>
      <c r="U11" s="916"/>
      <c r="V11" s="909">
        <f>様式1!U10</f>
        <v>0</v>
      </c>
      <c r="W11" s="910"/>
      <c r="X11" s="910"/>
      <c r="Y11" s="910"/>
      <c r="Z11" s="910"/>
      <c r="AA11" s="910"/>
      <c r="AB11" s="910"/>
      <c r="AC11" s="910"/>
      <c r="AD11" s="910"/>
      <c r="AE11" s="910"/>
      <c r="AF11" s="910"/>
      <c r="AG11" s="910"/>
      <c r="AH11" s="911"/>
    </row>
    <row r="12" spans="2:34" ht="18" customHeight="1">
      <c r="R12" s="467"/>
      <c r="S12" s="467"/>
      <c r="T12" s="467"/>
      <c r="U12" s="467"/>
      <c r="V12" s="467"/>
      <c r="W12" s="467"/>
      <c r="X12" s="467"/>
      <c r="Y12" s="467"/>
    </row>
    <row r="13" spans="2:34" ht="21.75" customHeight="1">
      <c r="B13" s="464" t="s">
        <v>551</v>
      </c>
    </row>
    <row r="14" spans="2:34" ht="9" customHeight="1"/>
    <row r="15" spans="2:34" ht="18.75" customHeight="1" thickBot="1"/>
    <row r="16" spans="2:34" ht="24" customHeight="1">
      <c r="C16" s="875" t="s">
        <v>550</v>
      </c>
      <c r="D16" s="478" t="s">
        <v>549</v>
      </c>
      <c r="E16" s="478"/>
      <c r="F16" s="478"/>
      <c r="G16" s="478"/>
      <c r="H16" s="478"/>
      <c r="I16" s="478"/>
      <c r="J16" s="478"/>
      <c r="K16" s="478"/>
      <c r="L16" s="478"/>
      <c r="M16" s="478"/>
      <c r="N16" s="478"/>
      <c r="O16" s="478"/>
      <c r="P16" s="478"/>
      <c r="Q16" s="478"/>
      <c r="R16" s="478"/>
      <c r="S16" s="478"/>
      <c r="T16" s="478"/>
      <c r="U16" s="478"/>
      <c r="V16" s="478"/>
      <c r="W16" s="478"/>
      <c r="X16" s="478"/>
      <c r="Y16" s="478"/>
      <c r="Z16" s="478"/>
      <c r="AA16" s="478"/>
      <c r="AB16" s="757"/>
      <c r="AC16" s="757"/>
      <c r="AD16" s="757"/>
      <c r="AE16" s="757"/>
      <c r="AF16" s="757"/>
      <c r="AG16" s="757"/>
      <c r="AH16" s="758"/>
    </row>
    <row r="17" spans="3:39" ht="17.25" customHeight="1">
      <c r="C17" s="876"/>
      <c r="D17" s="477" t="s">
        <v>548</v>
      </c>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65"/>
      <c r="AC17" s="465"/>
      <c r="AD17" s="465"/>
      <c r="AE17" s="465"/>
      <c r="AF17" s="465"/>
      <c r="AG17" s="465"/>
      <c r="AH17" s="759"/>
    </row>
    <row r="18" spans="3:39" ht="18" customHeight="1">
      <c r="C18" s="876"/>
      <c r="D18" s="466" t="s">
        <v>547</v>
      </c>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759"/>
      <c r="AM18" s="464" t="s">
        <v>546</v>
      </c>
    </row>
    <row r="19" spans="3:39" ht="18" customHeight="1" thickBot="1">
      <c r="C19" s="877"/>
      <c r="D19" s="475" t="s">
        <v>545</v>
      </c>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760"/>
      <c r="AC19" s="760"/>
      <c r="AD19" s="760"/>
      <c r="AE19" s="760"/>
      <c r="AF19" s="760"/>
      <c r="AG19" s="760"/>
      <c r="AH19" s="759"/>
      <c r="AM19" s="464" t="s">
        <v>544</v>
      </c>
    </row>
    <row r="20" spans="3:39" ht="24" customHeight="1">
      <c r="C20" s="878" t="s">
        <v>543</v>
      </c>
      <c r="D20" s="889" t="s">
        <v>542</v>
      </c>
      <c r="E20" s="890"/>
      <c r="F20" s="890"/>
      <c r="G20" s="890"/>
      <c r="H20" s="890"/>
      <c r="I20" s="890"/>
      <c r="J20" s="890"/>
      <c r="K20" s="890"/>
      <c r="L20" s="890"/>
      <c r="M20" s="890"/>
      <c r="N20" s="890"/>
      <c r="O20" s="890"/>
      <c r="P20" s="890"/>
      <c r="Q20" s="890"/>
      <c r="R20" s="890"/>
      <c r="S20" s="890"/>
      <c r="T20" s="890"/>
      <c r="U20" s="890"/>
      <c r="V20" s="890"/>
      <c r="W20" s="890"/>
      <c r="X20" s="890"/>
      <c r="Y20" s="890"/>
      <c r="Z20" s="890"/>
      <c r="AA20" s="890"/>
      <c r="AB20" s="761"/>
      <c r="AC20" s="761"/>
      <c r="AD20" s="761"/>
      <c r="AE20" s="761"/>
      <c r="AF20" s="761"/>
      <c r="AG20" s="761"/>
      <c r="AH20" s="762"/>
    </row>
    <row r="21" spans="3:39" ht="47.25" customHeight="1">
      <c r="C21" s="879"/>
      <c r="D21" s="473" t="s">
        <v>541</v>
      </c>
      <c r="E21" s="874" t="s">
        <v>540</v>
      </c>
      <c r="F21" s="874"/>
      <c r="G21" s="874"/>
      <c r="H21" s="874"/>
      <c r="I21" s="874"/>
      <c r="J21" s="874"/>
      <c r="K21" s="874"/>
      <c r="L21" s="918"/>
      <c r="M21" s="919"/>
      <c r="N21" s="919"/>
      <c r="O21" s="919"/>
      <c r="P21" s="919"/>
      <c r="Q21" s="919"/>
      <c r="R21" s="919"/>
      <c r="S21" s="919"/>
      <c r="T21" s="919"/>
      <c r="U21" s="919"/>
      <c r="V21" s="919"/>
      <c r="W21" s="919"/>
      <c r="X21" s="919"/>
      <c r="Y21" s="919"/>
      <c r="Z21" s="919"/>
      <c r="AA21" s="919"/>
      <c r="AB21" s="919"/>
      <c r="AC21" s="919"/>
      <c r="AD21" s="919"/>
      <c r="AE21" s="919"/>
      <c r="AF21" s="919"/>
      <c r="AG21" s="919"/>
      <c r="AH21" s="920"/>
    </row>
    <row r="22" spans="3:39" ht="30" customHeight="1">
      <c r="C22" s="879"/>
      <c r="D22" s="887" t="s">
        <v>539</v>
      </c>
      <c r="E22" s="885" t="s">
        <v>538</v>
      </c>
      <c r="F22" s="885"/>
      <c r="G22" s="885"/>
      <c r="H22" s="885"/>
      <c r="I22" s="885"/>
      <c r="J22" s="885"/>
      <c r="K22" s="885"/>
      <c r="L22" s="472" t="s">
        <v>537</v>
      </c>
      <c r="M22" s="881" t="s">
        <v>536</v>
      </c>
      <c r="N22" s="881"/>
      <c r="O22" s="881"/>
      <c r="P22" s="881"/>
      <c r="Q22" s="881"/>
      <c r="R22" s="881"/>
      <c r="S22" s="881"/>
      <c r="T22" s="881"/>
      <c r="U22" s="881"/>
      <c r="V22" s="881"/>
      <c r="W22" s="881"/>
      <c r="X22" s="881"/>
      <c r="Y22" s="881"/>
      <c r="Z22" s="881"/>
      <c r="AA22" s="881"/>
      <c r="AB22" s="881"/>
      <c r="AC22" s="881"/>
      <c r="AD22" s="881"/>
      <c r="AE22" s="881"/>
      <c r="AF22" s="881"/>
      <c r="AG22" s="881"/>
      <c r="AH22" s="882"/>
    </row>
    <row r="23" spans="3:39" ht="18" customHeight="1">
      <c r="C23" s="879"/>
      <c r="D23" s="887"/>
      <c r="E23" s="885"/>
      <c r="F23" s="885"/>
      <c r="G23" s="885"/>
      <c r="H23" s="885"/>
      <c r="I23" s="885"/>
      <c r="J23" s="885"/>
      <c r="K23" s="885"/>
      <c r="L23" s="892" t="s">
        <v>535</v>
      </c>
      <c r="M23" s="901" t="s">
        <v>534</v>
      </c>
      <c r="N23" s="902"/>
      <c r="O23" s="902"/>
      <c r="P23" s="902"/>
      <c r="Q23" s="902"/>
      <c r="R23" s="902"/>
      <c r="S23" s="902"/>
      <c r="T23" s="902"/>
      <c r="U23" s="902"/>
      <c r="V23" s="902"/>
      <c r="W23" s="902"/>
      <c r="X23" s="902"/>
      <c r="Y23" s="902"/>
      <c r="Z23" s="902"/>
      <c r="AA23" s="902"/>
      <c r="AB23" s="902"/>
      <c r="AC23" s="902"/>
      <c r="AD23" s="902"/>
      <c r="AE23" s="902"/>
      <c r="AF23" s="902"/>
      <c r="AG23" s="902"/>
      <c r="AH23" s="903"/>
    </row>
    <row r="24" spans="3:39" ht="47.25" customHeight="1" thickBot="1">
      <c r="C24" s="880"/>
      <c r="D24" s="888"/>
      <c r="E24" s="886"/>
      <c r="F24" s="886"/>
      <c r="G24" s="886"/>
      <c r="H24" s="886"/>
      <c r="I24" s="886"/>
      <c r="J24" s="886"/>
      <c r="K24" s="886"/>
      <c r="L24" s="893"/>
      <c r="M24" s="883"/>
      <c r="N24" s="883"/>
      <c r="O24" s="883"/>
      <c r="P24" s="883"/>
      <c r="Q24" s="883"/>
      <c r="R24" s="883"/>
      <c r="S24" s="883"/>
      <c r="T24" s="883"/>
      <c r="U24" s="883"/>
      <c r="V24" s="883"/>
      <c r="W24" s="883"/>
      <c r="X24" s="883"/>
      <c r="Y24" s="883"/>
      <c r="Z24" s="883"/>
      <c r="AA24" s="883"/>
      <c r="AB24" s="883"/>
      <c r="AC24" s="883"/>
      <c r="AD24" s="883"/>
      <c r="AE24" s="883"/>
      <c r="AF24" s="883"/>
      <c r="AG24" s="883"/>
      <c r="AH24" s="884"/>
    </row>
    <row r="25" spans="3:39" ht="18" customHeight="1">
      <c r="C25" s="464" t="s">
        <v>533</v>
      </c>
    </row>
    <row r="27" spans="3:39" ht="18" customHeight="1">
      <c r="Q27" s="917" t="s">
        <v>532</v>
      </c>
      <c r="R27" s="917"/>
      <c r="S27" s="917"/>
      <c r="T27" s="917"/>
      <c r="U27" s="917"/>
      <c r="V27" s="917"/>
      <c r="W27" s="917"/>
      <c r="X27" s="917"/>
      <c r="Y27" s="904"/>
      <c r="Z27" s="871"/>
      <c r="AA27" s="871"/>
      <c r="AB27" s="871"/>
      <c r="AC27" s="871"/>
      <c r="AD27" s="871"/>
      <c r="AE27" s="871"/>
      <c r="AF27" s="871"/>
      <c r="AG27" s="871"/>
      <c r="AH27" s="871"/>
    </row>
    <row r="28" spans="3:39" ht="18" customHeight="1">
      <c r="S28" s="907" t="s">
        <v>531</v>
      </c>
      <c r="T28" s="907"/>
      <c r="U28" s="907"/>
      <c r="V28" s="907"/>
      <c r="W28" s="907"/>
      <c r="X28" s="907"/>
      <c r="Y28" s="908"/>
      <c r="Z28" s="908"/>
      <c r="AA28" s="908"/>
      <c r="AB28" s="908"/>
      <c r="AC28" s="908"/>
      <c r="AD28" s="908"/>
      <c r="AE28" s="908"/>
      <c r="AF28" s="908"/>
      <c r="AG28" s="908"/>
      <c r="AH28" s="908"/>
    </row>
    <row r="29" spans="3:39" ht="18" customHeight="1">
      <c r="S29" s="899" t="s">
        <v>530</v>
      </c>
      <c r="T29" s="899"/>
      <c r="U29" s="899"/>
      <c r="V29" s="899"/>
      <c r="W29" s="899"/>
      <c r="X29" s="899"/>
      <c r="Y29" s="900"/>
      <c r="Z29" s="900"/>
      <c r="AA29" s="900"/>
      <c r="AB29" s="900"/>
      <c r="AC29" s="900"/>
      <c r="AD29" s="900"/>
      <c r="AE29" s="900"/>
      <c r="AF29" s="900"/>
      <c r="AG29" s="900"/>
      <c r="AH29" s="900"/>
    </row>
  </sheetData>
  <sheetProtection algorithmName="SHA-512" hashValue="0LGrrVHfwHUvQ3TJGiLCC3XxGOllzvwHbGe/pFUF8uKE9XOpEsLjDoE+GiizzBz+uHdNrvEmoA9fKmVgnb2zqA==" saltValue="C6LdoxUMyIHpyDfc8TEapw==" spinCount="100000" sheet="1" insertRows="0"/>
  <mergeCells count="28">
    <mergeCell ref="S29:X29"/>
    <mergeCell ref="Y29:AH29"/>
    <mergeCell ref="M23:AH23"/>
    <mergeCell ref="Y27:AH27"/>
    <mergeCell ref="P9:U9"/>
    <mergeCell ref="S28:X28"/>
    <mergeCell ref="Y28:AH28"/>
    <mergeCell ref="V11:AH11"/>
    <mergeCell ref="V9:AH9"/>
    <mergeCell ref="P11:U11"/>
    <mergeCell ref="P10:U10"/>
    <mergeCell ref="V10:AH10"/>
    <mergeCell ref="Q27:X27"/>
    <mergeCell ref="L21:AH21"/>
    <mergeCell ref="B3:AH3"/>
    <mergeCell ref="B2:AH2"/>
    <mergeCell ref="E21:K21"/>
    <mergeCell ref="C16:C19"/>
    <mergeCell ref="C20:C24"/>
    <mergeCell ref="M22:AH22"/>
    <mergeCell ref="M24:AH24"/>
    <mergeCell ref="E22:K24"/>
    <mergeCell ref="D22:D24"/>
    <mergeCell ref="D20:AA20"/>
    <mergeCell ref="F6:L6"/>
    <mergeCell ref="L23:L24"/>
    <mergeCell ref="P8:U8"/>
    <mergeCell ref="V8:AH8"/>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9"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8E01D-A879-4196-8D98-0468EF17E6E6}">
  <sheetPr>
    <pageSetUpPr fitToPage="1"/>
  </sheetPr>
  <dimension ref="A1:AN103"/>
  <sheetViews>
    <sheetView showGridLines="0" view="pageBreakPreview" zoomScale="85" zoomScaleNormal="100" zoomScaleSheetLayoutView="85" workbookViewId="0">
      <selection activeCell="AN17" sqref="AN17"/>
    </sheetView>
  </sheetViews>
  <sheetFormatPr defaultColWidth="9" defaultRowHeight="18" customHeight="1"/>
  <cols>
    <col min="1" max="1" width="1.375" style="580" customWidth="1"/>
    <col min="2" max="23" width="3" style="580" customWidth="1"/>
    <col min="24" max="24" width="3.875" style="580" customWidth="1"/>
    <col min="25" max="33" width="3" style="580" customWidth="1"/>
    <col min="34" max="34" width="1.375" style="580" customWidth="1"/>
    <col min="35" max="36" width="3.375" style="580" customWidth="1"/>
    <col min="37" max="37" width="3.375" style="580" hidden="1" customWidth="1"/>
    <col min="38" max="38" width="7.5" style="580" hidden="1" customWidth="1"/>
    <col min="39" max="52" width="3.375" style="580" customWidth="1"/>
    <col min="53" max="16384" width="9" style="580"/>
  </cols>
  <sheetData>
    <row r="1" spans="2:40" ht="12.75" customHeight="1">
      <c r="R1" s="611"/>
      <c r="AK1" s="580" t="s">
        <v>625</v>
      </c>
      <c r="AL1" s="580" t="s">
        <v>624</v>
      </c>
    </row>
    <row r="2" spans="2:40" ht="18" customHeight="1">
      <c r="B2" s="579" t="s">
        <v>623</v>
      </c>
      <c r="AL2" s="580" t="s">
        <v>622</v>
      </c>
    </row>
    <row r="3" spans="2:40" ht="18" customHeight="1">
      <c r="B3" s="1070" t="str">
        <f>様式1!$AQ$1&amp;様式1!$AQ$2&amp;"年度加算算定対象人数等認定申請書（区分３（質の向上分））"</f>
        <v>令和８年度加算算定対象人数等認定申請書（区分３（質の向上分））</v>
      </c>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row>
    <row r="4" spans="2:40" ht="18" customHeight="1">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row>
    <row r="5" spans="2:40" ht="17.25" customHeight="1">
      <c r="E5" s="586"/>
      <c r="F5" s="586"/>
      <c r="L5" s="586"/>
      <c r="M5" s="586"/>
      <c r="N5" s="586"/>
      <c r="O5" s="586"/>
    </row>
    <row r="6" spans="2:40" ht="17.25" customHeight="1">
      <c r="E6" s="865" t="s">
        <v>527</v>
      </c>
      <c r="F6" s="865"/>
      <c r="G6" s="865"/>
      <c r="H6" s="865"/>
      <c r="I6" s="865"/>
      <c r="J6" s="865"/>
      <c r="K6" s="865"/>
      <c r="L6" s="586"/>
      <c r="M6" s="586"/>
      <c r="N6" s="586"/>
    </row>
    <row r="7" spans="2:40" ht="17.25" customHeight="1" thickBot="1">
      <c r="E7" s="586"/>
      <c r="F7" s="586"/>
      <c r="G7" s="586"/>
      <c r="H7" s="586"/>
      <c r="I7" s="586"/>
      <c r="J7" s="586"/>
      <c r="K7" s="586"/>
      <c r="L7" s="586"/>
      <c r="M7" s="586"/>
      <c r="N7" s="586"/>
      <c r="O7" s="586"/>
      <c r="U7" s="587"/>
      <c r="V7" s="587"/>
      <c r="W7" s="587"/>
      <c r="X7" s="587"/>
      <c r="Y7" s="587"/>
      <c r="Z7" s="587"/>
      <c r="AA7" s="587"/>
      <c r="AB7" s="587"/>
      <c r="AC7" s="587"/>
      <c r="AD7" s="587"/>
      <c r="AE7" s="587"/>
      <c r="AF7" s="587"/>
      <c r="AG7" s="587"/>
    </row>
    <row r="8" spans="2:40" ht="17.25" customHeight="1">
      <c r="E8" s="586"/>
      <c r="F8" s="586"/>
      <c r="N8" s="586"/>
      <c r="O8" s="866" t="s">
        <v>526</v>
      </c>
      <c r="P8" s="1071"/>
      <c r="Q8" s="1071"/>
      <c r="R8" s="1071"/>
      <c r="S8" s="1071"/>
      <c r="T8" s="1071"/>
      <c r="U8" s="1072" t="str">
        <f>様式1!U7</f>
        <v>京都市</v>
      </c>
      <c r="V8" s="1072"/>
      <c r="W8" s="1072"/>
      <c r="X8" s="1072"/>
      <c r="Y8" s="1072"/>
      <c r="Z8" s="1072"/>
      <c r="AA8" s="1072"/>
      <c r="AB8" s="1072"/>
      <c r="AC8" s="1072"/>
      <c r="AD8" s="1072"/>
      <c r="AE8" s="1072"/>
      <c r="AF8" s="1072"/>
      <c r="AG8" s="1073"/>
    </row>
    <row r="9" spans="2:40" ht="17.25" customHeight="1">
      <c r="E9" s="586"/>
      <c r="F9" s="586"/>
      <c r="N9" s="586"/>
      <c r="O9" s="853" t="s">
        <v>524</v>
      </c>
      <c r="P9" s="1074"/>
      <c r="Q9" s="1074"/>
      <c r="R9" s="1074"/>
      <c r="S9" s="1074"/>
      <c r="T9" s="1074"/>
      <c r="U9" s="1075">
        <f>様式1!U8</f>
        <v>0</v>
      </c>
      <c r="V9" s="1075"/>
      <c r="W9" s="1075"/>
      <c r="X9" s="1075"/>
      <c r="Y9" s="1075"/>
      <c r="Z9" s="1075"/>
      <c r="AA9" s="1075"/>
      <c r="AB9" s="1075"/>
      <c r="AC9" s="1075"/>
      <c r="AD9" s="1075"/>
      <c r="AE9" s="1075"/>
      <c r="AF9" s="1075"/>
      <c r="AG9" s="1076"/>
    </row>
    <row r="10" spans="2:40" ht="17.25" customHeight="1">
      <c r="E10" s="586"/>
      <c r="F10" s="586"/>
      <c r="N10" s="586"/>
      <c r="O10" s="853" t="s">
        <v>523</v>
      </c>
      <c r="P10" s="1074"/>
      <c r="Q10" s="1074"/>
      <c r="R10" s="1074"/>
      <c r="S10" s="1074"/>
      <c r="T10" s="1074"/>
      <c r="U10" s="1075">
        <f>様式1!U9</f>
        <v>0</v>
      </c>
      <c r="V10" s="1075"/>
      <c r="W10" s="1075"/>
      <c r="X10" s="1075"/>
      <c r="Y10" s="1075"/>
      <c r="Z10" s="1075"/>
      <c r="AA10" s="1075"/>
      <c r="AB10" s="1075"/>
      <c r="AC10" s="1075"/>
      <c r="AD10" s="1075"/>
      <c r="AE10" s="1075"/>
      <c r="AF10" s="1075"/>
      <c r="AG10" s="1076"/>
    </row>
    <row r="11" spans="2:40" ht="17.25" customHeight="1" thickBot="1">
      <c r="E11" s="586"/>
      <c r="F11" s="586"/>
      <c r="N11" s="586"/>
      <c r="O11" s="856" t="s">
        <v>552</v>
      </c>
      <c r="P11" s="1089"/>
      <c r="Q11" s="1089"/>
      <c r="R11" s="1089"/>
      <c r="S11" s="1089"/>
      <c r="T11" s="1089"/>
      <c r="U11" s="1090">
        <f>様式1!U10</f>
        <v>0</v>
      </c>
      <c r="V11" s="1091"/>
      <c r="W11" s="1091"/>
      <c r="X11" s="1091"/>
      <c r="Y11" s="1091"/>
      <c r="Z11" s="1091"/>
      <c r="AA11" s="1091"/>
      <c r="AB11" s="1091"/>
      <c r="AC11" s="1091"/>
      <c r="AD11" s="1091"/>
      <c r="AE11" s="1091"/>
      <c r="AF11" s="1091"/>
      <c r="AG11" s="1092"/>
    </row>
    <row r="12" spans="2:40" ht="18" customHeight="1">
      <c r="O12" s="596"/>
      <c r="P12" s="596"/>
      <c r="Q12" s="596"/>
      <c r="R12" s="596"/>
      <c r="S12" s="596"/>
      <c r="T12" s="596"/>
      <c r="U12" s="612"/>
      <c r="V12" s="612"/>
      <c r="W12" s="612"/>
      <c r="X12" s="612"/>
      <c r="Y12" s="612"/>
      <c r="Z12" s="612"/>
      <c r="AA12" s="612"/>
      <c r="AB12" s="612"/>
      <c r="AC12" s="612"/>
      <c r="AD12" s="612"/>
      <c r="AE12" s="612"/>
      <c r="AF12" s="612"/>
      <c r="AG12" s="612"/>
    </row>
    <row r="13" spans="2:40" ht="18" customHeight="1">
      <c r="O13" s="613"/>
      <c r="P13" s="613"/>
      <c r="Q13" s="613"/>
      <c r="R13" s="613"/>
      <c r="S13" s="613"/>
      <c r="T13" s="613"/>
      <c r="U13" s="612"/>
      <c r="V13" s="612"/>
      <c r="W13" s="612"/>
      <c r="X13" s="612"/>
      <c r="Y13" s="612"/>
      <c r="Z13" s="612"/>
      <c r="AA13" s="612"/>
      <c r="AB13" s="612"/>
      <c r="AC13" s="612"/>
      <c r="AD13" s="612"/>
      <c r="AE13" s="612"/>
      <c r="AF13" s="612"/>
      <c r="AG13" s="612"/>
    </row>
    <row r="14" spans="2:40" ht="18" customHeight="1" thickBot="1">
      <c r="B14" s="580" t="s">
        <v>621</v>
      </c>
      <c r="C14" s="614"/>
      <c r="D14" s="614"/>
      <c r="E14" s="614"/>
      <c r="F14" s="614"/>
      <c r="G14" s="614"/>
      <c r="H14" s="614"/>
      <c r="I14" s="614"/>
      <c r="J14" s="614"/>
      <c r="K14" s="614"/>
      <c r="L14" s="614"/>
      <c r="M14" s="614"/>
      <c r="N14" s="614"/>
      <c r="O14" s="614"/>
      <c r="P14" s="614"/>
      <c r="Q14" s="614"/>
      <c r="R14" s="614"/>
      <c r="S14" s="614"/>
      <c r="T14" s="614"/>
      <c r="U14" s="614"/>
      <c r="V14" s="614"/>
      <c r="W14" s="601"/>
      <c r="X14" s="601"/>
      <c r="Y14" s="601"/>
      <c r="Z14" s="601"/>
      <c r="AA14" s="601"/>
      <c r="AB14" s="601"/>
      <c r="AC14" s="601"/>
      <c r="AD14" s="601"/>
      <c r="AE14" s="601"/>
      <c r="AF14" s="601"/>
      <c r="AG14" s="601"/>
    </row>
    <row r="15" spans="2:40" ht="18" customHeight="1" thickBot="1">
      <c r="B15" s="1083" t="s">
        <v>620</v>
      </c>
      <c r="C15" s="1084"/>
      <c r="D15" s="1084"/>
      <c r="E15" s="1084"/>
      <c r="F15" s="1084"/>
      <c r="G15" s="1086"/>
      <c r="H15" s="1083" t="s">
        <v>619</v>
      </c>
      <c r="I15" s="1084"/>
      <c r="J15" s="1084"/>
      <c r="K15" s="1084"/>
      <c r="L15" s="1085">
        <f>Q16+Q18</f>
        <v>0</v>
      </c>
      <c r="M15" s="1085"/>
      <c r="N15" s="1085"/>
      <c r="O15" s="615" t="s">
        <v>561</v>
      </c>
      <c r="P15" s="1083" t="s">
        <v>618</v>
      </c>
      <c r="Q15" s="1084"/>
      <c r="R15" s="1084"/>
      <c r="S15" s="1084"/>
      <c r="T15" s="1085">
        <f>Q17</f>
        <v>0</v>
      </c>
      <c r="U15" s="1085"/>
      <c r="V15" s="1085"/>
      <c r="W15" s="616" t="s">
        <v>561</v>
      </c>
      <c r="Y15" s="1080" t="s">
        <v>617</v>
      </c>
      <c r="Z15" s="1081"/>
      <c r="AA15" s="1081"/>
      <c r="AB15" s="1081"/>
      <c r="AC15" s="1081"/>
      <c r="AD15" s="1081"/>
      <c r="AE15" s="1082"/>
      <c r="AF15" s="617" t="str">
        <f>IFERROR(IF(T15+L15&gt;=1,"○","×"),"")</f>
        <v>×</v>
      </c>
      <c r="AG15" s="601"/>
      <c r="AM15" s="618" t="str">
        <f>IF(AND($L$15&gt;=$AA$94,$T$15&gt;=$AA$95),"","「区分3計算表」の内容と人数A・人数Bの数値が一致しません。確認してください。")</f>
        <v>「区分3計算表」の内容と人数A・人数Bの数値が一致しません。確認してください。</v>
      </c>
    </row>
    <row r="16" spans="2:40" ht="18" customHeight="1">
      <c r="B16" s="619" t="s">
        <v>616</v>
      </c>
      <c r="C16" s="620"/>
      <c r="D16" s="620"/>
      <c r="E16" s="620"/>
      <c r="F16" s="620"/>
      <c r="G16" s="620"/>
      <c r="H16" s="620"/>
      <c r="I16" s="620"/>
      <c r="J16" s="620"/>
      <c r="K16" s="620"/>
      <c r="L16" s="620"/>
      <c r="M16" s="620"/>
      <c r="N16" s="620"/>
      <c r="O16" s="620"/>
      <c r="P16" s="621"/>
      <c r="Q16" s="1087"/>
      <c r="R16" s="1088"/>
      <c r="S16" s="1088"/>
      <c r="T16" s="1088"/>
      <c r="U16" s="1088"/>
      <c r="V16" s="1088"/>
      <c r="W16" s="622" t="s">
        <v>561</v>
      </c>
      <c r="Z16" s="623"/>
      <c r="AA16" s="623"/>
      <c r="AB16" s="623"/>
      <c r="AC16" s="623"/>
      <c r="AD16" s="623"/>
      <c r="AE16" s="624"/>
      <c r="AN16" s="580">
        <f>COUNTIFS(様式4別添1!$B$11:$B$60,"&lt;&gt;",様式4別添1!$Y$11:$Y$60,様式4別添1!$Y$80)</f>
        <v>0</v>
      </c>
    </row>
    <row r="17" spans="1:40" ht="18" customHeight="1">
      <c r="B17" s="625" t="s">
        <v>615</v>
      </c>
      <c r="C17" s="626"/>
      <c r="D17" s="626"/>
      <c r="E17" s="626"/>
      <c r="F17" s="626"/>
      <c r="G17" s="626"/>
      <c r="H17" s="626"/>
      <c r="I17" s="626"/>
      <c r="J17" s="626"/>
      <c r="K17" s="626"/>
      <c r="L17" s="626"/>
      <c r="M17" s="626"/>
      <c r="N17" s="626"/>
      <c r="O17" s="626"/>
      <c r="P17" s="627"/>
      <c r="Q17" s="1093"/>
      <c r="R17" s="1094"/>
      <c r="S17" s="1094"/>
      <c r="T17" s="1094"/>
      <c r="U17" s="1094"/>
      <c r="V17" s="1094"/>
      <c r="W17" s="628" t="s">
        <v>561</v>
      </c>
      <c r="AN17" s="580">
        <f>COUNTIFS(様式4別添1!$B$11:$B$60,"&lt;&gt;",様式4別添1!$Y$11:$Y$60,様式4別添1!$Y$81)</f>
        <v>0</v>
      </c>
    </row>
    <row r="18" spans="1:40" ht="34.15" customHeight="1" thickBot="1">
      <c r="B18" s="1095" t="s">
        <v>614</v>
      </c>
      <c r="C18" s="1096"/>
      <c r="D18" s="1096"/>
      <c r="E18" s="1096"/>
      <c r="F18" s="1096"/>
      <c r="G18" s="1096"/>
      <c r="H18" s="1096"/>
      <c r="I18" s="1096"/>
      <c r="J18" s="1096"/>
      <c r="K18" s="1096"/>
      <c r="L18" s="1096"/>
      <c r="M18" s="1096"/>
      <c r="N18" s="1096"/>
      <c r="O18" s="1096"/>
      <c r="P18" s="1097"/>
      <c r="Q18" s="1098"/>
      <c r="R18" s="1099"/>
      <c r="S18" s="1099"/>
      <c r="T18" s="1099"/>
      <c r="U18" s="1099"/>
      <c r="V18" s="1099"/>
      <c r="W18" s="629" t="s">
        <v>561</v>
      </c>
    </row>
    <row r="19" spans="1:40" ht="18" customHeight="1" thickBot="1">
      <c r="B19" s="624"/>
      <c r="C19" s="614"/>
      <c r="D19" s="614"/>
      <c r="E19" s="614"/>
      <c r="F19" s="614"/>
      <c r="G19" s="614"/>
      <c r="H19" s="614"/>
      <c r="I19" s="614"/>
      <c r="J19" s="614"/>
      <c r="K19" s="614"/>
      <c r="L19" s="614"/>
      <c r="M19" s="614"/>
      <c r="N19" s="614"/>
      <c r="O19" s="614"/>
      <c r="P19" s="614"/>
      <c r="Q19" s="614"/>
      <c r="R19" s="614"/>
      <c r="S19" s="614"/>
      <c r="T19" s="614"/>
      <c r="U19" s="614"/>
      <c r="V19" s="614"/>
      <c r="W19" s="614"/>
      <c r="X19" s="614"/>
      <c r="Y19" s="614"/>
      <c r="Z19" s="614"/>
      <c r="AA19" s="601"/>
      <c r="AB19" s="601"/>
      <c r="AC19" s="601"/>
      <c r="AD19" s="601"/>
      <c r="AE19" s="601"/>
      <c r="AF19" s="601"/>
      <c r="AG19" s="601"/>
    </row>
    <row r="20" spans="1:40" ht="18" customHeight="1" thickBot="1">
      <c r="B20" s="943" t="s">
        <v>613</v>
      </c>
      <c r="C20" s="944"/>
      <c r="D20" s="944"/>
      <c r="E20" s="944"/>
      <c r="F20" s="944"/>
      <c r="G20" s="944"/>
      <c r="H20" s="944"/>
      <c r="I20" s="944"/>
      <c r="J20" s="944"/>
      <c r="K20" s="944"/>
      <c r="L20" s="944"/>
      <c r="M20" s="944"/>
      <c r="N20" s="944"/>
      <c r="O20" s="944"/>
      <c r="P20" s="944"/>
      <c r="Q20" s="944"/>
      <c r="R20" s="944"/>
      <c r="S20" s="944"/>
      <c r="T20" s="944"/>
      <c r="U20" s="944"/>
      <c r="V20" s="944"/>
      <c r="W20" s="944"/>
      <c r="X20" s="944"/>
      <c r="Y20" s="944"/>
      <c r="Z20" s="944"/>
      <c r="AA20" s="944"/>
      <c r="AB20" s="944"/>
      <c r="AC20" s="944"/>
      <c r="AD20" s="944"/>
      <c r="AE20" s="944"/>
      <c r="AF20" s="944"/>
      <c r="AG20" s="1046"/>
    </row>
    <row r="21" spans="1:40" ht="18" customHeight="1">
      <c r="B21" s="1047"/>
      <c r="C21" s="1062" t="s">
        <v>612</v>
      </c>
      <c r="D21" s="938"/>
      <c r="E21" s="938"/>
      <c r="F21" s="938"/>
      <c r="G21" s="938"/>
      <c r="H21" s="938"/>
      <c r="I21" s="938"/>
      <c r="J21" s="938"/>
      <c r="K21" s="938"/>
      <c r="L21" s="938"/>
      <c r="M21" s="938"/>
      <c r="N21" s="938"/>
      <c r="O21" s="938"/>
      <c r="P21" s="938"/>
      <c r="Q21" s="938"/>
      <c r="R21" s="938"/>
      <c r="S21" s="938"/>
      <c r="T21" s="938"/>
      <c r="U21" s="938"/>
      <c r="V21" s="938"/>
      <c r="W21" s="938"/>
      <c r="X21" s="938"/>
      <c r="Y21" s="938"/>
      <c r="Z21" s="938"/>
      <c r="AA21" s="1063"/>
      <c r="AB21" s="1064"/>
      <c r="AC21" s="1064"/>
      <c r="AD21" s="1064"/>
      <c r="AE21" s="1064"/>
      <c r="AF21" s="1064"/>
      <c r="AG21" s="1065"/>
    </row>
    <row r="22" spans="1:40" ht="18" customHeight="1" thickBot="1">
      <c r="B22" s="1048"/>
      <c r="C22" s="941"/>
      <c r="D22" s="941"/>
      <c r="E22" s="941"/>
      <c r="F22" s="941"/>
      <c r="G22" s="941"/>
      <c r="H22" s="941"/>
      <c r="I22" s="941"/>
      <c r="J22" s="941"/>
      <c r="K22" s="941"/>
      <c r="L22" s="941"/>
      <c r="M22" s="941"/>
      <c r="N22" s="941"/>
      <c r="O22" s="941"/>
      <c r="P22" s="941"/>
      <c r="Q22" s="941"/>
      <c r="R22" s="941"/>
      <c r="S22" s="941"/>
      <c r="T22" s="941"/>
      <c r="U22" s="941"/>
      <c r="V22" s="941"/>
      <c r="W22" s="941"/>
      <c r="X22" s="941"/>
      <c r="Y22" s="941"/>
      <c r="Z22" s="941"/>
      <c r="AA22" s="1066"/>
      <c r="AB22" s="1067"/>
      <c r="AC22" s="1067"/>
      <c r="AD22" s="1067"/>
      <c r="AE22" s="1067"/>
      <c r="AF22" s="1067"/>
      <c r="AG22" s="1068"/>
    </row>
    <row r="23" spans="1:40" ht="21.6" customHeight="1">
      <c r="B23" s="624"/>
      <c r="C23" s="614"/>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01"/>
      <c r="AB23" s="601"/>
      <c r="AC23" s="601"/>
      <c r="AD23" s="601"/>
      <c r="AE23" s="601"/>
      <c r="AF23" s="601"/>
      <c r="AG23" s="601"/>
    </row>
    <row r="24" spans="1:40" ht="21.75" customHeight="1" thickBot="1">
      <c r="B24" s="580" t="s">
        <v>611</v>
      </c>
      <c r="C24" s="630"/>
      <c r="D24" s="630"/>
      <c r="E24" s="630"/>
      <c r="F24" s="630"/>
      <c r="G24" s="588"/>
      <c r="H24" s="588"/>
      <c r="I24" s="588"/>
      <c r="J24" s="631"/>
      <c r="K24" s="631"/>
      <c r="L24" s="631"/>
      <c r="M24" s="631"/>
      <c r="N24" s="631"/>
      <c r="O24" s="631"/>
      <c r="P24" s="631"/>
      <c r="Q24" s="631"/>
      <c r="R24" s="631"/>
      <c r="S24" s="588"/>
      <c r="T24" s="588"/>
      <c r="U24" s="588"/>
      <c r="V24" s="631"/>
      <c r="W24" s="631"/>
      <c r="X24" s="631"/>
      <c r="Y24" s="631"/>
      <c r="Z24" s="631"/>
      <c r="AA24" s="631"/>
      <c r="AB24" s="631"/>
      <c r="AC24" s="631"/>
      <c r="AD24" s="631"/>
      <c r="AE24" s="588"/>
      <c r="AF24" s="588"/>
      <c r="AG24" s="588"/>
    </row>
    <row r="25" spans="1:40" ht="27.75" customHeight="1" thickBot="1">
      <c r="B25" s="1077" t="s">
        <v>610</v>
      </c>
      <c r="C25" s="1078"/>
      <c r="D25" s="1078"/>
      <c r="E25" s="1078"/>
      <c r="F25" s="1079"/>
      <c r="G25" s="1079"/>
      <c r="H25" s="1079"/>
      <c r="I25" s="1079"/>
      <c r="J25" s="1079"/>
      <c r="K25" s="1079"/>
      <c r="L25" s="1079"/>
      <c r="M25" s="1058">
        <f>IF('3_区分3計算表'!$E$7="あり",SUM('3_区分3計算表'!$F$8,'3_区分3計算表'!J8),'3_区分3計算表'!$F$8)</f>
        <v>0</v>
      </c>
      <c r="N25" s="1059"/>
      <c r="O25" s="1059"/>
      <c r="P25" s="1059"/>
      <c r="Q25" s="1059"/>
      <c r="R25" s="1059"/>
      <c r="S25" s="1059"/>
      <c r="T25" s="1059"/>
      <c r="U25" s="632" t="s">
        <v>561</v>
      </c>
      <c r="V25" s="631"/>
      <c r="W25" s="631"/>
      <c r="X25" s="631"/>
      <c r="Y25" s="631"/>
      <c r="Z25" s="631"/>
      <c r="AA25" s="631"/>
      <c r="AB25" s="631"/>
      <c r="AC25" s="631"/>
      <c r="AD25" s="631"/>
      <c r="AE25" s="588"/>
      <c r="AF25" s="588"/>
      <c r="AG25" s="588"/>
    </row>
    <row r="26" spans="1:40" s="634" customFormat="1" ht="21" customHeight="1">
      <c r="A26" s="633"/>
      <c r="B26" s="1002" t="s">
        <v>609</v>
      </c>
      <c r="C26" s="1003"/>
      <c r="D26" s="1003"/>
      <c r="E26" s="1004"/>
      <c r="F26" s="1060" t="s">
        <v>608</v>
      </c>
      <c r="G26" s="1050"/>
      <c r="H26" s="1050"/>
      <c r="I26" s="1050"/>
      <c r="J26" s="1050"/>
      <c r="K26" s="1050"/>
      <c r="L26" s="1050"/>
      <c r="M26" s="1049" t="s">
        <v>26</v>
      </c>
      <c r="N26" s="1050"/>
      <c r="O26" s="1050"/>
      <c r="P26" s="1050"/>
      <c r="Q26" s="1050"/>
      <c r="R26" s="1050"/>
      <c r="S26" s="1050"/>
      <c r="T26" s="1049" t="s">
        <v>607</v>
      </c>
      <c r="U26" s="1050"/>
      <c r="V26" s="1050"/>
      <c r="W26" s="1050"/>
      <c r="X26" s="1050"/>
      <c r="Y26" s="1050"/>
      <c r="Z26" s="1050"/>
      <c r="AA26" s="1049" t="s">
        <v>606</v>
      </c>
      <c r="AB26" s="1050"/>
      <c r="AC26" s="1050"/>
      <c r="AD26" s="1050"/>
      <c r="AE26" s="1050"/>
      <c r="AF26" s="1050"/>
      <c r="AG26" s="1069"/>
      <c r="AH26" s="633"/>
    </row>
    <row r="27" spans="1:40" s="634" customFormat="1" ht="21" customHeight="1">
      <c r="A27" s="633"/>
      <c r="B27" s="1005"/>
      <c r="C27" s="1006"/>
      <c r="D27" s="1006"/>
      <c r="E27" s="1007"/>
      <c r="F27" s="1051">
        <f>IF('3_区分3計算表'!$E$7="あり",SUM('3_区分3計算表'!$F$12,'3_区分3計算表'!J12),'3_区分3計算表'!$F$12)</f>
        <v>0</v>
      </c>
      <c r="G27" s="989"/>
      <c r="H27" s="989"/>
      <c r="I27" s="989"/>
      <c r="J27" s="989"/>
      <c r="K27" s="989"/>
      <c r="L27" s="985" t="s">
        <v>561</v>
      </c>
      <c r="M27" s="988">
        <f>IF('3_区分3計算表'!$E$7="あり",SUM('3_区分3計算表'!$F$13,'3_区分3計算表'!J13),'3_区分3計算表'!$F$13)</f>
        <v>0</v>
      </c>
      <c r="N27" s="1061"/>
      <c r="O27" s="1061"/>
      <c r="P27" s="1061"/>
      <c r="Q27" s="1061"/>
      <c r="R27" s="1061"/>
      <c r="S27" s="635" t="s">
        <v>561</v>
      </c>
      <c r="T27" s="988">
        <f>IF('3_区分3計算表'!$E$7="あり",SUM('3_区分3計算表'!$F$15,'3_区分3計算表'!J15),'3_区分3計算表'!$F$15)</f>
        <v>0</v>
      </c>
      <c r="U27" s="989"/>
      <c r="V27" s="989"/>
      <c r="W27" s="989"/>
      <c r="X27" s="989"/>
      <c r="Y27" s="989"/>
      <c r="Z27" s="985" t="s">
        <v>561</v>
      </c>
      <c r="AA27" s="988">
        <f>IF('3_区分3計算表'!$E$7="あり",SUM('3_区分3計算表'!$F$17,'3_区分3計算表'!J17),'3_区分3計算表'!$F$17)</f>
        <v>0</v>
      </c>
      <c r="AB27" s="989"/>
      <c r="AC27" s="989"/>
      <c r="AD27" s="989"/>
      <c r="AE27" s="989"/>
      <c r="AF27" s="989"/>
      <c r="AG27" s="994" t="s">
        <v>561</v>
      </c>
      <c r="AH27" s="633"/>
    </row>
    <row r="28" spans="1:40" s="634" customFormat="1" ht="18" customHeight="1">
      <c r="A28" s="633"/>
      <c r="B28" s="1005"/>
      <c r="C28" s="1006"/>
      <c r="D28" s="1006"/>
      <c r="E28" s="1007"/>
      <c r="F28" s="1052"/>
      <c r="G28" s="991"/>
      <c r="H28" s="991"/>
      <c r="I28" s="991"/>
      <c r="J28" s="991"/>
      <c r="K28" s="991"/>
      <c r="L28" s="986"/>
      <c r="M28" s="636"/>
      <c r="N28" s="1055" t="s">
        <v>605</v>
      </c>
      <c r="O28" s="1056"/>
      <c r="P28" s="1056"/>
      <c r="Q28" s="1056"/>
      <c r="R28" s="1056"/>
      <c r="S28" s="1057"/>
      <c r="T28" s="990"/>
      <c r="U28" s="991"/>
      <c r="V28" s="991"/>
      <c r="W28" s="991"/>
      <c r="X28" s="991"/>
      <c r="Y28" s="991"/>
      <c r="Z28" s="986"/>
      <c r="AA28" s="990"/>
      <c r="AB28" s="991"/>
      <c r="AC28" s="991"/>
      <c r="AD28" s="991"/>
      <c r="AE28" s="991"/>
      <c r="AF28" s="991"/>
      <c r="AG28" s="995"/>
      <c r="AH28" s="633"/>
    </row>
    <row r="29" spans="1:40" s="634" customFormat="1" ht="21" customHeight="1" thickBot="1">
      <c r="A29" s="633"/>
      <c r="B29" s="1008"/>
      <c r="C29" s="1009"/>
      <c r="D29" s="1009"/>
      <c r="E29" s="1010"/>
      <c r="F29" s="1053"/>
      <c r="G29" s="993"/>
      <c r="H29" s="993"/>
      <c r="I29" s="993"/>
      <c r="J29" s="993"/>
      <c r="K29" s="993"/>
      <c r="L29" s="987"/>
      <c r="M29" s="637"/>
      <c r="N29" s="1054">
        <f>IF('3_区分3計算表'!$E$7="あり",SUM('3_区分3計算表'!$F$14,'3_区分3計算表'!J14),'3_区分3計算表'!$F$14)</f>
        <v>0</v>
      </c>
      <c r="O29" s="1054"/>
      <c r="P29" s="1054"/>
      <c r="Q29" s="1054"/>
      <c r="R29" s="1054"/>
      <c r="S29" s="638" t="s">
        <v>561</v>
      </c>
      <c r="T29" s="992"/>
      <c r="U29" s="993"/>
      <c r="V29" s="993"/>
      <c r="W29" s="993"/>
      <c r="X29" s="993"/>
      <c r="Y29" s="993"/>
      <c r="Z29" s="987"/>
      <c r="AA29" s="992"/>
      <c r="AB29" s="993"/>
      <c r="AC29" s="993"/>
      <c r="AD29" s="993"/>
      <c r="AE29" s="993"/>
      <c r="AF29" s="993"/>
      <c r="AG29" s="996"/>
      <c r="AH29" s="633"/>
    </row>
    <row r="30" spans="1:40" ht="28.5" customHeight="1">
      <c r="B30" s="857" t="s">
        <v>604</v>
      </c>
      <c r="C30" s="859"/>
      <c r="D30" s="859"/>
      <c r="E30" s="860"/>
      <c r="F30" s="966" t="s">
        <v>603</v>
      </c>
      <c r="G30" s="967"/>
      <c r="H30" s="620" t="s">
        <v>595</v>
      </c>
      <c r="I30" s="639"/>
      <c r="J30" s="639"/>
      <c r="K30" s="640"/>
      <c r="L30" s="640"/>
      <c r="M30" s="640"/>
      <c r="N30" s="640"/>
      <c r="O30" s="640"/>
      <c r="P30" s="640"/>
      <c r="Q30" s="640"/>
      <c r="R30" s="640"/>
      <c r="S30" s="641"/>
      <c r="T30" s="641"/>
      <c r="U30" s="641"/>
      <c r="V30" s="640"/>
      <c r="W30" s="640"/>
      <c r="X30" s="640"/>
      <c r="Y30" s="640"/>
      <c r="Z30" s="640"/>
      <c r="AA30" s="640"/>
      <c r="AB30" s="640"/>
      <c r="AC30" s="640"/>
      <c r="AD30" s="640"/>
      <c r="AE30" s="1022"/>
      <c r="AF30" s="1023"/>
      <c r="AG30" s="1024"/>
    </row>
    <row r="31" spans="1:40" ht="28.5" customHeight="1">
      <c r="B31" s="921"/>
      <c r="C31" s="922"/>
      <c r="D31" s="922"/>
      <c r="E31" s="923"/>
      <c r="F31" s="968"/>
      <c r="G31" s="969"/>
      <c r="H31" s="642" t="s">
        <v>593</v>
      </c>
      <c r="I31" s="642"/>
      <c r="J31" s="642"/>
      <c r="K31" s="643"/>
      <c r="L31" s="643"/>
      <c r="M31" s="643"/>
      <c r="N31" s="643"/>
      <c r="O31" s="643"/>
      <c r="P31" s="643"/>
      <c r="Q31" s="643"/>
      <c r="R31" s="643"/>
      <c r="S31" s="644"/>
      <c r="T31" s="644"/>
      <c r="U31" s="644"/>
      <c r="V31" s="643"/>
      <c r="W31" s="643"/>
      <c r="X31" s="643"/>
      <c r="Y31" s="643"/>
      <c r="Z31" s="643"/>
      <c r="AA31" s="643"/>
      <c r="AB31" s="643"/>
      <c r="AC31" s="643"/>
      <c r="AD31" s="643"/>
      <c r="AE31" s="965"/>
      <c r="AF31" s="958"/>
      <c r="AG31" s="959"/>
    </row>
    <row r="32" spans="1:40" ht="28.5" customHeight="1">
      <c r="B32" s="921"/>
      <c r="C32" s="922"/>
      <c r="D32" s="922"/>
      <c r="E32" s="923"/>
      <c r="F32" s="968"/>
      <c r="G32" s="969"/>
      <c r="H32" s="626" t="s">
        <v>594</v>
      </c>
      <c r="K32" s="631"/>
      <c r="L32" s="631"/>
      <c r="M32" s="631"/>
      <c r="N32" s="631"/>
      <c r="O32" s="631"/>
      <c r="P32" s="631"/>
      <c r="Q32" s="631"/>
      <c r="R32" s="631"/>
      <c r="S32" s="588"/>
      <c r="T32" s="588"/>
      <c r="U32" s="588"/>
      <c r="V32" s="631"/>
      <c r="W32" s="631"/>
      <c r="X32" s="631"/>
      <c r="Y32" s="631"/>
      <c r="Z32" s="631"/>
      <c r="AA32" s="631"/>
      <c r="AB32" s="631"/>
      <c r="AC32" s="631"/>
      <c r="AD32" s="631"/>
      <c r="AE32" s="965"/>
      <c r="AF32" s="958"/>
      <c r="AG32" s="959"/>
    </row>
    <row r="33" spans="2:33" ht="28.5" customHeight="1">
      <c r="B33" s="921"/>
      <c r="C33" s="922"/>
      <c r="D33" s="922"/>
      <c r="E33" s="923"/>
      <c r="F33" s="968"/>
      <c r="G33" s="969"/>
      <c r="H33" s="642" t="s">
        <v>602</v>
      </c>
      <c r="I33" s="642"/>
      <c r="J33" s="642"/>
      <c r="K33" s="643"/>
      <c r="L33" s="643"/>
      <c r="M33" s="643"/>
      <c r="N33" s="643"/>
      <c r="O33" s="643"/>
      <c r="P33" s="643"/>
      <c r="Q33" s="643"/>
      <c r="R33" s="643"/>
      <c r="S33" s="644"/>
      <c r="T33" s="644"/>
      <c r="U33" s="644"/>
      <c r="V33" s="643"/>
      <c r="W33" s="643"/>
      <c r="X33" s="643"/>
      <c r="Y33" s="643"/>
      <c r="Z33" s="643"/>
      <c r="AA33" s="643"/>
      <c r="AB33" s="643"/>
      <c r="AC33" s="643"/>
      <c r="AD33" s="643"/>
      <c r="AE33" s="965"/>
      <c r="AF33" s="958"/>
      <c r="AG33" s="959"/>
    </row>
    <row r="34" spans="2:33" ht="28.5" customHeight="1">
      <c r="B34" s="921"/>
      <c r="C34" s="922"/>
      <c r="D34" s="922"/>
      <c r="E34" s="923"/>
      <c r="F34" s="968"/>
      <c r="G34" s="969"/>
      <c r="H34" s="642" t="s">
        <v>590</v>
      </c>
      <c r="I34" s="642"/>
      <c r="J34" s="642"/>
      <c r="K34" s="643"/>
      <c r="L34" s="643"/>
      <c r="M34" s="643"/>
      <c r="N34" s="643"/>
      <c r="O34" s="643"/>
      <c r="P34" s="643"/>
      <c r="Q34" s="643"/>
      <c r="R34" s="643"/>
      <c r="S34" s="644"/>
      <c r="T34" s="644"/>
      <c r="U34" s="644"/>
      <c r="V34" s="643"/>
      <c r="W34" s="643"/>
      <c r="X34" s="643"/>
      <c r="Y34" s="643"/>
      <c r="Z34" s="643"/>
      <c r="AA34" s="643"/>
      <c r="AB34" s="643"/>
      <c r="AC34" s="643"/>
      <c r="AD34" s="643"/>
      <c r="AE34" s="965"/>
      <c r="AF34" s="958"/>
      <c r="AG34" s="959"/>
    </row>
    <row r="35" spans="2:33" ht="28.5" customHeight="1">
      <c r="B35" s="921"/>
      <c r="C35" s="922"/>
      <c r="D35" s="922"/>
      <c r="E35" s="923"/>
      <c r="F35" s="968"/>
      <c r="G35" s="969"/>
      <c r="H35" s="642" t="s">
        <v>589</v>
      </c>
      <c r="I35" s="642"/>
      <c r="J35" s="642"/>
      <c r="K35" s="643"/>
      <c r="L35" s="643"/>
      <c r="M35" s="643"/>
      <c r="N35" s="643"/>
      <c r="O35" s="643"/>
      <c r="P35" s="643"/>
      <c r="Q35" s="643"/>
      <c r="R35" s="643"/>
      <c r="S35" s="644"/>
      <c r="T35" s="644"/>
      <c r="U35" s="644"/>
      <c r="V35" s="643"/>
      <c r="W35" s="643"/>
      <c r="X35" s="643"/>
      <c r="Y35" s="643"/>
      <c r="Z35" s="643"/>
      <c r="AA35" s="643"/>
      <c r="AB35" s="643"/>
      <c r="AC35" s="643"/>
      <c r="AD35" s="643"/>
      <c r="AE35" s="965"/>
      <c r="AF35" s="958"/>
      <c r="AG35" s="959"/>
    </row>
    <row r="36" spans="2:33" ht="28.5" customHeight="1">
      <c r="B36" s="921"/>
      <c r="C36" s="922"/>
      <c r="D36" s="922"/>
      <c r="E36" s="923"/>
      <c r="F36" s="968"/>
      <c r="G36" s="969"/>
      <c r="H36" s="645" t="s">
        <v>588</v>
      </c>
      <c r="I36" s="645"/>
      <c r="J36" s="645"/>
      <c r="K36" s="646"/>
      <c r="L36" s="646"/>
      <c r="M36" s="646"/>
      <c r="N36" s="643"/>
      <c r="O36" s="642"/>
      <c r="P36" s="647"/>
      <c r="Q36" s="647"/>
      <c r="R36" s="647"/>
      <c r="S36" s="642"/>
      <c r="T36" s="642"/>
      <c r="U36" s="642"/>
      <c r="V36" s="647"/>
      <c r="W36" s="647"/>
      <c r="X36" s="647"/>
      <c r="Y36" s="647"/>
      <c r="Z36" s="647"/>
      <c r="AA36" s="647"/>
      <c r="AB36" s="647"/>
      <c r="AC36" s="647"/>
      <c r="AD36" s="647"/>
      <c r="AE36" s="965"/>
      <c r="AF36" s="958"/>
      <c r="AG36" s="959"/>
    </row>
    <row r="37" spans="2:33" ht="28.5" customHeight="1">
      <c r="B37" s="921"/>
      <c r="C37" s="922"/>
      <c r="D37" s="922"/>
      <c r="E37" s="923"/>
      <c r="F37" s="968"/>
      <c r="G37" s="969"/>
      <c r="H37" s="642" t="s">
        <v>601</v>
      </c>
      <c r="I37" s="642"/>
      <c r="J37" s="642"/>
      <c r="K37" s="643"/>
      <c r="L37" s="643"/>
      <c r="M37" s="643"/>
      <c r="N37" s="643"/>
      <c r="O37" s="643"/>
      <c r="P37" s="643"/>
      <c r="Q37" s="643"/>
      <c r="R37" s="643"/>
      <c r="S37" s="644"/>
      <c r="T37" s="644"/>
      <c r="U37" s="644"/>
      <c r="V37" s="643"/>
      <c r="W37" s="643"/>
      <c r="X37" s="643"/>
      <c r="Y37" s="643"/>
      <c r="Z37" s="643"/>
      <c r="AA37" s="643"/>
      <c r="AB37" s="643"/>
      <c r="AC37" s="643"/>
      <c r="AD37" s="643"/>
      <c r="AE37" s="965"/>
      <c r="AF37" s="958"/>
      <c r="AG37" s="959"/>
    </row>
    <row r="38" spans="2:33" ht="28.5" customHeight="1">
      <c r="B38" s="921"/>
      <c r="C38" s="922"/>
      <c r="D38" s="922"/>
      <c r="E38" s="923"/>
      <c r="F38" s="968"/>
      <c r="G38" s="969"/>
      <c r="H38" s="648" t="s">
        <v>587</v>
      </c>
      <c r="I38" s="642"/>
      <c r="J38" s="642"/>
      <c r="K38" s="643"/>
      <c r="L38" s="643"/>
      <c r="M38" s="643"/>
      <c r="N38" s="643"/>
      <c r="O38" s="643"/>
      <c r="P38" s="643"/>
      <c r="Q38" s="643"/>
      <c r="R38" s="643"/>
      <c r="S38" s="644"/>
      <c r="T38" s="644"/>
      <c r="U38" s="644"/>
      <c r="V38" s="643"/>
      <c r="W38" s="643"/>
      <c r="X38" s="643"/>
      <c r="Y38" s="643"/>
      <c r="Z38" s="643"/>
      <c r="AA38" s="643"/>
      <c r="AB38" s="643"/>
      <c r="AC38" s="643"/>
      <c r="AD38" s="649"/>
      <c r="AE38" s="965"/>
      <c r="AF38" s="958"/>
      <c r="AG38" s="959"/>
    </row>
    <row r="39" spans="2:33" ht="28.5" customHeight="1">
      <c r="B39" s="921"/>
      <c r="C39" s="922"/>
      <c r="D39" s="922"/>
      <c r="E39" s="923"/>
      <c r="F39" s="968"/>
      <c r="G39" s="969"/>
      <c r="H39" s="626" t="s">
        <v>586</v>
      </c>
      <c r="I39" s="626"/>
      <c r="J39" s="626"/>
      <c r="K39" s="650"/>
      <c r="L39" s="650"/>
      <c r="M39" s="650"/>
      <c r="N39" s="650"/>
      <c r="O39" s="650"/>
      <c r="P39" s="650"/>
      <c r="Q39" s="650"/>
      <c r="R39" s="650"/>
      <c r="S39" s="651"/>
      <c r="T39" s="651"/>
      <c r="U39" s="651"/>
      <c r="V39" s="650"/>
      <c r="W39" s="650"/>
      <c r="X39" s="650"/>
      <c r="Y39" s="650"/>
      <c r="Z39" s="650"/>
      <c r="AA39" s="650"/>
      <c r="AB39" s="650"/>
      <c r="AC39" s="650"/>
      <c r="AD39" s="650"/>
      <c r="AE39" s="965"/>
      <c r="AF39" s="958"/>
      <c r="AG39" s="959"/>
    </row>
    <row r="40" spans="2:33" ht="28.5" customHeight="1">
      <c r="B40" s="921"/>
      <c r="C40" s="922"/>
      <c r="D40" s="922"/>
      <c r="E40" s="923"/>
      <c r="F40" s="968"/>
      <c r="G40" s="969"/>
      <c r="H40" s="652" t="s">
        <v>585</v>
      </c>
      <c r="I40" s="645"/>
      <c r="J40" s="645"/>
      <c r="K40" s="646"/>
      <c r="L40" s="646"/>
      <c r="M40" s="646"/>
      <c r="N40" s="646"/>
      <c r="O40" s="646"/>
      <c r="P40" s="646"/>
      <c r="Q40" s="646"/>
      <c r="R40" s="646"/>
      <c r="S40" s="653"/>
      <c r="T40" s="653"/>
      <c r="U40" s="653"/>
      <c r="V40" s="646"/>
      <c r="W40" s="646"/>
      <c r="X40" s="646"/>
      <c r="Y40" s="646"/>
      <c r="Z40" s="646"/>
      <c r="AA40" s="646"/>
      <c r="AB40" s="646"/>
      <c r="AC40" s="646"/>
      <c r="AD40" s="646"/>
      <c r="AE40" s="960"/>
      <c r="AF40" s="961"/>
      <c r="AG40" s="962"/>
    </row>
    <row r="41" spans="2:33" ht="28.5" customHeight="1">
      <c r="B41" s="921"/>
      <c r="C41" s="922"/>
      <c r="D41" s="922"/>
      <c r="E41" s="923"/>
      <c r="F41" s="968"/>
      <c r="G41" s="969"/>
      <c r="H41" s="648" t="s">
        <v>573</v>
      </c>
      <c r="I41" s="642"/>
      <c r="J41" s="642"/>
      <c r="K41" s="643"/>
      <c r="L41" s="643"/>
      <c r="M41" s="643"/>
      <c r="N41" s="643"/>
      <c r="O41" s="643"/>
      <c r="P41" s="643"/>
      <c r="Q41" s="643"/>
      <c r="R41" s="643"/>
      <c r="S41" s="644"/>
      <c r="T41" s="644"/>
      <c r="U41" s="644"/>
      <c r="V41" s="643"/>
      <c r="W41" s="643"/>
      <c r="X41" s="643"/>
      <c r="Y41" s="643"/>
      <c r="Z41" s="643"/>
      <c r="AA41" s="643"/>
      <c r="AB41" s="643"/>
      <c r="AC41" s="643"/>
      <c r="AD41" s="643"/>
      <c r="AE41" s="965"/>
      <c r="AF41" s="958"/>
      <c r="AG41" s="959"/>
    </row>
    <row r="42" spans="2:33" ht="28.5" customHeight="1">
      <c r="B42" s="921"/>
      <c r="C42" s="922"/>
      <c r="D42" s="922"/>
      <c r="E42" s="923"/>
      <c r="F42" s="968"/>
      <c r="G42" s="969"/>
      <c r="H42" s="654" t="s">
        <v>584</v>
      </c>
      <c r="I42" s="626"/>
      <c r="J42" s="626"/>
      <c r="K42" s="650"/>
      <c r="L42" s="650"/>
      <c r="M42" s="650"/>
      <c r="N42" s="650"/>
      <c r="O42" s="650"/>
      <c r="P42" s="650"/>
      <c r="Q42" s="650"/>
      <c r="R42" s="650"/>
      <c r="S42" s="651"/>
      <c r="T42" s="651"/>
      <c r="U42" s="651"/>
      <c r="V42" s="650"/>
      <c r="W42" s="650"/>
      <c r="X42" s="650"/>
      <c r="Y42" s="650"/>
      <c r="Z42" s="650"/>
      <c r="AA42" s="650"/>
      <c r="AB42" s="650"/>
      <c r="AC42" s="650"/>
      <c r="AD42" s="650"/>
      <c r="AE42" s="1025"/>
      <c r="AF42" s="973"/>
      <c r="AG42" s="974"/>
    </row>
    <row r="43" spans="2:33" ht="28.5" customHeight="1" thickBot="1">
      <c r="B43" s="924"/>
      <c r="C43" s="925"/>
      <c r="D43" s="925"/>
      <c r="E43" s="926"/>
      <c r="F43" s="1014"/>
      <c r="G43" s="1015"/>
      <c r="H43" s="655" t="s">
        <v>582</v>
      </c>
      <c r="I43" s="656"/>
      <c r="J43" s="656"/>
      <c r="K43" s="657"/>
      <c r="L43" s="657"/>
      <c r="M43" s="657"/>
      <c r="N43" s="657"/>
      <c r="O43" s="657"/>
      <c r="P43" s="657"/>
      <c r="Q43" s="657"/>
      <c r="R43" s="657"/>
      <c r="S43" s="658"/>
      <c r="T43" s="658"/>
      <c r="U43" s="658"/>
      <c r="V43" s="657"/>
      <c r="W43" s="657"/>
      <c r="X43" s="657"/>
      <c r="Y43" s="657"/>
      <c r="Z43" s="657"/>
      <c r="AA43" s="657"/>
      <c r="AB43" s="657"/>
      <c r="AC43" s="657"/>
      <c r="AD43" s="657"/>
      <c r="AE43" s="1038"/>
      <c r="AF43" s="1012"/>
      <c r="AG43" s="1013"/>
    </row>
    <row r="44" spans="2:33" s="624" customFormat="1" ht="9.75" customHeight="1"/>
    <row r="45" spans="2:33" s="624" customFormat="1" ht="9.75" customHeight="1" thickBot="1"/>
    <row r="46" spans="2:33" ht="28.5" customHeight="1">
      <c r="B46" s="857" t="s">
        <v>580</v>
      </c>
      <c r="C46" s="859"/>
      <c r="D46" s="859"/>
      <c r="E46" s="860"/>
      <c r="F46" s="966" t="s">
        <v>600</v>
      </c>
      <c r="G46" s="967"/>
      <c r="H46" s="659" t="s">
        <v>595</v>
      </c>
      <c r="I46" s="620"/>
      <c r="J46" s="620"/>
      <c r="K46" s="660"/>
      <c r="L46" s="660"/>
      <c r="M46" s="660"/>
      <c r="N46" s="660"/>
      <c r="O46" s="660"/>
      <c r="P46" s="660"/>
      <c r="Q46" s="660"/>
      <c r="R46" s="660"/>
      <c r="S46" s="661"/>
      <c r="T46" s="661"/>
      <c r="U46" s="661"/>
      <c r="V46" s="660"/>
      <c r="W46" s="660"/>
      <c r="X46" s="660"/>
      <c r="Y46" s="660"/>
      <c r="Z46" s="660"/>
      <c r="AA46" s="660"/>
      <c r="AB46" s="660"/>
      <c r="AC46" s="660"/>
      <c r="AD46" s="662"/>
      <c r="AE46" s="1043"/>
      <c r="AF46" s="976"/>
      <c r="AG46" s="977"/>
    </row>
    <row r="47" spans="2:33" ht="28.5" customHeight="1">
      <c r="B47" s="921"/>
      <c r="C47" s="922"/>
      <c r="D47" s="922"/>
      <c r="E47" s="923"/>
      <c r="F47" s="968"/>
      <c r="G47" s="969"/>
      <c r="H47" s="626" t="s">
        <v>594</v>
      </c>
      <c r="I47" s="626"/>
      <c r="J47" s="626"/>
      <c r="K47" s="650"/>
      <c r="L47" s="650"/>
      <c r="M47" s="650"/>
      <c r="N47" s="650"/>
      <c r="O47" s="650"/>
      <c r="P47" s="650"/>
      <c r="Q47" s="650"/>
      <c r="R47" s="650"/>
      <c r="S47" s="651"/>
      <c r="T47" s="651"/>
      <c r="U47" s="651"/>
      <c r="V47" s="650"/>
      <c r="W47" s="650"/>
      <c r="X47" s="650"/>
      <c r="Y47" s="650"/>
      <c r="Z47" s="650"/>
      <c r="AA47" s="650"/>
      <c r="AB47" s="650"/>
      <c r="AC47" s="650"/>
      <c r="AD47" s="663"/>
      <c r="AE47" s="972"/>
      <c r="AF47" s="973"/>
      <c r="AG47" s="974"/>
    </row>
    <row r="48" spans="2:33" ht="28.5" customHeight="1">
      <c r="B48" s="921"/>
      <c r="C48" s="922"/>
      <c r="D48" s="922"/>
      <c r="E48" s="923"/>
      <c r="F48" s="968"/>
      <c r="G48" s="969"/>
      <c r="H48" s="626" t="s">
        <v>576</v>
      </c>
      <c r="I48" s="626"/>
      <c r="J48" s="626"/>
      <c r="K48" s="650"/>
      <c r="L48" s="650"/>
      <c r="M48" s="650"/>
      <c r="N48" s="650"/>
      <c r="O48" s="650"/>
      <c r="P48" s="650"/>
      <c r="Q48" s="650"/>
      <c r="R48" s="650"/>
      <c r="S48" s="651"/>
      <c r="T48" s="651"/>
      <c r="U48" s="651"/>
      <c r="V48" s="650"/>
      <c r="W48" s="650"/>
      <c r="X48" s="650"/>
      <c r="Y48" s="650"/>
      <c r="Z48" s="650"/>
      <c r="AA48" s="650"/>
      <c r="AB48" s="650"/>
      <c r="AC48" s="650"/>
      <c r="AD48" s="663"/>
      <c r="AE48" s="972"/>
      <c r="AF48" s="973"/>
      <c r="AG48" s="974"/>
    </row>
    <row r="49" spans="2:33" ht="28.5" customHeight="1">
      <c r="B49" s="921"/>
      <c r="C49" s="922"/>
      <c r="D49" s="922"/>
      <c r="E49" s="923"/>
      <c r="F49" s="968"/>
      <c r="G49" s="969"/>
      <c r="H49" s="626" t="s">
        <v>575</v>
      </c>
      <c r="I49" s="626"/>
      <c r="J49" s="626"/>
      <c r="K49" s="650"/>
      <c r="L49" s="650"/>
      <c r="M49" s="650"/>
      <c r="N49" s="650"/>
      <c r="O49" s="650"/>
      <c r="P49" s="650"/>
      <c r="Q49" s="650"/>
      <c r="R49" s="650"/>
      <c r="S49" s="651"/>
      <c r="T49" s="651"/>
      <c r="U49" s="651"/>
      <c r="V49" s="650"/>
      <c r="W49" s="650"/>
      <c r="X49" s="650"/>
      <c r="Y49" s="650"/>
      <c r="Z49" s="650"/>
      <c r="AA49" s="650"/>
      <c r="AB49" s="650"/>
      <c r="AC49" s="650"/>
      <c r="AD49" s="663"/>
      <c r="AE49" s="972"/>
      <c r="AF49" s="973"/>
      <c r="AG49" s="974"/>
    </row>
    <row r="50" spans="2:33" ht="28.5" customHeight="1">
      <c r="B50" s="921"/>
      <c r="C50" s="922"/>
      <c r="D50" s="922"/>
      <c r="E50" s="923"/>
      <c r="F50" s="968"/>
      <c r="G50" s="969"/>
      <c r="H50" s="642" t="s">
        <v>599</v>
      </c>
      <c r="I50" s="642"/>
      <c r="J50" s="642"/>
      <c r="K50" s="643"/>
      <c r="L50" s="643"/>
      <c r="M50" s="643"/>
      <c r="N50" s="643"/>
      <c r="O50" s="643"/>
      <c r="P50" s="643"/>
      <c r="Q50" s="643"/>
      <c r="R50" s="643"/>
      <c r="S50" s="644"/>
      <c r="T50" s="644"/>
      <c r="U50" s="644"/>
      <c r="V50" s="643"/>
      <c r="W50" s="643"/>
      <c r="X50" s="643"/>
      <c r="Y50" s="643"/>
      <c r="Z50" s="643"/>
      <c r="AA50" s="643"/>
      <c r="AB50" s="643"/>
      <c r="AC50" s="643"/>
      <c r="AD50" s="664"/>
      <c r="AE50" s="957"/>
      <c r="AF50" s="958"/>
      <c r="AG50" s="959"/>
    </row>
    <row r="51" spans="2:33" ht="28.5" customHeight="1">
      <c r="B51" s="921"/>
      <c r="C51" s="922"/>
      <c r="D51" s="922"/>
      <c r="E51" s="923"/>
      <c r="F51" s="968"/>
      <c r="G51" s="969"/>
      <c r="H51" s="642" t="s">
        <v>598</v>
      </c>
      <c r="I51" s="642"/>
      <c r="J51" s="642"/>
      <c r="K51" s="643"/>
      <c r="L51" s="643"/>
      <c r="M51" s="643"/>
      <c r="N51" s="643"/>
      <c r="O51" s="643"/>
      <c r="P51" s="643"/>
      <c r="Q51" s="643"/>
      <c r="R51" s="643"/>
      <c r="S51" s="644"/>
      <c r="T51" s="644"/>
      <c r="U51" s="644"/>
      <c r="V51" s="643"/>
      <c r="W51" s="643"/>
      <c r="X51" s="643"/>
      <c r="Y51" s="643"/>
      <c r="Z51" s="643"/>
      <c r="AA51" s="643"/>
      <c r="AB51" s="643"/>
      <c r="AC51" s="643"/>
      <c r="AD51" s="664"/>
      <c r="AE51" s="957"/>
      <c r="AF51" s="958"/>
      <c r="AG51" s="959"/>
    </row>
    <row r="52" spans="2:33" ht="28.5" customHeight="1">
      <c r="B52" s="921"/>
      <c r="C52" s="922"/>
      <c r="D52" s="922"/>
      <c r="E52" s="923"/>
      <c r="F52" s="968"/>
      <c r="G52" s="969"/>
      <c r="H52" s="642" t="s">
        <v>574</v>
      </c>
      <c r="I52" s="642"/>
      <c r="J52" s="642"/>
      <c r="K52" s="643"/>
      <c r="L52" s="643"/>
      <c r="M52" s="643"/>
      <c r="N52" s="643"/>
      <c r="O52" s="643"/>
      <c r="P52" s="643"/>
      <c r="Q52" s="643"/>
      <c r="R52" s="643"/>
      <c r="S52" s="644"/>
      <c r="T52" s="644"/>
      <c r="U52" s="644"/>
      <c r="V52" s="643"/>
      <c r="W52" s="643"/>
      <c r="X52" s="643"/>
      <c r="Y52" s="643"/>
      <c r="Z52" s="643"/>
      <c r="AA52" s="643"/>
      <c r="AB52" s="643"/>
      <c r="AC52" s="643"/>
      <c r="AD52" s="664"/>
      <c r="AE52" s="957"/>
      <c r="AF52" s="958"/>
      <c r="AG52" s="959"/>
    </row>
    <row r="53" spans="2:33" ht="28.5" customHeight="1">
      <c r="B53" s="921"/>
      <c r="C53" s="922"/>
      <c r="D53" s="922"/>
      <c r="E53" s="923"/>
      <c r="F53" s="968"/>
      <c r="G53" s="969"/>
      <c r="H53" s="645" t="s">
        <v>597</v>
      </c>
      <c r="I53" s="645"/>
      <c r="J53" s="645"/>
      <c r="K53" s="646"/>
      <c r="L53" s="646"/>
      <c r="M53" s="646"/>
      <c r="N53" s="646"/>
      <c r="O53" s="646"/>
      <c r="P53" s="646"/>
      <c r="Q53" s="646"/>
      <c r="R53" s="646"/>
      <c r="S53" s="653"/>
      <c r="T53" s="653"/>
      <c r="U53" s="653"/>
      <c r="V53" s="646"/>
      <c r="W53" s="646"/>
      <c r="X53" s="646"/>
      <c r="Y53" s="646"/>
      <c r="Z53" s="646"/>
      <c r="AA53" s="646"/>
      <c r="AB53" s="646"/>
      <c r="AC53" s="646"/>
      <c r="AD53" s="665"/>
      <c r="AE53" s="957"/>
      <c r="AF53" s="958"/>
      <c r="AG53" s="959"/>
    </row>
    <row r="54" spans="2:33" ht="28.5" customHeight="1" thickBot="1">
      <c r="B54" s="921"/>
      <c r="C54" s="922"/>
      <c r="D54" s="922"/>
      <c r="E54" s="923"/>
      <c r="F54" s="970"/>
      <c r="G54" s="971"/>
      <c r="H54" s="666" t="s">
        <v>573</v>
      </c>
      <c r="I54" s="667"/>
      <c r="J54" s="667"/>
      <c r="K54" s="668"/>
      <c r="L54" s="668"/>
      <c r="M54" s="668"/>
      <c r="N54" s="668"/>
      <c r="O54" s="668"/>
      <c r="P54" s="668"/>
      <c r="Q54" s="668"/>
      <c r="R54" s="668"/>
      <c r="S54" s="669"/>
      <c r="T54" s="669"/>
      <c r="U54" s="669"/>
      <c r="V54" s="668"/>
      <c r="W54" s="668"/>
      <c r="X54" s="668"/>
      <c r="Y54" s="668"/>
      <c r="Z54" s="668"/>
      <c r="AA54" s="668"/>
      <c r="AB54" s="668"/>
      <c r="AC54" s="668"/>
      <c r="AD54" s="670"/>
      <c r="AE54" s="1011"/>
      <c r="AF54" s="1012"/>
      <c r="AG54" s="1013"/>
    </row>
    <row r="55" spans="2:33" ht="28.5" customHeight="1">
      <c r="B55" s="921"/>
      <c r="C55" s="922"/>
      <c r="D55" s="922"/>
      <c r="E55" s="923"/>
      <c r="F55" s="931" t="s">
        <v>596</v>
      </c>
      <c r="G55" s="932"/>
      <c r="H55" s="620" t="s">
        <v>595</v>
      </c>
      <c r="I55" s="620"/>
      <c r="J55" s="620"/>
      <c r="K55" s="660"/>
      <c r="L55" s="660"/>
      <c r="M55" s="660"/>
      <c r="N55" s="660"/>
      <c r="O55" s="660"/>
      <c r="P55" s="660"/>
      <c r="Q55" s="660"/>
      <c r="R55" s="660"/>
      <c r="S55" s="661"/>
      <c r="T55" s="661"/>
      <c r="U55" s="661"/>
      <c r="V55" s="660"/>
      <c r="W55" s="660"/>
      <c r="X55" s="660"/>
      <c r="Y55" s="660"/>
      <c r="Z55" s="660"/>
      <c r="AA55" s="660"/>
      <c r="AB55" s="660"/>
      <c r="AC55" s="660"/>
      <c r="AD55" s="662"/>
      <c r="AE55" s="1041" t="str">
        <f>IF('3_区分3計算表'!$E27="あり","有","無")</f>
        <v>無</v>
      </c>
      <c r="AF55" s="1041"/>
      <c r="AG55" s="1042"/>
    </row>
    <row r="56" spans="2:33" ht="28.5" customHeight="1">
      <c r="B56" s="921"/>
      <c r="C56" s="922"/>
      <c r="D56" s="922"/>
      <c r="E56" s="923"/>
      <c r="F56" s="933"/>
      <c r="G56" s="934"/>
      <c r="H56" s="648" t="s">
        <v>594</v>
      </c>
      <c r="I56" s="642"/>
      <c r="J56" s="642"/>
      <c r="K56" s="643"/>
      <c r="L56" s="643"/>
      <c r="M56" s="643"/>
      <c r="N56" s="643"/>
      <c r="O56" s="643"/>
      <c r="P56" s="643"/>
      <c r="Q56" s="643"/>
      <c r="R56" s="643"/>
      <c r="S56" s="644"/>
      <c r="T56" s="644"/>
      <c r="U56" s="644"/>
      <c r="V56" s="643"/>
      <c r="W56" s="643"/>
      <c r="X56" s="643"/>
      <c r="Y56" s="643"/>
      <c r="Z56" s="643"/>
      <c r="AA56" s="643"/>
      <c r="AB56" s="643"/>
      <c r="AC56" s="643"/>
      <c r="AD56" s="664"/>
      <c r="AE56" s="929" t="str">
        <f>IF('3_区分3計算表'!$E25="あり","有","無")</f>
        <v>無</v>
      </c>
      <c r="AF56" s="929"/>
      <c r="AG56" s="930"/>
    </row>
    <row r="57" spans="2:33" ht="28.5" customHeight="1">
      <c r="B57" s="921"/>
      <c r="C57" s="922"/>
      <c r="D57" s="922"/>
      <c r="E57" s="923"/>
      <c r="F57" s="933"/>
      <c r="G57" s="934"/>
      <c r="H57" s="626" t="s">
        <v>576</v>
      </c>
      <c r="I57" s="626"/>
      <c r="J57" s="626"/>
      <c r="K57" s="650"/>
      <c r="L57" s="650"/>
      <c r="M57" s="650"/>
      <c r="N57" s="650"/>
      <c r="O57" s="650"/>
      <c r="P57" s="650"/>
      <c r="Q57" s="650"/>
      <c r="R57" s="650"/>
      <c r="S57" s="651"/>
      <c r="T57" s="651"/>
      <c r="U57" s="651"/>
      <c r="V57" s="650"/>
      <c r="W57" s="650"/>
      <c r="X57" s="650"/>
      <c r="Y57" s="650"/>
      <c r="Z57" s="650"/>
      <c r="AA57" s="650"/>
      <c r="AB57" s="650"/>
      <c r="AC57" s="650"/>
      <c r="AD57" s="663"/>
      <c r="AE57" s="1044" t="str">
        <f>IF('3_区分3計算表'!$E30="あり","有","無")</f>
        <v>無</v>
      </c>
      <c r="AF57" s="1044"/>
      <c r="AG57" s="1045"/>
    </row>
    <row r="58" spans="2:33" ht="28.5" customHeight="1">
      <c r="B58" s="921"/>
      <c r="C58" s="922"/>
      <c r="D58" s="922"/>
      <c r="E58" s="923"/>
      <c r="F58" s="933"/>
      <c r="G58" s="934"/>
      <c r="H58" s="642" t="s">
        <v>593</v>
      </c>
      <c r="I58" s="642"/>
      <c r="J58" s="642"/>
      <c r="K58" s="643"/>
      <c r="L58" s="643"/>
      <c r="M58" s="643"/>
      <c r="N58" s="643"/>
      <c r="O58" s="643"/>
      <c r="P58" s="643"/>
      <c r="Q58" s="643"/>
      <c r="R58" s="643"/>
      <c r="S58" s="644"/>
      <c r="T58" s="644"/>
      <c r="U58" s="644"/>
      <c r="V58" s="643"/>
      <c r="W58" s="643"/>
      <c r="X58" s="643"/>
      <c r="Y58" s="643"/>
      <c r="Z58" s="643"/>
      <c r="AA58" s="643"/>
      <c r="AB58" s="643"/>
      <c r="AC58" s="643"/>
      <c r="AD58" s="664"/>
      <c r="AE58" s="929" t="str">
        <f>IF('3_区分3計算表'!$E28="あり","有","無")</f>
        <v>無</v>
      </c>
      <c r="AF58" s="929"/>
      <c r="AG58" s="930"/>
    </row>
    <row r="59" spans="2:33" ht="28.5" customHeight="1">
      <c r="B59" s="921"/>
      <c r="C59" s="922"/>
      <c r="D59" s="922"/>
      <c r="E59" s="923"/>
      <c r="F59" s="933"/>
      <c r="G59" s="934"/>
      <c r="H59" s="626" t="s">
        <v>575</v>
      </c>
      <c r="I59" s="626"/>
      <c r="J59" s="626"/>
      <c r="K59" s="650"/>
      <c r="L59" s="650"/>
      <c r="M59" s="650"/>
      <c r="N59" s="650"/>
      <c r="O59" s="650"/>
      <c r="P59" s="650"/>
      <c r="Q59" s="650"/>
      <c r="R59" s="650"/>
      <c r="S59" s="651"/>
      <c r="T59" s="651"/>
      <c r="U59" s="651"/>
      <c r="V59" s="650"/>
      <c r="W59" s="650"/>
      <c r="X59" s="650"/>
      <c r="Y59" s="650"/>
      <c r="Z59" s="650"/>
      <c r="AA59" s="650"/>
      <c r="AB59" s="650"/>
      <c r="AC59" s="650"/>
      <c r="AD59" s="663"/>
      <c r="AE59" s="929" t="str">
        <f>IF('3_区分3計算表'!$E35="あり","有","無")</f>
        <v>無</v>
      </c>
      <c r="AF59" s="929"/>
      <c r="AG59" s="930"/>
    </row>
    <row r="60" spans="2:33" ht="28.5" customHeight="1">
      <c r="B60" s="921"/>
      <c r="C60" s="922"/>
      <c r="D60" s="922"/>
      <c r="E60" s="923"/>
      <c r="F60" s="933"/>
      <c r="G60" s="934"/>
      <c r="H60" s="626" t="s">
        <v>592</v>
      </c>
      <c r="I60" s="626"/>
      <c r="J60" s="626"/>
      <c r="K60" s="650"/>
      <c r="L60" s="650"/>
      <c r="M60" s="650"/>
      <c r="N60" s="650"/>
      <c r="O60" s="650"/>
      <c r="P60" s="650"/>
      <c r="Q60" s="650"/>
      <c r="R60" s="650"/>
      <c r="S60" s="651"/>
      <c r="T60" s="651"/>
      <c r="U60" s="651"/>
      <c r="V60" s="650"/>
      <c r="W60" s="650"/>
      <c r="X60" s="650"/>
      <c r="Y60" s="650"/>
      <c r="Z60" s="650"/>
      <c r="AA60" s="650"/>
      <c r="AB60" s="650"/>
      <c r="AC60" s="650"/>
      <c r="AD60" s="663"/>
      <c r="AE60" s="929" t="str">
        <f>IF('3_区分3計算表'!$E36="あり","有","無")</f>
        <v>無</v>
      </c>
      <c r="AF60" s="929"/>
      <c r="AG60" s="930"/>
    </row>
    <row r="61" spans="2:33" ht="28.5" customHeight="1">
      <c r="B61" s="921"/>
      <c r="C61" s="922"/>
      <c r="D61" s="922"/>
      <c r="E61" s="923"/>
      <c r="F61" s="933"/>
      <c r="G61" s="934"/>
      <c r="H61" s="642" t="s">
        <v>591</v>
      </c>
      <c r="I61" s="642"/>
      <c r="J61" s="642"/>
      <c r="K61" s="643"/>
      <c r="L61" s="643"/>
      <c r="M61" s="643"/>
      <c r="N61" s="643"/>
      <c r="O61" s="643"/>
      <c r="P61" s="643"/>
      <c r="Q61" s="643"/>
      <c r="R61" s="643"/>
      <c r="S61" s="644"/>
      <c r="T61" s="644"/>
      <c r="U61" s="644"/>
      <c r="V61" s="643"/>
      <c r="W61" s="643"/>
      <c r="X61" s="643"/>
      <c r="Y61" s="643"/>
      <c r="Z61" s="643"/>
      <c r="AA61" s="643"/>
      <c r="AB61" s="643"/>
      <c r="AC61" s="643"/>
      <c r="AD61" s="664"/>
      <c r="AE61" s="929" t="str">
        <f>IF('3_区分3計算表'!$E37="あり","有","無")</f>
        <v>無</v>
      </c>
      <c r="AF61" s="929"/>
      <c r="AG61" s="930"/>
    </row>
    <row r="62" spans="2:33" ht="28.5" customHeight="1">
      <c r="B62" s="921"/>
      <c r="C62" s="922"/>
      <c r="D62" s="922"/>
      <c r="E62" s="923"/>
      <c r="F62" s="933"/>
      <c r="G62" s="934"/>
      <c r="H62" s="642" t="s">
        <v>590</v>
      </c>
      <c r="I62" s="642"/>
      <c r="J62" s="642"/>
      <c r="K62" s="643"/>
      <c r="L62" s="643"/>
      <c r="M62" s="643"/>
      <c r="N62" s="643"/>
      <c r="O62" s="643"/>
      <c r="P62" s="643"/>
      <c r="Q62" s="643"/>
      <c r="R62" s="643"/>
      <c r="S62" s="644"/>
      <c r="T62" s="644"/>
      <c r="U62" s="644"/>
      <c r="V62" s="643"/>
      <c r="W62" s="643"/>
      <c r="X62" s="643"/>
      <c r="Y62" s="643"/>
      <c r="Z62" s="643"/>
      <c r="AA62" s="643"/>
      <c r="AB62" s="643"/>
      <c r="AC62" s="643"/>
      <c r="AD62" s="664"/>
      <c r="AE62" s="929" t="str">
        <f>IF('3_区分3計算表'!$E38="あり","有","無")</f>
        <v>無</v>
      </c>
      <c r="AF62" s="929"/>
      <c r="AG62" s="930"/>
    </row>
    <row r="63" spans="2:33" ht="28.5" customHeight="1">
      <c r="B63" s="921"/>
      <c r="C63" s="922"/>
      <c r="D63" s="922"/>
      <c r="E63" s="923"/>
      <c r="F63" s="933"/>
      <c r="G63" s="934"/>
      <c r="H63" s="642" t="s">
        <v>589</v>
      </c>
      <c r="I63" s="642"/>
      <c r="J63" s="642"/>
      <c r="K63" s="643"/>
      <c r="L63" s="643"/>
      <c r="M63" s="643"/>
      <c r="N63" s="643"/>
      <c r="O63" s="643"/>
      <c r="P63" s="643"/>
      <c r="Q63" s="643"/>
      <c r="R63" s="643"/>
      <c r="S63" s="644"/>
      <c r="T63" s="644"/>
      <c r="U63" s="644"/>
      <c r="V63" s="643"/>
      <c r="W63" s="643"/>
      <c r="X63" s="643"/>
      <c r="Y63" s="643"/>
      <c r="Z63" s="643"/>
      <c r="AA63" s="643"/>
      <c r="AB63" s="643"/>
      <c r="AC63" s="643"/>
      <c r="AD63" s="664"/>
      <c r="AE63" s="929" t="str">
        <f>IF('3_区分3計算表'!$E39="あり","有","無")</f>
        <v>無</v>
      </c>
      <c r="AF63" s="929"/>
      <c r="AG63" s="930"/>
    </row>
    <row r="64" spans="2:33" ht="28.5" customHeight="1">
      <c r="B64" s="921"/>
      <c r="C64" s="922"/>
      <c r="D64" s="922"/>
      <c r="E64" s="923"/>
      <c r="F64" s="933"/>
      <c r="G64" s="934"/>
      <c r="H64" s="645" t="s">
        <v>588</v>
      </c>
      <c r="I64" s="645"/>
      <c r="J64" s="645"/>
      <c r="K64" s="646"/>
      <c r="L64" s="646"/>
      <c r="M64" s="646"/>
      <c r="N64" s="646"/>
      <c r="O64" s="642"/>
      <c r="P64" s="647"/>
      <c r="Q64" s="647"/>
      <c r="R64" s="647"/>
      <c r="S64" s="642"/>
      <c r="T64" s="642"/>
      <c r="U64" s="642"/>
      <c r="V64" s="647"/>
      <c r="W64" s="647"/>
      <c r="X64" s="647"/>
      <c r="Y64" s="647"/>
      <c r="Z64" s="647"/>
      <c r="AA64" s="647"/>
      <c r="AB64" s="647"/>
      <c r="AC64" s="647"/>
      <c r="AD64" s="671"/>
      <c r="AE64" s="929" t="str">
        <f>IF('3_区分3計算表'!$E40="あり","有","無")</f>
        <v>無</v>
      </c>
      <c r="AF64" s="929"/>
      <c r="AG64" s="930"/>
    </row>
    <row r="65" spans="2:34" ht="28.5" customHeight="1">
      <c r="B65" s="921"/>
      <c r="C65" s="922"/>
      <c r="D65" s="922"/>
      <c r="E65" s="923"/>
      <c r="F65" s="933"/>
      <c r="G65" s="934"/>
      <c r="H65" s="642" t="s">
        <v>574</v>
      </c>
      <c r="I65" s="642"/>
      <c r="J65" s="642"/>
      <c r="K65" s="643"/>
      <c r="L65" s="643"/>
      <c r="M65" s="643"/>
      <c r="N65" s="643"/>
      <c r="O65" s="643"/>
      <c r="P65" s="643"/>
      <c r="Q65" s="643"/>
      <c r="R65" s="643"/>
      <c r="S65" s="644"/>
      <c r="T65" s="644"/>
      <c r="U65" s="644"/>
      <c r="V65" s="643"/>
      <c r="W65" s="643"/>
      <c r="X65" s="643"/>
      <c r="Y65" s="643"/>
      <c r="Z65" s="643"/>
      <c r="AA65" s="643"/>
      <c r="AB65" s="643"/>
      <c r="AC65" s="643"/>
      <c r="AD65" s="664"/>
      <c r="AE65" s="929" t="str">
        <f>IF('3_区分3計算表'!$E41="あり","有","無")</f>
        <v>無</v>
      </c>
      <c r="AF65" s="929"/>
      <c r="AG65" s="930"/>
    </row>
    <row r="66" spans="2:34" ht="28.5" customHeight="1">
      <c r="B66" s="921"/>
      <c r="C66" s="922"/>
      <c r="D66" s="922"/>
      <c r="E66" s="923"/>
      <c r="F66" s="933"/>
      <c r="G66" s="934"/>
      <c r="H66" s="642" t="s">
        <v>587</v>
      </c>
      <c r="I66" s="645"/>
      <c r="J66" s="645"/>
      <c r="K66" s="646"/>
      <c r="L66" s="646"/>
      <c r="M66" s="646"/>
      <c r="N66" s="646"/>
      <c r="O66" s="646"/>
      <c r="P66" s="646"/>
      <c r="Q66" s="646"/>
      <c r="R66" s="646"/>
      <c r="S66" s="653"/>
      <c r="T66" s="653"/>
      <c r="U66" s="653"/>
      <c r="V66" s="646"/>
      <c r="W66" s="646"/>
      <c r="X66" s="646"/>
      <c r="Y66" s="646"/>
      <c r="Z66" s="646"/>
      <c r="AA66" s="646"/>
      <c r="AB66" s="646"/>
      <c r="AC66" s="646"/>
      <c r="AD66" s="665"/>
      <c r="AE66" s="929" t="str">
        <f>IF('3_区分3計算表'!$E42="あり","有","無")</f>
        <v>無</v>
      </c>
      <c r="AF66" s="929"/>
      <c r="AG66" s="930"/>
    </row>
    <row r="67" spans="2:34" ht="28.5" customHeight="1">
      <c r="B67" s="921"/>
      <c r="C67" s="922"/>
      <c r="D67" s="922"/>
      <c r="E67" s="923"/>
      <c r="F67" s="933"/>
      <c r="G67" s="934"/>
      <c r="H67" s="642" t="s">
        <v>586</v>
      </c>
      <c r="I67" s="642"/>
      <c r="J67" s="642"/>
      <c r="K67" s="643"/>
      <c r="L67" s="643"/>
      <c r="M67" s="643"/>
      <c r="N67" s="643"/>
      <c r="O67" s="643"/>
      <c r="P67" s="643"/>
      <c r="Q67" s="643"/>
      <c r="R67" s="643"/>
      <c r="S67" s="644"/>
      <c r="T67" s="644"/>
      <c r="U67" s="644"/>
      <c r="V67" s="643"/>
      <c r="W67" s="643"/>
      <c r="X67" s="643"/>
      <c r="Y67" s="643"/>
      <c r="Z67" s="643"/>
      <c r="AA67" s="643"/>
      <c r="AB67" s="643"/>
      <c r="AC67" s="643"/>
      <c r="AD67" s="664"/>
      <c r="AE67" s="929" t="str">
        <f>IF('3_区分3計算表'!$E43="あり","有","無")</f>
        <v>無</v>
      </c>
      <c r="AF67" s="929"/>
      <c r="AG67" s="930"/>
    </row>
    <row r="68" spans="2:34" ht="28.5" customHeight="1">
      <c r="B68" s="921"/>
      <c r="C68" s="922"/>
      <c r="D68" s="922"/>
      <c r="E68" s="923"/>
      <c r="F68" s="933"/>
      <c r="G68" s="934"/>
      <c r="H68" s="642" t="s">
        <v>585</v>
      </c>
      <c r="I68" s="645"/>
      <c r="J68" s="645"/>
      <c r="K68" s="646"/>
      <c r="L68" s="646"/>
      <c r="M68" s="646"/>
      <c r="N68" s="646"/>
      <c r="O68" s="646"/>
      <c r="P68" s="646"/>
      <c r="Q68" s="646"/>
      <c r="R68" s="646"/>
      <c r="S68" s="653"/>
      <c r="T68" s="653"/>
      <c r="U68" s="653"/>
      <c r="V68" s="646"/>
      <c r="W68" s="646"/>
      <c r="X68" s="646"/>
      <c r="Y68" s="646"/>
      <c r="Z68" s="646"/>
      <c r="AA68" s="646"/>
      <c r="AB68" s="646"/>
      <c r="AC68" s="646"/>
      <c r="AD68" s="665"/>
      <c r="AE68" s="929" t="str">
        <f>IF('3_区分3計算表'!$E44="あり","有","無")</f>
        <v>無</v>
      </c>
      <c r="AF68" s="929"/>
      <c r="AG68" s="930"/>
    </row>
    <row r="69" spans="2:34" ht="28.5" customHeight="1">
      <c r="B69" s="921"/>
      <c r="C69" s="922"/>
      <c r="D69" s="922"/>
      <c r="E69" s="923"/>
      <c r="F69" s="933"/>
      <c r="G69" s="934"/>
      <c r="H69" s="645" t="s">
        <v>573</v>
      </c>
      <c r="I69" s="645"/>
      <c r="J69" s="645"/>
      <c r="K69" s="646"/>
      <c r="L69" s="646"/>
      <c r="M69" s="646"/>
      <c r="N69" s="646"/>
      <c r="O69" s="646"/>
      <c r="P69" s="646"/>
      <c r="Q69" s="646"/>
      <c r="R69" s="646"/>
      <c r="S69" s="653"/>
      <c r="T69" s="653"/>
      <c r="U69" s="653"/>
      <c r="V69" s="646"/>
      <c r="W69" s="646"/>
      <c r="X69" s="646"/>
      <c r="Y69" s="646"/>
      <c r="Z69" s="646"/>
      <c r="AA69" s="646"/>
      <c r="AB69" s="646"/>
      <c r="AC69" s="646"/>
      <c r="AD69" s="665"/>
      <c r="AE69" s="963" t="str">
        <f>IF('3_区分3計算表'!$E45="あり","有","無")</f>
        <v>無</v>
      </c>
      <c r="AF69" s="963"/>
      <c r="AG69" s="964"/>
    </row>
    <row r="70" spans="2:34" ht="28.5" customHeight="1">
      <c r="B70" s="921"/>
      <c r="C70" s="922"/>
      <c r="D70" s="922"/>
      <c r="E70" s="923"/>
      <c r="F70" s="933"/>
      <c r="G70" s="934"/>
      <c r="H70" s="648" t="s">
        <v>584</v>
      </c>
      <c r="I70" s="642"/>
      <c r="J70" s="642"/>
      <c r="K70" s="643"/>
      <c r="L70" s="643"/>
      <c r="M70" s="643"/>
      <c r="N70" s="643"/>
      <c r="O70" s="643"/>
      <c r="P70" s="643"/>
      <c r="Q70" s="643"/>
      <c r="R70" s="643"/>
      <c r="S70" s="644"/>
      <c r="T70" s="644"/>
      <c r="U70" s="644"/>
      <c r="V70" s="643"/>
      <c r="W70" s="643"/>
      <c r="X70" s="643"/>
      <c r="Y70" s="643"/>
      <c r="Z70" s="643"/>
      <c r="AA70" s="643"/>
      <c r="AB70" s="643"/>
      <c r="AC70" s="643"/>
      <c r="AD70" s="664"/>
      <c r="AE70" s="929" t="str">
        <f>IF('3_区分3計算表'!$E46="あり","有","無")</f>
        <v>無</v>
      </c>
      <c r="AF70" s="929"/>
      <c r="AG70" s="930"/>
    </row>
    <row r="71" spans="2:34" ht="28.5" customHeight="1">
      <c r="B71" s="921"/>
      <c r="C71" s="922"/>
      <c r="D71" s="922"/>
      <c r="E71" s="923"/>
      <c r="F71" s="933"/>
      <c r="G71" s="934"/>
      <c r="H71" s="1030" t="s">
        <v>583</v>
      </c>
      <c r="I71" s="1031"/>
      <c r="J71" s="1031"/>
      <c r="K71" s="1031"/>
      <c r="L71" s="1031"/>
      <c r="M71" s="1031"/>
      <c r="N71" s="1031"/>
      <c r="O71" s="1031"/>
      <c r="P71" s="1031"/>
      <c r="Q71" s="1031"/>
      <c r="R71" s="1031"/>
      <c r="S71" s="1031"/>
      <c r="T71" s="1031"/>
      <c r="U71" s="1031"/>
      <c r="V71" s="1031"/>
      <c r="W71" s="1031"/>
      <c r="X71" s="1031"/>
      <c r="Y71" s="1031"/>
      <c r="Z71" s="1031"/>
      <c r="AA71" s="1031"/>
      <c r="AB71" s="1031"/>
      <c r="AC71" s="1031"/>
      <c r="AD71" s="1032"/>
      <c r="AE71" s="929" t="str">
        <f>IF('3_区分3計算表'!$E47="該当","有","無")</f>
        <v>無</v>
      </c>
      <c r="AF71" s="929"/>
      <c r="AG71" s="930"/>
    </row>
    <row r="72" spans="2:34" ht="28.5" customHeight="1">
      <c r="B72" s="921"/>
      <c r="C72" s="922"/>
      <c r="D72" s="922"/>
      <c r="E72" s="923"/>
      <c r="F72" s="935"/>
      <c r="G72" s="936"/>
      <c r="H72" s="666" t="s">
        <v>582</v>
      </c>
      <c r="I72" s="667"/>
      <c r="J72" s="667"/>
      <c r="K72" s="668"/>
      <c r="L72" s="668"/>
      <c r="M72" s="668"/>
      <c r="N72" s="668"/>
      <c r="O72" s="668"/>
      <c r="P72" s="668"/>
      <c r="Q72" s="668"/>
      <c r="R72" s="668"/>
      <c r="S72" s="669"/>
      <c r="T72" s="669"/>
      <c r="U72" s="669"/>
      <c r="V72" s="668"/>
      <c r="W72" s="668"/>
      <c r="X72" s="668"/>
      <c r="Y72" s="668"/>
      <c r="Z72" s="668"/>
      <c r="AA72" s="668"/>
      <c r="AB72" s="668"/>
      <c r="AC72" s="668"/>
      <c r="AD72" s="670"/>
      <c r="AE72" s="927" t="str">
        <f>IF('3_区分3計算表'!$E48="該当","有","無")</f>
        <v>無</v>
      </c>
      <c r="AF72" s="927"/>
      <c r="AG72" s="928"/>
    </row>
    <row r="73" spans="2:34" ht="28.5" customHeight="1">
      <c r="B73" s="921"/>
      <c r="C73" s="922"/>
      <c r="D73" s="922"/>
      <c r="E73" s="923"/>
      <c r="F73" s="953" t="s">
        <v>581</v>
      </c>
      <c r="G73" s="954"/>
      <c r="H73" s="654" t="s">
        <v>577</v>
      </c>
      <c r="I73" s="626"/>
      <c r="J73" s="626"/>
      <c r="K73" s="650"/>
      <c r="L73" s="650"/>
      <c r="M73" s="650"/>
      <c r="N73" s="650"/>
      <c r="O73" s="650"/>
      <c r="P73" s="650"/>
      <c r="Q73" s="650"/>
      <c r="R73" s="650"/>
      <c r="S73" s="651"/>
      <c r="T73" s="651"/>
      <c r="U73" s="651"/>
      <c r="V73" s="650"/>
      <c r="W73" s="650"/>
      <c r="X73" s="650"/>
      <c r="Y73" s="650"/>
      <c r="Z73" s="650"/>
      <c r="AA73" s="650"/>
      <c r="AB73" s="650"/>
      <c r="AC73" s="650"/>
      <c r="AD73" s="663"/>
      <c r="AE73" s="1016"/>
      <c r="AF73" s="1017"/>
      <c r="AG73" s="1018"/>
    </row>
    <row r="74" spans="2:34" ht="28.5" customHeight="1">
      <c r="B74" s="921"/>
      <c r="C74" s="922"/>
      <c r="D74" s="922"/>
      <c r="E74" s="923"/>
      <c r="F74" s="933"/>
      <c r="G74" s="934"/>
      <c r="H74" s="654" t="s">
        <v>576</v>
      </c>
      <c r="I74" s="626"/>
      <c r="J74" s="626"/>
      <c r="K74" s="650"/>
      <c r="L74" s="650"/>
      <c r="M74" s="650"/>
      <c r="N74" s="650"/>
      <c r="O74" s="650"/>
      <c r="P74" s="650"/>
      <c r="Q74" s="650"/>
      <c r="R74" s="650"/>
      <c r="S74" s="651"/>
      <c r="T74" s="651"/>
      <c r="U74" s="651"/>
      <c r="V74" s="650"/>
      <c r="W74" s="650"/>
      <c r="X74" s="650"/>
      <c r="Y74" s="650"/>
      <c r="Z74" s="650"/>
      <c r="AA74" s="650"/>
      <c r="AB74" s="650"/>
      <c r="AC74" s="650"/>
      <c r="AD74" s="663"/>
      <c r="AE74" s="957"/>
      <c r="AF74" s="958"/>
      <c r="AG74" s="959"/>
    </row>
    <row r="75" spans="2:34" ht="28.5" customHeight="1">
      <c r="B75" s="921"/>
      <c r="C75" s="922"/>
      <c r="D75" s="922"/>
      <c r="E75" s="923"/>
      <c r="F75" s="933"/>
      <c r="G75" s="934"/>
      <c r="H75" s="654" t="s">
        <v>575</v>
      </c>
      <c r="I75" s="626"/>
      <c r="J75" s="626"/>
      <c r="K75" s="650"/>
      <c r="L75" s="650"/>
      <c r="M75" s="650"/>
      <c r="N75" s="650"/>
      <c r="O75" s="650"/>
      <c r="P75" s="650"/>
      <c r="Q75" s="650"/>
      <c r="R75" s="650"/>
      <c r="S75" s="651"/>
      <c r="T75" s="651"/>
      <c r="U75" s="651"/>
      <c r="V75" s="650"/>
      <c r="W75" s="650"/>
      <c r="X75" s="650"/>
      <c r="Y75" s="650"/>
      <c r="Z75" s="650"/>
      <c r="AA75" s="650"/>
      <c r="AB75" s="650"/>
      <c r="AC75" s="650"/>
      <c r="AD75" s="663"/>
      <c r="AE75" s="957"/>
      <c r="AF75" s="958"/>
      <c r="AG75" s="959"/>
    </row>
    <row r="76" spans="2:34" ht="28.5" customHeight="1">
      <c r="B76" s="921"/>
      <c r="C76" s="922"/>
      <c r="D76" s="922"/>
      <c r="E76" s="923"/>
      <c r="F76" s="933"/>
      <c r="G76" s="934"/>
      <c r="H76" s="672" t="s">
        <v>574</v>
      </c>
      <c r="K76" s="631"/>
      <c r="L76" s="631"/>
      <c r="M76" s="631"/>
      <c r="N76" s="631"/>
      <c r="O76" s="631"/>
      <c r="P76" s="631"/>
      <c r="Q76" s="631"/>
      <c r="R76" s="631"/>
      <c r="S76" s="588"/>
      <c r="T76" s="588"/>
      <c r="U76" s="588"/>
      <c r="V76" s="631"/>
      <c r="W76" s="631"/>
      <c r="X76" s="631"/>
      <c r="Y76" s="631"/>
      <c r="Z76" s="631"/>
      <c r="AA76" s="631"/>
      <c r="AB76" s="631"/>
      <c r="AC76" s="631"/>
      <c r="AD76" s="673"/>
      <c r="AE76" s="957"/>
      <c r="AF76" s="958"/>
      <c r="AG76" s="959"/>
    </row>
    <row r="77" spans="2:34" ht="28.5" customHeight="1">
      <c r="B77" s="921"/>
      <c r="C77" s="922"/>
      <c r="D77" s="922"/>
      <c r="E77" s="923"/>
      <c r="F77" s="933"/>
      <c r="G77" s="934"/>
      <c r="H77" s="652" t="s">
        <v>573</v>
      </c>
      <c r="I77" s="645"/>
      <c r="J77" s="645"/>
      <c r="K77" s="646"/>
      <c r="L77" s="646"/>
      <c r="M77" s="646"/>
      <c r="N77" s="646"/>
      <c r="O77" s="646"/>
      <c r="P77" s="646"/>
      <c r="Q77" s="646"/>
      <c r="R77" s="646"/>
      <c r="S77" s="653"/>
      <c r="T77" s="653"/>
      <c r="U77" s="653"/>
      <c r="V77" s="646"/>
      <c r="W77" s="646"/>
      <c r="X77" s="646"/>
      <c r="Y77" s="646"/>
      <c r="Z77" s="646"/>
      <c r="AA77" s="646"/>
      <c r="AB77" s="646"/>
      <c r="AC77" s="646"/>
      <c r="AD77" s="665"/>
      <c r="AE77" s="984"/>
      <c r="AF77" s="961"/>
      <c r="AG77" s="962"/>
    </row>
    <row r="78" spans="2:34" ht="28.5" customHeight="1" thickBot="1">
      <c r="B78" s="924"/>
      <c r="C78" s="925"/>
      <c r="D78" s="925"/>
      <c r="E78" s="926"/>
      <c r="F78" s="955"/>
      <c r="G78" s="956"/>
      <c r="H78" s="1019" t="s">
        <v>572</v>
      </c>
      <c r="I78" s="1020"/>
      <c r="J78" s="1020"/>
      <c r="K78" s="1020"/>
      <c r="L78" s="1020"/>
      <c r="M78" s="1020"/>
      <c r="N78" s="1020"/>
      <c r="O78" s="1020"/>
      <c r="P78" s="1020"/>
      <c r="Q78" s="1020"/>
      <c r="R78" s="1020"/>
      <c r="S78" s="1020"/>
      <c r="T78" s="1020"/>
      <c r="U78" s="1020"/>
      <c r="V78" s="1020"/>
      <c r="W78" s="1020"/>
      <c r="X78" s="1020"/>
      <c r="Y78" s="1020"/>
      <c r="Z78" s="1020"/>
      <c r="AA78" s="1020"/>
      <c r="AB78" s="1020"/>
      <c r="AC78" s="1020"/>
      <c r="AD78" s="1037"/>
      <c r="AE78" s="1011"/>
      <c r="AF78" s="1012"/>
      <c r="AG78" s="1013"/>
    </row>
    <row r="79" spans="2:34" ht="9" customHeight="1">
      <c r="B79" s="624"/>
      <c r="C79" s="624"/>
      <c r="D79" s="624"/>
      <c r="E79" s="624"/>
      <c r="F79" s="624"/>
      <c r="G79" s="624"/>
      <c r="H79" s="624"/>
      <c r="I79" s="624"/>
      <c r="J79" s="624"/>
      <c r="K79" s="624"/>
      <c r="L79" s="624"/>
      <c r="M79" s="624"/>
      <c r="N79" s="624"/>
      <c r="O79" s="624"/>
      <c r="P79" s="624"/>
      <c r="Q79" s="624"/>
      <c r="R79" s="624"/>
      <c r="S79" s="624"/>
      <c r="T79" s="624"/>
      <c r="U79" s="624"/>
      <c r="V79" s="624"/>
      <c r="W79" s="624"/>
      <c r="X79" s="624"/>
      <c r="Y79" s="624"/>
      <c r="Z79" s="624"/>
      <c r="AA79" s="624"/>
      <c r="AB79" s="624"/>
      <c r="AC79" s="624"/>
      <c r="AD79" s="624"/>
      <c r="AE79" s="624"/>
      <c r="AF79" s="624"/>
      <c r="AG79" s="624"/>
      <c r="AH79" s="624"/>
    </row>
    <row r="80" spans="2:34" ht="9" customHeight="1" thickBot="1">
      <c r="B80" s="624"/>
      <c r="C80" s="624"/>
      <c r="D80" s="624"/>
      <c r="E80" s="624"/>
      <c r="F80" s="624"/>
      <c r="G80" s="624"/>
      <c r="H80" s="624"/>
      <c r="I80" s="624"/>
      <c r="J80" s="624"/>
      <c r="K80" s="624"/>
      <c r="L80" s="624"/>
      <c r="M80" s="624"/>
      <c r="N80" s="624"/>
      <c r="O80" s="624"/>
      <c r="P80" s="624"/>
      <c r="Q80" s="624"/>
      <c r="R80" s="624"/>
      <c r="S80" s="624"/>
      <c r="T80" s="624"/>
      <c r="U80" s="624"/>
      <c r="V80" s="624"/>
      <c r="W80" s="624"/>
      <c r="X80" s="624"/>
      <c r="Y80" s="624"/>
      <c r="Z80" s="624"/>
      <c r="AA80" s="624"/>
      <c r="AB80" s="624"/>
      <c r="AC80" s="624"/>
      <c r="AD80" s="624"/>
      <c r="AE80" s="624"/>
      <c r="AF80" s="624"/>
      <c r="AG80" s="624"/>
      <c r="AH80" s="624"/>
    </row>
    <row r="81" spans="2:33" ht="28.5" customHeight="1">
      <c r="B81" s="857" t="s">
        <v>580</v>
      </c>
      <c r="C81" s="859"/>
      <c r="D81" s="859"/>
      <c r="E81" s="860"/>
      <c r="F81" s="931" t="s">
        <v>579</v>
      </c>
      <c r="G81" s="932"/>
      <c r="H81" s="659" t="s">
        <v>577</v>
      </c>
      <c r="I81" s="620"/>
      <c r="J81" s="620"/>
      <c r="K81" s="660"/>
      <c r="L81" s="660"/>
      <c r="M81" s="660"/>
      <c r="N81" s="660"/>
      <c r="O81" s="660"/>
      <c r="P81" s="660"/>
      <c r="Q81" s="660"/>
      <c r="R81" s="660"/>
      <c r="S81" s="661"/>
      <c r="T81" s="661"/>
      <c r="U81" s="661"/>
      <c r="V81" s="660"/>
      <c r="W81" s="660"/>
      <c r="X81" s="660"/>
      <c r="Y81" s="660"/>
      <c r="Z81" s="660"/>
      <c r="AA81" s="660"/>
      <c r="AB81" s="660"/>
      <c r="AC81" s="660"/>
      <c r="AD81" s="674"/>
      <c r="AE81" s="975"/>
      <c r="AF81" s="976"/>
      <c r="AG81" s="977"/>
    </row>
    <row r="82" spans="2:33" ht="28.5" customHeight="1">
      <c r="B82" s="921"/>
      <c r="C82" s="922"/>
      <c r="D82" s="922"/>
      <c r="E82" s="923"/>
      <c r="F82" s="933"/>
      <c r="G82" s="934"/>
      <c r="H82" s="672" t="s">
        <v>575</v>
      </c>
      <c r="K82" s="631"/>
      <c r="L82" s="631"/>
      <c r="M82" s="631"/>
      <c r="N82" s="631"/>
      <c r="O82" s="631"/>
      <c r="P82" s="631"/>
      <c r="Q82" s="631"/>
      <c r="R82" s="631"/>
      <c r="S82" s="588"/>
      <c r="T82" s="588"/>
      <c r="U82" s="588"/>
      <c r="V82" s="631"/>
      <c r="W82" s="631"/>
      <c r="X82" s="631"/>
      <c r="Y82" s="631"/>
      <c r="Z82" s="631"/>
      <c r="AA82" s="631"/>
      <c r="AB82" s="631"/>
      <c r="AC82" s="631"/>
      <c r="AD82" s="675"/>
      <c r="AE82" s="960"/>
      <c r="AF82" s="961"/>
      <c r="AG82" s="962"/>
    </row>
    <row r="83" spans="2:33" ht="28.5" customHeight="1">
      <c r="B83" s="921"/>
      <c r="C83" s="922"/>
      <c r="D83" s="922"/>
      <c r="E83" s="923"/>
      <c r="F83" s="933"/>
      <c r="G83" s="934"/>
      <c r="H83" s="652" t="s">
        <v>573</v>
      </c>
      <c r="I83" s="645"/>
      <c r="J83" s="645"/>
      <c r="K83" s="646"/>
      <c r="L83" s="646"/>
      <c r="M83" s="646"/>
      <c r="N83" s="646"/>
      <c r="O83" s="646"/>
      <c r="P83" s="646"/>
      <c r="Q83" s="646"/>
      <c r="R83" s="646"/>
      <c r="S83" s="653"/>
      <c r="T83" s="653"/>
      <c r="U83" s="653"/>
      <c r="V83" s="646"/>
      <c r="W83" s="646"/>
      <c r="X83" s="646"/>
      <c r="Y83" s="646"/>
      <c r="Z83" s="646"/>
      <c r="AA83" s="646"/>
      <c r="AB83" s="646"/>
      <c r="AC83" s="646"/>
      <c r="AD83" s="676"/>
      <c r="AE83" s="960"/>
      <c r="AF83" s="961"/>
      <c r="AG83" s="962"/>
    </row>
    <row r="84" spans="2:33" ht="28.5" customHeight="1">
      <c r="B84" s="921"/>
      <c r="C84" s="922"/>
      <c r="D84" s="922"/>
      <c r="E84" s="923"/>
      <c r="F84" s="935"/>
      <c r="G84" s="936"/>
      <c r="H84" s="978" t="s">
        <v>572</v>
      </c>
      <c r="I84" s="979"/>
      <c r="J84" s="979"/>
      <c r="K84" s="979"/>
      <c r="L84" s="979"/>
      <c r="M84" s="979"/>
      <c r="N84" s="979"/>
      <c r="O84" s="979"/>
      <c r="P84" s="979"/>
      <c r="Q84" s="979"/>
      <c r="R84" s="979"/>
      <c r="S84" s="979"/>
      <c r="T84" s="979"/>
      <c r="U84" s="979"/>
      <c r="V84" s="979"/>
      <c r="W84" s="979"/>
      <c r="X84" s="979"/>
      <c r="Y84" s="979"/>
      <c r="Z84" s="979"/>
      <c r="AA84" s="979"/>
      <c r="AB84" s="979"/>
      <c r="AC84" s="979"/>
      <c r="AD84" s="980"/>
      <c r="AE84" s="981"/>
      <c r="AF84" s="982"/>
      <c r="AG84" s="983"/>
    </row>
    <row r="85" spans="2:33" ht="28.5" customHeight="1">
      <c r="B85" s="921"/>
      <c r="C85" s="922"/>
      <c r="D85" s="922"/>
      <c r="E85" s="923"/>
      <c r="F85" s="953" t="s">
        <v>578</v>
      </c>
      <c r="G85" s="954"/>
      <c r="H85" s="654" t="s">
        <v>577</v>
      </c>
      <c r="I85" s="626"/>
      <c r="J85" s="626"/>
      <c r="K85" s="650"/>
      <c r="L85" s="650"/>
      <c r="M85" s="650"/>
      <c r="N85" s="650"/>
      <c r="O85" s="650"/>
      <c r="P85" s="650"/>
      <c r="Q85" s="650"/>
      <c r="R85" s="650"/>
      <c r="S85" s="651"/>
      <c r="T85" s="651"/>
      <c r="U85" s="651"/>
      <c r="V85" s="650"/>
      <c r="W85" s="650"/>
      <c r="X85" s="650"/>
      <c r="Y85" s="650"/>
      <c r="Z85" s="650"/>
      <c r="AA85" s="650"/>
      <c r="AB85" s="650"/>
      <c r="AC85" s="650"/>
      <c r="AD85" s="677"/>
      <c r="AE85" s="1025"/>
      <c r="AF85" s="973"/>
      <c r="AG85" s="974"/>
    </row>
    <row r="86" spans="2:33" ht="28.5" customHeight="1">
      <c r="B86" s="921"/>
      <c r="C86" s="922"/>
      <c r="D86" s="922"/>
      <c r="E86" s="923"/>
      <c r="F86" s="933"/>
      <c r="G86" s="934"/>
      <c r="H86" s="648" t="s">
        <v>576</v>
      </c>
      <c r="I86" s="642"/>
      <c r="J86" s="642"/>
      <c r="K86" s="643"/>
      <c r="L86" s="643"/>
      <c r="M86" s="643"/>
      <c r="N86" s="643"/>
      <c r="O86" s="643"/>
      <c r="P86" s="643"/>
      <c r="Q86" s="643"/>
      <c r="R86" s="643"/>
      <c r="S86" s="644"/>
      <c r="T86" s="644"/>
      <c r="U86" s="644"/>
      <c r="V86" s="643"/>
      <c r="W86" s="643"/>
      <c r="X86" s="643"/>
      <c r="Y86" s="643"/>
      <c r="Z86" s="643"/>
      <c r="AA86" s="643"/>
      <c r="AB86" s="643"/>
      <c r="AC86" s="643"/>
      <c r="AD86" s="649"/>
      <c r="AE86" s="965"/>
      <c r="AF86" s="958"/>
      <c r="AG86" s="959"/>
    </row>
    <row r="87" spans="2:33" ht="28.5" customHeight="1">
      <c r="B87" s="921"/>
      <c r="C87" s="922"/>
      <c r="D87" s="922"/>
      <c r="E87" s="923"/>
      <c r="F87" s="933"/>
      <c r="G87" s="934"/>
      <c r="H87" s="654" t="s">
        <v>575</v>
      </c>
      <c r="I87" s="626"/>
      <c r="J87" s="626"/>
      <c r="K87" s="650"/>
      <c r="L87" s="650"/>
      <c r="M87" s="650"/>
      <c r="N87" s="650"/>
      <c r="O87" s="650"/>
      <c r="P87" s="650"/>
      <c r="Q87" s="650"/>
      <c r="R87" s="650"/>
      <c r="S87" s="651"/>
      <c r="T87" s="651"/>
      <c r="U87" s="651"/>
      <c r="V87" s="650"/>
      <c r="W87" s="650"/>
      <c r="X87" s="650"/>
      <c r="Y87" s="650"/>
      <c r="Z87" s="650"/>
      <c r="AA87" s="650"/>
      <c r="AB87" s="650"/>
      <c r="AC87" s="650"/>
      <c r="AD87" s="677"/>
      <c r="AE87" s="1025"/>
      <c r="AF87" s="973"/>
      <c r="AG87" s="974"/>
    </row>
    <row r="88" spans="2:33" ht="28.5" customHeight="1">
      <c r="B88" s="921"/>
      <c r="C88" s="922"/>
      <c r="D88" s="922"/>
      <c r="E88" s="923"/>
      <c r="F88" s="933"/>
      <c r="G88" s="934"/>
      <c r="H88" s="652" t="s">
        <v>574</v>
      </c>
      <c r="I88" s="645"/>
      <c r="J88" s="645"/>
      <c r="K88" s="646"/>
      <c r="L88" s="646"/>
      <c r="M88" s="646"/>
      <c r="N88" s="646"/>
      <c r="O88" s="646"/>
      <c r="P88" s="646"/>
      <c r="Q88" s="646"/>
      <c r="R88" s="646"/>
      <c r="S88" s="653"/>
      <c r="T88" s="653"/>
      <c r="U88" s="653"/>
      <c r="V88" s="646"/>
      <c r="W88" s="646"/>
      <c r="X88" s="646"/>
      <c r="Y88" s="646"/>
      <c r="Z88" s="646"/>
      <c r="AA88" s="646"/>
      <c r="AB88" s="646"/>
      <c r="AC88" s="646"/>
      <c r="AD88" s="676"/>
      <c r="AE88" s="960"/>
      <c r="AF88" s="961"/>
      <c r="AG88" s="962"/>
    </row>
    <row r="89" spans="2:33" ht="28.5" customHeight="1">
      <c r="B89" s="921"/>
      <c r="C89" s="922"/>
      <c r="D89" s="922"/>
      <c r="E89" s="923"/>
      <c r="F89" s="933"/>
      <c r="G89" s="934"/>
      <c r="H89" s="652" t="s">
        <v>573</v>
      </c>
      <c r="I89" s="645"/>
      <c r="J89" s="645"/>
      <c r="K89" s="646"/>
      <c r="L89" s="646"/>
      <c r="M89" s="646"/>
      <c r="N89" s="646"/>
      <c r="O89" s="646"/>
      <c r="P89" s="646"/>
      <c r="Q89" s="646"/>
      <c r="R89" s="646"/>
      <c r="S89" s="653"/>
      <c r="T89" s="653"/>
      <c r="U89" s="653"/>
      <c r="V89" s="646"/>
      <c r="W89" s="646"/>
      <c r="X89" s="646"/>
      <c r="Y89" s="646"/>
      <c r="Z89" s="646"/>
      <c r="AA89" s="646"/>
      <c r="AB89" s="646"/>
      <c r="AC89" s="646"/>
      <c r="AD89" s="676"/>
      <c r="AE89" s="965"/>
      <c r="AF89" s="958"/>
      <c r="AG89" s="959"/>
    </row>
    <row r="90" spans="2:33" ht="28.5" customHeight="1" thickBot="1">
      <c r="B90" s="924"/>
      <c r="C90" s="925"/>
      <c r="D90" s="925"/>
      <c r="E90" s="926"/>
      <c r="F90" s="955"/>
      <c r="G90" s="956"/>
      <c r="H90" s="1019" t="s">
        <v>572</v>
      </c>
      <c r="I90" s="1020"/>
      <c r="J90" s="1020"/>
      <c r="K90" s="1020"/>
      <c r="L90" s="1020"/>
      <c r="M90" s="1020"/>
      <c r="N90" s="1020"/>
      <c r="O90" s="1020"/>
      <c r="P90" s="1020"/>
      <c r="Q90" s="1020"/>
      <c r="R90" s="1020"/>
      <c r="S90" s="1020"/>
      <c r="T90" s="1020"/>
      <c r="U90" s="1020"/>
      <c r="V90" s="1020"/>
      <c r="W90" s="1020"/>
      <c r="X90" s="1020"/>
      <c r="Y90" s="1020"/>
      <c r="Z90" s="1020"/>
      <c r="AA90" s="1020"/>
      <c r="AB90" s="1020"/>
      <c r="AC90" s="1020"/>
      <c r="AD90" s="1021"/>
      <c r="AE90" s="1038"/>
      <c r="AF90" s="1012"/>
      <c r="AG90" s="1013"/>
    </row>
    <row r="91" spans="2:33" ht="31.5" customHeight="1">
      <c r="B91" s="937" t="s">
        <v>571</v>
      </c>
      <c r="C91" s="938"/>
      <c r="D91" s="938"/>
      <c r="E91" s="939"/>
      <c r="F91" s="943" t="s">
        <v>570</v>
      </c>
      <c r="G91" s="944"/>
      <c r="H91" s="944"/>
      <c r="I91" s="944"/>
      <c r="J91" s="944"/>
      <c r="K91" s="944"/>
      <c r="L91" s="944"/>
      <c r="M91" s="944"/>
      <c r="N91" s="944"/>
      <c r="O91" s="944"/>
      <c r="P91" s="944"/>
      <c r="Q91" s="944"/>
      <c r="R91" s="944"/>
      <c r="S91" s="944"/>
      <c r="T91" s="944"/>
      <c r="U91" s="944"/>
      <c r="V91" s="944"/>
      <c r="W91" s="944"/>
      <c r="X91" s="944"/>
      <c r="Y91" s="944"/>
      <c r="Z91" s="945"/>
      <c r="AA91" s="949" t="s">
        <v>569</v>
      </c>
      <c r="AB91" s="950"/>
      <c r="AC91" s="950"/>
      <c r="AD91" s="950"/>
      <c r="AE91" s="1033"/>
      <c r="AF91" s="1034"/>
      <c r="AG91" s="678" t="s">
        <v>566</v>
      </c>
    </row>
    <row r="92" spans="2:33" ht="31.5" customHeight="1" thickBot="1">
      <c r="B92" s="940"/>
      <c r="C92" s="941"/>
      <c r="D92" s="941"/>
      <c r="E92" s="942"/>
      <c r="F92" s="946" t="s">
        <v>568</v>
      </c>
      <c r="G92" s="947"/>
      <c r="H92" s="947"/>
      <c r="I92" s="947"/>
      <c r="J92" s="947"/>
      <c r="K92" s="947"/>
      <c r="L92" s="947"/>
      <c r="M92" s="947"/>
      <c r="N92" s="947"/>
      <c r="O92" s="947"/>
      <c r="P92" s="947"/>
      <c r="Q92" s="947"/>
      <c r="R92" s="947"/>
      <c r="S92" s="947"/>
      <c r="T92" s="947"/>
      <c r="U92" s="947"/>
      <c r="V92" s="947"/>
      <c r="W92" s="947"/>
      <c r="X92" s="947"/>
      <c r="Y92" s="947"/>
      <c r="Z92" s="948"/>
      <c r="AA92" s="951" t="s">
        <v>567</v>
      </c>
      <c r="AB92" s="952"/>
      <c r="AC92" s="952"/>
      <c r="AD92" s="952"/>
      <c r="AE92" s="1035"/>
      <c r="AF92" s="1036"/>
      <c r="AG92" s="679" t="s">
        <v>566</v>
      </c>
    </row>
    <row r="93" spans="2:33" ht="28.5" customHeight="1" thickBot="1">
      <c r="B93" s="680" t="s">
        <v>565</v>
      </c>
      <c r="C93" s="681"/>
      <c r="D93" s="681"/>
      <c r="E93" s="681"/>
      <c r="F93" s="681"/>
      <c r="G93" s="681"/>
      <c r="H93" s="681"/>
      <c r="I93" s="681"/>
      <c r="J93" s="681"/>
      <c r="K93" s="682"/>
      <c r="L93" s="682"/>
      <c r="M93" s="682"/>
      <c r="N93" s="682"/>
      <c r="O93" s="682"/>
      <c r="P93" s="682"/>
      <c r="Q93" s="682"/>
      <c r="R93" s="682"/>
      <c r="S93" s="683"/>
      <c r="T93" s="683"/>
      <c r="U93" s="683"/>
      <c r="V93" s="682"/>
      <c r="W93" s="682"/>
      <c r="X93" s="682"/>
      <c r="Y93" s="682"/>
      <c r="Z93" s="682"/>
      <c r="AA93" s="1039">
        <f>SUM('3_区分3計算表'!$H$51,'3_区分3計算表'!$L$51)</f>
        <v>3</v>
      </c>
      <c r="AB93" s="1040"/>
      <c r="AC93" s="1040"/>
      <c r="AD93" s="1040"/>
      <c r="AE93" s="1040"/>
      <c r="AF93" s="1040"/>
      <c r="AG93" s="616" t="s">
        <v>561</v>
      </c>
    </row>
    <row r="94" spans="2:33" ht="28.5" customHeight="1">
      <c r="B94" s="937" t="s">
        <v>564</v>
      </c>
      <c r="C94" s="997"/>
      <c r="D94" s="997"/>
      <c r="E94" s="998"/>
      <c r="F94" s="620" t="s">
        <v>563</v>
      </c>
      <c r="G94" s="620"/>
      <c r="H94" s="620"/>
      <c r="I94" s="620"/>
      <c r="J94" s="620"/>
      <c r="K94" s="660"/>
      <c r="L94" s="660"/>
      <c r="M94" s="660"/>
      <c r="N94" s="660"/>
      <c r="O94" s="660"/>
      <c r="P94" s="660"/>
      <c r="Q94" s="660"/>
      <c r="R94" s="660"/>
      <c r="S94" s="661"/>
      <c r="T94" s="661"/>
      <c r="U94" s="661"/>
      <c r="V94" s="660"/>
      <c r="W94" s="660"/>
      <c r="X94" s="660"/>
      <c r="Y94" s="660"/>
      <c r="Z94" s="660"/>
      <c r="AA94" s="1028" t="str">
        <f>【参考】計算結果!$D17</f>
        <v>実人数を入力してください</v>
      </c>
      <c r="AB94" s="1029"/>
      <c r="AC94" s="1029"/>
      <c r="AD94" s="1029"/>
      <c r="AE94" s="1029"/>
      <c r="AF94" s="1029"/>
      <c r="AG94" s="622" t="s">
        <v>561</v>
      </c>
    </row>
    <row r="95" spans="2:33" ht="28.5" customHeight="1" thickBot="1">
      <c r="B95" s="999"/>
      <c r="C95" s="1000"/>
      <c r="D95" s="1000"/>
      <c r="E95" s="1001"/>
      <c r="F95" s="684" t="s">
        <v>562</v>
      </c>
      <c r="G95" s="685"/>
      <c r="H95" s="685"/>
      <c r="I95" s="685"/>
      <c r="J95" s="686"/>
      <c r="K95" s="686"/>
      <c r="L95" s="686"/>
      <c r="M95" s="686"/>
      <c r="N95" s="686"/>
      <c r="O95" s="686"/>
      <c r="P95" s="686"/>
      <c r="Q95" s="686"/>
      <c r="R95" s="686"/>
      <c r="S95" s="685"/>
      <c r="T95" s="685"/>
      <c r="U95" s="685"/>
      <c r="V95" s="686"/>
      <c r="W95" s="686"/>
      <c r="X95" s="686"/>
      <c r="Y95" s="686"/>
      <c r="Z95" s="686"/>
      <c r="AA95" s="1026" t="str">
        <f>【参考】計算結果!$D18</f>
        <v>実人数を入力してください</v>
      </c>
      <c r="AB95" s="1027"/>
      <c r="AC95" s="1027"/>
      <c r="AD95" s="1027"/>
      <c r="AE95" s="1027"/>
      <c r="AF95" s="1027"/>
      <c r="AG95" s="687" t="s">
        <v>561</v>
      </c>
    </row>
    <row r="96" spans="2:33" ht="15" customHeight="1">
      <c r="B96" s="592" t="s">
        <v>560</v>
      </c>
      <c r="C96" s="630"/>
      <c r="D96" s="630"/>
      <c r="E96" s="630"/>
      <c r="F96" s="630"/>
      <c r="G96" s="588"/>
      <c r="H96" s="588"/>
      <c r="I96" s="588"/>
      <c r="J96" s="631"/>
      <c r="K96" s="631"/>
      <c r="L96" s="631"/>
      <c r="M96" s="631"/>
      <c r="N96" s="631"/>
      <c r="O96" s="631"/>
      <c r="P96" s="631"/>
      <c r="Q96" s="631"/>
      <c r="R96" s="631"/>
      <c r="S96" s="588"/>
      <c r="T96" s="588"/>
      <c r="U96" s="588"/>
      <c r="V96" s="631"/>
      <c r="W96" s="631"/>
      <c r="X96" s="631"/>
      <c r="Y96" s="631"/>
      <c r="Z96" s="631"/>
      <c r="AA96" s="631"/>
      <c r="AB96" s="631"/>
      <c r="AC96" s="631"/>
      <c r="AD96" s="631"/>
      <c r="AE96" s="588"/>
      <c r="AF96" s="588"/>
      <c r="AG96" s="588"/>
    </row>
    <row r="97" spans="2:33" ht="15" customHeight="1">
      <c r="B97" s="592" t="s">
        <v>559</v>
      </c>
      <c r="C97" s="630"/>
      <c r="D97" s="630"/>
      <c r="E97" s="630"/>
      <c r="F97" s="630"/>
      <c r="G97" s="588"/>
      <c r="H97" s="588"/>
      <c r="I97" s="588"/>
      <c r="J97" s="631"/>
      <c r="K97" s="631"/>
      <c r="L97" s="631"/>
      <c r="M97" s="631"/>
      <c r="N97" s="631"/>
      <c r="O97" s="631"/>
      <c r="P97" s="631"/>
      <c r="Q97" s="631"/>
      <c r="R97" s="631"/>
      <c r="S97" s="588"/>
      <c r="T97" s="588"/>
      <c r="U97" s="588"/>
      <c r="V97" s="631"/>
      <c r="W97" s="631"/>
      <c r="X97" s="631"/>
      <c r="Y97" s="631"/>
      <c r="Z97" s="631"/>
      <c r="AA97" s="631"/>
      <c r="AB97" s="631"/>
      <c r="AC97" s="631"/>
      <c r="AD97" s="631"/>
      <c r="AE97" s="588"/>
      <c r="AF97" s="588"/>
      <c r="AG97" s="588"/>
    </row>
    <row r="98" spans="2:33" ht="15" customHeight="1">
      <c r="B98" s="592" t="s">
        <v>558</v>
      </c>
      <c r="C98" s="630"/>
      <c r="D98" s="630"/>
      <c r="E98" s="630"/>
      <c r="F98" s="630"/>
      <c r="G98" s="588"/>
      <c r="H98" s="588"/>
      <c r="I98" s="588"/>
      <c r="J98" s="631"/>
      <c r="K98" s="631"/>
      <c r="L98" s="631"/>
      <c r="M98" s="631"/>
      <c r="N98" s="631"/>
      <c r="O98" s="631"/>
      <c r="P98" s="631"/>
      <c r="Q98" s="631"/>
      <c r="R98" s="631"/>
      <c r="S98" s="588"/>
      <c r="T98" s="588"/>
      <c r="U98" s="588"/>
      <c r="V98" s="631"/>
      <c r="W98" s="631"/>
      <c r="X98" s="631"/>
      <c r="Y98" s="631"/>
      <c r="Z98" s="631"/>
      <c r="AA98" s="631"/>
      <c r="AB98" s="631"/>
      <c r="AC98" s="631"/>
      <c r="AD98" s="631"/>
      <c r="AE98" s="588"/>
      <c r="AF98" s="588"/>
      <c r="AG98" s="588"/>
    </row>
    <row r="99" spans="2:33" ht="15" customHeight="1">
      <c r="B99" s="591" t="s">
        <v>557</v>
      </c>
    </row>
    <row r="100" spans="2:33" ht="15" customHeight="1">
      <c r="B100" s="591" t="s">
        <v>556</v>
      </c>
    </row>
    <row r="101" spans="2:33" ht="15" customHeight="1">
      <c r="B101" s="591" t="s">
        <v>555</v>
      </c>
    </row>
    <row r="102" spans="2:33" ht="20.25" customHeight="1">
      <c r="V102" s="596"/>
      <c r="W102" s="596"/>
      <c r="X102" s="596"/>
      <c r="Y102" s="596"/>
      <c r="Z102" s="612"/>
      <c r="AA102" s="612"/>
      <c r="AB102" s="612"/>
      <c r="AC102" s="612"/>
      <c r="AD102" s="612"/>
      <c r="AE102" s="612"/>
      <c r="AF102" s="612"/>
      <c r="AG102" s="612"/>
    </row>
    <row r="103" spans="2:33" ht="20.25" customHeight="1">
      <c r="V103" s="688"/>
      <c r="W103" s="688"/>
      <c r="X103" s="688"/>
      <c r="Y103" s="688"/>
      <c r="Z103" s="689"/>
      <c r="AA103" s="689"/>
      <c r="AB103" s="689"/>
      <c r="AC103" s="689"/>
      <c r="AD103" s="689"/>
      <c r="AE103" s="689"/>
      <c r="AF103" s="689"/>
      <c r="AG103" s="689"/>
    </row>
  </sheetData>
  <sheetProtection algorithmName="SHA-512" hashValue="j0kUiiJLhhenhIUL62v0qJ5eD05p/4nS6V1OS4LStHNuUJzzFZgTij/iQZYv1HaFSsFefHy+CkAYbfA3VLhyzw==" saltValue="Hxb/l/0pDlAg9Mv05dukQw==" spinCount="100000" sheet="1" objects="1" scenarios="1"/>
  <dataConsolidate link="1"/>
  <mergeCells count="121">
    <mergeCell ref="B3:AG3"/>
    <mergeCell ref="O8:T8"/>
    <mergeCell ref="U8:AG8"/>
    <mergeCell ref="O9:T9"/>
    <mergeCell ref="U9:AG9"/>
    <mergeCell ref="O10:T10"/>
    <mergeCell ref="U10:AG10"/>
    <mergeCell ref="E6:K6"/>
    <mergeCell ref="B25:L25"/>
    <mergeCell ref="Y15:AE15"/>
    <mergeCell ref="P15:S15"/>
    <mergeCell ref="L15:N15"/>
    <mergeCell ref="B15:G15"/>
    <mergeCell ref="H15:K15"/>
    <mergeCell ref="Q16:V16"/>
    <mergeCell ref="O11:T11"/>
    <mergeCell ref="U11:AG11"/>
    <mergeCell ref="Q17:V17"/>
    <mergeCell ref="B18:P18"/>
    <mergeCell ref="T15:V15"/>
    <mergeCell ref="Q18:V18"/>
    <mergeCell ref="AE41:AG41"/>
    <mergeCell ref="AE38:AG38"/>
    <mergeCell ref="AE55:AG55"/>
    <mergeCell ref="AE46:AG46"/>
    <mergeCell ref="AE57:AG57"/>
    <mergeCell ref="B20:AG20"/>
    <mergeCell ref="B21:B22"/>
    <mergeCell ref="T26:Z26"/>
    <mergeCell ref="M26:S26"/>
    <mergeCell ref="F27:K29"/>
    <mergeCell ref="N29:R29"/>
    <mergeCell ref="N28:S28"/>
    <mergeCell ref="M25:T25"/>
    <mergeCell ref="F26:L26"/>
    <mergeCell ref="AE52:AG52"/>
    <mergeCell ref="AE48:AG48"/>
    <mergeCell ref="AE39:AG39"/>
    <mergeCell ref="M27:R27"/>
    <mergeCell ref="AE40:AG40"/>
    <mergeCell ref="C21:Z22"/>
    <mergeCell ref="AA21:AG22"/>
    <mergeCell ref="AA26:AG26"/>
    <mergeCell ref="AE43:AG43"/>
    <mergeCell ref="Z27:Z29"/>
    <mergeCell ref="AA94:AF94"/>
    <mergeCell ref="AE56:AG56"/>
    <mergeCell ref="AE60:AG60"/>
    <mergeCell ref="AE59:AG59"/>
    <mergeCell ref="AE62:AG62"/>
    <mergeCell ref="AE58:AG58"/>
    <mergeCell ref="B30:E43"/>
    <mergeCell ref="B46:E78"/>
    <mergeCell ref="H71:AD71"/>
    <mergeCell ref="AE91:AF91"/>
    <mergeCell ref="AE92:AF92"/>
    <mergeCell ref="AE63:AG63"/>
    <mergeCell ref="AE64:AG64"/>
    <mergeCell ref="AE66:AG66"/>
    <mergeCell ref="AE85:AG85"/>
    <mergeCell ref="AE71:AG71"/>
    <mergeCell ref="AE70:AG70"/>
    <mergeCell ref="AE86:AG86"/>
    <mergeCell ref="H78:AD78"/>
    <mergeCell ref="AE78:AG78"/>
    <mergeCell ref="AE90:AG90"/>
    <mergeCell ref="AE87:AG87"/>
    <mergeCell ref="AA93:AF93"/>
    <mergeCell ref="AE47:AG47"/>
    <mergeCell ref="L27:L29"/>
    <mergeCell ref="AA27:AF29"/>
    <mergeCell ref="T27:Y29"/>
    <mergeCell ref="AE33:AG33"/>
    <mergeCell ref="AG27:AG29"/>
    <mergeCell ref="AE53:AG53"/>
    <mergeCell ref="B94:E95"/>
    <mergeCell ref="B26:E29"/>
    <mergeCell ref="AE54:AG54"/>
    <mergeCell ref="F30:G43"/>
    <mergeCell ref="AE73:AG73"/>
    <mergeCell ref="AE35:AG35"/>
    <mergeCell ref="AE88:AG88"/>
    <mergeCell ref="H90:AD90"/>
    <mergeCell ref="AE34:AG34"/>
    <mergeCell ref="AE51:AG51"/>
    <mergeCell ref="AE37:AG37"/>
    <mergeCell ref="AE50:AG50"/>
    <mergeCell ref="AE32:AG32"/>
    <mergeCell ref="AE30:AG30"/>
    <mergeCell ref="AE31:AG31"/>
    <mergeCell ref="AE42:AG42"/>
    <mergeCell ref="AE36:AG36"/>
    <mergeCell ref="AA95:AF95"/>
    <mergeCell ref="F46:G54"/>
    <mergeCell ref="F55:G72"/>
    <mergeCell ref="AE49:AG49"/>
    <mergeCell ref="AE81:AG81"/>
    <mergeCell ref="AE83:AG83"/>
    <mergeCell ref="H84:AD84"/>
    <mergeCell ref="AE84:AG84"/>
    <mergeCell ref="AE75:AG75"/>
    <mergeCell ref="AE77:AG77"/>
    <mergeCell ref="AE61:AG61"/>
    <mergeCell ref="B81:E90"/>
    <mergeCell ref="AE72:AG72"/>
    <mergeCell ref="AE65:AG65"/>
    <mergeCell ref="F81:G84"/>
    <mergeCell ref="B91:E92"/>
    <mergeCell ref="F91:Z91"/>
    <mergeCell ref="F92:Z92"/>
    <mergeCell ref="AA91:AD91"/>
    <mergeCell ref="AA92:AD92"/>
    <mergeCell ref="F85:G90"/>
    <mergeCell ref="F73:G78"/>
    <mergeCell ref="AE76:AG76"/>
    <mergeCell ref="AE82:AG82"/>
    <mergeCell ref="AE67:AG67"/>
    <mergeCell ref="AE69:AG69"/>
    <mergeCell ref="AE68:AG68"/>
    <mergeCell ref="AE74:AG74"/>
    <mergeCell ref="AE89:AG89"/>
  </mergeCells>
  <phoneticPr fontId="4"/>
  <dataValidations count="3">
    <dataValidation type="list" allowBlank="1" showInputMessage="1" showErrorMessage="1" sqref="AA21:AG22" xr:uid="{00000000-0002-0000-0200-000001000000}">
      <formula1>$AK$1</formula1>
    </dataValidation>
    <dataValidation type="list" allowBlank="1" showInputMessage="1" showErrorMessage="1" sqref="AF54:AG54 AE46:AE54 AF46:AG52 AE81:AG90 AE55:AG78 AE30:AG43" xr:uid="{00000000-0002-0000-0200-000000000000}">
      <formula1>$AL$1:$AL$2</formula1>
    </dataValidation>
    <dataValidation type="whole" allowBlank="1" showInputMessage="1" showErrorMessage="1" sqref="Q16:V18" xr:uid="{9D08215D-5AB1-4D9E-BD38-D04A0DEE9045}">
      <formula1>0</formula1>
      <formula2>1000</formula2>
    </dataValidation>
  </dataValidations>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rowBreaks count="2" manualBreakCount="2">
    <brk id="44" max="35" man="1"/>
    <brk id="79"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17</vt:i4>
      </vt:variant>
    </vt:vector>
  </HeadingPairs>
  <TitlesOfParts>
    <vt:vector size="39" baseType="lpstr">
      <vt:lpstr>0_基本情報</vt:lpstr>
      <vt:lpstr>1-1_児童数計算表</vt:lpstr>
      <vt:lpstr>1-2_児童数計算表_分園</vt:lpstr>
      <vt:lpstr>2_区分12加算額計算表</vt:lpstr>
      <vt:lpstr>3_区分3計算表</vt:lpstr>
      <vt:lpstr>【参考】計算結果</vt:lpstr>
      <vt:lpstr>様式1</vt:lpstr>
      <vt:lpstr>様式2</vt:lpstr>
      <vt:lpstr>様式3</vt:lpstr>
      <vt:lpstr>様式4</vt:lpstr>
      <vt:lpstr>様式4別添1</vt:lpstr>
      <vt:lpstr>様式4別添2</vt:lpstr>
      <vt:lpstr>様式5</vt:lpstr>
      <vt:lpstr>様式7</vt:lpstr>
      <vt:lpstr>計算_区分12_1号</vt:lpstr>
      <vt:lpstr>計算_区分12_23号</vt:lpstr>
      <vt:lpstr>認こ1号単価</vt:lpstr>
      <vt:lpstr>認こ23号単価</vt:lpstr>
      <vt:lpstr>【リスト】 (2)</vt:lpstr>
      <vt:lpstr>【リスト】</vt:lpstr>
      <vt:lpstr>京都市集計用_共通</vt:lpstr>
      <vt:lpstr>京都市集計用_認こ</vt:lpstr>
      <vt:lpstr>'0_基本情報'!Print_Area</vt:lpstr>
      <vt:lpstr>'1-1_児童数計算表'!Print_Area</vt:lpstr>
      <vt:lpstr>'1-2_児童数計算表_分園'!Print_Area</vt:lpstr>
      <vt:lpstr>'2_区分12加算額計算表'!Print_Area</vt:lpstr>
      <vt:lpstr>'3_区分3計算表'!Print_Area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北島</dc:creator>
  <cp:lastModifiedBy>nakajo</cp:lastModifiedBy>
  <dcterms:created xsi:type="dcterms:W3CDTF">2025-05-03T04:15:18Z</dcterms:created>
  <dcterms:modified xsi:type="dcterms:W3CDTF">2026-07-22T07:23:43Z</dcterms:modified>
</cp:coreProperties>
</file>